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https://fabricamaxifer.sharepoint.com/sites/Administracion/Documentos compartidos/"/>
    </mc:Choice>
  </mc:AlternateContent>
  <xr:revisionPtr revIDLastSave="7069" documentId="8_{897C3996-CCA5-417E-AECF-00BC2766AECB}" xr6:coauthVersionLast="47" xr6:coauthVersionMax="47" xr10:uidLastSave="{375BEE9C-E26D-41DA-B6B7-6BB07C6DADC5}"/>
  <bookViews>
    <workbookView xWindow="-120" yWindow="-120" windowWidth="29040" windowHeight="15720" tabRatio="743" firstSheet="8" activeTab="21" xr2:uid="{2F40FF0F-CF6F-4175-B7A6-99EC3AE21FF0}"/>
  </bookViews>
  <sheets>
    <sheet name="Ctrl" sheetId="2" r:id="rId1"/>
    <sheet name="INDICE" sheetId="53" r:id="rId2"/>
    <sheet name="FADER" sheetId="9" r:id="rId3"/>
    <sheet name="CECATTO" sheetId="28" r:id="rId4"/>
    <sheet name="ORING" sheetId="29" r:id="rId5"/>
    <sheet name="SELFLEX" sheetId="42" r:id="rId6"/>
    <sheet name="ALCIDES" sheetId="13" r:id="rId7"/>
    <sheet name="CASERGOM" sheetId="40" r:id="rId8"/>
    <sheet name="ROPA" sheetId="50" r:id="rId9"/>
    <sheet name="CARBONES" sheetId="15" r:id="rId10"/>
    <sheet name="ELINEK" sheetId="49" r:id="rId11"/>
    <sheet name="INSERTOS" sheetId="46" r:id="rId12"/>
    <sheet name="RESORTES" sheetId="35" r:id="rId13"/>
    <sheet name="Res. Generales" sheetId="48" r:id="rId14"/>
    <sheet name="ALNAT" sheetId="17" r:id="rId15"/>
    <sheet name="INYECT GAS" sheetId="25" r:id="rId16"/>
    <sheet name="REGATONES" sheetId="26" r:id="rId17"/>
    <sheet name="EMELI" sheetId="43" r:id="rId18"/>
    <sheet name="OTIA" sheetId="18" r:id="rId19"/>
    <sheet name="Gavetas" sheetId="34" r:id="rId20"/>
    <sheet name="BAIGORRIA" sheetId="22" r:id="rId21"/>
    <sheet name="METALGRAB" sheetId="36" r:id="rId22"/>
    <sheet name="LCT" sheetId="37" r:id="rId23"/>
    <sheet name="JUCAP" sheetId="24" r:id="rId24"/>
    <sheet name="TOBAR" sheetId="33" r:id="rId25"/>
    <sheet name="DQ AUTOPARTES" sheetId="39" r:id="rId26"/>
    <sheet name="ALEMITES" sheetId="19" r:id="rId27"/>
    <sheet name="KAZ" sheetId="23" r:id="rId28"/>
    <sheet name="DAHE DIESEL" sheetId="52" r:id="rId29"/>
    <sheet name="CILIO" sheetId="55" r:id="rId30"/>
    <sheet name="KLOSTER" sheetId="38" r:id="rId31"/>
    <sheet name="TUDANCA" sheetId="20" r:id="rId32"/>
    <sheet name="CHAPAS" sheetId="12" r:id="rId33"/>
    <sheet name="PERILLAS DE COCINA" sheetId="45" r:id="rId34"/>
    <sheet name="SKOTNICA" sheetId="56" r:id="rId35"/>
  </sheets>
  <definedNames>
    <definedName name="_xlnm._FilterDatabase" localSheetId="26" hidden="1">ALEMITES!$I$1:$M$26</definedName>
    <definedName name="_xlnm._FilterDatabase" localSheetId="29" hidden="1">CILIO!$E$4:$Q$263</definedName>
    <definedName name="_xlnm._FilterDatabase" localSheetId="2" hidden="1">FADER!$A$2:$H$356</definedName>
    <definedName name="_xlnm._FilterDatabase" localSheetId="15" hidden="1">'INYECT GAS'!$A$2:$D$44</definedName>
    <definedName name="_xlnm._FilterDatabase" localSheetId="30" hidden="1">KLOSTER!$J$2:$N$463</definedName>
    <definedName name="_xlnm._FilterDatabase" localSheetId="21" hidden="1">METALGRAB!$H$2:$U$71</definedName>
    <definedName name="_xlnm._FilterDatabase" localSheetId="12" hidden="1">RESORTES!$AL$1:$AN$286</definedName>
    <definedName name="_xleta.AND" hidden="1" xlm="1">#NAME?</definedName>
    <definedName name="_xleta.PRICE" hidden="1" xlm="1">#NAME?</definedName>
    <definedName name="_xlpm.cantidades" hidden="1" xlm="1">#NAME?</definedName>
    <definedName name="_xlpm.colProv" hidden="1" xlm="1">#NAME?</definedName>
    <definedName name="_xlpm.datos" hidden="1" xlm="1">#NAME?</definedName>
    <definedName name="_xlpm.pedidos" hidden="1" xlm="1">#NAME?</definedName>
    <definedName name="_xlpm.precios" hidden="1" xlm="1">#NAME?</definedName>
    <definedName name="_xlpm.proveedor" hidden="1" xlm="1">#NAME?</definedName>
    <definedName name="_xlnm.Print_Area" localSheetId="26">ALEMITES!$A$1:$C$16</definedName>
    <definedName name="_xlnm.Print_Area" localSheetId="9">CARBONES!$V$47:$V$52,CARBONES!$A$1:$F$19</definedName>
    <definedName name="_xlnm.Print_Area" localSheetId="3">CECATTO!$A$1:$I$94</definedName>
    <definedName name="_xlnm.Print_Area" localSheetId="0">CODIGOS_Y_COSTOS[#All]</definedName>
    <definedName name="_xlnm.Print_Area" localSheetId="28">'DAHE DIESEL'!$A$1:$C$11</definedName>
    <definedName name="_xlnm.Print_Area" localSheetId="30">KLOSTER!$A$1:$D$26</definedName>
    <definedName name="_xlnm.Print_Area" localSheetId="22">LCT!$A$1:$C$29</definedName>
    <definedName name="_xlnm.Print_Area" localSheetId="21">METALGRAB!$A$1:$B$13</definedName>
    <definedName name="_xlnm.Print_Area" localSheetId="18">OTIA!$A$1:$C$42</definedName>
    <definedName name="_xlnm.Print_Area" localSheetId="16">'REGATONES'!$K$1:$Y$65,'REGATONES'!$A$1:$F$57</definedName>
    <definedName name="_xlnm.Print_Area" localSheetId="8">Tabla26[#All]</definedName>
    <definedName name="_xlnm.Print_Area" localSheetId="34">SKOTNICA!$A$1:$C$78</definedName>
    <definedName name="_xlnm.Print_Area" localSheetId="31">TUDANCA!$H$1:$I$18,TUDANCA!$A$1:$B$9</definedName>
    <definedName name="D.1">OTIA!$D$1</definedName>
    <definedName name="D.2">OTIA!$E$1</definedName>
    <definedName name="DatosExternos_1" localSheetId="0" hidden="1">Ctrl!$A$1:$N$3336</definedName>
    <definedName name="DO" localSheetId="21">METALGRAB!$L$1</definedName>
    <definedName name="DO">RESORTES!$O$1</definedName>
    <definedName name="listahojas">GET.WORKBOOK(1)</definedName>
    <definedName name="_xlnm.Print_Titles" localSheetId="29">CILIO!$3:$4</definedName>
    <definedName name="_xlnm.Print_Titles" localSheetId="4">ORING!$4:$4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73" i="26" l="1"/>
  <c r="F41" i="53" l="1"/>
  <c r="M139" i="17"/>
  <c r="N139" i="17" s="1"/>
  <c r="M140" i="17"/>
  <c r="N140" i="17" s="1"/>
  <c r="M141" i="17"/>
  <c r="N141" i="17" s="1"/>
  <c r="O139" i="17"/>
  <c r="O140" i="17"/>
  <c r="O141" i="17"/>
  <c r="P139" i="17"/>
  <c r="P140" i="17"/>
  <c r="P141" i="17"/>
  <c r="M87" i="17" l="1"/>
  <c r="N87" i="17" s="1"/>
  <c r="M88" i="17"/>
  <c r="N88" i="17" s="1"/>
  <c r="M89" i="17"/>
  <c r="N89" i="17" s="1"/>
  <c r="M90" i="17"/>
  <c r="N90" i="17" s="1"/>
  <c r="M91" i="17"/>
  <c r="N91" i="17" s="1"/>
  <c r="M92" i="17"/>
  <c r="N92" i="17" s="1"/>
  <c r="M93" i="17"/>
  <c r="N93" i="17" s="1"/>
  <c r="M94" i="17"/>
  <c r="N94" i="17" s="1"/>
  <c r="M95" i="17"/>
  <c r="N95" i="17" s="1"/>
  <c r="M96" i="17"/>
  <c r="N96" i="17" s="1"/>
  <c r="M97" i="17"/>
  <c r="N97" i="17" s="1"/>
  <c r="M98" i="17"/>
  <c r="N98" i="17" s="1"/>
  <c r="M99" i="17"/>
  <c r="N99" i="17" s="1"/>
  <c r="M100" i="17"/>
  <c r="N100" i="17" s="1"/>
  <c r="M101" i="17"/>
  <c r="M102" i="17"/>
  <c r="M103" i="17"/>
  <c r="N103" i="17" s="1"/>
  <c r="M104" i="17"/>
  <c r="N104" i="17" s="1"/>
  <c r="M105" i="17"/>
  <c r="N105" i="17" s="1"/>
  <c r="M106" i="17"/>
  <c r="N106" i="17" s="1"/>
  <c r="M107" i="17"/>
  <c r="N107" i="17" s="1"/>
  <c r="M108" i="17"/>
  <c r="N108" i="17" s="1"/>
  <c r="M109" i="17"/>
  <c r="N109" i="17" s="1"/>
  <c r="M110" i="17"/>
  <c r="N110" i="17" s="1"/>
  <c r="M111" i="17"/>
  <c r="N111" i="17" s="1"/>
  <c r="M112" i="17"/>
  <c r="N112" i="17" s="1"/>
  <c r="M113" i="17"/>
  <c r="N113" i="17" s="1"/>
  <c r="M114" i="17"/>
  <c r="N114" i="17" s="1"/>
  <c r="M115" i="17"/>
  <c r="N115" i="17" s="1"/>
  <c r="M116" i="17"/>
  <c r="N116" i="17" s="1"/>
  <c r="M117" i="17"/>
  <c r="N117" i="17" s="1"/>
  <c r="M118" i="17"/>
  <c r="N118" i="17" s="1"/>
  <c r="M119" i="17"/>
  <c r="N119" i="17" s="1"/>
  <c r="M120" i="17"/>
  <c r="N120" i="17" s="1"/>
  <c r="M121" i="17"/>
  <c r="N121" i="17" s="1"/>
  <c r="M122" i="17"/>
  <c r="N122" i="17" s="1"/>
  <c r="M123" i="17"/>
  <c r="N123" i="17" s="1"/>
  <c r="M124" i="17"/>
  <c r="N124" i="17" s="1"/>
  <c r="M125" i="17"/>
  <c r="N125" i="17" s="1"/>
  <c r="M126" i="17"/>
  <c r="N126" i="17" s="1"/>
  <c r="M127" i="17"/>
  <c r="N127" i="17" s="1"/>
  <c r="M128" i="17"/>
  <c r="N128" i="17" s="1"/>
  <c r="M129" i="17"/>
  <c r="N129" i="17" s="1"/>
  <c r="M130" i="17"/>
  <c r="N130" i="17" s="1"/>
  <c r="M131" i="17"/>
  <c r="N131" i="17" s="1"/>
  <c r="M132" i="17"/>
  <c r="N132" i="17" s="1"/>
  <c r="M133" i="17"/>
  <c r="N133" i="17" s="1"/>
  <c r="M134" i="17"/>
  <c r="N134" i="17" s="1"/>
  <c r="M135" i="17"/>
  <c r="N135" i="17" s="1"/>
  <c r="M136" i="17"/>
  <c r="N136" i="17" s="1"/>
  <c r="M137" i="17"/>
  <c r="N137" i="17" s="1"/>
  <c r="M138" i="17"/>
  <c r="N138" i="17" s="1"/>
  <c r="N101" i="17"/>
  <c r="N102"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F36" i="53"/>
  <c r="K26" i="15"/>
  <c r="J55" i="53" l="1"/>
  <c r="I55" i="53"/>
  <c r="J54" i="53"/>
  <c r="I54" i="53"/>
  <c r="J53" i="53"/>
  <c r="I53" i="53"/>
  <c r="J51" i="53"/>
  <c r="I51" i="53"/>
  <c r="F29" i="53"/>
  <c r="M77" i="17" l="1"/>
  <c r="M79" i="17"/>
  <c r="N79" i="17" s="1"/>
  <c r="M80" i="17"/>
  <c r="N80" i="17" s="1"/>
  <c r="M81" i="17"/>
  <c r="N81" i="17" s="1"/>
  <c r="M82" i="17"/>
  <c r="N82" i="17" s="1"/>
  <c r="M83" i="17"/>
  <c r="N83" i="17" s="1"/>
  <c r="M84" i="17"/>
  <c r="N84" i="17" s="1"/>
  <c r="M85" i="17"/>
  <c r="N85" i="17" s="1"/>
  <c r="M86" i="17"/>
  <c r="N86" i="17" s="1"/>
  <c r="O79" i="17"/>
  <c r="O80" i="17"/>
  <c r="O81" i="17"/>
  <c r="O82" i="17"/>
  <c r="O83" i="17"/>
  <c r="O84" i="17"/>
  <c r="O85" i="17"/>
  <c r="O86" i="17"/>
  <c r="P79" i="17"/>
  <c r="P80" i="17"/>
  <c r="P81" i="17"/>
  <c r="P82" i="17"/>
  <c r="P83" i="17"/>
  <c r="P84" i="17"/>
  <c r="P85" i="17"/>
  <c r="P86" i="17"/>
  <c r="A6" i="39"/>
  <c r="P78" i="17"/>
  <c r="O78" i="17"/>
  <c r="M78" i="17"/>
  <c r="N78" i="17" s="1"/>
  <c r="X85" i="26" l="1"/>
  <c r="X93" i="26"/>
  <c r="X84" i="26"/>
  <c r="X83" i="26"/>
  <c r="X82" i="26"/>
  <c r="X81" i="26"/>
  <c r="X79" i="26"/>
  <c r="X78" i="26"/>
  <c r="X77" i="26"/>
  <c r="X76" i="26"/>
  <c r="X75" i="26"/>
  <c r="X74" i="26"/>
  <c r="X73" i="26"/>
  <c r="X72" i="26"/>
  <c r="X80" i="26"/>
  <c r="T2" i="26"/>
  <c r="X86" i="26" l="1"/>
  <c r="X87" i="26" l="1"/>
  <c r="X88" i="26" l="1"/>
  <c r="X89" i="26" l="1"/>
  <c r="X90" i="26" l="1"/>
  <c r="X92" i="26" l="1"/>
  <c r="X91" i="26"/>
  <c r="D79" i="53" l="1"/>
  <c r="L4" i="56" l="1"/>
  <c r="L5" i="56"/>
  <c r="L6" i="56"/>
  <c r="L7" i="56"/>
  <c r="L8" i="56"/>
  <c r="L9" i="56"/>
  <c r="L10" i="56"/>
  <c r="L11" i="56"/>
  <c r="L12" i="56"/>
  <c r="L13" i="56"/>
  <c r="L14" i="56"/>
  <c r="L15" i="56"/>
  <c r="L16" i="56"/>
  <c r="L17" i="56"/>
  <c r="L18" i="56"/>
  <c r="L19" i="56"/>
  <c r="L20" i="56"/>
  <c r="L21" i="56"/>
  <c r="L22" i="56"/>
  <c r="L23" i="56"/>
  <c r="L24" i="56"/>
  <c r="L25" i="56"/>
  <c r="L26" i="56"/>
  <c r="L27" i="56"/>
  <c r="L28" i="56"/>
  <c r="L29" i="56"/>
  <c r="L30" i="56"/>
  <c r="L31" i="56"/>
  <c r="L32" i="56"/>
  <c r="M75" i="17"/>
  <c r="M76" i="17"/>
  <c r="J56" i="53" l="1"/>
  <c r="I56" i="53"/>
  <c r="J57" i="53"/>
  <c r="I57" i="53" l="1"/>
  <c r="I225" i="53" l="1"/>
  <c r="I218" i="53"/>
  <c r="I227" i="53" l="1"/>
  <c r="F66" i="53"/>
  <c r="J52" i="53" l="1"/>
  <c r="I52" i="53"/>
  <c r="F64" i="53" l="1"/>
  <c r="S87" i="53"/>
  <c r="S95" i="53"/>
  <c r="S98" i="53" l="1"/>
  <c r="J50" i="53" l="1"/>
  <c r="I50" i="53"/>
  <c r="F9" i="53" l="1"/>
  <c r="O75" i="17"/>
  <c r="O76" i="17"/>
  <c r="O77" i="17"/>
  <c r="C4" i="46"/>
  <c r="C3" i="46"/>
  <c r="C2" i="46"/>
  <c r="BG199" i="29" l="1"/>
  <c r="AM5" i="29" l="1"/>
  <c r="AM6" i="29"/>
  <c r="AM7" i="29"/>
  <c r="AM8" i="29"/>
  <c r="AM9" i="29"/>
  <c r="AM10" i="29"/>
  <c r="AM11" i="29"/>
  <c r="AM12" i="29"/>
  <c r="AM13" i="29"/>
  <c r="AM14" i="29"/>
  <c r="AM15" i="29"/>
  <c r="AM16" i="29"/>
  <c r="AM17" i="29"/>
  <c r="AM18" i="29"/>
  <c r="AM19" i="29"/>
  <c r="AM20" i="29"/>
  <c r="AM21" i="29"/>
  <c r="AM22" i="29"/>
  <c r="AM23" i="29"/>
  <c r="AM24" i="29"/>
  <c r="AM25" i="29"/>
  <c r="AM26" i="29"/>
  <c r="AM27" i="29"/>
  <c r="AM28" i="29"/>
  <c r="AM29" i="29"/>
  <c r="AM30" i="29"/>
  <c r="AM31" i="29"/>
  <c r="AM32" i="29"/>
  <c r="AM33" i="29"/>
  <c r="AM34" i="29"/>
  <c r="AM35" i="29"/>
  <c r="AM36" i="29"/>
  <c r="AM37" i="29"/>
  <c r="AM38" i="29"/>
  <c r="AM39" i="29"/>
  <c r="AM40" i="29"/>
  <c r="AM41" i="29"/>
  <c r="AM42" i="29"/>
  <c r="AM43" i="29"/>
  <c r="AM44" i="29"/>
  <c r="AM45" i="29"/>
  <c r="AM46" i="29"/>
  <c r="AM47" i="29"/>
  <c r="AM48" i="29"/>
  <c r="AM49" i="29"/>
  <c r="AM50" i="29"/>
  <c r="AM51" i="29"/>
  <c r="AM52" i="29"/>
  <c r="AM53" i="29"/>
  <c r="AM54" i="29"/>
  <c r="AM55" i="29"/>
  <c r="AM56" i="29"/>
  <c r="AM57" i="29"/>
  <c r="AM58" i="29"/>
  <c r="AM59" i="29"/>
  <c r="AM60" i="29"/>
  <c r="AM61" i="29"/>
  <c r="AM62" i="29"/>
  <c r="AM63" i="29"/>
  <c r="AM64" i="29"/>
  <c r="AM65" i="29"/>
  <c r="AM66" i="29"/>
  <c r="AM67" i="29"/>
  <c r="AM68" i="29"/>
  <c r="AM69" i="29"/>
  <c r="AM70" i="29"/>
  <c r="AM71" i="29"/>
  <c r="AM72" i="29"/>
  <c r="AM73" i="29"/>
  <c r="AM74" i="29"/>
  <c r="AM75" i="29"/>
  <c r="AM76" i="29"/>
  <c r="AM77" i="29"/>
  <c r="AM78" i="29"/>
  <c r="AM79" i="29"/>
  <c r="AM80" i="29"/>
  <c r="AM81" i="29"/>
  <c r="AM82" i="29"/>
  <c r="AM83" i="29"/>
  <c r="AM84" i="29"/>
  <c r="AM85" i="29"/>
  <c r="AM86" i="29"/>
  <c r="AM87" i="29"/>
  <c r="AM88" i="29"/>
  <c r="AM89" i="29"/>
  <c r="AM90" i="29"/>
  <c r="AM91" i="29"/>
  <c r="AM92" i="29"/>
  <c r="AM93" i="29"/>
  <c r="AM94" i="29"/>
  <c r="AM95" i="29"/>
  <c r="AM96" i="29"/>
  <c r="AM97" i="29"/>
  <c r="AM98" i="29"/>
  <c r="AM99" i="29"/>
  <c r="AM100" i="29"/>
  <c r="AM101" i="29"/>
  <c r="AM102" i="29"/>
  <c r="AM103" i="29"/>
  <c r="AM104" i="29"/>
  <c r="AM105" i="29"/>
  <c r="AM106" i="29"/>
  <c r="AM107" i="29"/>
  <c r="AM108" i="29"/>
  <c r="AM109" i="29"/>
  <c r="AM110" i="29"/>
  <c r="AM111" i="29"/>
  <c r="AM112" i="29"/>
  <c r="AM113" i="29"/>
  <c r="AM114" i="29"/>
  <c r="AM115" i="29"/>
  <c r="AM116" i="29"/>
  <c r="AM117" i="29"/>
  <c r="AM118" i="29"/>
  <c r="AM119" i="29"/>
  <c r="AM120" i="29"/>
  <c r="AM121" i="29"/>
  <c r="AM122" i="29"/>
  <c r="AM123" i="29"/>
  <c r="AM124" i="29"/>
  <c r="AM125" i="29"/>
  <c r="AM126" i="29"/>
  <c r="AM127" i="29"/>
  <c r="AM128" i="29"/>
  <c r="AM129" i="29"/>
  <c r="AM130" i="29"/>
  <c r="AM131" i="29"/>
  <c r="AM132" i="29"/>
  <c r="AM133" i="29"/>
  <c r="AM134" i="29"/>
  <c r="AM135" i="29"/>
  <c r="AM136" i="29"/>
  <c r="AM137" i="29"/>
  <c r="AM138" i="29"/>
  <c r="AM139" i="29"/>
  <c r="AM140" i="29"/>
  <c r="AM141" i="29"/>
  <c r="AM142" i="29"/>
  <c r="AM143" i="29"/>
  <c r="AM144" i="29"/>
  <c r="AM145" i="29"/>
  <c r="AM146" i="29"/>
  <c r="AR146" i="29" s="1"/>
  <c r="AM147" i="29"/>
  <c r="AR147" i="29" s="1"/>
  <c r="AM148" i="29"/>
  <c r="AR148" i="29" s="1"/>
  <c r="AM149" i="29"/>
  <c r="AR149" i="29" s="1"/>
  <c r="AM150" i="29"/>
  <c r="AR150" i="29" s="1"/>
  <c r="AM151" i="29"/>
  <c r="AR151" i="29" s="1"/>
  <c r="AM152" i="29"/>
  <c r="AR152" i="29" s="1"/>
  <c r="AM153" i="29"/>
  <c r="AR153" i="29" s="1"/>
  <c r="AM154" i="29"/>
  <c r="AR154" i="29" s="1"/>
  <c r="AM155" i="29"/>
  <c r="AR155" i="29" s="1"/>
  <c r="AM156" i="29"/>
  <c r="AR156" i="29" s="1"/>
  <c r="AM157" i="29"/>
  <c r="AR157" i="29" s="1"/>
  <c r="AM158" i="29"/>
  <c r="AR158" i="29" s="1"/>
  <c r="AM159" i="29"/>
  <c r="AR159" i="29" s="1"/>
  <c r="AM160" i="29"/>
  <c r="AR160" i="29" s="1"/>
  <c r="AM161" i="29"/>
  <c r="AR161" i="29" s="1"/>
  <c r="AM162" i="29"/>
  <c r="AR162" i="29" s="1"/>
  <c r="AM163" i="29"/>
  <c r="AR163" i="29" s="1"/>
  <c r="AM164" i="29"/>
  <c r="AR164" i="29" s="1"/>
  <c r="AM165" i="29"/>
  <c r="AR165" i="29" s="1"/>
  <c r="AM166" i="29"/>
  <c r="AR166" i="29" s="1"/>
  <c r="AM167" i="29"/>
  <c r="AR167" i="29" s="1"/>
  <c r="AM168" i="29"/>
  <c r="AR168" i="29" s="1"/>
  <c r="AM169" i="29"/>
  <c r="AR169" i="29" s="1"/>
  <c r="AM170" i="29"/>
  <c r="AR170" i="29" s="1"/>
  <c r="AM171" i="29"/>
  <c r="AR171" i="29" s="1"/>
  <c r="AM172" i="29"/>
  <c r="AR172" i="29" s="1"/>
  <c r="AM173" i="29"/>
  <c r="AR173" i="29" s="1"/>
  <c r="AM174" i="29"/>
  <c r="AR174" i="29" s="1"/>
  <c r="AM175" i="29"/>
  <c r="AR175" i="29" s="1"/>
  <c r="AM176" i="29"/>
  <c r="AR176" i="29" s="1"/>
  <c r="AM177" i="29"/>
  <c r="AR177" i="29" s="1"/>
  <c r="AM178" i="29"/>
  <c r="AR178" i="29" s="1"/>
  <c r="AM179" i="29"/>
  <c r="AR179" i="29" s="1"/>
  <c r="AM180" i="29"/>
  <c r="AR180" i="29" s="1"/>
  <c r="AM181" i="29"/>
  <c r="AR181" i="29" s="1"/>
  <c r="AM182" i="29"/>
  <c r="AR182" i="29" s="1"/>
  <c r="AM183" i="29"/>
  <c r="AR183" i="29" s="1"/>
  <c r="AM184" i="29"/>
  <c r="AR184" i="29" s="1"/>
  <c r="AM185" i="29"/>
  <c r="AR185" i="29" s="1"/>
  <c r="AM186" i="29"/>
  <c r="AR186" i="29" s="1"/>
  <c r="AM187" i="29"/>
  <c r="AR187" i="29" s="1"/>
  <c r="AM188" i="29"/>
  <c r="AR188" i="29" s="1"/>
  <c r="AM189" i="29"/>
  <c r="AR189" i="29" s="1"/>
  <c r="AM190" i="29"/>
  <c r="AR190" i="29" s="1"/>
  <c r="AM191" i="29"/>
  <c r="AR191" i="29" s="1"/>
  <c r="AM192" i="29"/>
  <c r="AR192" i="29" s="1"/>
  <c r="AM193" i="29"/>
  <c r="AR193" i="29" s="1"/>
  <c r="AM194" i="29"/>
  <c r="AR194" i="29" s="1"/>
  <c r="AM195" i="29"/>
  <c r="AR195" i="29" s="1"/>
  <c r="AM196" i="29"/>
  <c r="AR196" i="29" s="1"/>
  <c r="AM197" i="29"/>
  <c r="AR197" i="29" s="1"/>
  <c r="AM198" i="29"/>
  <c r="AR198" i="29" s="1"/>
  <c r="AU198" i="29"/>
  <c r="AO198" i="29" s="1"/>
  <c r="AU197" i="29"/>
  <c r="AO197" i="29" s="1"/>
  <c r="AU196" i="29"/>
  <c r="AO196" i="29" s="1"/>
  <c r="AP196" i="29" s="1"/>
  <c r="AU195" i="29"/>
  <c r="AO195" i="29" s="1"/>
  <c r="AU194" i="29"/>
  <c r="AO194" i="29" s="1"/>
  <c r="AU193" i="29"/>
  <c r="AO193" i="29" s="1"/>
  <c r="AU192" i="29"/>
  <c r="AO192" i="29" s="1"/>
  <c r="AU191" i="29"/>
  <c r="AO191" i="29" s="1"/>
  <c r="AU190" i="29"/>
  <c r="AO190" i="29" s="1"/>
  <c r="AU189" i="29"/>
  <c r="AO189" i="29" s="1"/>
  <c r="AU188" i="29"/>
  <c r="AO188" i="29" s="1"/>
  <c r="AU187" i="29"/>
  <c r="AO187" i="29" s="1"/>
  <c r="AP187" i="29" s="1"/>
  <c r="AU186" i="29"/>
  <c r="AO186" i="29" s="1"/>
  <c r="AU185" i="29"/>
  <c r="AO185" i="29" s="1"/>
  <c r="AU184" i="29"/>
  <c r="AO184" i="29" s="1"/>
  <c r="AU183" i="29"/>
  <c r="AO183" i="29" s="1"/>
  <c r="AP183" i="29" s="1"/>
  <c r="AU182" i="29"/>
  <c r="AO182" i="29" s="1"/>
  <c r="AP182" i="29" s="1"/>
  <c r="AU181" i="29"/>
  <c r="AO181" i="29" s="1"/>
  <c r="AU180" i="29"/>
  <c r="AO180" i="29" s="1"/>
  <c r="AU179" i="29"/>
  <c r="AO179" i="29" s="1"/>
  <c r="AU178" i="29"/>
  <c r="AO178" i="29" s="1"/>
  <c r="AP178" i="29" s="1"/>
  <c r="AU177" i="29"/>
  <c r="AO177" i="29" s="1"/>
  <c r="AP177" i="29" s="1"/>
  <c r="AU176" i="29"/>
  <c r="AO176" i="29" s="1"/>
  <c r="AP176" i="29" s="1"/>
  <c r="AU175" i="29"/>
  <c r="AO175" i="29" s="1"/>
  <c r="AU174" i="29"/>
  <c r="AO174" i="29" s="1"/>
  <c r="AU173" i="29"/>
  <c r="AO173" i="29" s="1"/>
  <c r="AP173" i="29" s="1"/>
  <c r="AU172" i="29"/>
  <c r="AO172" i="29" s="1"/>
  <c r="AU171" i="29"/>
  <c r="AO171" i="29" s="1"/>
  <c r="AU170" i="29"/>
  <c r="AO170" i="29" s="1"/>
  <c r="AP170" i="29" s="1"/>
  <c r="AU169" i="29"/>
  <c r="AO169" i="29" s="1"/>
  <c r="AU168" i="29"/>
  <c r="AO168" i="29" s="1"/>
  <c r="AU167" i="29"/>
  <c r="AO167" i="29" s="1"/>
  <c r="AU166" i="29"/>
  <c r="AO166" i="29" s="1"/>
  <c r="AU165" i="29"/>
  <c r="AO165" i="29" s="1"/>
  <c r="AU164" i="29"/>
  <c r="AO164" i="29" s="1"/>
  <c r="AP164" i="29" s="1"/>
  <c r="AU163" i="29"/>
  <c r="AO163" i="29" s="1"/>
  <c r="AP163" i="29" s="1"/>
  <c r="AU162" i="29"/>
  <c r="AO162" i="29" s="1"/>
  <c r="AO161" i="29"/>
  <c r="AP161" i="29" s="1"/>
  <c r="AU146" i="29"/>
  <c r="AO146" i="29" s="1"/>
  <c r="AU147" i="29"/>
  <c r="AO147" i="29" s="1"/>
  <c r="AP147" i="29" s="1"/>
  <c r="AU148" i="29"/>
  <c r="AO148" i="29" s="1"/>
  <c r="AP148" i="29" s="1"/>
  <c r="AU149" i="29"/>
  <c r="AO149" i="29" s="1"/>
  <c r="AU150" i="29"/>
  <c r="AO150" i="29" s="1"/>
  <c r="AP150" i="29" s="1"/>
  <c r="AU151" i="29"/>
  <c r="AO151" i="29" s="1"/>
  <c r="AU152" i="29"/>
  <c r="AO152" i="29" s="1"/>
  <c r="AU153" i="29"/>
  <c r="AO153" i="29" s="1"/>
  <c r="AU154" i="29"/>
  <c r="AO154" i="29" s="1"/>
  <c r="AU155" i="29"/>
  <c r="AO155" i="29" s="1"/>
  <c r="AU156" i="29"/>
  <c r="AO156" i="29" s="1"/>
  <c r="AU157" i="29"/>
  <c r="AO157" i="29" s="1"/>
  <c r="AU158" i="29"/>
  <c r="AO158" i="29" s="1"/>
  <c r="AU159" i="29"/>
  <c r="AO159" i="29" s="1"/>
  <c r="AP159" i="29" s="1"/>
  <c r="AU160" i="29"/>
  <c r="AO160" i="29" s="1"/>
  <c r="AH4" i="29" l="1" a="1"/>
  <c r="AH4" i="29" s="1"/>
  <c r="AV188" i="29"/>
  <c r="AV198" i="29"/>
  <c r="AV184" i="29"/>
  <c r="AV193" i="29"/>
  <c r="AV173" i="29"/>
  <c r="AP193" i="29"/>
  <c r="AV192" i="29"/>
  <c r="AP192" i="29"/>
  <c r="AV191" i="29"/>
  <c r="AP191" i="29"/>
  <c r="AP189" i="29"/>
  <c r="AV189" i="29"/>
  <c r="AP184" i="29"/>
  <c r="AV178" i="29"/>
  <c r="AP175" i="29"/>
  <c r="AV175" i="29"/>
  <c r="AV174" i="29"/>
  <c r="AP174" i="29"/>
  <c r="AV167" i="29"/>
  <c r="AP167" i="29"/>
  <c r="AV165" i="29"/>
  <c r="AP165" i="29"/>
  <c r="AV164" i="29"/>
  <c r="AV161" i="29"/>
  <c r="AP172" i="29"/>
  <c r="AV172" i="29"/>
  <c r="AV166" i="29"/>
  <c r="AP166" i="29"/>
  <c r="AV180" i="29"/>
  <c r="AP180" i="29"/>
  <c r="AP186" i="29"/>
  <c r="AV186" i="29"/>
  <c r="AP194" i="29"/>
  <c r="AV194" i="29"/>
  <c r="AP168" i="29"/>
  <c r="AV168" i="29"/>
  <c r="AP162" i="29"/>
  <c r="AV162" i="29"/>
  <c r="AP195" i="29"/>
  <c r="AV195" i="29"/>
  <c r="AP190" i="29"/>
  <c r="AV190" i="29"/>
  <c r="AP197" i="29"/>
  <c r="AV197" i="29"/>
  <c r="AP179" i="29"/>
  <c r="AV179" i="29"/>
  <c r="AV171" i="29"/>
  <c r="AP171" i="29"/>
  <c r="AV185" i="29"/>
  <c r="AP185" i="29"/>
  <c r="AP181" i="29"/>
  <c r="AV181" i="29"/>
  <c r="AP169" i="29"/>
  <c r="AV169" i="29"/>
  <c r="AP198" i="29"/>
  <c r="AV163" i="29"/>
  <c r="AV177" i="29"/>
  <c r="AV182" i="29"/>
  <c r="AV196" i="29"/>
  <c r="AP188" i="29"/>
  <c r="AV187" i="29"/>
  <c r="AV183" i="29"/>
  <c r="AV176" i="29"/>
  <c r="AV170" i="29"/>
  <c r="AV158" i="29"/>
  <c r="AP158" i="29"/>
  <c r="AV157" i="29"/>
  <c r="AP157" i="29"/>
  <c r="AP156" i="29"/>
  <c r="AV156" i="29"/>
  <c r="AP155" i="29"/>
  <c r="AV155" i="29"/>
  <c r="AP154" i="29"/>
  <c r="AV154" i="29"/>
  <c r="AP153" i="29"/>
  <c r="AV153" i="29"/>
  <c r="AP152" i="29"/>
  <c r="AV152" i="29"/>
  <c r="AP151" i="29"/>
  <c r="AV151" i="29"/>
  <c r="AP149" i="29"/>
  <c r="AV149" i="29"/>
  <c r="AP160" i="29"/>
  <c r="AV160" i="29"/>
  <c r="AP146" i="29"/>
  <c r="AV146" i="29"/>
  <c r="AV159" i="29"/>
  <c r="AV150" i="29"/>
  <c r="AV148" i="29"/>
  <c r="AV147" i="29"/>
  <c r="AI6" i="29" l="1"/>
  <c r="AI5" i="29"/>
  <c r="AI7" i="29" l="1"/>
  <c r="AU145" i="29" l="1"/>
  <c r="AO145" i="29" s="1"/>
  <c r="AP145" i="29" s="1"/>
  <c r="AR145" i="29"/>
  <c r="AU144" i="29"/>
  <c r="AO144" i="29" s="1"/>
  <c r="AP144" i="29" s="1"/>
  <c r="AR144" i="29"/>
  <c r="AU143" i="29"/>
  <c r="AO143" i="29" s="1"/>
  <c r="AP143" i="29" s="1"/>
  <c r="AR143" i="29"/>
  <c r="AU142" i="29"/>
  <c r="AO142" i="29" s="1"/>
  <c r="AP142" i="29" s="1"/>
  <c r="AR142" i="29"/>
  <c r="AU141" i="29"/>
  <c r="AO141" i="29" s="1"/>
  <c r="AP141" i="29" s="1"/>
  <c r="AR141" i="29"/>
  <c r="AU140" i="29"/>
  <c r="AO140" i="29" s="1"/>
  <c r="AP140" i="29" s="1"/>
  <c r="AR140" i="29"/>
  <c r="AU139" i="29"/>
  <c r="AO139" i="29" s="1"/>
  <c r="AP139" i="29" s="1"/>
  <c r="AU138" i="29"/>
  <c r="AO138" i="29" s="1"/>
  <c r="AP138" i="29" s="1"/>
  <c r="AU137" i="29"/>
  <c r="AO137" i="29" s="1"/>
  <c r="AP137" i="29" s="1"/>
  <c r="AU136" i="29"/>
  <c r="AO136" i="29" s="1"/>
  <c r="AP136" i="29" s="1"/>
  <c r="AU135" i="29"/>
  <c r="AO135" i="29" s="1"/>
  <c r="AP135" i="29" s="1"/>
  <c r="AU134" i="29"/>
  <c r="AO134" i="29" s="1"/>
  <c r="AP134" i="29" s="1"/>
  <c r="AU133" i="29"/>
  <c r="AO133" i="29" s="1"/>
  <c r="AP133" i="29" s="1"/>
  <c r="AU132" i="29"/>
  <c r="AO132" i="29" s="1"/>
  <c r="AP132" i="29" s="1"/>
  <c r="AU131" i="29"/>
  <c r="AO131" i="29" s="1"/>
  <c r="AP131" i="29" s="1"/>
  <c r="AU130" i="29"/>
  <c r="AO130" i="29" s="1"/>
  <c r="AP130" i="29" s="1"/>
  <c r="AU129" i="29"/>
  <c r="AO129" i="29" s="1"/>
  <c r="AP129" i="29" s="1"/>
  <c r="AU128" i="29"/>
  <c r="AO128" i="29" s="1"/>
  <c r="AP128" i="29" s="1"/>
  <c r="AU127" i="29"/>
  <c r="AO127" i="29" s="1"/>
  <c r="AP127" i="29" s="1"/>
  <c r="AU126" i="29"/>
  <c r="AO126" i="29" s="1"/>
  <c r="AP126" i="29" s="1"/>
  <c r="AU125" i="29"/>
  <c r="AO125" i="29" s="1"/>
  <c r="AP125" i="29" s="1"/>
  <c r="AU124" i="29"/>
  <c r="AO124" i="29" s="1"/>
  <c r="AP124" i="29" s="1"/>
  <c r="AU123" i="29"/>
  <c r="AO123" i="29" s="1"/>
  <c r="AP123" i="29" s="1"/>
  <c r="AU122" i="29"/>
  <c r="AO122" i="29" s="1"/>
  <c r="AP122" i="29" s="1"/>
  <c r="AU121" i="29"/>
  <c r="AO121" i="29" s="1"/>
  <c r="AP121" i="29" s="1"/>
  <c r="AR139" i="29"/>
  <c r="AR138" i="29"/>
  <c r="AR137" i="29"/>
  <c r="AR136" i="29"/>
  <c r="AR135" i="29"/>
  <c r="AR134" i="29"/>
  <c r="AR133" i="29"/>
  <c r="AR132" i="29"/>
  <c r="AR131" i="29"/>
  <c r="AR130" i="29"/>
  <c r="AR129" i="29"/>
  <c r="AR128" i="29"/>
  <c r="AR127" i="29"/>
  <c r="AR126" i="29"/>
  <c r="AR125" i="29"/>
  <c r="AR124" i="29"/>
  <c r="AR123" i="29"/>
  <c r="AR122" i="29"/>
  <c r="AR121" i="29"/>
  <c r="AU120" i="29"/>
  <c r="AO120" i="29" s="1"/>
  <c r="AP120" i="29" s="1"/>
  <c r="AU119" i="29"/>
  <c r="AO119" i="29" s="1"/>
  <c r="AP119" i="29" s="1"/>
  <c r="AU118" i="29"/>
  <c r="AO118" i="29" s="1"/>
  <c r="AP118" i="29" s="1"/>
  <c r="AU117" i="29"/>
  <c r="AO117" i="29" s="1"/>
  <c r="AP117" i="29" s="1"/>
  <c r="AU116" i="29"/>
  <c r="AO116" i="29" s="1"/>
  <c r="AP116" i="29" s="1"/>
  <c r="AU115" i="29"/>
  <c r="AO115" i="29" s="1"/>
  <c r="AV115" i="29" s="1"/>
  <c r="AU114" i="29"/>
  <c r="AO114" i="29" s="1"/>
  <c r="AP114" i="29" s="1"/>
  <c r="AU113" i="29"/>
  <c r="AO113" i="29" s="1"/>
  <c r="AV113" i="29" s="1"/>
  <c r="AU112" i="29"/>
  <c r="AO112" i="29" s="1"/>
  <c r="AP112" i="29" s="1"/>
  <c r="AU111" i="29"/>
  <c r="AO111" i="29" s="1"/>
  <c r="AP111" i="29" s="1"/>
  <c r="AU110" i="29"/>
  <c r="AO110" i="29" s="1"/>
  <c r="AP110" i="29" s="1"/>
  <c r="AU109" i="29"/>
  <c r="AO109" i="29" s="1"/>
  <c r="AP109" i="29" s="1"/>
  <c r="AU108" i="29"/>
  <c r="AO108" i="29" s="1"/>
  <c r="AP108" i="29" s="1"/>
  <c r="AU106" i="29"/>
  <c r="AO106" i="29" s="1"/>
  <c r="AP106" i="29" s="1"/>
  <c r="AU104" i="29"/>
  <c r="AO104" i="29" s="1"/>
  <c r="AP104" i="29" s="1"/>
  <c r="AU103" i="29"/>
  <c r="AO103" i="29" s="1"/>
  <c r="AP103" i="29" s="1"/>
  <c r="AU102" i="29"/>
  <c r="AO102" i="29" s="1"/>
  <c r="AP102" i="29" s="1"/>
  <c r="AU101" i="29"/>
  <c r="AO101" i="29" s="1"/>
  <c r="AP101" i="29" s="1"/>
  <c r="AU100" i="29"/>
  <c r="AO100" i="29" s="1"/>
  <c r="AP100" i="29" s="1"/>
  <c r="AU99" i="29"/>
  <c r="AO99" i="29" s="1"/>
  <c r="AP99" i="29" s="1"/>
  <c r="AU98" i="29"/>
  <c r="AO98" i="29" s="1"/>
  <c r="AP98" i="29" s="1"/>
  <c r="AU97" i="29"/>
  <c r="AO97" i="29" s="1"/>
  <c r="AP97" i="29" s="1"/>
  <c r="AU96" i="29"/>
  <c r="AO96" i="29" s="1"/>
  <c r="AV96" i="29" s="1"/>
  <c r="AU95" i="29"/>
  <c r="AO95" i="29" s="1"/>
  <c r="AV95" i="29" s="1"/>
  <c r="AU94" i="29"/>
  <c r="AO94" i="29" s="1"/>
  <c r="AP94" i="29" s="1"/>
  <c r="AU93" i="29"/>
  <c r="AO93" i="29" s="1"/>
  <c r="AP93" i="29" s="1"/>
  <c r="AU92" i="29"/>
  <c r="AO92" i="29" s="1"/>
  <c r="AP92" i="29" s="1"/>
  <c r="AU91" i="29"/>
  <c r="AO91" i="29" s="1"/>
  <c r="AP91" i="29" s="1"/>
  <c r="AU90" i="29"/>
  <c r="AO90" i="29" s="1"/>
  <c r="AP90" i="29" s="1"/>
  <c r="AU89" i="29"/>
  <c r="AO89" i="29" s="1"/>
  <c r="AP89" i="29" s="1"/>
  <c r="AU88" i="29"/>
  <c r="AO88" i="29" s="1"/>
  <c r="AP88" i="29" s="1"/>
  <c r="AU87" i="29"/>
  <c r="AO87" i="29" s="1"/>
  <c r="AP87" i="29" s="1"/>
  <c r="AU86" i="29"/>
  <c r="AO86" i="29" s="1"/>
  <c r="AV86" i="29" s="1"/>
  <c r="AU85" i="29"/>
  <c r="AO85" i="29" s="1"/>
  <c r="AP85" i="29" s="1"/>
  <c r="AR111" i="29"/>
  <c r="AR112" i="29"/>
  <c r="AR113" i="29"/>
  <c r="AR114" i="29"/>
  <c r="AR115" i="29"/>
  <c r="AR116" i="29"/>
  <c r="AR117" i="29"/>
  <c r="AR118" i="29"/>
  <c r="AR119" i="29"/>
  <c r="AR120" i="29"/>
  <c r="AO105" i="29"/>
  <c r="AP105" i="29" s="1"/>
  <c r="AO107" i="29"/>
  <c r="AP107" i="29" s="1"/>
  <c r="AR110" i="29"/>
  <c r="AR109" i="29"/>
  <c r="AR108" i="29"/>
  <c r="AR107" i="29"/>
  <c r="AR106" i="29"/>
  <c r="AR105" i="29"/>
  <c r="AR104" i="29"/>
  <c r="AR103" i="29"/>
  <c r="AR102" i="29"/>
  <c r="AR101" i="29"/>
  <c r="AR100" i="29"/>
  <c r="AR99" i="29"/>
  <c r="AR98" i="29"/>
  <c r="AR97" i="29"/>
  <c r="AR96" i="29"/>
  <c r="AR95" i="29"/>
  <c r="AR94" i="29"/>
  <c r="AR93" i="29"/>
  <c r="AR92" i="29"/>
  <c r="AR91" i="29"/>
  <c r="AR90" i="29"/>
  <c r="AR89" i="29"/>
  <c r="AR88" i="29"/>
  <c r="AR87" i="29"/>
  <c r="AR86" i="29"/>
  <c r="AU84" i="29"/>
  <c r="AU83" i="29"/>
  <c r="AO83" i="29" s="1"/>
  <c r="AP83" i="29" s="1"/>
  <c r="AU82" i="29"/>
  <c r="AO82" i="29" s="1"/>
  <c r="AP82" i="29" s="1"/>
  <c r="AU81" i="29"/>
  <c r="AO81" i="29" s="1"/>
  <c r="AP81" i="29" s="1"/>
  <c r="AU80" i="29"/>
  <c r="AO80" i="29" s="1"/>
  <c r="AP80" i="29" s="1"/>
  <c r="AU79" i="29"/>
  <c r="AO79" i="29" s="1"/>
  <c r="AP79" i="29" s="1"/>
  <c r="AU78" i="29"/>
  <c r="AO78" i="29" s="1"/>
  <c r="AP78" i="29" s="1"/>
  <c r="AU77" i="29"/>
  <c r="AO77" i="29" s="1"/>
  <c r="AP77" i="29" s="1"/>
  <c r="AU76" i="29"/>
  <c r="AO76" i="29" s="1"/>
  <c r="AP76" i="29" s="1"/>
  <c r="AU75" i="29"/>
  <c r="AO75" i="29" s="1"/>
  <c r="AP75" i="29" s="1"/>
  <c r="AU74" i="29"/>
  <c r="AO74" i="29" s="1"/>
  <c r="AP74" i="29" s="1"/>
  <c r="AU73" i="29"/>
  <c r="AO73" i="29" s="1"/>
  <c r="AP73" i="29" s="1"/>
  <c r="AU72" i="29"/>
  <c r="AO72" i="29" s="1"/>
  <c r="AP72" i="29" s="1"/>
  <c r="AU71" i="29"/>
  <c r="AO71" i="29" s="1"/>
  <c r="AP71" i="29" s="1"/>
  <c r="AU70" i="29"/>
  <c r="AO70" i="29" s="1"/>
  <c r="AP70" i="29" s="1"/>
  <c r="AU69" i="29"/>
  <c r="AO69" i="29" s="1"/>
  <c r="AP69" i="29" s="1"/>
  <c r="AU68" i="29"/>
  <c r="AO68" i="29" s="1"/>
  <c r="AP68" i="29" s="1"/>
  <c r="AU67" i="29"/>
  <c r="AO67" i="29" s="1"/>
  <c r="AP67" i="29" s="1"/>
  <c r="AU66" i="29"/>
  <c r="AO66" i="29" s="1"/>
  <c r="AP66" i="29" s="1"/>
  <c r="AU65" i="29"/>
  <c r="AO65" i="29" s="1"/>
  <c r="AP65" i="29" s="1"/>
  <c r="AU64" i="29"/>
  <c r="AO64" i="29" s="1"/>
  <c r="AP64" i="29" s="1"/>
  <c r="AU63" i="29"/>
  <c r="AO63" i="29" s="1"/>
  <c r="AP63" i="29" s="1"/>
  <c r="AU62" i="29"/>
  <c r="AO62" i="29" s="1"/>
  <c r="AP62" i="29" s="1"/>
  <c r="AU61" i="29"/>
  <c r="AO61" i="29" s="1"/>
  <c r="AP61" i="29" s="1"/>
  <c r="AU41" i="29"/>
  <c r="AO41" i="29" s="1"/>
  <c r="AP41" i="29" s="1"/>
  <c r="AU40" i="29"/>
  <c r="AO40" i="29" s="1"/>
  <c r="AP40" i="29" s="1"/>
  <c r="AU39" i="29"/>
  <c r="AO39" i="29" s="1"/>
  <c r="AP39" i="29" s="1"/>
  <c r="AU38" i="29"/>
  <c r="AO38" i="29" s="1"/>
  <c r="AP38" i="29" s="1"/>
  <c r="AU37" i="29"/>
  <c r="AO37" i="29" s="1"/>
  <c r="AP37" i="29" s="1"/>
  <c r="AU36" i="29"/>
  <c r="AO36" i="29" s="1"/>
  <c r="AU35" i="29"/>
  <c r="AO35" i="29" s="1"/>
  <c r="AU34" i="29"/>
  <c r="AO34" i="29" s="1"/>
  <c r="AU33" i="29"/>
  <c r="AO33" i="29" s="1"/>
  <c r="AP33" i="29" s="1"/>
  <c r="AY41" i="29"/>
  <c r="AY40" i="29"/>
  <c r="AY39" i="29"/>
  <c r="AY38" i="29"/>
  <c r="AY37" i="29"/>
  <c r="AY36" i="29"/>
  <c r="AY35" i="29"/>
  <c r="AY34" i="29"/>
  <c r="AY33" i="29"/>
  <c r="AO84" i="29"/>
  <c r="AP84" i="29" s="1"/>
  <c r="AO60" i="29"/>
  <c r="AP60" i="29" s="1"/>
  <c r="AO59" i="29"/>
  <c r="AP59" i="29" s="1"/>
  <c r="AO58" i="29"/>
  <c r="AP58" i="29" s="1"/>
  <c r="AO57" i="29"/>
  <c r="AP57" i="29" s="1"/>
  <c r="AO56" i="29"/>
  <c r="AP56" i="29" s="1"/>
  <c r="AO55" i="29"/>
  <c r="AP55" i="29" s="1"/>
  <c r="AO54" i="29"/>
  <c r="AP54" i="29" s="1"/>
  <c r="AO53" i="29"/>
  <c r="AP53" i="29" s="1"/>
  <c r="AO52" i="29"/>
  <c r="AP52" i="29" s="1"/>
  <c r="AO51" i="29"/>
  <c r="AP51" i="29" s="1"/>
  <c r="AO50" i="29"/>
  <c r="AP50" i="29" s="1"/>
  <c r="AO49" i="29"/>
  <c r="AP49" i="29" s="1"/>
  <c r="AO48" i="29"/>
  <c r="AP48" i="29" s="1"/>
  <c r="AO47" i="29"/>
  <c r="AP47" i="29" s="1"/>
  <c r="AO46" i="29"/>
  <c r="AP46" i="29" s="1"/>
  <c r="AO45" i="29"/>
  <c r="AP45" i="29" s="1"/>
  <c r="AO44" i="29"/>
  <c r="AP44" i="29" s="1"/>
  <c r="AO43" i="29"/>
  <c r="AP43" i="29" s="1"/>
  <c r="AO42" i="29"/>
  <c r="AP42" i="29" s="1"/>
  <c r="AO31" i="29"/>
  <c r="AP31" i="29" s="1"/>
  <c r="AO30" i="29"/>
  <c r="AP30" i="29" s="1"/>
  <c r="AO29" i="29"/>
  <c r="AP29" i="29" s="1"/>
  <c r="AO28" i="29"/>
  <c r="AP28" i="29" s="1"/>
  <c r="AO27" i="29"/>
  <c r="AP27" i="29" s="1"/>
  <c r="AO26" i="29"/>
  <c r="AP26" i="29" s="1"/>
  <c r="AO25" i="29"/>
  <c r="AP25" i="29" s="1"/>
  <c r="AO24" i="29"/>
  <c r="AP24" i="29" s="1"/>
  <c r="AO23" i="29"/>
  <c r="AP23" i="29" s="1"/>
  <c r="AO22" i="29"/>
  <c r="AP22" i="29" s="1"/>
  <c r="AO21" i="29"/>
  <c r="AP21" i="29" s="1"/>
  <c r="AO20" i="29"/>
  <c r="AP20" i="29" s="1"/>
  <c r="AO19" i="29"/>
  <c r="AP19" i="29" s="1"/>
  <c r="AO18" i="29"/>
  <c r="AP18" i="29" s="1"/>
  <c r="AO17" i="29"/>
  <c r="AP17" i="29" s="1"/>
  <c r="AO16" i="29"/>
  <c r="AP16" i="29" s="1"/>
  <c r="AO15" i="29"/>
  <c r="AP15" i="29" s="1"/>
  <c r="AO14" i="29"/>
  <c r="AP14" i="29" s="1"/>
  <c r="AO13" i="29"/>
  <c r="AP13" i="29" s="1"/>
  <c r="AO12" i="29"/>
  <c r="AP12" i="29" s="1"/>
  <c r="AO11" i="29"/>
  <c r="AP11" i="29" s="1"/>
  <c r="AO10" i="29"/>
  <c r="AP10" i="29" s="1"/>
  <c r="AO9" i="29"/>
  <c r="AP9" i="29" s="1"/>
  <c r="AO8" i="29"/>
  <c r="AP8" i="29" s="1"/>
  <c r="AO7" i="29"/>
  <c r="AP7" i="29" s="1"/>
  <c r="AO6" i="29"/>
  <c r="AP6" i="29" s="1"/>
  <c r="AR85" i="29"/>
  <c r="AR84" i="29"/>
  <c r="AR83" i="29"/>
  <c r="AR82" i="29"/>
  <c r="AR81" i="29"/>
  <c r="AR80" i="29"/>
  <c r="AR79" i="29"/>
  <c r="AR78" i="29"/>
  <c r="AR77" i="29"/>
  <c r="AR76" i="29"/>
  <c r="AR75" i="29"/>
  <c r="AR74" i="29"/>
  <c r="AR73" i="29"/>
  <c r="AR72" i="29"/>
  <c r="AR71" i="29"/>
  <c r="AR70" i="29"/>
  <c r="AR69" i="29"/>
  <c r="AR68" i="29"/>
  <c r="AR67" i="29"/>
  <c r="AR66" i="29"/>
  <c r="AR65" i="29"/>
  <c r="AR64" i="29"/>
  <c r="AR63" i="29"/>
  <c r="AR62" i="29"/>
  <c r="AR61" i="29"/>
  <c r="AR60" i="29"/>
  <c r="AR59" i="29"/>
  <c r="AR58" i="29"/>
  <c r="AR57" i="29"/>
  <c r="AR56" i="29"/>
  <c r="AR55" i="29"/>
  <c r="AR54" i="29"/>
  <c r="AR53" i="29"/>
  <c r="AR52" i="29"/>
  <c r="AR51" i="29"/>
  <c r="AR50" i="29"/>
  <c r="AR49" i="29"/>
  <c r="AR48" i="29"/>
  <c r="AR47" i="29"/>
  <c r="AR46" i="29"/>
  <c r="AR45" i="29"/>
  <c r="AR44" i="29"/>
  <c r="AR43" i="29"/>
  <c r="AR42" i="29"/>
  <c r="AR41" i="29"/>
  <c r="AR40" i="29"/>
  <c r="AR39" i="29"/>
  <c r="AR38" i="29"/>
  <c r="AR37" i="29"/>
  <c r="AR36" i="29"/>
  <c r="AR35" i="29"/>
  <c r="AR34" i="29"/>
  <c r="AR33" i="29"/>
  <c r="AR32" i="29"/>
  <c r="AR31" i="29"/>
  <c r="AR30" i="29"/>
  <c r="AR29" i="29"/>
  <c r="AR28" i="29"/>
  <c r="AR27" i="29"/>
  <c r="AR26" i="29"/>
  <c r="AR25" i="29"/>
  <c r="AR24" i="29"/>
  <c r="AR23" i="29"/>
  <c r="AR22" i="29"/>
  <c r="AR21" i="29"/>
  <c r="AR20" i="29"/>
  <c r="AR19" i="29"/>
  <c r="AR18" i="29"/>
  <c r="AR17" i="29"/>
  <c r="AR16" i="29"/>
  <c r="AR15" i="29"/>
  <c r="AR14" i="29"/>
  <c r="AR13" i="29"/>
  <c r="AR12" i="29"/>
  <c r="AR11" i="29"/>
  <c r="AR10" i="29"/>
  <c r="AR9" i="29"/>
  <c r="AR8" i="29"/>
  <c r="AR7" i="29"/>
  <c r="AR6" i="29"/>
  <c r="AR5" i="29"/>
  <c r="AO5" i="29"/>
  <c r="AP5" i="29" s="1"/>
  <c r="AR3" i="29" l="1"/>
  <c r="AV16" i="29"/>
  <c r="AV116" i="29"/>
  <c r="AV22" i="29"/>
  <c r="AV20" i="29"/>
  <c r="AV87" i="29"/>
  <c r="AV88" i="29"/>
  <c r="AV108" i="29"/>
  <c r="AV109" i="29"/>
  <c r="AV21" i="29"/>
  <c r="AV7" i="29"/>
  <c r="AV104" i="29"/>
  <c r="AV111" i="29"/>
  <c r="AV125" i="29"/>
  <c r="AV25" i="29"/>
  <c r="AV117" i="29"/>
  <c r="AV13" i="29"/>
  <c r="AV89" i="29"/>
  <c r="AV118" i="29"/>
  <c r="AV11" i="29"/>
  <c r="AV90" i="29"/>
  <c r="AV119" i="29"/>
  <c r="AV8" i="29"/>
  <c r="AV91" i="29"/>
  <c r="AV120" i="29"/>
  <c r="AV6" i="29"/>
  <c r="AP113" i="29"/>
  <c r="AV93" i="29"/>
  <c r="AV131" i="29"/>
  <c r="AV30" i="29"/>
  <c r="AV5" i="29"/>
  <c r="AP96" i="29"/>
  <c r="AV94" i="29"/>
  <c r="AV133" i="29"/>
  <c r="AV29" i="29"/>
  <c r="AP95" i="29"/>
  <c r="AV101" i="29"/>
  <c r="AV134" i="29"/>
  <c r="AV15" i="29"/>
  <c r="AP115" i="29"/>
  <c r="AV92" i="29"/>
  <c r="AV27" i="29"/>
  <c r="AV102" i="29"/>
  <c r="AV138" i="29"/>
  <c r="AV107" i="29"/>
  <c r="AV121" i="29"/>
  <c r="AV137" i="29"/>
  <c r="AV135" i="29"/>
  <c r="AV106" i="29"/>
  <c r="AV139" i="29"/>
  <c r="AV31" i="29"/>
  <c r="AV123" i="29"/>
  <c r="AV28" i="29"/>
  <c r="AV14" i="29"/>
  <c r="AV110" i="29"/>
  <c r="AV124" i="29"/>
  <c r="AV140" i="29"/>
  <c r="AV105" i="29"/>
  <c r="AV141" i="29"/>
  <c r="AV17" i="29"/>
  <c r="AP86" i="29"/>
  <c r="AV26" i="29"/>
  <c r="AV12" i="29"/>
  <c r="AV97" i="29"/>
  <c r="AV112" i="29"/>
  <c r="AV126" i="29"/>
  <c r="AV142" i="29"/>
  <c r="AV98" i="29"/>
  <c r="AV127" i="29"/>
  <c r="AV143" i="29"/>
  <c r="AV19" i="29"/>
  <c r="AV24" i="29"/>
  <c r="AV10" i="29"/>
  <c r="AV99" i="29"/>
  <c r="AV114" i="29"/>
  <c r="AV128" i="29"/>
  <c r="AV144" i="29"/>
  <c r="AV18" i="29"/>
  <c r="AV136" i="29"/>
  <c r="AV122" i="29"/>
  <c r="AV23" i="29"/>
  <c r="AV9" i="29"/>
  <c r="AV100" i="29"/>
  <c r="AV129" i="29"/>
  <c r="AV145" i="29"/>
  <c r="AV132" i="29"/>
  <c r="AV130" i="29"/>
  <c r="AV103" i="29"/>
  <c r="AV85" i="29"/>
  <c r="AV84" i="29"/>
  <c r="AV83" i="29"/>
  <c r="AV82" i="29"/>
  <c r="AV81" i="29"/>
  <c r="AV80" i="29"/>
  <c r="AV79" i="29"/>
  <c r="AV78" i="29"/>
  <c r="AV77" i="29"/>
  <c r="AV76" i="29"/>
  <c r="AV75" i="29"/>
  <c r="AV74" i="29"/>
  <c r="AV73" i="29"/>
  <c r="AV72" i="29"/>
  <c r="AV71" i="29"/>
  <c r="AV70" i="29"/>
  <c r="AV69" i="29"/>
  <c r="AV68" i="29"/>
  <c r="AV67" i="29"/>
  <c r="AV66" i="29"/>
  <c r="AV65" i="29"/>
  <c r="AV64" i="29"/>
  <c r="AV63" i="29"/>
  <c r="AV62" i="29"/>
  <c r="AV61" i="29"/>
  <c r="AV60" i="29"/>
  <c r="AV59" i="29"/>
  <c r="AV58" i="29"/>
  <c r="AV57" i="29"/>
  <c r="AV56" i="29"/>
  <c r="AV55" i="29"/>
  <c r="AV54" i="29"/>
  <c r="AV53" i="29"/>
  <c r="AV52" i="29"/>
  <c r="AV51" i="29"/>
  <c r="AV50" i="29"/>
  <c r="AV49" i="29"/>
  <c r="AV48" i="29"/>
  <c r="AV47" i="29"/>
  <c r="AV46" i="29"/>
  <c r="AV45" i="29"/>
  <c r="AV44" i="29"/>
  <c r="AV43" i="29"/>
  <c r="AV42" i="29"/>
  <c r="AP35" i="29"/>
  <c r="AV35" i="29"/>
  <c r="AP36" i="29"/>
  <c r="AV36" i="29"/>
  <c r="AP34" i="29"/>
  <c r="AV34" i="29"/>
  <c r="AV39" i="29"/>
  <c r="AV41" i="29"/>
  <c r="AV40" i="29"/>
  <c r="AV38" i="29"/>
  <c r="AV37" i="29"/>
  <c r="AV33" i="29"/>
  <c r="AI12" i="29" l="1"/>
  <c r="E250" i="53"/>
  <c r="E251" i="53"/>
  <c r="E252" i="53"/>
  <c r="E253" i="53"/>
  <c r="E254" i="53"/>
  <c r="E255" i="53"/>
  <c r="E256" i="53"/>
  <c r="E257" i="53"/>
  <c r="E258" i="53"/>
  <c r="E259" i="53"/>
  <c r="E260" i="53"/>
  <c r="E261" i="53"/>
  <c r="E262" i="53"/>
  <c r="E263" i="53"/>
  <c r="E264" i="53"/>
  <c r="E265" i="53"/>
  <c r="E266" i="53"/>
  <c r="E267" i="53"/>
  <c r="E268" i="53"/>
  <c r="F2" i="29" l="1"/>
  <c r="J3" i="37" l="1"/>
  <c r="J4" i="37"/>
  <c r="J5" i="37"/>
  <c r="J6" i="37"/>
  <c r="J7" i="37"/>
  <c r="J8" i="37"/>
  <c r="J9" i="37"/>
  <c r="J10" i="37"/>
  <c r="J11" i="37"/>
  <c r="J12" i="37"/>
  <c r="J13" i="37"/>
  <c r="J14" i="37"/>
  <c r="J15" i="37"/>
  <c r="J16" i="37"/>
  <c r="J17" i="37"/>
  <c r="J18" i="37"/>
  <c r="J19" i="37"/>
  <c r="J20" i="37"/>
  <c r="J21" i="37"/>
  <c r="J22" i="37"/>
  <c r="J23" i="37"/>
  <c r="J24" i="37"/>
  <c r="J25" i="37"/>
  <c r="J26" i="37"/>
  <c r="J27" i="37"/>
  <c r="F11" i="37"/>
  <c r="F12" i="37"/>
  <c r="F13" i="37"/>
  <c r="F14" i="37"/>
  <c r="F15" i="37"/>
  <c r="F16" i="37"/>
  <c r="F17" i="37"/>
  <c r="F18" i="37"/>
  <c r="F19" i="37"/>
  <c r="F20" i="37"/>
  <c r="F21" i="37"/>
  <c r="F22" i="37"/>
  <c r="F23" i="37"/>
  <c r="F24" i="37"/>
  <c r="F25" i="37"/>
  <c r="F26" i="37"/>
  <c r="F27" i="37"/>
  <c r="Q6" i="37"/>
  <c r="Q7" i="37"/>
  <c r="Q8" i="37"/>
  <c r="Q9" i="37"/>
  <c r="Q10" i="37"/>
  <c r="Q11" i="37"/>
  <c r="Q12" i="37"/>
  <c r="Q13" i="37"/>
  <c r="Q14" i="37"/>
  <c r="Q15" i="37"/>
  <c r="Q16" i="37"/>
  <c r="Q17" i="37"/>
  <c r="Q18" i="37"/>
  <c r="Q19" i="37"/>
  <c r="Q20" i="37"/>
  <c r="Q21" i="37"/>
  <c r="Q22" i="37"/>
  <c r="Q23" i="37"/>
  <c r="Q24" i="37"/>
  <c r="Q25" i="37"/>
  <c r="Q26" i="37"/>
  <c r="Q27" i="37"/>
  <c r="Q28" i="37"/>
  <c r="Q29" i="37"/>
  <c r="Q30" i="37"/>
  <c r="Q31" i="37"/>
  <c r="Q32" i="37"/>
  <c r="Q33" i="37"/>
  <c r="Q34" i="37"/>
  <c r="Q35" i="37"/>
  <c r="Q36" i="37"/>
  <c r="Q37" i="37"/>
  <c r="Q38" i="37"/>
  <c r="F9" i="37" s="1"/>
  <c r="Q39" i="37"/>
  <c r="F10" i="37" s="1"/>
  <c r="Q5" i="37"/>
  <c r="Q4" i="37"/>
  <c r="Q3" i="37"/>
  <c r="F8" i="37" l="1"/>
  <c r="F7" i="37"/>
  <c r="F6" i="37"/>
  <c r="F3" i="37"/>
  <c r="F5" i="37"/>
  <c r="F4" i="37"/>
  <c r="L60" i="53"/>
  <c r="I49" i="29" l="1"/>
  <c r="I48" i="29"/>
  <c r="I47" i="29"/>
  <c r="I46" i="29"/>
  <c r="K46" i="29" s="1"/>
  <c r="I45" i="29"/>
  <c r="K45" i="29" s="1"/>
  <c r="I44" i="29"/>
  <c r="K44" i="29" s="1"/>
  <c r="I43" i="29"/>
  <c r="K43" i="29" s="1"/>
  <c r="I42" i="29"/>
  <c r="I41" i="29"/>
  <c r="I40" i="29"/>
  <c r="I39" i="29"/>
  <c r="I38" i="29"/>
  <c r="I37" i="29"/>
  <c r="I36" i="29"/>
  <c r="I35" i="29"/>
  <c r="I34" i="29"/>
  <c r="I33" i="29"/>
  <c r="I32" i="29"/>
  <c r="K32" i="29" s="1"/>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P77" i="17" l="1"/>
  <c r="B3" i="42" l="1"/>
  <c r="B4" i="42"/>
  <c r="B5" i="42"/>
  <c r="B6" i="42"/>
  <c r="B7" i="42"/>
  <c r="B8" i="42"/>
  <c r="B9" i="42"/>
  <c r="B10" i="42"/>
  <c r="B11" i="42"/>
  <c r="B12" i="42"/>
  <c r="B13" i="42"/>
  <c r="B14" i="42"/>
  <c r="B15" i="42"/>
  <c r="B16" i="42"/>
  <c r="B17" i="42"/>
  <c r="B18" i="42"/>
  <c r="B19" i="42"/>
  <c r="B20" i="42"/>
  <c r="B21" i="42"/>
  <c r="F9" i="42"/>
  <c r="F10" i="42"/>
  <c r="F11" i="42"/>
  <c r="F12" i="42"/>
  <c r="F13" i="42"/>
  <c r="F14" i="42"/>
  <c r="F15" i="42"/>
  <c r="F16" i="42"/>
  <c r="F17" i="42"/>
  <c r="F18" i="42"/>
  <c r="F19" i="42"/>
  <c r="F20" i="42"/>
  <c r="F21" i="42"/>
  <c r="E263" i="17"/>
  <c r="F263" i="17" s="1"/>
  <c r="E262" i="17"/>
  <c r="F262" i="17" s="1"/>
  <c r="E261" i="17"/>
  <c r="F261" i="17" s="1"/>
  <c r="E260" i="17"/>
  <c r="F260" i="17" s="1"/>
  <c r="E259" i="17"/>
  <c r="F259" i="17" s="1"/>
  <c r="E258" i="17"/>
  <c r="F258" i="17" s="1"/>
  <c r="E257" i="17"/>
  <c r="F257" i="17" s="1"/>
  <c r="E256" i="17"/>
  <c r="F256" i="17" s="1"/>
  <c r="E255" i="17"/>
  <c r="F255" i="17" s="1"/>
  <c r="E254" i="17"/>
  <c r="F254" i="17" s="1"/>
  <c r="E253" i="17"/>
  <c r="F253" i="17" s="1"/>
  <c r="E252" i="17"/>
  <c r="F252" i="17" s="1"/>
  <c r="E251" i="17"/>
  <c r="F251" i="17" s="1"/>
  <c r="E250" i="17"/>
  <c r="F250" i="17" s="1"/>
  <c r="E249" i="17"/>
  <c r="F249" i="17" s="1"/>
  <c r="E248" i="17"/>
  <c r="F248" i="17" s="1"/>
  <c r="E247" i="17"/>
  <c r="F247" i="17" s="1"/>
  <c r="E246" i="17"/>
  <c r="F246" i="17" s="1"/>
  <c r="E245" i="17"/>
  <c r="F245" i="17" s="1"/>
  <c r="E244" i="17"/>
  <c r="F244" i="17" s="1"/>
  <c r="E243" i="17"/>
  <c r="F243" i="17" s="1"/>
  <c r="E242" i="17"/>
  <c r="F242" i="17" s="1"/>
  <c r="E241" i="17"/>
  <c r="F241" i="17" s="1"/>
  <c r="E240" i="17"/>
  <c r="F240" i="17" s="1"/>
  <c r="E239" i="17"/>
  <c r="F239" i="17" s="1"/>
  <c r="E238" i="17"/>
  <c r="F238" i="17" s="1"/>
  <c r="E237" i="17"/>
  <c r="F237" i="17" s="1"/>
  <c r="E236" i="17"/>
  <c r="F236" i="17" s="1"/>
  <c r="E235" i="17"/>
  <c r="F235" i="17" s="1"/>
  <c r="E234" i="17"/>
  <c r="F234" i="17" s="1"/>
  <c r="E233" i="17"/>
  <c r="F233" i="17" s="1"/>
  <c r="E232" i="17"/>
  <c r="F232" i="17" s="1"/>
  <c r="E231" i="17"/>
  <c r="F231" i="17" s="1"/>
  <c r="E230" i="17"/>
  <c r="F230" i="17" s="1"/>
  <c r="E229" i="17"/>
  <c r="F229" i="17" s="1"/>
  <c r="E228" i="17"/>
  <c r="F228" i="17" s="1"/>
  <c r="E227" i="17"/>
  <c r="F227" i="17" s="1"/>
  <c r="E226" i="17"/>
  <c r="F226" i="17" s="1"/>
  <c r="E225" i="17"/>
  <c r="F225" i="17" s="1"/>
  <c r="E224" i="17"/>
  <c r="F224" i="17" s="1"/>
  <c r="E223" i="17"/>
  <c r="F223" i="17" s="1"/>
  <c r="E222" i="17"/>
  <c r="F222" i="17" s="1"/>
  <c r="E221" i="17"/>
  <c r="F221" i="17" s="1"/>
  <c r="E220" i="17"/>
  <c r="F220" i="17" s="1"/>
  <c r="E219" i="17"/>
  <c r="F219" i="17" s="1"/>
  <c r="E218" i="17"/>
  <c r="F218" i="17" s="1"/>
  <c r="E217" i="17"/>
  <c r="F217" i="17" s="1"/>
  <c r="E216" i="17"/>
  <c r="F216" i="17" s="1"/>
  <c r="E215" i="17"/>
  <c r="F215" i="17" s="1"/>
  <c r="E214" i="17"/>
  <c r="F214" i="17" s="1"/>
  <c r="E213" i="17"/>
  <c r="F213" i="17" s="1"/>
  <c r="E212" i="17"/>
  <c r="F212" i="17" s="1"/>
  <c r="E211" i="17"/>
  <c r="F211" i="17" s="1"/>
  <c r="E210" i="17"/>
  <c r="F210" i="17" s="1"/>
  <c r="E209" i="17"/>
  <c r="F209" i="17" s="1"/>
  <c r="I263" i="17"/>
  <c r="I262" i="17"/>
  <c r="I261" i="17"/>
  <c r="I260" i="17"/>
  <c r="I259" i="17"/>
  <c r="I258" i="17"/>
  <c r="I257" i="17"/>
  <c r="I256" i="17"/>
  <c r="I255" i="17"/>
  <c r="I254" i="17"/>
  <c r="I253" i="17"/>
  <c r="I252" i="17"/>
  <c r="I251" i="17"/>
  <c r="I250" i="17"/>
  <c r="I249" i="17"/>
  <c r="I248" i="17"/>
  <c r="I247" i="17"/>
  <c r="I246" i="17"/>
  <c r="I245" i="17"/>
  <c r="I244" i="17"/>
  <c r="I243" i="17"/>
  <c r="I242" i="17"/>
  <c r="I241" i="17"/>
  <c r="I240" i="17"/>
  <c r="I239" i="17"/>
  <c r="I238" i="17"/>
  <c r="I237" i="17"/>
  <c r="I236" i="17"/>
  <c r="I235" i="17"/>
  <c r="I234" i="17"/>
  <c r="I233" i="17"/>
  <c r="I232" i="17"/>
  <c r="I231" i="17"/>
  <c r="I230" i="17"/>
  <c r="I229" i="17"/>
  <c r="I228" i="17"/>
  <c r="I227" i="17"/>
  <c r="I226" i="17"/>
  <c r="I225" i="17"/>
  <c r="I224" i="17"/>
  <c r="I223" i="17"/>
  <c r="I222" i="17"/>
  <c r="I221" i="17"/>
  <c r="I220" i="17"/>
  <c r="I219" i="17"/>
  <c r="I218" i="17"/>
  <c r="I217" i="17"/>
  <c r="I216" i="17"/>
  <c r="I215" i="17"/>
  <c r="I214" i="17"/>
  <c r="I213" i="17"/>
  <c r="I212" i="17"/>
  <c r="I211" i="17"/>
  <c r="I210" i="17"/>
  <c r="I209"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D3" i="17"/>
  <c r="D4"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5" i="17"/>
  <c r="D176" i="17"/>
  <c r="D177" i="17"/>
  <c r="D178" i="17"/>
  <c r="D179" i="17"/>
  <c r="D180" i="17"/>
  <c r="D181" i="17"/>
  <c r="D182" i="17"/>
  <c r="D183" i="17"/>
  <c r="D184" i="17"/>
  <c r="D185" i="17"/>
  <c r="D186" i="17"/>
  <c r="D187" i="17"/>
  <c r="D188" i="17"/>
  <c r="D189" i="17"/>
  <c r="D190" i="17"/>
  <c r="D191" i="17"/>
  <c r="D192" i="17"/>
  <c r="D193" i="17"/>
  <c r="D194" i="17"/>
  <c r="D195" i="17"/>
  <c r="D196" i="17"/>
  <c r="D197" i="17"/>
  <c r="D198" i="17"/>
  <c r="D199" i="17"/>
  <c r="D200" i="17"/>
  <c r="D201" i="17"/>
  <c r="D202" i="17"/>
  <c r="D203" i="17"/>
  <c r="D204" i="17"/>
  <c r="D205" i="17"/>
  <c r="D206" i="17"/>
  <c r="D207" i="17"/>
  <c r="D208" i="17"/>
  <c r="D209" i="17"/>
  <c r="D210" i="17"/>
  <c r="D211" i="17"/>
  <c r="D212" i="17"/>
  <c r="D213" i="17"/>
  <c r="D214" i="17"/>
  <c r="D216" i="17"/>
  <c r="D217" i="17"/>
  <c r="D218" i="17"/>
  <c r="D219" i="17"/>
  <c r="D220" i="17"/>
  <c r="D221" i="17"/>
  <c r="D222" i="17"/>
  <c r="D223" i="17"/>
  <c r="D224" i="17"/>
  <c r="D225" i="17"/>
  <c r="D226" i="17"/>
  <c r="D227" i="17"/>
  <c r="D228" i="17"/>
  <c r="D229" i="17"/>
  <c r="D230" i="17"/>
  <c r="D231" i="17"/>
  <c r="D232" i="17"/>
  <c r="D233" i="17"/>
  <c r="D234" i="17"/>
  <c r="D235" i="17"/>
  <c r="D236" i="17"/>
  <c r="D237" i="17"/>
  <c r="D238" i="17"/>
  <c r="D239" i="17"/>
  <c r="D240" i="17"/>
  <c r="D241" i="17"/>
  <c r="D242" i="17"/>
  <c r="D243" i="17"/>
  <c r="D244" i="17"/>
  <c r="D245" i="17"/>
  <c r="D246" i="17"/>
  <c r="D247" i="17"/>
  <c r="D248" i="17"/>
  <c r="D249" i="17"/>
  <c r="D250" i="17"/>
  <c r="D251" i="17"/>
  <c r="D252" i="17"/>
  <c r="D253" i="17"/>
  <c r="D254" i="17"/>
  <c r="D255" i="17"/>
  <c r="D256" i="17"/>
  <c r="D257" i="17"/>
  <c r="D258" i="17"/>
  <c r="D259" i="17"/>
  <c r="D260" i="17"/>
  <c r="D261" i="17"/>
  <c r="D262" i="17"/>
  <c r="D263" i="17"/>
  <c r="E14" i="42" l="1"/>
  <c r="E10" i="42"/>
  <c r="E17" i="42"/>
  <c r="E12" i="42"/>
  <c r="E9" i="42"/>
  <c r="E15" i="42"/>
  <c r="E16" i="42"/>
  <c r="E11" i="42"/>
  <c r="E13" i="42"/>
  <c r="E21" i="42"/>
  <c r="E19" i="42"/>
  <c r="E20" i="42"/>
  <c r="E18" i="42"/>
  <c r="AT12" i="45" l="1"/>
  <c r="AT13" i="45"/>
  <c r="X73" i="15"/>
  <c r="W73" i="15"/>
  <c r="X72" i="15"/>
  <c r="W72" i="15"/>
  <c r="X71" i="15"/>
  <c r="W71" i="15"/>
  <c r="X70" i="15"/>
  <c r="W70" i="15"/>
  <c r="X69" i="15"/>
  <c r="W69" i="15"/>
  <c r="W68" i="15"/>
  <c r="W67" i="15"/>
  <c r="W66" i="15"/>
  <c r="W65" i="15"/>
  <c r="W64" i="15"/>
  <c r="W63" i="15"/>
  <c r="W62" i="15"/>
  <c r="W61" i="15"/>
  <c r="W60" i="15"/>
  <c r="W59" i="15"/>
  <c r="W58" i="15"/>
  <c r="W57" i="15"/>
  <c r="W56" i="15"/>
  <c r="W55" i="15"/>
  <c r="W54" i="15"/>
  <c r="W53" i="15"/>
  <c r="W52" i="15"/>
  <c r="W51" i="15"/>
  <c r="W50" i="15"/>
  <c r="W49" i="15"/>
  <c r="W48" i="15"/>
  <c r="W47" i="15"/>
  <c r="W46" i="15"/>
  <c r="W45" i="15"/>
  <c r="W44" i="15"/>
  <c r="W43" i="15"/>
  <c r="W42" i="15"/>
  <c r="W41" i="15"/>
  <c r="W40" i="15"/>
  <c r="W39" i="15"/>
  <c r="W38" i="15"/>
  <c r="W37" i="15"/>
  <c r="W36" i="15"/>
  <c r="W35" i="15"/>
  <c r="W34" i="15"/>
  <c r="W33" i="15"/>
  <c r="W32" i="15"/>
  <c r="W31" i="15"/>
  <c r="W30" i="15"/>
  <c r="W29" i="15"/>
  <c r="W28" i="15"/>
  <c r="W27" i="15"/>
  <c r="W26" i="15"/>
  <c r="W25" i="15"/>
  <c r="W24" i="15"/>
  <c r="W23" i="15"/>
  <c r="W22" i="15"/>
  <c r="W21" i="15"/>
  <c r="W20" i="15"/>
  <c r="W19" i="15"/>
  <c r="W18" i="15"/>
  <c r="W17" i="15"/>
  <c r="W16" i="15"/>
  <c r="W15" i="15"/>
  <c r="W14" i="15"/>
  <c r="W13" i="15"/>
  <c r="W12" i="15"/>
  <c r="W11" i="15"/>
  <c r="W10" i="15"/>
  <c r="W9" i="15"/>
  <c r="W8" i="15"/>
  <c r="W7" i="15"/>
  <c r="W6" i="15"/>
  <c r="W5" i="15"/>
  <c r="W4" i="15"/>
  <c r="W3" i="15"/>
  <c r="V3" i="15"/>
  <c r="A14" i="38" l="1"/>
  <c r="A12" i="38"/>
  <c r="V19" i="55" l="1"/>
  <c r="V18" i="55"/>
  <c r="V17" i="55"/>
  <c r="V16" i="55"/>
  <c r="V15" i="55"/>
  <c r="V14" i="55"/>
  <c r="V13" i="55"/>
  <c r="V12" i="55"/>
  <c r="V11" i="55"/>
  <c r="V10" i="55"/>
  <c r="D16" i="53"/>
  <c r="D17" i="53"/>
  <c r="L498" i="56" l="1"/>
  <c r="L496" i="56"/>
  <c r="L495" i="56"/>
  <c r="L494" i="56"/>
  <c r="L493" i="56"/>
  <c r="L492" i="56"/>
  <c r="L491" i="56"/>
  <c r="L490" i="56"/>
  <c r="L489" i="56"/>
  <c r="L488" i="56"/>
  <c r="L487" i="56"/>
  <c r="L486" i="56"/>
  <c r="L485" i="56"/>
  <c r="L484" i="56"/>
  <c r="L483" i="56"/>
  <c r="L482" i="56"/>
  <c r="L481" i="56"/>
  <c r="L480" i="56"/>
  <c r="L479" i="56"/>
  <c r="L478" i="56"/>
  <c r="L477" i="56"/>
  <c r="L476" i="56"/>
  <c r="L475" i="56"/>
  <c r="L474" i="56"/>
  <c r="L473" i="56"/>
  <c r="L472" i="56"/>
  <c r="L471" i="56"/>
  <c r="L470" i="56"/>
  <c r="L469" i="56"/>
  <c r="L468" i="56"/>
  <c r="L467" i="56"/>
  <c r="L466" i="56"/>
  <c r="L465" i="56"/>
  <c r="L464" i="56"/>
  <c r="L463" i="56"/>
  <c r="L462" i="56"/>
  <c r="L461" i="56"/>
  <c r="L460" i="56"/>
  <c r="L459" i="56"/>
  <c r="L458" i="56"/>
  <c r="L457" i="56"/>
  <c r="L456" i="56"/>
  <c r="L455" i="56"/>
  <c r="L454" i="56"/>
  <c r="L453" i="56"/>
  <c r="L452" i="56"/>
  <c r="L451" i="56"/>
  <c r="L450" i="56"/>
  <c r="L449" i="56"/>
  <c r="L448" i="56"/>
  <c r="L447" i="56"/>
  <c r="L446" i="56"/>
  <c r="L445" i="56"/>
  <c r="L444" i="56"/>
  <c r="L443" i="56"/>
  <c r="L442" i="56"/>
  <c r="L441" i="56"/>
  <c r="L440" i="56"/>
  <c r="L439" i="56"/>
  <c r="L438" i="56"/>
  <c r="L437" i="56"/>
  <c r="L436" i="56"/>
  <c r="L435" i="56"/>
  <c r="L434" i="56"/>
  <c r="L433" i="56"/>
  <c r="L432" i="56"/>
  <c r="L431" i="56"/>
  <c r="L430" i="56"/>
  <c r="L429" i="56"/>
  <c r="L428" i="56"/>
  <c r="L427" i="56"/>
  <c r="L426" i="56"/>
  <c r="L425" i="56"/>
  <c r="L424" i="56"/>
  <c r="L423" i="56"/>
  <c r="L422" i="56"/>
  <c r="L421" i="56"/>
  <c r="L420" i="56"/>
  <c r="L419" i="56"/>
  <c r="L418" i="56"/>
  <c r="L417" i="56"/>
  <c r="L416" i="56"/>
  <c r="L415" i="56"/>
  <c r="L414" i="56"/>
  <c r="L413" i="56"/>
  <c r="L412" i="56"/>
  <c r="L411" i="56"/>
  <c r="L410" i="56"/>
  <c r="L409" i="56"/>
  <c r="L408" i="56"/>
  <c r="L407" i="56"/>
  <c r="L406" i="56"/>
  <c r="L405" i="56"/>
  <c r="L404" i="56"/>
  <c r="L403" i="56"/>
  <c r="L402" i="56"/>
  <c r="L401" i="56"/>
  <c r="L400" i="56"/>
  <c r="L399" i="56"/>
  <c r="L398" i="56"/>
  <c r="L397" i="56"/>
  <c r="L396" i="56"/>
  <c r="L395" i="56"/>
  <c r="L394" i="56"/>
  <c r="L393" i="56"/>
  <c r="L392" i="56"/>
  <c r="L391" i="56"/>
  <c r="L390" i="56"/>
  <c r="L389" i="56"/>
  <c r="L388" i="56"/>
  <c r="L387" i="56"/>
  <c r="L386" i="56"/>
  <c r="L385" i="56"/>
  <c r="L384" i="56"/>
  <c r="L383" i="56"/>
  <c r="L382" i="56"/>
  <c r="L381" i="56"/>
  <c r="L380" i="56"/>
  <c r="L379" i="56"/>
  <c r="L378" i="56"/>
  <c r="L377" i="56"/>
  <c r="L376" i="56"/>
  <c r="L375" i="56"/>
  <c r="L374" i="56"/>
  <c r="L373" i="56"/>
  <c r="L372" i="56"/>
  <c r="L371" i="56"/>
  <c r="L370" i="56"/>
  <c r="L369" i="56"/>
  <c r="L368" i="56"/>
  <c r="L367" i="56"/>
  <c r="L366" i="56"/>
  <c r="L365" i="56"/>
  <c r="L364" i="56"/>
  <c r="L363" i="56"/>
  <c r="L362" i="56"/>
  <c r="L361" i="56"/>
  <c r="L360" i="56"/>
  <c r="L359" i="56"/>
  <c r="L358" i="56"/>
  <c r="L357" i="56"/>
  <c r="L356" i="56"/>
  <c r="L355" i="56"/>
  <c r="L354" i="56"/>
  <c r="L353" i="56"/>
  <c r="L352" i="56"/>
  <c r="L351" i="56"/>
  <c r="L350" i="56"/>
  <c r="L349" i="56"/>
  <c r="L348" i="56"/>
  <c r="L347" i="56"/>
  <c r="L346" i="56"/>
  <c r="L345" i="56"/>
  <c r="L344" i="56"/>
  <c r="L343" i="56"/>
  <c r="L342" i="56"/>
  <c r="L341" i="56"/>
  <c r="L340" i="56"/>
  <c r="L339" i="56"/>
  <c r="L338" i="56"/>
  <c r="L337" i="56"/>
  <c r="L336" i="56"/>
  <c r="L335" i="56"/>
  <c r="L334" i="56"/>
  <c r="L333" i="56"/>
  <c r="L332" i="56"/>
  <c r="L331" i="56"/>
  <c r="L330" i="56"/>
  <c r="L329" i="56"/>
  <c r="L328" i="56"/>
  <c r="L327" i="56"/>
  <c r="L326" i="56"/>
  <c r="L325" i="56"/>
  <c r="L324" i="56"/>
  <c r="L323" i="56"/>
  <c r="L322" i="56"/>
  <c r="L321" i="56"/>
  <c r="L320" i="56"/>
  <c r="L319" i="56"/>
  <c r="L318" i="56"/>
  <c r="L317" i="56"/>
  <c r="L316" i="56"/>
  <c r="L315" i="56"/>
  <c r="L314" i="56"/>
  <c r="L313" i="56"/>
  <c r="L312" i="56"/>
  <c r="L311" i="56"/>
  <c r="L310" i="56"/>
  <c r="L309" i="56"/>
  <c r="L308" i="56"/>
  <c r="L307" i="56"/>
  <c r="L306" i="56"/>
  <c r="L305" i="56"/>
  <c r="L304" i="56"/>
  <c r="L303" i="56"/>
  <c r="L302" i="56"/>
  <c r="L301" i="56"/>
  <c r="L300" i="56"/>
  <c r="L299" i="56"/>
  <c r="L298" i="56"/>
  <c r="L297" i="56"/>
  <c r="L296" i="56"/>
  <c r="L295" i="56"/>
  <c r="L294" i="56"/>
  <c r="L293" i="56"/>
  <c r="L292" i="56"/>
  <c r="L291" i="56"/>
  <c r="L290" i="56"/>
  <c r="L289" i="56"/>
  <c r="L288" i="56"/>
  <c r="L287" i="56"/>
  <c r="L286" i="56"/>
  <c r="L285" i="56"/>
  <c r="L284" i="56"/>
  <c r="L283" i="56"/>
  <c r="L282" i="56"/>
  <c r="L281" i="56"/>
  <c r="L280" i="56"/>
  <c r="L279" i="56"/>
  <c r="L278" i="56"/>
  <c r="L277" i="56"/>
  <c r="L276" i="56"/>
  <c r="L275" i="56"/>
  <c r="L274" i="56"/>
  <c r="L273" i="56"/>
  <c r="L272" i="56"/>
  <c r="L271" i="56"/>
  <c r="L270" i="56"/>
  <c r="L269" i="56"/>
  <c r="L268" i="56"/>
  <c r="L267" i="56"/>
  <c r="L266" i="56"/>
  <c r="L265" i="56"/>
  <c r="L264" i="56"/>
  <c r="L263" i="56"/>
  <c r="L262" i="56"/>
  <c r="L261" i="56"/>
  <c r="L260" i="56"/>
  <c r="L259" i="56"/>
  <c r="L258" i="56"/>
  <c r="L257" i="56"/>
  <c r="L256" i="56"/>
  <c r="L255" i="56"/>
  <c r="L254" i="56"/>
  <c r="L253" i="56"/>
  <c r="L252" i="56"/>
  <c r="L251" i="56"/>
  <c r="L250" i="56"/>
  <c r="L249" i="56"/>
  <c r="L248" i="56"/>
  <c r="L247" i="56"/>
  <c r="L246" i="56"/>
  <c r="L245" i="56"/>
  <c r="L244" i="56"/>
  <c r="L243" i="56"/>
  <c r="L242" i="56"/>
  <c r="L241" i="56"/>
  <c r="L240" i="56"/>
  <c r="L239" i="56"/>
  <c r="L238" i="56"/>
  <c r="L237" i="56"/>
  <c r="L236" i="56"/>
  <c r="L235" i="56"/>
  <c r="L234" i="56"/>
  <c r="L233" i="56"/>
  <c r="L232" i="56"/>
  <c r="L231" i="56"/>
  <c r="L230" i="56"/>
  <c r="L229" i="56"/>
  <c r="L228" i="56"/>
  <c r="L227" i="56"/>
  <c r="L226" i="56"/>
  <c r="L225" i="56"/>
  <c r="L224" i="56"/>
  <c r="L223" i="56"/>
  <c r="L222" i="56"/>
  <c r="L221" i="56"/>
  <c r="L220" i="56"/>
  <c r="L219" i="56"/>
  <c r="L218" i="56"/>
  <c r="L217" i="56"/>
  <c r="L216" i="56"/>
  <c r="L215" i="56"/>
  <c r="L214" i="56"/>
  <c r="L213" i="56"/>
  <c r="L212" i="56"/>
  <c r="L211" i="56"/>
  <c r="L210" i="56"/>
  <c r="L209" i="56"/>
  <c r="L208" i="56"/>
  <c r="L207" i="56"/>
  <c r="L206" i="56"/>
  <c r="L205" i="56"/>
  <c r="L204" i="56"/>
  <c r="L203" i="56"/>
  <c r="L202" i="56"/>
  <c r="L201" i="56"/>
  <c r="L200" i="56"/>
  <c r="L199" i="56"/>
  <c r="L198" i="56"/>
  <c r="L197" i="56"/>
  <c r="L196" i="56"/>
  <c r="L195" i="56"/>
  <c r="L194" i="56"/>
  <c r="L193" i="56"/>
  <c r="L192" i="56"/>
  <c r="L191" i="56"/>
  <c r="L190" i="56"/>
  <c r="L189" i="56"/>
  <c r="L188" i="56"/>
  <c r="L187" i="56"/>
  <c r="L186" i="56"/>
  <c r="L185" i="56"/>
  <c r="L184" i="56"/>
  <c r="L183" i="56"/>
  <c r="L182" i="56"/>
  <c r="L181" i="56"/>
  <c r="L180" i="56"/>
  <c r="L179" i="56"/>
  <c r="L178" i="56"/>
  <c r="L177" i="56"/>
  <c r="L176" i="56"/>
  <c r="L175" i="56"/>
  <c r="L174" i="56"/>
  <c r="L173" i="56"/>
  <c r="L172" i="56"/>
  <c r="L171" i="56"/>
  <c r="L170" i="56"/>
  <c r="L169" i="56"/>
  <c r="L168" i="56"/>
  <c r="L167" i="56"/>
  <c r="L166" i="56"/>
  <c r="L165" i="56"/>
  <c r="L164" i="56"/>
  <c r="L163" i="56"/>
  <c r="L162" i="56"/>
  <c r="L161" i="56"/>
  <c r="L160" i="56"/>
  <c r="L159" i="56"/>
  <c r="L158" i="56"/>
  <c r="L157" i="56"/>
  <c r="L156" i="56"/>
  <c r="L155" i="56"/>
  <c r="L154" i="56"/>
  <c r="L153" i="56"/>
  <c r="L152" i="56"/>
  <c r="L151" i="56"/>
  <c r="L150" i="56"/>
  <c r="L149" i="56"/>
  <c r="L148" i="56"/>
  <c r="L147" i="56"/>
  <c r="L146" i="56"/>
  <c r="L145" i="56"/>
  <c r="L144" i="56"/>
  <c r="L143" i="56"/>
  <c r="L142" i="56"/>
  <c r="L141" i="56"/>
  <c r="L140" i="56"/>
  <c r="L139" i="56"/>
  <c r="L138" i="56"/>
  <c r="L137" i="56"/>
  <c r="L136" i="56"/>
  <c r="L135" i="56"/>
  <c r="L134" i="56"/>
  <c r="L133" i="56"/>
  <c r="L132" i="56"/>
  <c r="L131" i="56"/>
  <c r="L130" i="56"/>
  <c r="L129" i="56"/>
  <c r="L128" i="56"/>
  <c r="L127" i="56"/>
  <c r="L126" i="56"/>
  <c r="L125" i="56"/>
  <c r="L124" i="56"/>
  <c r="L123" i="56"/>
  <c r="L122" i="56"/>
  <c r="L121" i="56"/>
  <c r="L120" i="56"/>
  <c r="L119" i="56"/>
  <c r="L118" i="56"/>
  <c r="L117" i="56"/>
  <c r="L116" i="56"/>
  <c r="L115" i="56"/>
  <c r="L114" i="56"/>
  <c r="L113" i="56"/>
  <c r="L112" i="56"/>
  <c r="L111" i="56"/>
  <c r="L110" i="56"/>
  <c r="L109" i="56"/>
  <c r="L108" i="56"/>
  <c r="L107" i="56"/>
  <c r="L106" i="56"/>
  <c r="L105" i="56"/>
  <c r="L104" i="56"/>
  <c r="L103" i="56"/>
  <c r="L102" i="56"/>
  <c r="L101" i="56"/>
  <c r="L100" i="56"/>
  <c r="L99" i="56"/>
  <c r="L98" i="56"/>
  <c r="L97" i="56"/>
  <c r="L96" i="56"/>
  <c r="L95" i="56"/>
  <c r="L94" i="56"/>
  <c r="L93" i="56"/>
  <c r="L92" i="56"/>
  <c r="L91" i="56"/>
  <c r="L90" i="56"/>
  <c r="L89" i="56"/>
  <c r="L88" i="56"/>
  <c r="L87" i="56"/>
  <c r="L86" i="56"/>
  <c r="L85" i="56"/>
  <c r="L84" i="56"/>
  <c r="L83" i="56"/>
  <c r="L82" i="56"/>
  <c r="L81" i="56"/>
  <c r="L80" i="56"/>
  <c r="L79" i="56"/>
  <c r="L78" i="56"/>
  <c r="L77" i="56"/>
  <c r="L76" i="56"/>
  <c r="L75" i="56"/>
  <c r="L74" i="56"/>
  <c r="L73" i="56"/>
  <c r="L72" i="56"/>
  <c r="L71" i="56"/>
  <c r="L70" i="56"/>
  <c r="L69" i="56"/>
  <c r="L68" i="56"/>
  <c r="L67" i="56"/>
  <c r="L66" i="56"/>
  <c r="L65" i="56"/>
  <c r="L64" i="56"/>
  <c r="L63" i="56"/>
  <c r="L62" i="56"/>
  <c r="L61" i="56"/>
  <c r="L60" i="56"/>
  <c r="L59" i="56"/>
  <c r="L58" i="56"/>
  <c r="L57" i="56"/>
  <c r="L56" i="56"/>
  <c r="L55" i="56"/>
  <c r="L54" i="56"/>
  <c r="L53" i="56"/>
  <c r="L52" i="56"/>
  <c r="L51" i="56"/>
  <c r="L50" i="56"/>
  <c r="L49" i="56"/>
  <c r="L48" i="56"/>
  <c r="L47" i="56"/>
  <c r="L46" i="56"/>
  <c r="L45" i="56"/>
  <c r="L44" i="56"/>
  <c r="L43" i="56"/>
  <c r="L42" i="56"/>
  <c r="L41" i="56"/>
  <c r="L40" i="56"/>
  <c r="L39" i="56"/>
  <c r="L38" i="56"/>
  <c r="L37" i="56"/>
  <c r="L36" i="56"/>
  <c r="L35" i="56"/>
  <c r="L34" i="56"/>
  <c r="L33" i="56"/>
  <c r="L3" i="56"/>
  <c r="J3" i="56" a="1"/>
  <c r="J3" i="56" s="1"/>
  <c r="J18" i="53"/>
  <c r="C73" i="56" l="1"/>
  <c r="C59" i="56"/>
  <c r="C45" i="56"/>
  <c r="C31" i="56"/>
  <c r="C17" i="56"/>
  <c r="G46" i="56"/>
  <c r="G32" i="56"/>
  <c r="G18" i="56"/>
  <c r="G4" i="56"/>
  <c r="G42" i="56"/>
  <c r="A30" i="56"/>
  <c r="B28" i="56"/>
  <c r="C38" i="56"/>
  <c r="G9" i="56"/>
  <c r="G22" i="56"/>
  <c r="C19" i="56"/>
  <c r="C72" i="56"/>
  <c r="C58" i="56"/>
  <c r="C44" i="56"/>
  <c r="C30" i="56"/>
  <c r="C16" i="56"/>
  <c r="G45" i="56"/>
  <c r="G31" i="56"/>
  <c r="G17" i="56"/>
  <c r="G12" i="56"/>
  <c r="C10" i="56"/>
  <c r="C21" i="56"/>
  <c r="G21" i="56"/>
  <c r="C47" i="56"/>
  <c r="C71" i="56"/>
  <c r="C57" i="56"/>
  <c r="C43" i="56"/>
  <c r="C29" i="56"/>
  <c r="C15" i="56"/>
  <c r="G44" i="56"/>
  <c r="G30" i="56"/>
  <c r="G16" i="56"/>
  <c r="A9" i="56"/>
  <c r="C55" i="56"/>
  <c r="C13" i="56"/>
  <c r="G14" i="56"/>
  <c r="G26" i="56"/>
  <c r="C66" i="56"/>
  <c r="G25" i="56"/>
  <c r="C9" i="56"/>
  <c r="C70" i="56"/>
  <c r="C56" i="56"/>
  <c r="C42" i="56"/>
  <c r="C28" i="56"/>
  <c r="C14" i="56"/>
  <c r="G43" i="56"/>
  <c r="G29" i="56"/>
  <c r="G15" i="56"/>
  <c r="A16" i="56"/>
  <c r="C69" i="56"/>
  <c r="C41" i="56"/>
  <c r="C27" i="56"/>
  <c r="G28" i="56"/>
  <c r="C24" i="56"/>
  <c r="G11" i="56"/>
  <c r="G24" i="56"/>
  <c r="C68" i="56"/>
  <c r="C54" i="56"/>
  <c r="C40" i="56"/>
  <c r="C26" i="56"/>
  <c r="C12" i="56"/>
  <c r="G41" i="56"/>
  <c r="G27" i="56"/>
  <c r="G13" i="56"/>
  <c r="B14" i="56"/>
  <c r="C53" i="56"/>
  <c r="C39" i="56"/>
  <c r="C25" i="56"/>
  <c r="C11" i="56"/>
  <c r="G40" i="56"/>
  <c r="C52" i="56"/>
  <c r="G39" i="56"/>
  <c r="G10" i="56"/>
  <c r="G37" i="56"/>
  <c r="G8" i="56"/>
  <c r="G7" i="56"/>
  <c r="C33" i="56"/>
  <c r="G20" i="56"/>
  <c r="C67" i="56"/>
  <c r="G35" i="56"/>
  <c r="G5" i="56"/>
  <c r="C65" i="56"/>
  <c r="C51" i="56"/>
  <c r="C37" i="56"/>
  <c r="C23" i="56"/>
  <c r="G38" i="56"/>
  <c r="C5" i="56"/>
  <c r="C64" i="56"/>
  <c r="C50" i="56"/>
  <c r="C36" i="56"/>
  <c r="C22" i="56"/>
  <c r="C8" i="56"/>
  <c r="G23" i="56"/>
  <c r="G36" i="56"/>
  <c r="C63" i="56"/>
  <c r="C49" i="56"/>
  <c r="C35" i="56"/>
  <c r="C7" i="56"/>
  <c r="C62" i="56"/>
  <c r="C48" i="56"/>
  <c r="C34" i="56"/>
  <c r="C20" i="56"/>
  <c r="C6" i="56"/>
  <c r="G34" i="56"/>
  <c r="C61" i="56"/>
  <c r="G6" i="56"/>
  <c r="C60" i="56"/>
  <c r="C46" i="56"/>
  <c r="C32" i="56"/>
  <c r="C18" i="56"/>
  <c r="C4" i="56"/>
  <c r="G33" i="56"/>
  <c r="G19" i="56"/>
  <c r="A14" i="56"/>
  <c r="A26" i="56"/>
  <c r="B32" i="56"/>
  <c r="B15" i="56"/>
  <c r="A29" i="56"/>
  <c r="B4" i="56"/>
  <c r="A19" i="56"/>
  <c r="A20" i="56"/>
  <c r="A5" i="56"/>
  <c r="B9" i="56"/>
  <c r="A10" i="56"/>
  <c r="B12" i="56"/>
  <c r="B25" i="56"/>
  <c r="A23" i="56"/>
  <c r="A4" i="56"/>
  <c r="B6" i="56"/>
  <c r="A8" i="56"/>
  <c r="B29" i="56"/>
  <c r="A31" i="56"/>
  <c r="B18" i="56"/>
  <c r="B21" i="56"/>
  <c r="B23" i="56"/>
  <c r="A15" i="56"/>
  <c r="A6" i="56"/>
  <c r="B26" i="56"/>
  <c r="A28" i="56"/>
  <c r="A32" i="56"/>
  <c r="B20" i="56"/>
  <c r="B11" i="56"/>
  <c r="B33" i="56"/>
  <c r="A13" i="56"/>
  <c r="B19" i="56"/>
  <c r="A21" i="56"/>
  <c r="B17" i="56"/>
  <c r="A12" i="56"/>
  <c r="B8" i="56"/>
  <c r="A25" i="56"/>
  <c r="B13" i="56"/>
  <c r="B22" i="56"/>
  <c r="B27" i="56"/>
  <c r="A11" i="56"/>
  <c r="B30" i="56"/>
  <c r="B7" i="56"/>
  <c r="A24" i="56"/>
  <c r="A18" i="56"/>
  <c r="A22" i="56"/>
  <c r="A27" i="56"/>
  <c r="B16" i="56"/>
  <c r="B5" i="56"/>
  <c r="A7" i="56"/>
  <c r="B31" i="56"/>
  <c r="A17" i="56"/>
  <c r="A33" i="56"/>
  <c r="B24" i="56"/>
  <c r="B10" i="56"/>
  <c r="G78" i="56"/>
  <c r="G64" i="56"/>
  <c r="G50" i="56"/>
  <c r="A77" i="56"/>
  <c r="B72" i="56"/>
  <c r="A63" i="56"/>
  <c r="B58" i="56"/>
  <c r="A49" i="56"/>
  <c r="B44" i="56"/>
  <c r="G77" i="56"/>
  <c r="G63" i="56"/>
  <c r="G49" i="56"/>
  <c r="C76" i="56"/>
  <c r="A72" i="56"/>
  <c r="B67" i="56"/>
  <c r="A58" i="56"/>
  <c r="B53" i="56"/>
  <c r="A44" i="56"/>
  <c r="A57" i="56"/>
  <c r="G59" i="56"/>
  <c r="B75" i="56"/>
  <c r="B61" i="56"/>
  <c r="B47" i="56"/>
  <c r="G58" i="56"/>
  <c r="B70" i="56"/>
  <c r="B51" i="56"/>
  <c r="B68" i="56"/>
  <c r="G76" i="56"/>
  <c r="G62" i="56"/>
  <c r="G48" i="56"/>
  <c r="B76" i="56"/>
  <c r="A67" i="56"/>
  <c r="B62" i="56"/>
  <c r="A53" i="56"/>
  <c r="B48" i="56"/>
  <c r="G60" i="56"/>
  <c r="C75" i="56"/>
  <c r="A71" i="56"/>
  <c r="B66" i="56"/>
  <c r="B52" i="56"/>
  <c r="A75" i="56"/>
  <c r="A61" i="56"/>
  <c r="A47" i="56"/>
  <c r="G71" i="56"/>
  <c r="A70" i="56"/>
  <c r="C77" i="56"/>
  <c r="A59" i="56"/>
  <c r="A45" i="56"/>
  <c r="G75" i="56"/>
  <c r="G61" i="56"/>
  <c r="G47" i="56"/>
  <c r="A76" i="56"/>
  <c r="B71" i="56"/>
  <c r="A62" i="56"/>
  <c r="B57" i="56"/>
  <c r="A48" i="56"/>
  <c r="G74" i="56"/>
  <c r="G73" i="56"/>
  <c r="A66" i="56"/>
  <c r="A52" i="56"/>
  <c r="G72" i="56"/>
  <c r="B56" i="56"/>
  <c r="G57" i="56"/>
  <c r="C74" i="56"/>
  <c r="B65" i="56"/>
  <c r="A56" i="56"/>
  <c r="G52" i="56"/>
  <c r="B54" i="56"/>
  <c r="G70" i="56"/>
  <c r="G56" i="56"/>
  <c r="B74" i="56"/>
  <c r="A65" i="56"/>
  <c r="B60" i="56"/>
  <c r="A51" i="56"/>
  <c r="B46" i="56"/>
  <c r="G69" i="56"/>
  <c r="G55" i="56"/>
  <c r="C78" i="56"/>
  <c r="A74" i="56"/>
  <c r="B69" i="56"/>
  <c r="A60" i="56"/>
  <c r="B55" i="56"/>
  <c r="A46" i="56"/>
  <c r="A73" i="56"/>
  <c r="G68" i="56"/>
  <c r="G54" i="56"/>
  <c r="B78" i="56"/>
  <c r="A69" i="56"/>
  <c r="B64" i="56"/>
  <c r="A55" i="56"/>
  <c r="B50" i="56"/>
  <c r="G67" i="56"/>
  <c r="G53" i="56"/>
  <c r="A78" i="56"/>
  <c r="B73" i="56"/>
  <c r="A64" i="56"/>
  <c r="B59" i="56"/>
  <c r="A50" i="56"/>
  <c r="B45" i="56"/>
  <c r="G66" i="56"/>
  <c r="G65" i="56"/>
  <c r="G51" i="56"/>
  <c r="B77" i="56"/>
  <c r="A68" i="56"/>
  <c r="B63" i="56"/>
  <c r="A54" i="56"/>
  <c r="B49" i="56"/>
  <c r="H48" i="56" l="1"/>
  <c r="H8" i="56"/>
  <c r="H51" i="56"/>
  <c r="H15" i="56"/>
  <c r="H4" i="56"/>
  <c r="H45" i="56"/>
  <c r="H61" i="56"/>
  <c r="H67" i="56"/>
  <c r="H6" i="56"/>
  <c r="H54" i="56"/>
  <c r="H11" i="56"/>
  <c r="H62" i="56"/>
  <c r="H57" i="56"/>
  <c r="H76" i="56"/>
  <c r="H71" i="56"/>
  <c r="H65" i="56"/>
  <c r="H73" i="56"/>
  <c r="H66" i="56"/>
  <c r="H60" i="56"/>
  <c r="H9" i="56"/>
  <c r="H68" i="56"/>
  <c r="H55" i="56"/>
  <c r="H56" i="56"/>
  <c r="H46" i="56"/>
  <c r="H59" i="56"/>
  <c r="H69" i="56"/>
  <c r="H70" i="56"/>
  <c r="H47" i="56"/>
  <c r="H49" i="56"/>
  <c r="H5" i="56"/>
  <c r="H74" i="56"/>
  <c r="H63" i="56"/>
  <c r="H50" i="56"/>
  <c r="H72" i="56"/>
  <c r="H75" i="56"/>
  <c r="H44" i="56"/>
  <c r="H77" i="56"/>
  <c r="H64" i="56"/>
  <c r="H58" i="56"/>
  <c r="H78" i="56"/>
  <c r="H53" i="56"/>
  <c r="H10" i="56"/>
  <c r="H7" i="56"/>
  <c r="H52" i="56"/>
  <c r="H19" i="56"/>
  <c r="H17" i="56"/>
  <c r="H18" i="56"/>
  <c r="H20" i="56"/>
  <c r="H13" i="56"/>
  <c r="H16" i="56"/>
  <c r="H12" i="56"/>
  <c r="H14" i="56"/>
  <c r="B11" i="28" l="1"/>
  <c r="T485" i="29"/>
  <c r="S485" i="29"/>
  <c r="T484" i="29"/>
  <c r="S484" i="29"/>
  <c r="T483" i="29"/>
  <c r="S483" i="29"/>
  <c r="T482" i="29"/>
  <c r="S482" i="29"/>
  <c r="T481" i="29"/>
  <c r="S481" i="29"/>
  <c r="T480" i="29"/>
  <c r="S480" i="29"/>
  <c r="T479" i="29"/>
  <c r="S479" i="29"/>
  <c r="T478" i="29"/>
  <c r="S478" i="29"/>
  <c r="T477" i="29"/>
  <c r="S477" i="29"/>
  <c r="T476" i="29"/>
  <c r="S476" i="29"/>
  <c r="T475" i="29"/>
  <c r="S475" i="29"/>
  <c r="T474" i="29"/>
  <c r="S474" i="29"/>
  <c r="T473" i="29"/>
  <c r="S473" i="29"/>
  <c r="T472" i="29"/>
  <c r="S472" i="29"/>
  <c r="T471" i="29"/>
  <c r="S471" i="29"/>
  <c r="T470" i="29"/>
  <c r="S470" i="29"/>
  <c r="T469" i="29"/>
  <c r="S469" i="29"/>
  <c r="T468" i="29"/>
  <c r="S468" i="29"/>
  <c r="T467" i="29"/>
  <c r="S467" i="29"/>
  <c r="T466" i="29"/>
  <c r="S466" i="29"/>
  <c r="T465" i="29"/>
  <c r="S465" i="29"/>
  <c r="T464" i="29"/>
  <c r="S464" i="29"/>
  <c r="T463" i="29"/>
  <c r="S463" i="29"/>
  <c r="T462" i="29"/>
  <c r="S462" i="29"/>
  <c r="T461" i="29"/>
  <c r="S461" i="29"/>
  <c r="T460" i="29"/>
  <c r="S460" i="29"/>
  <c r="T459" i="29"/>
  <c r="S459" i="29"/>
  <c r="T458" i="29"/>
  <c r="S458" i="29"/>
  <c r="T457" i="29"/>
  <c r="S457" i="29"/>
  <c r="T456" i="29"/>
  <c r="S456" i="29"/>
  <c r="T455" i="29"/>
  <c r="S455" i="29"/>
  <c r="T454" i="29"/>
  <c r="S454" i="29"/>
  <c r="T453" i="29"/>
  <c r="S453" i="29"/>
  <c r="T452" i="29"/>
  <c r="S452" i="29"/>
  <c r="T451" i="29"/>
  <c r="S451" i="29"/>
  <c r="T450" i="29"/>
  <c r="S450" i="29"/>
  <c r="T449" i="29"/>
  <c r="S449" i="29"/>
  <c r="T448" i="29"/>
  <c r="S448" i="29"/>
  <c r="T447" i="29"/>
  <c r="S447" i="29"/>
  <c r="T446" i="29"/>
  <c r="S446" i="29"/>
  <c r="T445" i="29"/>
  <c r="S445" i="29"/>
  <c r="T444" i="29"/>
  <c r="S444" i="29"/>
  <c r="T443" i="29"/>
  <c r="S443" i="29"/>
  <c r="T442" i="29"/>
  <c r="S442" i="29"/>
  <c r="T441" i="29"/>
  <c r="S441" i="29"/>
  <c r="T440" i="29"/>
  <c r="S440" i="29"/>
  <c r="T439" i="29"/>
  <c r="S439" i="29"/>
  <c r="T438" i="29"/>
  <c r="S438" i="29"/>
  <c r="T437" i="29"/>
  <c r="S437" i="29"/>
  <c r="T436" i="29"/>
  <c r="S436" i="29"/>
  <c r="T435" i="29"/>
  <c r="S435" i="29"/>
  <c r="T434" i="29"/>
  <c r="S434" i="29"/>
  <c r="T433" i="29"/>
  <c r="S433" i="29"/>
  <c r="T432" i="29"/>
  <c r="S432" i="29"/>
  <c r="T431" i="29"/>
  <c r="S431" i="29"/>
  <c r="T430" i="29"/>
  <c r="S430" i="29"/>
  <c r="T429" i="29"/>
  <c r="S429" i="29"/>
  <c r="T428" i="29"/>
  <c r="S428" i="29"/>
  <c r="T427" i="29"/>
  <c r="S427" i="29"/>
  <c r="T426" i="29"/>
  <c r="S426" i="29"/>
  <c r="T425" i="29"/>
  <c r="S425" i="29"/>
  <c r="T424" i="29"/>
  <c r="S424" i="29"/>
  <c r="T423" i="29"/>
  <c r="S423" i="29"/>
  <c r="T422" i="29"/>
  <c r="S422" i="29"/>
  <c r="T421" i="29"/>
  <c r="S421" i="29"/>
  <c r="T420" i="29"/>
  <c r="S420" i="29"/>
  <c r="T419" i="29"/>
  <c r="S419" i="29"/>
  <c r="T418" i="29"/>
  <c r="S418" i="29"/>
  <c r="T417" i="29"/>
  <c r="S417" i="29"/>
  <c r="T416" i="29"/>
  <c r="S416" i="29"/>
  <c r="T415" i="29"/>
  <c r="S415" i="29"/>
  <c r="T414" i="29"/>
  <c r="S414" i="29"/>
  <c r="T413" i="29"/>
  <c r="S413" i="29"/>
  <c r="T412" i="29"/>
  <c r="S412" i="29"/>
  <c r="T411" i="29"/>
  <c r="S411" i="29"/>
  <c r="T410" i="29"/>
  <c r="S410" i="29"/>
  <c r="T409" i="29"/>
  <c r="S409" i="29"/>
  <c r="T408" i="29"/>
  <c r="S408" i="29"/>
  <c r="T407" i="29"/>
  <c r="S407" i="29"/>
  <c r="T406" i="29"/>
  <c r="S406" i="29"/>
  <c r="T405" i="29"/>
  <c r="S405" i="29"/>
  <c r="T404" i="29"/>
  <c r="S404" i="29"/>
  <c r="T403" i="29"/>
  <c r="S403" i="29"/>
  <c r="T402" i="29"/>
  <c r="S402" i="29"/>
  <c r="T401" i="29"/>
  <c r="S401" i="29"/>
  <c r="T400" i="29"/>
  <c r="S400" i="29"/>
  <c r="T399" i="29"/>
  <c r="S399" i="29"/>
  <c r="T398" i="29"/>
  <c r="S398" i="29"/>
  <c r="T397" i="29"/>
  <c r="S397" i="29"/>
  <c r="T396" i="29"/>
  <c r="S396" i="29"/>
  <c r="T395" i="29"/>
  <c r="S395" i="29"/>
  <c r="T394" i="29"/>
  <c r="S394" i="29"/>
  <c r="T393" i="29"/>
  <c r="S393" i="29"/>
  <c r="T392" i="29"/>
  <c r="S392" i="29"/>
  <c r="T391" i="29"/>
  <c r="S391" i="29"/>
  <c r="T390" i="29"/>
  <c r="S390" i="29"/>
  <c r="T389" i="29"/>
  <c r="S389" i="29"/>
  <c r="T388" i="29"/>
  <c r="S388" i="29"/>
  <c r="T387" i="29"/>
  <c r="S387" i="29"/>
  <c r="T386" i="29"/>
  <c r="S386" i="29"/>
  <c r="T385" i="29"/>
  <c r="S385" i="29"/>
  <c r="T384" i="29"/>
  <c r="S384" i="29"/>
  <c r="T383" i="29"/>
  <c r="S383" i="29"/>
  <c r="T382" i="29"/>
  <c r="S382" i="29"/>
  <c r="T381" i="29"/>
  <c r="S381" i="29"/>
  <c r="T380" i="29"/>
  <c r="S380" i="29"/>
  <c r="T379" i="29"/>
  <c r="S379" i="29"/>
  <c r="T378" i="29"/>
  <c r="S378" i="29"/>
  <c r="T377" i="29"/>
  <c r="S377" i="29"/>
  <c r="T376" i="29"/>
  <c r="S376" i="29"/>
  <c r="T375" i="29"/>
  <c r="S375" i="29"/>
  <c r="T374" i="29"/>
  <c r="S374" i="29"/>
  <c r="T373" i="29"/>
  <c r="S373" i="29"/>
  <c r="T372" i="29"/>
  <c r="S372" i="29"/>
  <c r="T371" i="29"/>
  <c r="S371" i="29"/>
  <c r="T370" i="29"/>
  <c r="S370" i="29"/>
  <c r="T369" i="29"/>
  <c r="S369" i="29"/>
  <c r="T368" i="29"/>
  <c r="S368" i="29"/>
  <c r="T367" i="29"/>
  <c r="S367" i="29"/>
  <c r="T366" i="29"/>
  <c r="S366" i="29"/>
  <c r="T365" i="29"/>
  <c r="S365" i="29"/>
  <c r="T364" i="29"/>
  <c r="S364" i="29"/>
  <c r="T363" i="29"/>
  <c r="S363" i="29"/>
  <c r="T362" i="29"/>
  <c r="S362" i="29"/>
  <c r="T361" i="29"/>
  <c r="S361" i="29"/>
  <c r="T360" i="29"/>
  <c r="S360" i="29"/>
  <c r="T359" i="29"/>
  <c r="S359" i="29"/>
  <c r="T358" i="29"/>
  <c r="S358" i="29"/>
  <c r="T357" i="29"/>
  <c r="S357" i="29"/>
  <c r="T356" i="29"/>
  <c r="S356" i="29"/>
  <c r="T355" i="29"/>
  <c r="S355" i="29"/>
  <c r="T354" i="29"/>
  <c r="S354" i="29"/>
  <c r="T353" i="29"/>
  <c r="S353" i="29"/>
  <c r="T352" i="29"/>
  <c r="S352" i="29"/>
  <c r="T351" i="29"/>
  <c r="S351" i="29"/>
  <c r="T350" i="29"/>
  <c r="S350" i="29"/>
  <c r="T349" i="29"/>
  <c r="S349" i="29"/>
  <c r="T348" i="29"/>
  <c r="S348" i="29"/>
  <c r="T347" i="29"/>
  <c r="S347" i="29"/>
  <c r="T346" i="29"/>
  <c r="S346" i="29"/>
  <c r="T345" i="29"/>
  <c r="S345" i="29"/>
  <c r="T344" i="29"/>
  <c r="S344" i="29"/>
  <c r="T343" i="29"/>
  <c r="S343" i="29"/>
  <c r="T342" i="29"/>
  <c r="S342" i="29"/>
  <c r="T341" i="29"/>
  <c r="S341" i="29"/>
  <c r="T340" i="29"/>
  <c r="S340" i="29"/>
  <c r="T339" i="29"/>
  <c r="S339" i="29"/>
  <c r="T338" i="29"/>
  <c r="S338" i="29"/>
  <c r="T337" i="29"/>
  <c r="S337" i="29"/>
  <c r="T336" i="29"/>
  <c r="S336" i="29"/>
  <c r="T335" i="29"/>
  <c r="S335" i="29"/>
  <c r="T334" i="29"/>
  <c r="S334" i="29"/>
  <c r="T333" i="29"/>
  <c r="S333" i="29"/>
  <c r="T332" i="29"/>
  <c r="S332" i="29"/>
  <c r="T331" i="29"/>
  <c r="S331" i="29"/>
  <c r="T330" i="29"/>
  <c r="S330" i="29"/>
  <c r="T329" i="29"/>
  <c r="S329" i="29"/>
  <c r="T328" i="29"/>
  <c r="S328" i="29"/>
  <c r="T327" i="29"/>
  <c r="S327" i="29"/>
  <c r="T326" i="29"/>
  <c r="S326" i="29"/>
  <c r="T325" i="29"/>
  <c r="S325" i="29"/>
  <c r="T324" i="29"/>
  <c r="S324" i="29"/>
  <c r="T323" i="29"/>
  <c r="S323" i="29"/>
  <c r="T322" i="29"/>
  <c r="S322" i="29"/>
  <c r="T321" i="29"/>
  <c r="S321" i="29"/>
  <c r="T320" i="29"/>
  <c r="S320" i="29"/>
  <c r="T319" i="29"/>
  <c r="S319" i="29"/>
  <c r="T318" i="29"/>
  <c r="S318" i="29"/>
  <c r="T317" i="29"/>
  <c r="S317" i="29"/>
  <c r="T316" i="29"/>
  <c r="S316" i="29"/>
  <c r="T315" i="29"/>
  <c r="S315" i="29"/>
  <c r="T314" i="29"/>
  <c r="S314" i="29"/>
  <c r="T313" i="29"/>
  <c r="S313" i="29"/>
  <c r="T312" i="29"/>
  <c r="S312" i="29"/>
  <c r="T311" i="29"/>
  <c r="S311" i="29"/>
  <c r="T310" i="29"/>
  <c r="S310" i="29"/>
  <c r="T309" i="29"/>
  <c r="S309" i="29"/>
  <c r="T308" i="29"/>
  <c r="S308" i="29"/>
  <c r="T307" i="29"/>
  <c r="S307" i="29"/>
  <c r="T306" i="29"/>
  <c r="S306" i="29"/>
  <c r="T305" i="29"/>
  <c r="S305" i="29"/>
  <c r="T304" i="29"/>
  <c r="S304" i="29"/>
  <c r="T303" i="29"/>
  <c r="S303" i="29"/>
  <c r="T302" i="29"/>
  <c r="S302" i="29"/>
  <c r="T301" i="29"/>
  <c r="S301" i="29"/>
  <c r="T300" i="29"/>
  <c r="S300" i="29"/>
  <c r="T299" i="29"/>
  <c r="S299" i="29"/>
  <c r="T298" i="29"/>
  <c r="S298" i="29"/>
  <c r="T297" i="29"/>
  <c r="S297" i="29"/>
  <c r="T296" i="29"/>
  <c r="S296" i="29"/>
  <c r="T295" i="29"/>
  <c r="S295" i="29"/>
  <c r="T294" i="29"/>
  <c r="S294" i="29"/>
  <c r="T293" i="29"/>
  <c r="S293" i="29"/>
  <c r="T292" i="29"/>
  <c r="S292" i="29"/>
  <c r="T291" i="29"/>
  <c r="S291" i="29"/>
  <c r="T290" i="29"/>
  <c r="S290" i="29"/>
  <c r="T289" i="29"/>
  <c r="S289" i="29"/>
  <c r="T288" i="29"/>
  <c r="S288" i="29"/>
  <c r="T287" i="29"/>
  <c r="S287" i="29"/>
  <c r="T286" i="29"/>
  <c r="S286" i="29"/>
  <c r="T285" i="29"/>
  <c r="S285" i="29"/>
  <c r="T284" i="29"/>
  <c r="S284" i="29"/>
  <c r="T283" i="29"/>
  <c r="S283" i="29"/>
  <c r="T282" i="29"/>
  <c r="S282" i="29"/>
  <c r="T281" i="29"/>
  <c r="S281" i="29"/>
  <c r="T280" i="29"/>
  <c r="S280" i="29"/>
  <c r="T279" i="29"/>
  <c r="S279" i="29"/>
  <c r="T278" i="29"/>
  <c r="S278" i="29"/>
  <c r="T277" i="29"/>
  <c r="S277" i="29"/>
  <c r="T276" i="29"/>
  <c r="S276" i="29"/>
  <c r="T275" i="29"/>
  <c r="S275" i="29"/>
  <c r="T274" i="29"/>
  <c r="S274" i="29"/>
  <c r="T273" i="29"/>
  <c r="S273" i="29"/>
  <c r="T272" i="29"/>
  <c r="S272" i="29"/>
  <c r="T271" i="29"/>
  <c r="S271" i="29"/>
  <c r="T270" i="29"/>
  <c r="S270" i="29"/>
  <c r="T269" i="29"/>
  <c r="S269" i="29"/>
  <c r="T268" i="29"/>
  <c r="S268" i="29"/>
  <c r="T267" i="29"/>
  <c r="S267" i="29"/>
  <c r="T266" i="29"/>
  <c r="S266" i="29"/>
  <c r="T265" i="29"/>
  <c r="S265" i="29"/>
  <c r="T264" i="29"/>
  <c r="S264" i="29"/>
  <c r="T263" i="29"/>
  <c r="S263" i="29"/>
  <c r="T262" i="29"/>
  <c r="S262" i="29"/>
  <c r="T261" i="29"/>
  <c r="S261" i="29"/>
  <c r="T260" i="29"/>
  <c r="S260" i="29"/>
  <c r="T259" i="29"/>
  <c r="S259" i="29"/>
  <c r="T258" i="29"/>
  <c r="S258" i="29"/>
  <c r="T257" i="29"/>
  <c r="S257" i="29"/>
  <c r="T256" i="29"/>
  <c r="S256" i="29"/>
  <c r="T255" i="29"/>
  <c r="S255" i="29"/>
  <c r="T254" i="29"/>
  <c r="S254" i="29"/>
  <c r="T253" i="29"/>
  <c r="S253" i="29"/>
  <c r="T252" i="29"/>
  <c r="S252" i="29"/>
  <c r="T251" i="29"/>
  <c r="S251" i="29"/>
  <c r="T250" i="29"/>
  <c r="S250" i="29"/>
  <c r="T249" i="29"/>
  <c r="S249" i="29"/>
  <c r="T248" i="29"/>
  <c r="S248" i="29"/>
  <c r="T247" i="29"/>
  <c r="S247" i="29"/>
  <c r="T246" i="29"/>
  <c r="S246" i="29"/>
  <c r="T245" i="29"/>
  <c r="S245" i="29"/>
  <c r="T244" i="29"/>
  <c r="S244" i="29"/>
  <c r="T243" i="29"/>
  <c r="S243" i="29"/>
  <c r="T242" i="29"/>
  <c r="S242" i="29"/>
  <c r="T241" i="29"/>
  <c r="S241" i="29"/>
  <c r="T240" i="29"/>
  <c r="S240" i="29"/>
  <c r="T239" i="29"/>
  <c r="S239" i="29"/>
  <c r="T238" i="29"/>
  <c r="S238" i="29"/>
  <c r="T237" i="29"/>
  <c r="S237" i="29"/>
  <c r="T236" i="29"/>
  <c r="S236" i="29"/>
  <c r="T235" i="29"/>
  <c r="S235" i="29"/>
  <c r="T234" i="29"/>
  <c r="S234" i="29"/>
  <c r="T233" i="29"/>
  <c r="S233" i="29"/>
  <c r="T232" i="29"/>
  <c r="S232" i="29"/>
  <c r="T231" i="29"/>
  <c r="S231" i="29"/>
  <c r="T230" i="29"/>
  <c r="S230" i="29"/>
  <c r="T229" i="29"/>
  <c r="S229" i="29"/>
  <c r="T228" i="29"/>
  <c r="S228" i="29"/>
  <c r="T227" i="29"/>
  <c r="S227" i="29"/>
  <c r="T226" i="29"/>
  <c r="S226" i="29"/>
  <c r="T225" i="29"/>
  <c r="S225" i="29"/>
  <c r="T224" i="29"/>
  <c r="S224" i="29"/>
  <c r="T223" i="29"/>
  <c r="S223" i="29"/>
  <c r="T222" i="29"/>
  <c r="S222" i="29"/>
  <c r="T221" i="29"/>
  <c r="S221" i="29"/>
  <c r="T220" i="29"/>
  <c r="S220" i="29"/>
  <c r="T219" i="29"/>
  <c r="S219" i="29"/>
  <c r="T218" i="29"/>
  <c r="S218" i="29"/>
  <c r="T217" i="29"/>
  <c r="S217" i="29"/>
  <c r="T216" i="29"/>
  <c r="S216" i="29"/>
  <c r="T215" i="29"/>
  <c r="S215" i="29"/>
  <c r="T214" i="29"/>
  <c r="S214" i="29"/>
  <c r="T213" i="29"/>
  <c r="S213" i="29"/>
  <c r="T212" i="29"/>
  <c r="S212" i="29"/>
  <c r="T211" i="29"/>
  <c r="S211" i="29"/>
  <c r="T210" i="29"/>
  <c r="S210" i="29"/>
  <c r="T209" i="29"/>
  <c r="S209" i="29"/>
  <c r="T208" i="29"/>
  <c r="S208" i="29"/>
  <c r="T207" i="29"/>
  <c r="S207" i="29"/>
  <c r="T206" i="29"/>
  <c r="S206" i="29"/>
  <c r="T205" i="29"/>
  <c r="S205" i="29"/>
  <c r="T204" i="29"/>
  <c r="S204" i="29"/>
  <c r="T203" i="29"/>
  <c r="S203" i="29"/>
  <c r="T202" i="29"/>
  <c r="S202" i="29"/>
  <c r="T201" i="29"/>
  <c r="S201" i="29"/>
  <c r="T200" i="29"/>
  <c r="S200" i="29"/>
  <c r="T199" i="29"/>
  <c r="S199" i="29"/>
  <c r="T198" i="29"/>
  <c r="S198" i="29"/>
  <c r="T197" i="29"/>
  <c r="S197" i="29"/>
  <c r="T196" i="29"/>
  <c r="S196" i="29"/>
  <c r="T195" i="29"/>
  <c r="S195" i="29"/>
  <c r="T194" i="29"/>
  <c r="S194" i="29"/>
  <c r="T193" i="29"/>
  <c r="S193" i="29"/>
  <c r="T192" i="29"/>
  <c r="S192" i="29"/>
  <c r="T191" i="29"/>
  <c r="S191" i="29"/>
  <c r="T190" i="29"/>
  <c r="S190" i="29"/>
  <c r="T189" i="29"/>
  <c r="S189" i="29"/>
  <c r="T188" i="29"/>
  <c r="S188" i="29"/>
  <c r="T187" i="29"/>
  <c r="S187" i="29"/>
  <c r="T186" i="29"/>
  <c r="S186" i="29"/>
  <c r="T185" i="29"/>
  <c r="S185" i="29"/>
  <c r="T184" i="29"/>
  <c r="S184" i="29"/>
  <c r="T183" i="29"/>
  <c r="S183" i="29"/>
  <c r="T182" i="29"/>
  <c r="S182" i="29"/>
  <c r="T181" i="29"/>
  <c r="S181" i="29"/>
  <c r="T180" i="29"/>
  <c r="S180" i="29"/>
  <c r="T179" i="29"/>
  <c r="S179" i="29"/>
  <c r="T178" i="29"/>
  <c r="S178" i="29"/>
  <c r="T177" i="29"/>
  <c r="S177" i="29"/>
  <c r="T176" i="29"/>
  <c r="S176" i="29"/>
  <c r="T175" i="29"/>
  <c r="S175" i="29"/>
  <c r="T174" i="29"/>
  <c r="S174" i="29"/>
  <c r="T173" i="29"/>
  <c r="S173" i="29"/>
  <c r="T172" i="29"/>
  <c r="S172" i="29"/>
  <c r="T171" i="29"/>
  <c r="S171" i="29"/>
  <c r="T170" i="29"/>
  <c r="S170" i="29"/>
  <c r="T169" i="29"/>
  <c r="S169" i="29"/>
  <c r="T168" i="29"/>
  <c r="S168" i="29"/>
  <c r="T167" i="29"/>
  <c r="S167" i="29"/>
  <c r="T166" i="29"/>
  <c r="S166" i="29"/>
  <c r="T165" i="29"/>
  <c r="S165" i="29"/>
  <c r="T164" i="29"/>
  <c r="S164" i="29"/>
  <c r="T163" i="29"/>
  <c r="S163" i="29"/>
  <c r="T162" i="29"/>
  <c r="S162" i="29"/>
  <c r="T161" i="29"/>
  <c r="S161" i="29"/>
  <c r="T160" i="29"/>
  <c r="S160" i="29"/>
  <c r="T159" i="29"/>
  <c r="S159" i="29"/>
  <c r="T158" i="29"/>
  <c r="S158" i="29"/>
  <c r="T157" i="29"/>
  <c r="S157" i="29"/>
  <c r="T156" i="29"/>
  <c r="S156" i="29"/>
  <c r="T155" i="29"/>
  <c r="S155" i="29"/>
  <c r="T154" i="29"/>
  <c r="S154" i="29"/>
  <c r="T153" i="29"/>
  <c r="S153" i="29"/>
  <c r="T152" i="29"/>
  <c r="S152" i="29"/>
  <c r="T151" i="29"/>
  <c r="S151" i="29"/>
  <c r="T150" i="29"/>
  <c r="S150" i="29"/>
  <c r="T149" i="29"/>
  <c r="S149" i="29"/>
  <c r="T148" i="29"/>
  <c r="S148" i="29"/>
  <c r="T147" i="29"/>
  <c r="S147" i="29"/>
  <c r="T146" i="29"/>
  <c r="S146" i="29"/>
  <c r="T145" i="29"/>
  <c r="S145" i="29"/>
  <c r="T144" i="29"/>
  <c r="S144" i="29"/>
  <c r="T143" i="29"/>
  <c r="S143" i="29"/>
  <c r="T142" i="29"/>
  <c r="S142" i="29"/>
  <c r="T141" i="29"/>
  <c r="S141" i="29"/>
  <c r="T140" i="29"/>
  <c r="S140" i="29"/>
  <c r="T139" i="29"/>
  <c r="S139" i="29"/>
  <c r="T138" i="29"/>
  <c r="S138" i="29"/>
  <c r="T137" i="29"/>
  <c r="S137" i="29"/>
  <c r="T136" i="29"/>
  <c r="S136" i="29"/>
  <c r="T135" i="29"/>
  <c r="S135" i="29"/>
  <c r="T134" i="29"/>
  <c r="S134" i="29"/>
  <c r="T133" i="29"/>
  <c r="S133" i="29"/>
  <c r="T132" i="29"/>
  <c r="S132" i="29"/>
  <c r="T131" i="29"/>
  <c r="S131" i="29"/>
  <c r="T130" i="29"/>
  <c r="S130" i="29"/>
  <c r="T129" i="29"/>
  <c r="S129" i="29"/>
  <c r="T128" i="29"/>
  <c r="S128" i="29"/>
  <c r="T127" i="29"/>
  <c r="S127" i="29"/>
  <c r="T126" i="29"/>
  <c r="S126" i="29"/>
  <c r="T125" i="29"/>
  <c r="S125" i="29"/>
  <c r="T124" i="29"/>
  <c r="S124" i="29"/>
  <c r="T123" i="29"/>
  <c r="S123" i="29"/>
  <c r="T122" i="29"/>
  <c r="S122" i="29"/>
  <c r="T121" i="29"/>
  <c r="S121" i="29"/>
  <c r="T120" i="29"/>
  <c r="S120" i="29"/>
  <c r="T119" i="29"/>
  <c r="S119" i="29"/>
  <c r="T118" i="29"/>
  <c r="S118" i="29"/>
  <c r="T117" i="29"/>
  <c r="S117" i="29"/>
  <c r="T116" i="29"/>
  <c r="S116" i="29"/>
  <c r="T115" i="29"/>
  <c r="S115" i="29"/>
  <c r="T114" i="29"/>
  <c r="S114" i="29"/>
  <c r="T113" i="29"/>
  <c r="S113" i="29"/>
  <c r="T112" i="29"/>
  <c r="S112" i="29"/>
  <c r="T111" i="29"/>
  <c r="S111" i="29"/>
  <c r="T110" i="29"/>
  <c r="S110" i="29"/>
  <c r="T109" i="29"/>
  <c r="S109" i="29"/>
  <c r="T108" i="29"/>
  <c r="S108" i="29"/>
  <c r="T107" i="29"/>
  <c r="S107" i="29"/>
  <c r="T106" i="29"/>
  <c r="S106" i="29"/>
  <c r="T105" i="29"/>
  <c r="S105" i="29"/>
  <c r="T104" i="29"/>
  <c r="S104" i="29"/>
  <c r="T103" i="29"/>
  <c r="S103" i="29"/>
  <c r="T102" i="29"/>
  <c r="S102" i="29"/>
  <c r="T101" i="29"/>
  <c r="S101" i="29"/>
  <c r="T100" i="29"/>
  <c r="S100" i="29"/>
  <c r="T99" i="29"/>
  <c r="S99" i="29"/>
  <c r="T98" i="29"/>
  <c r="S98" i="29"/>
  <c r="T97" i="29"/>
  <c r="S97" i="29"/>
  <c r="T96" i="29"/>
  <c r="S96" i="29"/>
  <c r="T95" i="29"/>
  <c r="S95" i="29"/>
  <c r="T94" i="29"/>
  <c r="S94" i="29"/>
  <c r="T93" i="29"/>
  <c r="S93" i="29"/>
  <c r="T92" i="29"/>
  <c r="S92" i="29"/>
  <c r="T91" i="29"/>
  <c r="S91" i="29"/>
  <c r="T90" i="29"/>
  <c r="S90" i="29"/>
  <c r="T89" i="29"/>
  <c r="S89" i="29"/>
  <c r="T88" i="29"/>
  <c r="S88" i="29"/>
  <c r="T87" i="29"/>
  <c r="S87" i="29"/>
  <c r="T86" i="29"/>
  <c r="S86" i="29"/>
  <c r="T85" i="29"/>
  <c r="S85" i="29"/>
  <c r="T84" i="29"/>
  <c r="S84" i="29"/>
  <c r="T83" i="29"/>
  <c r="S83" i="29"/>
  <c r="T82" i="29"/>
  <c r="S82" i="29"/>
  <c r="T81" i="29"/>
  <c r="S81" i="29"/>
  <c r="T80" i="29"/>
  <c r="S80" i="29"/>
  <c r="T79" i="29"/>
  <c r="S79" i="29"/>
  <c r="T78" i="29"/>
  <c r="S78" i="29"/>
  <c r="T77" i="29"/>
  <c r="S77" i="29"/>
  <c r="T76" i="29"/>
  <c r="S76" i="29"/>
  <c r="T75" i="29"/>
  <c r="S75" i="29"/>
  <c r="T74" i="29"/>
  <c r="S74" i="29"/>
  <c r="T73" i="29"/>
  <c r="S73" i="29"/>
  <c r="T72" i="29"/>
  <c r="S72" i="29"/>
  <c r="T71" i="29"/>
  <c r="S71" i="29"/>
  <c r="T70" i="29"/>
  <c r="S70" i="29"/>
  <c r="T69" i="29"/>
  <c r="S69" i="29"/>
  <c r="T68" i="29"/>
  <c r="S68" i="29"/>
  <c r="T67" i="29"/>
  <c r="S67" i="29"/>
  <c r="T66" i="29"/>
  <c r="S66" i="29"/>
  <c r="T65" i="29"/>
  <c r="S65" i="29"/>
  <c r="T64" i="29"/>
  <c r="S64" i="29"/>
  <c r="T63" i="29"/>
  <c r="S63" i="29"/>
  <c r="T62" i="29"/>
  <c r="S62" i="29"/>
  <c r="T61" i="29"/>
  <c r="S61" i="29"/>
  <c r="T60" i="29"/>
  <c r="S60" i="29"/>
  <c r="T59" i="29"/>
  <c r="S59" i="29"/>
  <c r="T58" i="29"/>
  <c r="S58" i="29"/>
  <c r="T57" i="29"/>
  <c r="S57" i="29"/>
  <c r="T56" i="29"/>
  <c r="S56" i="29"/>
  <c r="T55" i="29"/>
  <c r="S55" i="29"/>
  <c r="T54" i="29"/>
  <c r="S54" i="29"/>
  <c r="T53" i="29"/>
  <c r="S53" i="29"/>
  <c r="T52" i="29"/>
  <c r="S52" i="29"/>
  <c r="T51" i="29"/>
  <c r="S51" i="29"/>
  <c r="T50" i="29"/>
  <c r="S50" i="29"/>
  <c r="T49" i="29"/>
  <c r="S49" i="29"/>
  <c r="T48" i="29"/>
  <c r="S48" i="29"/>
  <c r="T47" i="29"/>
  <c r="S47" i="29"/>
  <c r="T46" i="29"/>
  <c r="S46" i="29"/>
  <c r="T45" i="29"/>
  <c r="S45" i="29"/>
  <c r="T44" i="29"/>
  <c r="S44" i="29"/>
  <c r="T43" i="29"/>
  <c r="S43" i="29"/>
  <c r="T42" i="29"/>
  <c r="S42" i="29"/>
  <c r="T41" i="29"/>
  <c r="S41" i="29"/>
  <c r="T40" i="29"/>
  <c r="S40" i="29"/>
  <c r="T39" i="29"/>
  <c r="S39" i="29"/>
  <c r="T38" i="29"/>
  <c r="S38" i="29"/>
  <c r="T37" i="29"/>
  <c r="S37" i="29"/>
  <c r="T36" i="29"/>
  <c r="S36" i="29"/>
  <c r="T35" i="29"/>
  <c r="S35" i="29"/>
  <c r="T34" i="29"/>
  <c r="S34" i="29"/>
  <c r="T33" i="29"/>
  <c r="S33" i="29"/>
  <c r="T32" i="29"/>
  <c r="S32" i="29"/>
  <c r="T31" i="29"/>
  <c r="S31" i="29"/>
  <c r="T30" i="29"/>
  <c r="S30" i="29"/>
  <c r="T29" i="29"/>
  <c r="S29" i="29"/>
  <c r="T28" i="29"/>
  <c r="S28" i="29"/>
  <c r="T27" i="29"/>
  <c r="S27" i="29"/>
  <c r="T26" i="29"/>
  <c r="S26" i="29"/>
  <c r="T25" i="29"/>
  <c r="S25" i="29"/>
  <c r="T24" i="29"/>
  <c r="S24" i="29"/>
  <c r="T23" i="29"/>
  <c r="S23" i="29"/>
  <c r="T22" i="29"/>
  <c r="S22" i="29"/>
  <c r="T21" i="29"/>
  <c r="S21" i="29"/>
  <c r="T20" i="29"/>
  <c r="S20" i="29"/>
  <c r="T19" i="29"/>
  <c r="S19" i="29"/>
  <c r="T18" i="29"/>
  <c r="S18" i="29"/>
  <c r="T17" i="29"/>
  <c r="S17" i="29"/>
  <c r="T16" i="29"/>
  <c r="S16" i="29"/>
  <c r="T15" i="29"/>
  <c r="S15" i="29"/>
  <c r="T14" i="29"/>
  <c r="S14" i="29"/>
  <c r="T13" i="29"/>
  <c r="S13" i="29"/>
  <c r="T12" i="29"/>
  <c r="S12" i="29"/>
  <c r="T11" i="29"/>
  <c r="S11" i="29"/>
  <c r="T10" i="29"/>
  <c r="S10" i="29"/>
  <c r="T9" i="29"/>
  <c r="S9" i="29"/>
  <c r="T8" i="29"/>
  <c r="S8" i="29"/>
  <c r="T7" i="29"/>
  <c r="S7" i="29"/>
  <c r="T6" i="29"/>
  <c r="S6" i="29"/>
  <c r="S5" i="29"/>
  <c r="T5" i="29"/>
  <c r="AO7" i="45" l="1"/>
  <c r="AO8" i="45"/>
  <c r="AO9" i="45"/>
  <c r="AO10" i="45"/>
  <c r="AO11" i="45"/>
  <c r="AO12" i="45"/>
  <c r="AO13" i="45"/>
  <c r="AO14" i="45"/>
  <c r="AO15" i="45"/>
  <c r="AO16" i="45"/>
  <c r="AO17" i="45"/>
  <c r="P55" i="15" l="1"/>
  <c r="P56" i="15"/>
  <c r="P57" i="15"/>
  <c r="P58" i="15"/>
  <c r="P59" i="15"/>
  <c r="P60" i="15"/>
  <c r="P61" i="15"/>
  <c r="P62" i="15"/>
  <c r="P63" i="15"/>
  <c r="P64" i="15"/>
  <c r="P65" i="15"/>
  <c r="P66" i="15"/>
  <c r="P67" i="15"/>
  <c r="P68" i="15"/>
  <c r="V126" i="26"/>
  <c r="V125" i="26"/>
  <c r="V124" i="26"/>
  <c r="V123" i="26"/>
  <c r="V122" i="26"/>
  <c r="V121" i="26"/>
  <c r="V120" i="26"/>
  <c r="V119" i="26"/>
  <c r="V118" i="26"/>
  <c r="V117" i="26"/>
  <c r="V116" i="26"/>
  <c r="V115" i="26"/>
  <c r="V114" i="26"/>
  <c r="K109" i="26"/>
  <c r="I206" i="53"/>
  <c r="O109" i="26" l="1"/>
  <c r="BN102" i="17"/>
  <c r="BQ102" i="17"/>
  <c r="BP102" i="17"/>
  <c r="BP120" i="17"/>
  <c r="BP119" i="17"/>
  <c r="BP118" i="17"/>
  <c r="BP117" i="17"/>
  <c r="BP116" i="17"/>
  <c r="BP115" i="17"/>
  <c r="BP114" i="17"/>
  <c r="BP113" i="17"/>
  <c r="BP112" i="17"/>
  <c r="BP111" i="17"/>
  <c r="BP110" i="17"/>
  <c r="BP109" i="17"/>
  <c r="BP108" i="17"/>
  <c r="BP121" i="17"/>
  <c r="BP107" i="17"/>
  <c r="BP106" i="17"/>
  <c r="BP105" i="17"/>
  <c r="BP104" i="17"/>
  <c r="BP103" i="17"/>
  <c r="BP124" i="17"/>
  <c r="BP123" i="17"/>
  <c r="BP122" i="17"/>
  <c r="BP101" i="17"/>
  <c r="BP100" i="17"/>
  <c r="F55" i="53" l="1"/>
  <c r="F54" i="53"/>
  <c r="F53" i="53"/>
  <c r="F52" i="53"/>
  <c r="F58" i="53" l="1"/>
  <c r="Q133" i="26"/>
  <c r="Q132" i="26"/>
  <c r="Q131" i="26"/>
  <c r="Q130" i="26"/>
  <c r="Q129" i="26"/>
  <c r="Q128" i="26"/>
  <c r="Q127" i="26"/>
  <c r="Q126" i="26"/>
  <c r="Q125" i="26"/>
  <c r="Q124" i="26"/>
  <c r="Q123" i="26"/>
  <c r="Q122" i="26"/>
  <c r="Q121" i="26"/>
  <c r="Q120" i="26"/>
  <c r="Q119" i="26"/>
  <c r="Q118" i="26"/>
  <c r="Q117" i="26"/>
  <c r="Q116" i="26"/>
  <c r="Q115" i="26"/>
  <c r="Q114" i="26"/>
  <c r="R15" i="9" l="1"/>
  <c r="BQ100" i="17"/>
  <c r="BN100" i="17"/>
  <c r="BN103" i="17"/>
  <c r="BN112" i="17"/>
  <c r="BN108" i="17"/>
  <c r="BN110" i="17"/>
  <c r="BN117" i="17"/>
  <c r="BN113" i="17" l="1"/>
  <c r="R41" i="9" a="1"/>
  <c r="R41" i="9" s="1"/>
  <c r="R134" i="9" a="1"/>
  <c r="R134" i="9" s="1"/>
  <c r="R133" i="9" a="1"/>
  <c r="R133" i="9" s="1"/>
  <c r="R132" i="9" a="1"/>
  <c r="R132" i="9" s="1"/>
  <c r="R131" i="9" a="1"/>
  <c r="R131" i="9" s="1"/>
  <c r="R130" i="9" a="1"/>
  <c r="R130" i="9" s="1"/>
  <c r="R129" i="9" a="1"/>
  <c r="R129" i="9" s="1"/>
  <c r="R128" i="9" a="1"/>
  <c r="R128" i="9" s="1"/>
  <c r="R127" i="9" a="1"/>
  <c r="R127" i="9" s="1"/>
  <c r="R126" i="9" a="1"/>
  <c r="R126" i="9" s="1"/>
  <c r="R125" i="9" a="1"/>
  <c r="R125" i="9" s="1"/>
  <c r="R124" i="9" a="1"/>
  <c r="R124" i="9" s="1"/>
  <c r="R123" i="9" a="1"/>
  <c r="R123" i="9" s="1"/>
  <c r="R122" i="9" a="1"/>
  <c r="R122" i="9" s="1"/>
  <c r="R121" i="9" a="1"/>
  <c r="R121" i="9" s="1"/>
  <c r="R120" i="9" a="1"/>
  <c r="R120" i="9" s="1"/>
  <c r="R119" i="9" a="1"/>
  <c r="R119" i="9" s="1"/>
  <c r="R118" i="9" a="1"/>
  <c r="R118" i="9" s="1"/>
  <c r="R117" i="9" a="1"/>
  <c r="R117" i="9" s="1"/>
  <c r="R116" i="9" a="1"/>
  <c r="R116" i="9" s="1"/>
  <c r="R115" i="9" a="1"/>
  <c r="R115" i="9" s="1"/>
  <c r="R114" i="9" a="1"/>
  <c r="R114" i="9" s="1"/>
  <c r="R113" i="9" a="1"/>
  <c r="R113" i="9" s="1"/>
  <c r="R112" i="9" a="1"/>
  <c r="R112" i="9" s="1"/>
  <c r="R111" i="9" a="1"/>
  <c r="R111" i="9" s="1"/>
  <c r="R110" i="9" a="1"/>
  <c r="R110" i="9" s="1"/>
  <c r="R109" i="9" a="1"/>
  <c r="R109" i="9" s="1"/>
  <c r="R108" i="9" a="1"/>
  <c r="R108" i="9" s="1"/>
  <c r="R107" i="9" a="1"/>
  <c r="R107" i="9" s="1"/>
  <c r="R106" i="9" a="1"/>
  <c r="R106" i="9" s="1"/>
  <c r="R105" i="9" a="1"/>
  <c r="R105" i="9" s="1"/>
  <c r="R104" i="9" a="1"/>
  <c r="R104" i="9" s="1"/>
  <c r="R103" i="9" a="1"/>
  <c r="R103" i="9" s="1"/>
  <c r="R102" i="9" a="1"/>
  <c r="R102" i="9" s="1"/>
  <c r="R101" i="9" a="1"/>
  <c r="R101" i="9" s="1"/>
  <c r="R100" i="9" a="1"/>
  <c r="R100" i="9" s="1"/>
  <c r="R99" i="9" a="1"/>
  <c r="R99" i="9" s="1"/>
  <c r="R98" i="9" a="1"/>
  <c r="R98" i="9" s="1"/>
  <c r="R97" i="9" a="1"/>
  <c r="R97" i="9" s="1"/>
  <c r="R96" i="9" a="1"/>
  <c r="R96" i="9" s="1"/>
  <c r="R95" i="9" a="1"/>
  <c r="R95" i="9" s="1"/>
  <c r="R94" i="9" a="1"/>
  <c r="R94" i="9" s="1"/>
  <c r="R93" i="9" a="1"/>
  <c r="R93" i="9" s="1"/>
  <c r="R92" i="9" a="1"/>
  <c r="R92" i="9" s="1"/>
  <c r="R91" i="9" a="1"/>
  <c r="R91" i="9" s="1"/>
  <c r="R90" i="9" a="1"/>
  <c r="R90" i="9" s="1"/>
  <c r="R89" i="9" a="1"/>
  <c r="R89" i="9" s="1"/>
  <c r="R88" i="9" a="1"/>
  <c r="R88" i="9" s="1"/>
  <c r="R87" i="9" a="1"/>
  <c r="R87" i="9" s="1"/>
  <c r="R86" i="9" a="1"/>
  <c r="R86" i="9" s="1"/>
  <c r="R85" i="9" a="1"/>
  <c r="R85" i="9" s="1"/>
  <c r="R84" i="9" a="1"/>
  <c r="R84" i="9" s="1"/>
  <c r="R83" i="9" a="1"/>
  <c r="R83" i="9" s="1"/>
  <c r="R82" i="9" a="1"/>
  <c r="R82" i="9" s="1"/>
  <c r="R81" i="9" a="1"/>
  <c r="R81" i="9" s="1"/>
  <c r="R80" i="9" a="1"/>
  <c r="R80" i="9" s="1"/>
  <c r="R79" i="9" a="1"/>
  <c r="R79" i="9" s="1"/>
  <c r="R78" i="9" a="1"/>
  <c r="R78" i="9" s="1"/>
  <c r="R77" i="9" a="1"/>
  <c r="R77" i="9" s="1"/>
  <c r="R76" i="9" a="1"/>
  <c r="R76" i="9" s="1"/>
  <c r="R75" i="9" a="1"/>
  <c r="R75" i="9" s="1"/>
  <c r="R74" i="9" a="1"/>
  <c r="R74" i="9" s="1"/>
  <c r="R73" i="9" a="1"/>
  <c r="R73" i="9" s="1"/>
  <c r="R72" i="9" a="1"/>
  <c r="R72" i="9" s="1"/>
  <c r="R71" i="9" a="1"/>
  <c r="R71" i="9" s="1"/>
  <c r="R70" i="9" a="1"/>
  <c r="R70" i="9" s="1"/>
  <c r="R69" i="9" a="1"/>
  <c r="R69" i="9" s="1"/>
  <c r="R68" i="9" a="1"/>
  <c r="R68" i="9" s="1"/>
  <c r="R67" i="9" a="1"/>
  <c r="R67" i="9" s="1"/>
  <c r="R66" i="9" a="1"/>
  <c r="R66" i="9" s="1"/>
  <c r="R65" i="9" a="1"/>
  <c r="R65" i="9" s="1"/>
  <c r="R64" i="9" a="1"/>
  <c r="R64" i="9" s="1"/>
  <c r="R63" i="9" a="1"/>
  <c r="R63" i="9" s="1"/>
  <c r="R62" i="9" a="1"/>
  <c r="R62" i="9" s="1"/>
  <c r="R61" i="9" a="1"/>
  <c r="R61" i="9" s="1"/>
  <c r="R60" i="9" a="1"/>
  <c r="R60" i="9" s="1"/>
  <c r="R59" i="9" a="1"/>
  <c r="R59" i="9" s="1"/>
  <c r="R58" i="9" a="1"/>
  <c r="R58" i="9" s="1"/>
  <c r="R57" i="9" a="1"/>
  <c r="R57" i="9" s="1"/>
  <c r="R56" i="9" a="1"/>
  <c r="R56" i="9" s="1"/>
  <c r="R55" i="9" a="1"/>
  <c r="R55" i="9" s="1"/>
  <c r="R54" i="9" a="1"/>
  <c r="R54" i="9" s="1"/>
  <c r="R53" i="9" a="1"/>
  <c r="R53" i="9" s="1"/>
  <c r="R52" i="9" a="1"/>
  <c r="R52" i="9" s="1"/>
  <c r="R51" i="9" a="1"/>
  <c r="R51" i="9" s="1"/>
  <c r="R50" i="9" a="1"/>
  <c r="R50" i="9" s="1"/>
  <c r="R49" i="9" a="1"/>
  <c r="R49" i="9" s="1"/>
  <c r="R48" i="9" a="1"/>
  <c r="R48" i="9" s="1"/>
  <c r="R47" i="9" a="1"/>
  <c r="R47" i="9" s="1"/>
  <c r="R46" i="9" a="1"/>
  <c r="R46" i="9" s="1"/>
  <c r="R45" i="9" a="1"/>
  <c r="R45" i="9" s="1"/>
  <c r="R44" i="9" a="1"/>
  <c r="R44" i="9" s="1"/>
  <c r="R43" i="9" a="1"/>
  <c r="R43" i="9" s="1"/>
  <c r="R42" i="9" a="1"/>
  <c r="R42" i="9" s="1"/>
  <c r="R40" i="9" a="1"/>
  <c r="R40" i="9" s="1"/>
  <c r="R39" i="9" a="1"/>
  <c r="R39" i="9" s="1"/>
  <c r="R38" i="9" a="1"/>
  <c r="R38" i="9" s="1"/>
  <c r="R37" i="9" a="1"/>
  <c r="R37" i="9" s="1"/>
  <c r="R36" i="9" a="1"/>
  <c r="R36" i="9" s="1"/>
  <c r="R35" i="9" a="1"/>
  <c r="R35" i="9" s="1"/>
  <c r="R34" i="9" a="1"/>
  <c r="R34" i="9" s="1"/>
  <c r="R33" i="9" a="1"/>
  <c r="R33" i="9" s="1"/>
  <c r="R32" i="9" a="1"/>
  <c r="R32" i="9" s="1"/>
  <c r="R31" i="9" a="1"/>
  <c r="R31" i="9" s="1"/>
  <c r="R30" i="9" a="1"/>
  <c r="R30" i="9" s="1"/>
  <c r="R29" i="9" a="1"/>
  <c r="R29" i="9" s="1"/>
  <c r="R28" i="9" a="1"/>
  <c r="R28" i="9" s="1"/>
  <c r="R27" i="9" a="1"/>
  <c r="R27" i="9" s="1"/>
  <c r="R26" i="9" a="1"/>
  <c r="R26" i="9" s="1"/>
  <c r="R25" i="9" a="1"/>
  <c r="R25" i="9" s="1"/>
  <c r="R24" i="9" a="1"/>
  <c r="R24" i="9" s="1"/>
  <c r="R23" i="9" a="1"/>
  <c r="R23" i="9" s="1"/>
  <c r="R22" i="9" a="1"/>
  <c r="R22" i="9" s="1"/>
  <c r="R21" i="9" a="1"/>
  <c r="R21" i="9" s="1"/>
  <c r="R20" i="9" a="1"/>
  <c r="R20" i="9" s="1"/>
  <c r="R19" i="9" a="1"/>
  <c r="R19" i="9" s="1"/>
  <c r="R18" i="9" a="1"/>
  <c r="R18" i="9" s="1"/>
  <c r="R17" i="9" a="1"/>
  <c r="R17" i="9" s="1"/>
  <c r="R16" i="9" a="1"/>
  <c r="R16" i="9" s="1"/>
  <c r="E123" i="9" l="1"/>
  <c r="E122" i="9"/>
  <c r="E121" i="9"/>
  <c r="E120" i="9"/>
  <c r="E119" i="9"/>
  <c r="E118" i="9"/>
  <c r="E117" i="9"/>
  <c r="E116" i="9"/>
  <c r="E115" i="9"/>
  <c r="E114" i="9"/>
  <c r="E113" i="9"/>
  <c r="E112" i="9"/>
  <c r="E111" i="9"/>
  <c r="E110" i="9"/>
  <c r="E109" i="9"/>
  <c r="I195" i="53" l="1"/>
  <c r="I208" i="53" l="1"/>
  <c r="BP126" i="17"/>
  <c r="BP99" i="17"/>
  <c r="BP98" i="17"/>
  <c r="BP97" i="17"/>
  <c r="BP96" i="17"/>
  <c r="BP95" i="17"/>
  <c r="BP94" i="17"/>
  <c r="BP93" i="17"/>
  <c r="BP92" i="17"/>
  <c r="BP91" i="17"/>
  <c r="BP90" i="17"/>
  <c r="BP89" i="17"/>
  <c r="BP88" i="17"/>
  <c r="BP87" i="17"/>
  <c r="BP86" i="17"/>
  <c r="BP85" i="17"/>
  <c r="BP84" i="17"/>
  <c r="BP83" i="17"/>
  <c r="BP82" i="17"/>
  <c r="BP125" i="17"/>
  <c r="S68" i="15" l="1"/>
  <c r="S67" i="15"/>
  <c r="S66" i="15"/>
  <c r="S65" i="15"/>
  <c r="S64" i="15"/>
  <c r="S63" i="15"/>
  <c r="S62" i="15"/>
  <c r="S61" i="15"/>
  <c r="S60" i="15"/>
  <c r="S59" i="15"/>
  <c r="S58" i="15"/>
  <c r="S57" i="15"/>
  <c r="S56" i="15"/>
  <c r="S55" i="15"/>
  <c r="S54" i="15"/>
  <c r="S53" i="15"/>
  <c r="S52" i="15"/>
  <c r="T59" i="15" l="1"/>
  <c r="X59" i="15"/>
  <c r="T64" i="15"/>
  <c r="X64" i="15"/>
  <c r="T57" i="15"/>
  <c r="X57" i="15"/>
  <c r="T61" i="15"/>
  <c r="X61" i="15"/>
  <c r="T65" i="15"/>
  <c r="X65" i="15"/>
  <c r="T55" i="15"/>
  <c r="X55" i="15"/>
  <c r="T56" i="15"/>
  <c r="X56" i="15"/>
  <c r="T58" i="15"/>
  <c r="X58" i="15"/>
  <c r="T60" i="15"/>
  <c r="X60" i="15"/>
  <c r="T62" i="15"/>
  <c r="X62" i="15"/>
  <c r="T63" i="15"/>
  <c r="X63" i="15"/>
  <c r="T66" i="15"/>
  <c r="X66" i="15"/>
  <c r="T52" i="15"/>
  <c r="X52" i="15"/>
  <c r="T67" i="15"/>
  <c r="X67" i="15"/>
  <c r="T53" i="15"/>
  <c r="X53" i="15"/>
  <c r="T54" i="15"/>
  <c r="X54" i="15"/>
  <c r="T68" i="15"/>
  <c r="X68" i="15"/>
  <c r="W5" i="29"/>
  <c r="W6" i="29"/>
  <c r="Y6" i="29" s="1"/>
  <c r="W7" i="29"/>
  <c r="Y7" i="29" s="1"/>
  <c r="W8" i="29"/>
  <c r="Y8" i="29" s="1"/>
  <c r="W9" i="29"/>
  <c r="Y9" i="29" s="1"/>
  <c r="W10" i="29"/>
  <c r="Y10" i="29" s="1"/>
  <c r="W11" i="29"/>
  <c r="Y11" i="29" s="1"/>
  <c r="W12" i="29"/>
  <c r="Y12" i="29" s="1"/>
  <c r="W13" i="29"/>
  <c r="Y13" i="29" s="1"/>
  <c r="W14" i="29"/>
  <c r="Y14" i="29" s="1"/>
  <c r="W15" i="29"/>
  <c r="Y15" i="29" s="1"/>
  <c r="W16" i="29"/>
  <c r="Y16" i="29" s="1"/>
  <c r="W17" i="29"/>
  <c r="Y17" i="29" s="1"/>
  <c r="W18" i="29"/>
  <c r="Y18" i="29" s="1"/>
  <c r="W19" i="29"/>
  <c r="Y19" i="29" s="1"/>
  <c r="W20" i="29"/>
  <c r="Y20" i="29" s="1"/>
  <c r="W21" i="29"/>
  <c r="Y21" i="29" s="1"/>
  <c r="W22" i="29"/>
  <c r="Y22" i="29" s="1"/>
  <c r="W23" i="29"/>
  <c r="Y23" i="29" s="1"/>
  <c r="W24" i="29"/>
  <c r="Y24" i="29" s="1"/>
  <c r="W25" i="29"/>
  <c r="Y25" i="29" s="1"/>
  <c r="W26" i="29"/>
  <c r="Y26" i="29" s="1"/>
  <c r="W27" i="29"/>
  <c r="Y27" i="29" s="1"/>
  <c r="W28" i="29"/>
  <c r="Y28" i="29" s="1"/>
  <c r="W29" i="29"/>
  <c r="Y29" i="29" s="1"/>
  <c r="W30" i="29"/>
  <c r="Y30" i="29" s="1"/>
  <c r="W31" i="29"/>
  <c r="Y31" i="29" s="1"/>
  <c r="W32" i="29"/>
  <c r="Y32" i="29" s="1"/>
  <c r="W33" i="29"/>
  <c r="Y33" i="29" s="1"/>
  <c r="W34" i="29"/>
  <c r="Y34" i="29" s="1"/>
  <c r="W35" i="29"/>
  <c r="Y35" i="29" s="1"/>
  <c r="W36" i="29"/>
  <c r="Y36" i="29" s="1"/>
  <c r="W37" i="29"/>
  <c r="Y37" i="29" s="1"/>
  <c r="W38" i="29"/>
  <c r="Y38" i="29" s="1"/>
  <c r="W39" i="29"/>
  <c r="Y39" i="29" s="1"/>
  <c r="W40" i="29"/>
  <c r="Y40" i="29" s="1"/>
  <c r="W41" i="29"/>
  <c r="Y41" i="29" s="1"/>
  <c r="W42" i="29"/>
  <c r="Y42" i="29" s="1"/>
  <c r="W43" i="29"/>
  <c r="Y43" i="29" s="1"/>
  <c r="W44" i="29"/>
  <c r="Y44" i="29" s="1"/>
  <c r="W45" i="29"/>
  <c r="Y45" i="29" s="1"/>
  <c r="W46" i="29"/>
  <c r="Y46" i="29" s="1"/>
  <c r="W47" i="29"/>
  <c r="Y47" i="29" s="1"/>
  <c r="W48" i="29"/>
  <c r="Y48" i="29" s="1"/>
  <c r="W49" i="29"/>
  <c r="Y49" i="29" s="1"/>
  <c r="W50" i="29"/>
  <c r="Y50" i="29" s="1"/>
  <c r="W51" i="29"/>
  <c r="Y51" i="29" s="1"/>
  <c r="W52" i="29"/>
  <c r="Y52" i="29" s="1"/>
  <c r="W53" i="29"/>
  <c r="Y53" i="29" s="1"/>
  <c r="W54" i="29"/>
  <c r="Y54" i="29" s="1"/>
  <c r="W55" i="29"/>
  <c r="Y55" i="29" s="1"/>
  <c r="W56" i="29"/>
  <c r="Y56" i="29" s="1"/>
  <c r="W57" i="29"/>
  <c r="Y57" i="29" s="1"/>
  <c r="W58" i="29"/>
  <c r="Y58" i="29" s="1"/>
  <c r="W59" i="29"/>
  <c r="Y59" i="29" s="1"/>
  <c r="W60" i="29"/>
  <c r="Y60" i="29" s="1"/>
  <c r="W61" i="29"/>
  <c r="Y61" i="29" s="1"/>
  <c r="W62" i="29"/>
  <c r="Y62" i="29" s="1"/>
  <c r="W63" i="29"/>
  <c r="Y63" i="29" s="1"/>
  <c r="W64" i="29"/>
  <c r="Y64" i="29" s="1"/>
  <c r="W65" i="29"/>
  <c r="Y65" i="29" s="1"/>
  <c r="W66" i="29"/>
  <c r="Y66" i="29" s="1"/>
  <c r="W67" i="29"/>
  <c r="Y67" i="29" s="1"/>
  <c r="W68" i="29"/>
  <c r="Y68" i="29" s="1"/>
  <c r="W69" i="29"/>
  <c r="Y69" i="29" s="1"/>
  <c r="W70" i="29"/>
  <c r="Y70" i="29" s="1"/>
  <c r="W71" i="29"/>
  <c r="Y71" i="29" s="1"/>
  <c r="W72" i="29"/>
  <c r="Y72" i="29" s="1"/>
  <c r="W73" i="29"/>
  <c r="Y73" i="29" s="1"/>
  <c r="W74" i="29"/>
  <c r="Y74" i="29" s="1"/>
  <c r="W75" i="29"/>
  <c r="Y75" i="29" s="1"/>
  <c r="W76" i="29"/>
  <c r="Y76" i="29" s="1"/>
  <c r="W77" i="29"/>
  <c r="Y77" i="29" s="1"/>
  <c r="W78" i="29"/>
  <c r="W79" i="29"/>
  <c r="Y79" i="29" s="1"/>
  <c r="W80" i="29"/>
  <c r="W81" i="29"/>
  <c r="Y81" i="29" s="1"/>
  <c r="W82" i="29"/>
  <c r="W83" i="29"/>
  <c r="W84" i="29"/>
  <c r="Y84" i="29" s="1"/>
  <c r="W85" i="29"/>
  <c r="Y85" i="29" s="1"/>
  <c r="W86" i="29"/>
  <c r="W87" i="29"/>
  <c r="Y87" i="29" s="1"/>
  <c r="W88" i="29"/>
  <c r="W89" i="29"/>
  <c r="Y89" i="29" s="1"/>
  <c r="W90" i="29"/>
  <c r="Y90" i="29" s="1"/>
  <c r="W91" i="29"/>
  <c r="Y91" i="29" s="1"/>
  <c r="W92" i="29"/>
  <c r="Y92" i="29" s="1"/>
  <c r="W93" i="29"/>
  <c r="Y93" i="29" s="1"/>
  <c r="W94" i="29"/>
  <c r="Y94" i="29" s="1"/>
  <c r="W95" i="29"/>
  <c r="W96" i="29"/>
  <c r="Y96" i="29" s="1"/>
  <c r="W97" i="29"/>
  <c r="W98" i="29"/>
  <c r="Y98" i="29" s="1"/>
  <c r="W99" i="29"/>
  <c r="Y99" i="29" s="1"/>
  <c r="W100" i="29"/>
  <c r="Y100" i="29" s="1"/>
  <c r="W101" i="29"/>
  <c r="W102" i="29"/>
  <c r="Y102" i="29" s="1"/>
  <c r="W103" i="29"/>
  <c r="Y103" i="29" s="1"/>
  <c r="W104" i="29"/>
  <c r="Y104" i="29" s="1"/>
  <c r="W105" i="29"/>
  <c r="Y105" i="29" s="1"/>
  <c r="W106" i="29"/>
  <c r="Y106" i="29" s="1"/>
  <c r="W107" i="29"/>
  <c r="Y107" i="29" s="1"/>
  <c r="W108" i="29"/>
  <c r="Y108" i="29" s="1"/>
  <c r="W109" i="29"/>
  <c r="Y109" i="29" s="1"/>
  <c r="W110" i="29"/>
  <c r="Y110" i="29" s="1"/>
  <c r="W111" i="29"/>
  <c r="Y111" i="29" s="1"/>
  <c r="W112" i="29"/>
  <c r="Y112" i="29" s="1"/>
  <c r="W113" i="29"/>
  <c r="Y113" i="29" s="1"/>
  <c r="W114" i="29"/>
  <c r="Y114" i="29" s="1"/>
  <c r="W115" i="29"/>
  <c r="Y115" i="29" s="1"/>
  <c r="W116" i="29"/>
  <c r="Y116" i="29" s="1"/>
  <c r="W117" i="29"/>
  <c r="Y117" i="29" s="1"/>
  <c r="W118" i="29"/>
  <c r="Y118" i="29" s="1"/>
  <c r="W119" i="29"/>
  <c r="Y119" i="29" s="1"/>
  <c r="W120" i="29"/>
  <c r="Y120" i="29" s="1"/>
  <c r="W121" i="29"/>
  <c r="Y121" i="29" s="1"/>
  <c r="W122" i="29"/>
  <c r="Y122" i="29" s="1"/>
  <c r="W123" i="29"/>
  <c r="Y123" i="29" s="1"/>
  <c r="W124" i="29"/>
  <c r="Y124" i="29" s="1"/>
  <c r="W125" i="29"/>
  <c r="Y125" i="29" s="1"/>
  <c r="W126" i="29"/>
  <c r="Y126" i="29" s="1"/>
  <c r="W127" i="29"/>
  <c r="Y127" i="29" s="1"/>
  <c r="W128" i="29"/>
  <c r="Y128" i="29" s="1"/>
  <c r="W129" i="29"/>
  <c r="Y129" i="29" s="1"/>
  <c r="W130" i="29"/>
  <c r="Y130" i="29" s="1"/>
  <c r="W131" i="29"/>
  <c r="Y131" i="29" s="1"/>
  <c r="W132" i="29"/>
  <c r="Y132" i="29" s="1"/>
  <c r="W133" i="29"/>
  <c r="Y133" i="29" s="1"/>
  <c r="W134" i="29"/>
  <c r="Y134" i="29" s="1"/>
  <c r="W135" i="29"/>
  <c r="Y135" i="29" s="1"/>
  <c r="W136" i="29"/>
  <c r="Y136" i="29" s="1"/>
  <c r="W137" i="29"/>
  <c r="Y137" i="29" s="1"/>
  <c r="W138" i="29"/>
  <c r="Y138" i="29" s="1"/>
  <c r="W139" i="29"/>
  <c r="Y139" i="29" s="1"/>
  <c r="W140" i="29"/>
  <c r="Y140" i="29" s="1"/>
  <c r="W141" i="29"/>
  <c r="Y141" i="29" s="1"/>
  <c r="W142" i="29"/>
  <c r="Y142" i="29" s="1"/>
  <c r="W143" i="29"/>
  <c r="Y143" i="29" s="1"/>
  <c r="W144" i="29"/>
  <c r="Y144" i="29" s="1"/>
  <c r="W145" i="29"/>
  <c r="Y145" i="29" s="1"/>
  <c r="W146" i="29"/>
  <c r="Y146" i="29" s="1"/>
  <c r="W147" i="29"/>
  <c r="Y147" i="29" s="1"/>
  <c r="W148" i="29"/>
  <c r="Y148" i="29" s="1"/>
  <c r="W149" i="29"/>
  <c r="Y149" i="29" s="1"/>
  <c r="W150" i="29"/>
  <c r="Y150" i="29" s="1"/>
  <c r="W151" i="29"/>
  <c r="Y151" i="29" s="1"/>
  <c r="W152" i="29"/>
  <c r="Y152" i="29" s="1"/>
  <c r="W153" i="29"/>
  <c r="Y153" i="29" s="1"/>
  <c r="W154" i="29"/>
  <c r="Y154" i="29" s="1"/>
  <c r="W155" i="29"/>
  <c r="Y155" i="29" s="1"/>
  <c r="W156" i="29"/>
  <c r="Y156" i="29" s="1"/>
  <c r="W157" i="29"/>
  <c r="Y157" i="29" s="1"/>
  <c r="W158" i="29"/>
  <c r="Y158" i="29" s="1"/>
  <c r="W159" i="29"/>
  <c r="Y159" i="29" s="1"/>
  <c r="W160" i="29"/>
  <c r="W161" i="29"/>
  <c r="Y161" i="29" s="1"/>
  <c r="W162" i="29"/>
  <c r="Y162" i="29" s="1"/>
  <c r="W163" i="29"/>
  <c r="W164" i="29"/>
  <c r="Y164" i="29" s="1"/>
  <c r="W165" i="29"/>
  <c r="Y165" i="29" s="1"/>
  <c r="W166" i="29"/>
  <c r="Y166" i="29" s="1"/>
  <c r="W167" i="29"/>
  <c r="W168" i="29"/>
  <c r="W169" i="29"/>
  <c r="Y169" i="29" s="1"/>
  <c r="W170" i="29"/>
  <c r="W171" i="29"/>
  <c r="W172" i="29"/>
  <c r="Y172" i="29" s="1"/>
  <c r="W173" i="29"/>
  <c r="Y173" i="29" s="1"/>
  <c r="W174" i="29"/>
  <c r="Y174" i="29" s="1"/>
  <c r="W175" i="29"/>
  <c r="W176" i="29"/>
  <c r="Y176" i="29" s="1"/>
  <c r="W177" i="29"/>
  <c r="Y177" i="29" s="1"/>
  <c r="W178" i="29"/>
  <c r="Y178" i="29" s="1"/>
  <c r="W179" i="29"/>
  <c r="Y179" i="29" s="1"/>
  <c r="W180" i="29"/>
  <c r="Y180" i="29" s="1"/>
  <c r="W181" i="29"/>
  <c r="Y181" i="29" s="1"/>
  <c r="W182" i="29"/>
  <c r="Y182" i="29" s="1"/>
  <c r="W183" i="29"/>
  <c r="Y183" i="29" s="1"/>
  <c r="W184" i="29"/>
  <c r="Y184" i="29" s="1"/>
  <c r="W185" i="29"/>
  <c r="Y185" i="29" s="1"/>
  <c r="W186" i="29"/>
  <c r="Y186" i="29" s="1"/>
  <c r="W187" i="29"/>
  <c r="Y187" i="29" s="1"/>
  <c r="W188" i="29"/>
  <c r="Y188" i="29" s="1"/>
  <c r="W189" i="29"/>
  <c r="Y189" i="29" s="1"/>
  <c r="W190" i="29"/>
  <c r="Y190" i="29" s="1"/>
  <c r="W191" i="29"/>
  <c r="Y191" i="29" s="1"/>
  <c r="W192" i="29"/>
  <c r="Y192" i="29" s="1"/>
  <c r="W193" i="29"/>
  <c r="Y193" i="29" s="1"/>
  <c r="W194" i="29"/>
  <c r="Y194" i="29" s="1"/>
  <c r="W195" i="29"/>
  <c r="Y195" i="29" s="1"/>
  <c r="W196" i="29"/>
  <c r="Y196" i="29" s="1"/>
  <c r="W197" i="29"/>
  <c r="Y197" i="29" s="1"/>
  <c r="W198" i="29"/>
  <c r="Y198" i="29" s="1"/>
  <c r="W199" i="29"/>
  <c r="Y199" i="29" s="1"/>
  <c r="W200" i="29"/>
  <c r="Y200" i="29" s="1"/>
  <c r="W201" i="29"/>
  <c r="Y201" i="29" s="1"/>
  <c r="W202" i="29"/>
  <c r="Y202" i="29" s="1"/>
  <c r="W203" i="29"/>
  <c r="Y203" i="29" s="1"/>
  <c r="W204" i="29"/>
  <c r="Y204" i="29" s="1"/>
  <c r="W205" i="29"/>
  <c r="Y205" i="29" s="1"/>
  <c r="W206" i="29"/>
  <c r="Y206" i="29" s="1"/>
  <c r="W207" i="29"/>
  <c r="Y207" i="29" s="1"/>
  <c r="W208" i="29"/>
  <c r="Y208" i="29" s="1"/>
  <c r="W209" i="29"/>
  <c r="Y209" i="29" s="1"/>
  <c r="W210" i="29"/>
  <c r="Y210" i="29" s="1"/>
  <c r="W211" i="29"/>
  <c r="Y211" i="29" s="1"/>
  <c r="W212" i="29"/>
  <c r="Y212" i="29" s="1"/>
  <c r="W213" i="29"/>
  <c r="Y213" i="29" s="1"/>
  <c r="W214" i="29"/>
  <c r="Y214" i="29" s="1"/>
  <c r="W215" i="29"/>
  <c r="Y215" i="29" s="1"/>
  <c r="W216" i="29"/>
  <c r="Y216" i="29" s="1"/>
  <c r="W217" i="29"/>
  <c r="Y217" i="29" s="1"/>
  <c r="W218" i="29"/>
  <c r="Y218" i="29" s="1"/>
  <c r="W219" i="29"/>
  <c r="Y219" i="29" s="1"/>
  <c r="W220" i="29"/>
  <c r="Y220" i="29" s="1"/>
  <c r="W221" i="29"/>
  <c r="Y221" i="29" s="1"/>
  <c r="W222" i="29"/>
  <c r="Y222" i="29" s="1"/>
  <c r="W223" i="29"/>
  <c r="Y223" i="29" s="1"/>
  <c r="W224" i="29"/>
  <c r="Y224" i="29" s="1"/>
  <c r="W225" i="29"/>
  <c r="Y225" i="29" s="1"/>
  <c r="W226" i="29"/>
  <c r="Y226" i="29" s="1"/>
  <c r="W227" i="29"/>
  <c r="Y227" i="29" s="1"/>
  <c r="W228" i="29"/>
  <c r="Y228" i="29" s="1"/>
  <c r="W229" i="29"/>
  <c r="Y229" i="29" s="1"/>
  <c r="W230" i="29"/>
  <c r="W231" i="29"/>
  <c r="Y231" i="29" s="1"/>
  <c r="W232" i="29"/>
  <c r="W233" i="29"/>
  <c r="Y233" i="29" s="1"/>
  <c r="W234" i="29"/>
  <c r="Y234" i="29" s="1"/>
  <c r="W235" i="29"/>
  <c r="Y235" i="29" s="1"/>
  <c r="W236" i="29"/>
  <c r="Y236" i="29" s="1"/>
  <c r="W237" i="29"/>
  <c r="W238" i="29"/>
  <c r="Y238" i="29" s="1"/>
  <c r="W239" i="29"/>
  <c r="Y239" i="29" s="1"/>
  <c r="W240" i="29"/>
  <c r="Y240" i="29" s="1"/>
  <c r="W241" i="29"/>
  <c r="Y241" i="29" s="1"/>
  <c r="W242" i="29"/>
  <c r="Y242" i="29" s="1"/>
  <c r="W243" i="29"/>
  <c r="Y243" i="29" s="1"/>
  <c r="W244" i="29"/>
  <c r="W245" i="29"/>
  <c r="W246" i="29"/>
  <c r="W247" i="29"/>
  <c r="Y247" i="29" s="1"/>
  <c r="W248" i="29"/>
  <c r="Y248" i="29" s="1"/>
  <c r="W249" i="29"/>
  <c r="Y249" i="29" s="1"/>
  <c r="W250" i="29"/>
  <c r="Y250" i="29" s="1"/>
  <c r="W251" i="29"/>
  <c r="Y251" i="29" s="1"/>
  <c r="W252" i="29"/>
  <c r="Y252" i="29" s="1"/>
  <c r="W253" i="29"/>
  <c r="Y253" i="29" s="1"/>
  <c r="W254" i="29"/>
  <c r="Y254" i="29" s="1"/>
  <c r="W255" i="29"/>
  <c r="Y255" i="29" s="1"/>
  <c r="W256" i="29"/>
  <c r="Y256" i="29" s="1"/>
  <c r="W257" i="29"/>
  <c r="Y257" i="29" s="1"/>
  <c r="W258" i="29"/>
  <c r="Y258" i="29" s="1"/>
  <c r="W259" i="29"/>
  <c r="Y259" i="29" s="1"/>
  <c r="W260" i="29"/>
  <c r="Y260" i="29" s="1"/>
  <c r="W261" i="29"/>
  <c r="Y261" i="29" s="1"/>
  <c r="W262" i="29"/>
  <c r="Y262" i="29" s="1"/>
  <c r="Y83" i="29" l="1"/>
  <c r="Y167" i="29"/>
  <c r="Y78" i="29"/>
  <c r="Y97" i="29"/>
  <c r="Y95" i="29"/>
  <c r="Y163" i="29"/>
  <c r="Y82" i="29"/>
  <c r="Y88" i="29"/>
  <c r="Y160" i="29"/>
  <c r="Y237" i="29"/>
  <c r="Y168" i="29"/>
  <c r="Y86" i="29"/>
  <c r="Y170" i="29"/>
  <c r="Y101" i="29"/>
  <c r="Y171" i="29"/>
  <c r="Y5" i="29"/>
  <c r="Y230" i="29"/>
  <c r="Y244" i="29"/>
  <c r="Y175" i="29"/>
  <c r="Y245" i="29"/>
  <c r="Y232" i="29"/>
  <c r="Y246" i="29"/>
  <c r="Y80" i="29"/>
  <c r="AA3" i="29" l="1" a="1"/>
  <c r="AA3" i="29" s="1"/>
  <c r="L9" i="34"/>
  <c r="L8" i="34"/>
  <c r="L7" i="34"/>
  <c r="L6" i="34"/>
  <c r="L5" i="34"/>
  <c r="L4" i="34"/>
  <c r="L3" i="34"/>
  <c r="L2" i="34"/>
  <c r="BQ126" i="17" l="1"/>
  <c r="BQ101" i="17"/>
  <c r="BN126" i="17"/>
  <c r="BN101" i="17"/>
  <c r="BN114" i="17"/>
  <c r="BN111" i="17"/>
  <c r="BN99" i="17"/>
  <c r="BQ114" i="17"/>
  <c r="BQ115" i="17"/>
  <c r="BQ99" i="17"/>
  <c r="BQ105" i="17" l="1"/>
  <c r="BN105" i="17"/>
  <c r="BN121" i="17"/>
  <c r="BQ86" i="17"/>
  <c r="BQ117" i="17"/>
  <c r="BN98" i="17"/>
  <c r="BN118" i="17"/>
  <c r="BN124" i="17"/>
  <c r="BQ97" i="17"/>
  <c r="BQ119" i="17"/>
  <c r="BQ116" i="17"/>
  <c r="BQ122" i="17"/>
  <c r="BN95" i="17"/>
  <c r="BN109" i="17"/>
  <c r="BN94" i="17"/>
  <c r="BN107" i="17"/>
  <c r="BN88" i="17"/>
  <c r="BN106" i="17"/>
  <c r="BQ95" i="17"/>
  <c r="BQ109" i="17"/>
  <c r="BN84" i="17"/>
  <c r="BN104" i="17"/>
  <c r="BQ94" i="17"/>
  <c r="BQ107" i="17"/>
  <c r="BN97" i="17"/>
  <c r="BN119" i="17"/>
  <c r="BN83" i="17"/>
  <c r="BN116" i="17"/>
  <c r="BQ88" i="17"/>
  <c r="BQ106" i="17"/>
  <c r="BN93" i="17"/>
  <c r="BN115" i="17"/>
  <c r="BQ96" i="17"/>
  <c r="BQ120" i="17"/>
  <c r="BQ104" i="17"/>
  <c r="BN123" i="17"/>
  <c r="BQ124" i="17"/>
  <c r="BQ123" i="17"/>
  <c r="BQ121" i="17"/>
  <c r="BN96" i="17"/>
  <c r="BN120" i="17"/>
  <c r="BQ98" i="17"/>
  <c r="BQ118" i="17"/>
  <c r="BN122" i="17"/>
  <c r="BQ93" i="17"/>
  <c r="BQ85" i="17"/>
  <c r="BN85" i="17"/>
  <c r="BN87" i="17"/>
  <c r="BN86" i="17"/>
  <c r="BQ110" i="17"/>
  <c r="BQ90" i="17" l="1"/>
  <c r="BQ113" i="17"/>
  <c r="BQ91" i="17"/>
  <c r="BQ108" i="17"/>
  <c r="BQ92" i="17"/>
  <c r="BQ87" i="17"/>
  <c r="BN92" i="17"/>
  <c r="BN91" i="17"/>
  <c r="BN90" i="17"/>
  <c r="BQ89" i="17"/>
  <c r="BN89" i="17"/>
  <c r="F48" i="53"/>
  <c r="F47" i="53"/>
  <c r="A11" i="18" l="1"/>
  <c r="F8" i="28" l="1"/>
  <c r="T38" i="52" l="1"/>
  <c r="V38" i="52" s="1"/>
  <c r="T39" i="52"/>
  <c r="V39" i="52" s="1"/>
  <c r="BN125" i="17" l="1"/>
  <c r="BN82" i="17"/>
  <c r="F79" i="53"/>
  <c r="J10" i="28" l="1"/>
  <c r="J9" i="28"/>
  <c r="J8" i="28"/>
  <c r="J7" i="28"/>
  <c r="J6" i="28"/>
  <c r="J5" i="28"/>
  <c r="J4" i="28"/>
  <c r="J3" i="28"/>
  <c r="A10" i="28"/>
  <c r="F10" i="28"/>
  <c r="G10" i="28"/>
  <c r="H10" i="28" s="1"/>
  <c r="B17" i="18" l="1"/>
  <c r="A17" i="18"/>
  <c r="F12" i="53" l="1"/>
  <c r="F13" i="53"/>
  <c r="Q97" i="26" l="1"/>
  <c r="Q98" i="26" s="1"/>
  <c r="K111" i="26"/>
  <c r="Z68" i="26"/>
  <c r="A9" i="42"/>
  <c r="A10" i="42"/>
  <c r="A11" i="42"/>
  <c r="A12" i="42"/>
  <c r="A13" i="42"/>
  <c r="A14" i="42"/>
  <c r="A15" i="42"/>
  <c r="A16" i="42"/>
  <c r="A17" i="42"/>
  <c r="A18" i="42"/>
  <c r="A19" i="42"/>
  <c r="A20" i="42"/>
  <c r="A21" i="42"/>
  <c r="Q99" i="26" l="1"/>
  <c r="Q100" i="26" l="1"/>
  <c r="Q101" i="26" l="1"/>
  <c r="Q102" i="26" l="1"/>
  <c r="Q103" i="26" l="1"/>
  <c r="Q104" i="26" l="1"/>
  <c r="Q105" i="26" l="1"/>
  <c r="Q106" i="26" l="1"/>
  <c r="Q107" i="26" l="1"/>
  <c r="Q108" i="26" l="1"/>
  <c r="Q109" i="26" l="1"/>
  <c r="C3" i="19" l="1"/>
  <c r="AD5" i="45"/>
  <c r="AD6" i="45"/>
  <c r="AD7" i="45"/>
  <c r="AD8" i="45"/>
  <c r="AD9" i="45"/>
  <c r="AD10" i="45"/>
  <c r="AD11" i="45"/>
  <c r="AD12" i="45"/>
  <c r="AD13" i="45"/>
  <c r="AD14" i="45"/>
  <c r="AD15" i="45"/>
  <c r="AD16" i="45"/>
  <c r="AD17" i="45"/>
  <c r="AD18" i="45"/>
  <c r="AD19" i="45"/>
  <c r="AD20" i="45"/>
  <c r="AD21" i="45"/>
  <c r="AD22" i="45"/>
  <c r="AD23" i="45"/>
  <c r="AD24" i="45"/>
  <c r="AD25" i="45"/>
  <c r="AD26" i="45"/>
  <c r="AD27" i="45"/>
  <c r="AD28" i="45"/>
  <c r="AD29" i="45"/>
  <c r="AD30" i="45"/>
  <c r="AD31" i="45"/>
  <c r="AD32" i="45"/>
  <c r="AD33" i="45"/>
  <c r="AD34" i="45"/>
  <c r="AD35" i="45"/>
  <c r="AD36" i="45"/>
  <c r="AD37" i="45"/>
  <c r="AD38" i="45"/>
  <c r="AD39" i="45"/>
  <c r="AD40" i="45"/>
  <c r="AD41" i="45"/>
  <c r="AD42" i="45"/>
  <c r="AD43" i="45"/>
  <c r="AD44" i="45"/>
  <c r="AD45" i="45"/>
  <c r="AD46" i="45"/>
  <c r="AD47" i="45"/>
  <c r="AD48" i="45"/>
  <c r="AD49" i="45"/>
  <c r="AD50" i="45"/>
  <c r="AD51" i="45"/>
  <c r="AD52" i="45"/>
  <c r="AD53" i="45"/>
  <c r="AD54" i="45"/>
  <c r="AD55" i="45"/>
  <c r="AD56" i="45"/>
  <c r="AD57" i="45"/>
  <c r="AD58" i="45"/>
  <c r="AD59" i="45"/>
  <c r="AD60" i="45"/>
  <c r="AD61" i="45"/>
  <c r="AD62" i="45"/>
  <c r="AD63" i="45"/>
  <c r="AD64" i="45"/>
  <c r="AD4" i="45"/>
  <c r="AC64" i="45"/>
  <c r="AC5" i="45"/>
  <c r="AC6" i="45"/>
  <c r="AC7" i="45"/>
  <c r="AC8" i="45"/>
  <c r="AC9" i="45"/>
  <c r="AC10" i="45"/>
  <c r="AC11" i="45"/>
  <c r="AC12" i="45"/>
  <c r="AC13" i="45"/>
  <c r="AC14" i="45"/>
  <c r="AC15" i="45"/>
  <c r="AC16" i="45"/>
  <c r="AC17" i="45"/>
  <c r="AC18" i="45"/>
  <c r="AC19" i="45"/>
  <c r="AC20" i="45"/>
  <c r="AC21" i="45"/>
  <c r="AC22" i="45"/>
  <c r="AC23" i="45"/>
  <c r="AC24" i="45"/>
  <c r="AC25" i="45"/>
  <c r="AC26" i="45"/>
  <c r="AC27" i="45"/>
  <c r="AC28" i="45"/>
  <c r="AC29" i="45"/>
  <c r="AC30" i="45"/>
  <c r="AC31" i="45"/>
  <c r="AC32" i="45"/>
  <c r="AC33" i="45"/>
  <c r="AC34" i="45"/>
  <c r="AC35" i="45"/>
  <c r="AC36" i="45"/>
  <c r="AC37" i="45"/>
  <c r="AC38" i="45"/>
  <c r="AC39" i="45"/>
  <c r="AC40" i="45"/>
  <c r="AC41" i="45"/>
  <c r="AC42" i="45"/>
  <c r="AC43" i="45"/>
  <c r="AC44" i="45"/>
  <c r="AC45" i="45"/>
  <c r="AC46" i="45"/>
  <c r="AC47" i="45"/>
  <c r="AC48" i="45"/>
  <c r="AC49" i="45"/>
  <c r="AC50" i="45"/>
  <c r="AC51" i="45"/>
  <c r="AC52" i="45"/>
  <c r="AC53" i="45"/>
  <c r="AC54" i="45"/>
  <c r="AC55" i="45"/>
  <c r="AC56" i="45"/>
  <c r="AC57" i="45"/>
  <c r="AC58" i="45"/>
  <c r="AC59" i="45"/>
  <c r="AC60" i="45"/>
  <c r="AC61" i="45"/>
  <c r="AC62" i="45"/>
  <c r="AC63" i="45"/>
  <c r="AC4" i="45"/>
  <c r="T5" i="45"/>
  <c r="T6" i="45"/>
  <c r="T7" i="45"/>
  <c r="T8" i="45"/>
  <c r="T9" i="45"/>
  <c r="T10" i="45"/>
  <c r="T11" i="45"/>
  <c r="T12" i="45"/>
  <c r="T13" i="45"/>
  <c r="T14" i="45"/>
  <c r="T15" i="45"/>
  <c r="T16" i="45"/>
  <c r="T17" i="45"/>
  <c r="T18" i="45"/>
  <c r="T19" i="45"/>
  <c r="T20" i="45"/>
  <c r="T21" i="45"/>
  <c r="T22" i="45"/>
  <c r="T23" i="45"/>
  <c r="T24" i="45"/>
  <c r="T25" i="45"/>
  <c r="T26" i="45"/>
  <c r="T27" i="45"/>
  <c r="T28" i="45"/>
  <c r="T29" i="45"/>
  <c r="T30" i="45"/>
  <c r="T31" i="45"/>
  <c r="T32" i="45"/>
  <c r="T33" i="45"/>
  <c r="T34" i="45"/>
  <c r="T35" i="45"/>
  <c r="T36" i="45"/>
  <c r="T37" i="45"/>
  <c r="T38" i="45"/>
  <c r="T39" i="45"/>
  <c r="T40" i="45"/>
  <c r="T41" i="45"/>
  <c r="T42" i="45"/>
  <c r="T43" i="45"/>
  <c r="T44" i="45"/>
  <c r="T45" i="45"/>
  <c r="T46" i="45"/>
  <c r="T47" i="45"/>
  <c r="T48" i="45"/>
  <c r="T49" i="45"/>
  <c r="T4" i="45"/>
  <c r="S5" i="45"/>
  <c r="S6" i="45"/>
  <c r="S7" i="45"/>
  <c r="S8" i="45"/>
  <c r="S9" i="45"/>
  <c r="S10" i="45"/>
  <c r="S11" i="45"/>
  <c r="S12" i="45"/>
  <c r="S13" i="45"/>
  <c r="S14" i="45"/>
  <c r="S15" i="45"/>
  <c r="S16" i="45"/>
  <c r="S17" i="45"/>
  <c r="S18" i="45"/>
  <c r="S19" i="45"/>
  <c r="S20" i="45"/>
  <c r="S22" i="45"/>
  <c r="S23" i="45"/>
  <c r="S24" i="45"/>
  <c r="S25" i="45"/>
  <c r="S26" i="45"/>
  <c r="S27" i="45"/>
  <c r="S28" i="45"/>
  <c r="S29" i="45"/>
  <c r="S30" i="45"/>
  <c r="S31" i="45"/>
  <c r="S32" i="45"/>
  <c r="S33" i="45"/>
  <c r="S34" i="45"/>
  <c r="S35" i="45"/>
  <c r="S37" i="45"/>
  <c r="S38" i="45"/>
  <c r="S39" i="45"/>
  <c r="S40" i="45"/>
  <c r="S41" i="45"/>
  <c r="S42" i="45"/>
  <c r="S43" i="45"/>
  <c r="S44" i="45"/>
  <c r="S45" i="45"/>
  <c r="S46" i="45"/>
  <c r="S47" i="45"/>
  <c r="S48" i="45"/>
  <c r="S49" i="45"/>
  <c r="S4" i="45"/>
  <c r="Q8" i="45"/>
  <c r="Q9" i="45"/>
  <c r="Q10" i="45"/>
  <c r="Q11" i="45"/>
  <c r="Q12" i="45"/>
  <c r="Q13" i="45"/>
  <c r="Q14" i="45"/>
  <c r="Q15" i="45"/>
  <c r="Q16" i="45"/>
  <c r="Q17" i="45"/>
  <c r="Q18" i="45"/>
  <c r="Q19" i="45"/>
  <c r="Q20" i="45"/>
  <c r="Q21" i="45"/>
  <c r="Q22" i="45"/>
  <c r="Q23"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 i="45"/>
  <c r="Q6" i="45"/>
  <c r="Q7" i="45"/>
  <c r="Q4" i="45"/>
  <c r="F5" i="45"/>
  <c r="F6" i="45"/>
  <c r="F7" i="45"/>
  <c r="F8" i="45"/>
  <c r="F9" i="45"/>
  <c r="F10" i="45"/>
  <c r="F11" i="45"/>
  <c r="F12" i="45"/>
  <c r="F13" i="45"/>
  <c r="F14" i="45"/>
  <c r="F15" i="45"/>
  <c r="F16" i="45"/>
  <c r="F17" i="45"/>
  <c r="F18" i="45"/>
  <c r="F19" i="45"/>
  <c r="F20" i="45"/>
  <c r="F21" i="45"/>
  <c r="F22" i="45"/>
  <c r="F23" i="45"/>
  <c r="F24" i="45"/>
  <c r="F25" i="45"/>
  <c r="F26" i="45"/>
  <c r="F27" i="45"/>
  <c r="F28" i="45"/>
  <c r="F29" i="45"/>
  <c r="F30" i="45"/>
  <c r="F31" i="45"/>
  <c r="F32" i="45"/>
  <c r="F33" i="45"/>
  <c r="F34" i="45"/>
  <c r="F35" i="45"/>
  <c r="F36" i="45"/>
  <c r="F37" i="45"/>
  <c r="F38" i="45"/>
  <c r="F39" i="45"/>
  <c r="F40" i="45"/>
  <c r="F41" i="45"/>
  <c r="F42" i="45"/>
  <c r="F4" i="45"/>
  <c r="V67" i="38"/>
  <c r="Y67" i="38" s="1"/>
  <c r="V68" i="38"/>
  <c r="Y68" i="38" s="1"/>
  <c r="V69" i="38"/>
  <c r="Y69" i="38" s="1"/>
  <c r="V70" i="38"/>
  <c r="Y70" i="38" s="1"/>
  <c r="V71" i="38"/>
  <c r="Y71" i="38" s="1"/>
  <c r="V72" i="38"/>
  <c r="Y72" i="38" s="1"/>
  <c r="V73" i="38"/>
  <c r="Y73" i="38" s="1"/>
  <c r="V74" i="38"/>
  <c r="Y74" i="38" s="1"/>
  <c r="V75" i="38"/>
  <c r="Y75" i="38" s="1"/>
  <c r="V76" i="38"/>
  <c r="X76" i="38" s="1"/>
  <c r="V77" i="38"/>
  <c r="X77" i="38" s="1"/>
  <c r="V78" i="38"/>
  <c r="X78" i="38" s="1"/>
  <c r="V79" i="38"/>
  <c r="X79" i="38" s="1"/>
  <c r="V80" i="38"/>
  <c r="X80" i="38" s="1"/>
  <c r="V81" i="38"/>
  <c r="X81" i="38" s="1"/>
  <c r="V82" i="38"/>
  <c r="X82" i="38" s="1"/>
  <c r="V83" i="38"/>
  <c r="X83" i="38" s="1"/>
  <c r="V84" i="38"/>
  <c r="X84" i="38" s="1"/>
  <c r="V85" i="38"/>
  <c r="X85" i="38" s="1"/>
  <c r="V86" i="38"/>
  <c r="X86" i="38" s="1"/>
  <c r="V87" i="38"/>
  <c r="X87" i="38" s="1"/>
  <c r="V88" i="38"/>
  <c r="X88" i="38" s="1"/>
  <c r="V89" i="38"/>
  <c r="X89" i="38" s="1"/>
  <c r="V66" i="38"/>
  <c r="X66" i="38" s="1"/>
  <c r="V60" i="38"/>
  <c r="X60" i="38" s="1"/>
  <c r="V61" i="38"/>
  <c r="Y61" i="38" s="1"/>
  <c r="V62" i="38"/>
  <c r="X62" i="38" s="1"/>
  <c r="V63" i="38"/>
  <c r="X63" i="38" s="1"/>
  <c r="V64" i="38"/>
  <c r="X64" i="38" s="1"/>
  <c r="V65" i="38"/>
  <c r="X65" i="38" s="1"/>
  <c r="V59" i="38"/>
  <c r="X59" i="38" s="1"/>
  <c r="V58" i="38"/>
  <c r="V40" i="38"/>
  <c r="X40" i="38" s="1"/>
  <c r="V41" i="38"/>
  <c r="X41" i="38" s="1"/>
  <c r="V42" i="38"/>
  <c r="X42" i="38" s="1"/>
  <c r="V43" i="38"/>
  <c r="Y43" i="38" s="1"/>
  <c r="V44" i="38"/>
  <c r="Y44" i="38" s="1"/>
  <c r="V45" i="38"/>
  <c r="Y45" i="38" s="1"/>
  <c r="V46" i="38"/>
  <c r="Y46" i="38" s="1"/>
  <c r="V47" i="38"/>
  <c r="Y47" i="38" s="1"/>
  <c r="V48" i="38"/>
  <c r="Y48" i="38" s="1"/>
  <c r="V49" i="38"/>
  <c r="Y49" i="38" s="1"/>
  <c r="V50" i="38"/>
  <c r="Y50" i="38" s="1"/>
  <c r="V51" i="38"/>
  <c r="Y51" i="38" s="1"/>
  <c r="V52" i="38"/>
  <c r="X52" i="38" s="1"/>
  <c r="V53" i="38"/>
  <c r="X53" i="38" s="1"/>
  <c r="V54" i="38"/>
  <c r="X54" i="38" s="1"/>
  <c r="V55" i="38"/>
  <c r="X55" i="38" s="1"/>
  <c r="V56" i="38"/>
  <c r="X56" i="38" s="1"/>
  <c r="V57" i="38"/>
  <c r="X57" i="38" s="1"/>
  <c r="V39" i="38"/>
  <c r="X39" i="38" s="1"/>
  <c r="V33" i="38"/>
  <c r="X33" i="38" s="1"/>
  <c r="V34" i="38"/>
  <c r="X34" i="38" s="1"/>
  <c r="V35" i="38"/>
  <c r="X35" i="38" s="1"/>
  <c r="V36" i="38"/>
  <c r="X36" i="38" s="1"/>
  <c r="V37" i="38"/>
  <c r="Y37" i="38" s="1"/>
  <c r="V38" i="38"/>
  <c r="X38" i="38" s="1"/>
  <c r="V32" i="38"/>
  <c r="X32" i="38" s="1"/>
  <c r="V4" i="38"/>
  <c r="X4" i="38" s="1"/>
  <c r="V5" i="38"/>
  <c r="V6" i="38"/>
  <c r="X6" i="38" s="1"/>
  <c r="V7" i="38"/>
  <c r="X7" i="38" s="1"/>
  <c r="V8" i="38"/>
  <c r="X8" i="38" s="1"/>
  <c r="V9" i="38"/>
  <c r="X9" i="38" s="1"/>
  <c r="V10" i="38"/>
  <c r="X10" i="38" s="1"/>
  <c r="V11" i="38"/>
  <c r="X11" i="38" s="1"/>
  <c r="V12" i="38"/>
  <c r="X12" i="38" s="1"/>
  <c r="V13" i="38"/>
  <c r="Y13" i="38" s="1"/>
  <c r="V14" i="38"/>
  <c r="X14" i="38" s="1"/>
  <c r="V15" i="38"/>
  <c r="X15" i="38" s="1"/>
  <c r="V16" i="38"/>
  <c r="X16" i="38" s="1"/>
  <c r="V17" i="38"/>
  <c r="X17" i="38" s="1"/>
  <c r="V18" i="38"/>
  <c r="X18" i="38" s="1"/>
  <c r="V19" i="38"/>
  <c r="Y19" i="38" s="1"/>
  <c r="V20" i="38"/>
  <c r="Y20" i="38" s="1"/>
  <c r="V21" i="38"/>
  <c r="Y21" i="38" s="1"/>
  <c r="V22" i="38"/>
  <c r="V23" i="38"/>
  <c r="Y23" i="38" s="1"/>
  <c r="V24" i="38"/>
  <c r="V25" i="38"/>
  <c r="V26" i="38"/>
  <c r="Y26" i="38" s="1"/>
  <c r="V27" i="38"/>
  <c r="Y27" i="38" s="1"/>
  <c r="V28" i="38"/>
  <c r="V29" i="38"/>
  <c r="X29" i="38" s="1"/>
  <c r="V30" i="38"/>
  <c r="V31" i="38"/>
  <c r="V3" i="38"/>
  <c r="X3" i="38" s="1"/>
  <c r="C14" i="38"/>
  <c r="A15" i="38"/>
  <c r="C15" i="38" s="1"/>
  <c r="A16" i="38"/>
  <c r="C16" i="38" s="1"/>
  <c r="A17" i="38"/>
  <c r="C17" i="38" s="1"/>
  <c r="A18" i="38"/>
  <c r="C18" i="38" s="1"/>
  <c r="A19" i="38"/>
  <c r="C19" i="38" s="1"/>
  <c r="A20" i="38"/>
  <c r="C20" i="38" s="1"/>
  <c r="A21" i="38"/>
  <c r="C21" i="38" s="1"/>
  <c r="A22" i="38"/>
  <c r="C22" i="38" s="1"/>
  <c r="A23" i="38"/>
  <c r="C23" i="38" s="1"/>
  <c r="A24" i="38"/>
  <c r="C24" i="38" s="1"/>
  <c r="A25" i="38"/>
  <c r="C25" i="38" s="1"/>
  <c r="A26" i="38"/>
  <c r="C26" i="38" s="1"/>
  <c r="A27" i="38"/>
  <c r="C27" i="38" s="1"/>
  <c r="A28" i="38"/>
  <c r="C28" i="38" s="1"/>
  <c r="A29" i="38"/>
  <c r="C29" i="38" s="1"/>
  <c r="A30" i="38"/>
  <c r="C30" i="38" s="1"/>
  <c r="A31" i="38"/>
  <c r="C31" i="38" s="1"/>
  <c r="A32" i="38"/>
  <c r="C32" i="38" s="1"/>
  <c r="R5" i="55" a="1"/>
  <c r="R5" i="55" s="1"/>
  <c r="F18" i="52"/>
  <c r="F19" i="52"/>
  <c r="F20" i="52"/>
  <c r="F21" i="52"/>
  <c r="F22" i="52"/>
  <c r="F23" i="52"/>
  <c r="F24" i="52"/>
  <c r="F25" i="52"/>
  <c r="F26" i="52"/>
  <c r="C18" i="52"/>
  <c r="C19" i="52"/>
  <c r="C20" i="52"/>
  <c r="C21" i="52"/>
  <c r="C22" i="52"/>
  <c r="C23" i="52"/>
  <c r="C24" i="52"/>
  <c r="C25" i="52"/>
  <c r="C26" i="52"/>
  <c r="C27" i="52"/>
  <c r="A18" i="52"/>
  <c r="A19" i="52"/>
  <c r="A20" i="52"/>
  <c r="A21" i="52"/>
  <c r="A22" i="52"/>
  <c r="A23" i="52"/>
  <c r="A24" i="52"/>
  <c r="A25" i="52"/>
  <c r="A26" i="52"/>
  <c r="A27" i="52"/>
  <c r="H54" i="39"/>
  <c r="H55" i="39"/>
  <c r="H56" i="39"/>
  <c r="H57" i="39"/>
  <c r="H58" i="39"/>
  <c r="H59" i="39"/>
  <c r="H60" i="39"/>
  <c r="H61" i="39"/>
  <c r="H62" i="39"/>
  <c r="H63" i="39"/>
  <c r="H64" i="39"/>
  <c r="H65" i="39"/>
  <c r="H53" i="39"/>
  <c r="AE3" i="39"/>
  <c r="AE4" i="39"/>
  <c r="AE5" i="39"/>
  <c r="AE6" i="39"/>
  <c r="AE7" i="39"/>
  <c r="AE8" i="39"/>
  <c r="AE9" i="39"/>
  <c r="AE10" i="39"/>
  <c r="AE11" i="39"/>
  <c r="AE12" i="39"/>
  <c r="AE13" i="39"/>
  <c r="AE14" i="39"/>
  <c r="AE15" i="39"/>
  <c r="AE16" i="39"/>
  <c r="AE17" i="39"/>
  <c r="AE18" i="39"/>
  <c r="AE19" i="39"/>
  <c r="AE20" i="39"/>
  <c r="AE21" i="39"/>
  <c r="AE22" i="39"/>
  <c r="AE23" i="39"/>
  <c r="AE24" i="39"/>
  <c r="AE25" i="39"/>
  <c r="AE26" i="39"/>
  <c r="AE27" i="39"/>
  <c r="AE28" i="39"/>
  <c r="AE29" i="39"/>
  <c r="AE30" i="39"/>
  <c r="AE31" i="39"/>
  <c r="AE32" i="39"/>
  <c r="AE33" i="39"/>
  <c r="AE34" i="39"/>
  <c r="AE35" i="39"/>
  <c r="AE36" i="39"/>
  <c r="AE37" i="39"/>
  <c r="AE38" i="39"/>
  <c r="AE39" i="39"/>
  <c r="AE40" i="39"/>
  <c r="AE41" i="39"/>
  <c r="AE42" i="39"/>
  <c r="AE43" i="39"/>
  <c r="AE44" i="39"/>
  <c r="AE45" i="39"/>
  <c r="AE46" i="39"/>
  <c r="AE47" i="39"/>
  <c r="AE48" i="39"/>
  <c r="AE49" i="39"/>
  <c r="AE50" i="39"/>
  <c r="AE51" i="39"/>
  <c r="AE52" i="39"/>
  <c r="AE53" i="39"/>
  <c r="AE54" i="39"/>
  <c r="AE55" i="39"/>
  <c r="AE56" i="39"/>
  <c r="AE57" i="39"/>
  <c r="AE58" i="39"/>
  <c r="AE59" i="39"/>
  <c r="AE60" i="39"/>
  <c r="AE61" i="39"/>
  <c r="AE62" i="39"/>
  <c r="AE63" i="39"/>
  <c r="AE64" i="39"/>
  <c r="AE65" i="39"/>
  <c r="AE66" i="39"/>
  <c r="AE67" i="39"/>
  <c r="AE2" i="39"/>
  <c r="AD38" i="39"/>
  <c r="AD39" i="39"/>
  <c r="AD40" i="39"/>
  <c r="AD41" i="39"/>
  <c r="AD42" i="39"/>
  <c r="AD43" i="39"/>
  <c r="AD44" i="39"/>
  <c r="AD45" i="39"/>
  <c r="AD46" i="39"/>
  <c r="AD47" i="39"/>
  <c r="AD48" i="39"/>
  <c r="AD49" i="39"/>
  <c r="AD50" i="39"/>
  <c r="AD51" i="39"/>
  <c r="AD52" i="39"/>
  <c r="AD53" i="39"/>
  <c r="AD54" i="39"/>
  <c r="AD55" i="39"/>
  <c r="AD56" i="39"/>
  <c r="AD57" i="39"/>
  <c r="AD58" i="39"/>
  <c r="AD59" i="39"/>
  <c r="AD60" i="39"/>
  <c r="AD61" i="39"/>
  <c r="AD62" i="39"/>
  <c r="AD63" i="39"/>
  <c r="AD64" i="39"/>
  <c r="AD65" i="39"/>
  <c r="AD66" i="39"/>
  <c r="AD67" i="39"/>
  <c r="AD31" i="39"/>
  <c r="AD32" i="39"/>
  <c r="AD33" i="39"/>
  <c r="AD34" i="39"/>
  <c r="AD35" i="39"/>
  <c r="AD36" i="39"/>
  <c r="AD37" i="39"/>
  <c r="AD3" i="39"/>
  <c r="AD4" i="39"/>
  <c r="AD5" i="39"/>
  <c r="AD6" i="39"/>
  <c r="AD7" i="39"/>
  <c r="AD8" i="39"/>
  <c r="AD9" i="39"/>
  <c r="AD10" i="39"/>
  <c r="AD11" i="39"/>
  <c r="AD12" i="39"/>
  <c r="AD13" i="39"/>
  <c r="AD14" i="39"/>
  <c r="AD15" i="39"/>
  <c r="AD16" i="39"/>
  <c r="AD17" i="39"/>
  <c r="AD18" i="39"/>
  <c r="AD19" i="39"/>
  <c r="AD20" i="39"/>
  <c r="AD21" i="39"/>
  <c r="AD22" i="39"/>
  <c r="AD23" i="39"/>
  <c r="AD24" i="39"/>
  <c r="AD25" i="39"/>
  <c r="AD26" i="39"/>
  <c r="AD27" i="39"/>
  <c r="AD28" i="39"/>
  <c r="AF28" i="39" s="1"/>
  <c r="AD29" i="39"/>
  <c r="AD30" i="39"/>
  <c r="AD2" i="39"/>
  <c r="G4" i="39"/>
  <c r="G5" i="39"/>
  <c r="G6" i="39"/>
  <c r="G7" i="39"/>
  <c r="G8" i="39"/>
  <c r="G9" i="39"/>
  <c r="G10" i="39"/>
  <c r="G11" i="39"/>
  <c r="G12" i="39"/>
  <c r="E12" i="39" s="1"/>
  <c r="G13" i="39"/>
  <c r="E13" i="39" s="1"/>
  <c r="G14" i="39"/>
  <c r="E14" i="39" s="1"/>
  <c r="G15" i="39"/>
  <c r="E15" i="39" s="1"/>
  <c r="G16" i="39"/>
  <c r="E16" i="39" s="1"/>
  <c r="G17" i="39"/>
  <c r="E17" i="39" s="1"/>
  <c r="G18" i="39"/>
  <c r="E18" i="39" s="1"/>
  <c r="G19" i="39"/>
  <c r="E19" i="39" s="1"/>
  <c r="G20" i="39"/>
  <c r="E20" i="39" s="1"/>
  <c r="G21" i="39"/>
  <c r="E21" i="39" s="1"/>
  <c r="G22" i="39"/>
  <c r="E22" i="39" s="1"/>
  <c r="G23" i="39"/>
  <c r="E23" i="39" s="1"/>
  <c r="G24" i="39"/>
  <c r="E24" i="39" s="1"/>
  <c r="G25" i="39"/>
  <c r="E25" i="39" s="1"/>
  <c r="G26" i="39"/>
  <c r="E26" i="39" s="1"/>
  <c r="G27" i="39"/>
  <c r="E27" i="39" s="1"/>
  <c r="G28" i="39"/>
  <c r="E28" i="39" s="1"/>
  <c r="G3" i="39"/>
  <c r="A4" i="39"/>
  <c r="B4" i="39" s="1"/>
  <c r="H4" i="39" s="1"/>
  <c r="A5" i="39"/>
  <c r="B5" i="39" s="1"/>
  <c r="H5" i="39" s="1"/>
  <c r="B6" i="39"/>
  <c r="H6" i="39" s="1"/>
  <c r="A7" i="39"/>
  <c r="B7" i="39" s="1"/>
  <c r="H7" i="39" s="1"/>
  <c r="A8" i="39"/>
  <c r="B8" i="39" s="1"/>
  <c r="H8" i="39" s="1"/>
  <c r="A9" i="39"/>
  <c r="B9" i="39" s="1"/>
  <c r="H9" i="39" s="1"/>
  <c r="A10" i="39"/>
  <c r="B10" i="39" s="1"/>
  <c r="H10" i="39" s="1"/>
  <c r="A11" i="39"/>
  <c r="B11" i="39" s="1"/>
  <c r="H11" i="39" s="1"/>
  <c r="A12" i="39"/>
  <c r="B12" i="39" s="1"/>
  <c r="H12" i="39" s="1"/>
  <c r="A13" i="39"/>
  <c r="B13" i="39" s="1"/>
  <c r="H13" i="39" s="1"/>
  <c r="A14" i="39"/>
  <c r="B14" i="39" s="1"/>
  <c r="H14" i="39" s="1"/>
  <c r="A15" i="39"/>
  <c r="B15" i="39" s="1"/>
  <c r="H15" i="39" s="1"/>
  <c r="A16" i="39"/>
  <c r="B16" i="39" s="1"/>
  <c r="H16" i="39" s="1"/>
  <c r="A17" i="39"/>
  <c r="B17" i="39" s="1"/>
  <c r="H17" i="39" s="1"/>
  <c r="A18" i="39"/>
  <c r="B18" i="39" s="1"/>
  <c r="H18" i="39" s="1"/>
  <c r="A19" i="39"/>
  <c r="B19" i="39" s="1"/>
  <c r="H19" i="39" s="1"/>
  <c r="A20" i="39"/>
  <c r="B20" i="39" s="1"/>
  <c r="H20" i="39" s="1"/>
  <c r="A21" i="39"/>
  <c r="B21" i="39" s="1"/>
  <c r="H21" i="39" s="1"/>
  <c r="A22" i="39"/>
  <c r="B22" i="39" s="1"/>
  <c r="H22" i="39" s="1"/>
  <c r="A23" i="39"/>
  <c r="B23" i="39" s="1"/>
  <c r="H23" i="39" s="1"/>
  <c r="A24" i="39"/>
  <c r="B24" i="39" s="1"/>
  <c r="H24" i="39" s="1"/>
  <c r="A25" i="39"/>
  <c r="B25" i="39" s="1"/>
  <c r="H25" i="39" s="1"/>
  <c r="A26" i="39"/>
  <c r="B26" i="39" s="1"/>
  <c r="H26" i="39" s="1"/>
  <c r="A27" i="39"/>
  <c r="B27" i="39" s="1"/>
  <c r="H27" i="39" s="1"/>
  <c r="A28" i="39"/>
  <c r="B28" i="39" s="1"/>
  <c r="H28" i="39" s="1"/>
  <c r="A3" i="39"/>
  <c r="B3" i="39" s="1"/>
  <c r="H3" i="39" s="1"/>
  <c r="L19" i="33"/>
  <c r="L20" i="33"/>
  <c r="L30" i="33"/>
  <c r="E12" i="33"/>
  <c r="A12" i="33"/>
  <c r="D4" i="24"/>
  <c r="D5" i="24"/>
  <c r="D6" i="24"/>
  <c r="D7" i="24"/>
  <c r="D8" i="24"/>
  <c r="D9" i="24"/>
  <c r="D10" i="24"/>
  <c r="D11" i="24"/>
  <c r="D12" i="24"/>
  <c r="D13" i="24"/>
  <c r="D14" i="24"/>
  <c r="D15" i="24"/>
  <c r="D3" i="24"/>
  <c r="Q73" i="36"/>
  <c r="Q74" i="36"/>
  <c r="Q72" i="36"/>
  <c r="Q34" i="36"/>
  <c r="Q35" i="36"/>
  <c r="Q36" i="36"/>
  <c r="Q37" i="36"/>
  <c r="Q38" i="36"/>
  <c r="Q39" i="36"/>
  <c r="Q40" i="36"/>
  <c r="Q41" i="36"/>
  <c r="Q42" i="36"/>
  <c r="Q43" i="36"/>
  <c r="Q44" i="36"/>
  <c r="Q45" i="36"/>
  <c r="Q46" i="36"/>
  <c r="Q47" i="36"/>
  <c r="Q48" i="36"/>
  <c r="Q49" i="36"/>
  <c r="Q50" i="36"/>
  <c r="Q51" i="36"/>
  <c r="Q52" i="36"/>
  <c r="Q53" i="36"/>
  <c r="Q54" i="36"/>
  <c r="Q55" i="36"/>
  <c r="Q56" i="36"/>
  <c r="Q57" i="36"/>
  <c r="Q58" i="36"/>
  <c r="Q59" i="36"/>
  <c r="Q60" i="36"/>
  <c r="Q61" i="36"/>
  <c r="Q62" i="36"/>
  <c r="Q63" i="36"/>
  <c r="Q64" i="36"/>
  <c r="Q65" i="36"/>
  <c r="Q66" i="36"/>
  <c r="Q67" i="36"/>
  <c r="Q68" i="36"/>
  <c r="Q69" i="36"/>
  <c r="Q70" i="36"/>
  <c r="Q71" i="36"/>
  <c r="Q33" i="36"/>
  <c r="Q4" i="36"/>
  <c r="Q5" i="36"/>
  <c r="Q6" i="36"/>
  <c r="Q7" i="36"/>
  <c r="Q8" i="36"/>
  <c r="Q9" i="36"/>
  <c r="Q10" i="36"/>
  <c r="Q11" i="36"/>
  <c r="Q12" i="36"/>
  <c r="Q13" i="36"/>
  <c r="Q14" i="36"/>
  <c r="Q15" i="36"/>
  <c r="Q16" i="36"/>
  <c r="Q17" i="36"/>
  <c r="Q18" i="36"/>
  <c r="Q19" i="36"/>
  <c r="Q20" i="36"/>
  <c r="Q21" i="36"/>
  <c r="Q22" i="36"/>
  <c r="Q23" i="36"/>
  <c r="Q24" i="36"/>
  <c r="Q25" i="36"/>
  <c r="Q26" i="36"/>
  <c r="Q27" i="36"/>
  <c r="Q28" i="36"/>
  <c r="Q29" i="36"/>
  <c r="Q30" i="36"/>
  <c r="Q31" i="36"/>
  <c r="Q32" i="36"/>
  <c r="Q3" i="36"/>
  <c r="A4" i="36"/>
  <c r="B4" i="36" s="1"/>
  <c r="A5" i="36"/>
  <c r="B5" i="36" s="1"/>
  <c r="A6" i="36"/>
  <c r="B6" i="36" s="1"/>
  <c r="A7" i="36"/>
  <c r="B7" i="36" s="1"/>
  <c r="A8" i="36"/>
  <c r="B8" i="36" s="1"/>
  <c r="A9" i="36"/>
  <c r="B9" i="36" s="1"/>
  <c r="A10" i="36"/>
  <c r="B10" i="36" s="1"/>
  <c r="A11" i="36"/>
  <c r="B11" i="36" s="1"/>
  <c r="A12" i="36"/>
  <c r="B12" i="36" s="1"/>
  <c r="A13" i="36"/>
  <c r="B13" i="36" s="1"/>
  <c r="A14" i="36"/>
  <c r="B14" i="36" s="1"/>
  <c r="A15" i="36"/>
  <c r="A3" i="36"/>
  <c r="B3" i="36" s="1"/>
  <c r="A4" i="48"/>
  <c r="F4" i="48" s="1"/>
  <c r="A5" i="48"/>
  <c r="F5" i="48" s="1"/>
  <c r="A6" i="48"/>
  <c r="F6" i="48" s="1"/>
  <c r="A7" i="48"/>
  <c r="F7" i="48" s="1"/>
  <c r="A8" i="48"/>
  <c r="F8" i="48" s="1"/>
  <c r="A9" i="48"/>
  <c r="F9" i="48" s="1"/>
  <c r="A10" i="48"/>
  <c r="F10" i="48" s="1"/>
  <c r="A11" i="48"/>
  <c r="F11" i="48" s="1"/>
  <c r="A12" i="48"/>
  <c r="F12" i="48" s="1"/>
  <c r="A13" i="48"/>
  <c r="F13" i="48" s="1"/>
  <c r="A14" i="48"/>
  <c r="F14" i="48" s="1"/>
  <c r="A15" i="48"/>
  <c r="F15" i="48" s="1"/>
  <c r="A16" i="48"/>
  <c r="F16" i="48" s="1"/>
  <c r="A17" i="48"/>
  <c r="F17" i="48" s="1"/>
  <c r="A18" i="48"/>
  <c r="F18" i="48" s="1"/>
  <c r="A19" i="48"/>
  <c r="F19" i="48" s="1"/>
  <c r="A20" i="48"/>
  <c r="F20" i="48" s="1"/>
  <c r="A21" i="48"/>
  <c r="F21" i="48" s="1"/>
  <c r="A22" i="48"/>
  <c r="F22" i="48" s="1"/>
  <c r="A23" i="48"/>
  <c r="F23" i="48" s="1"/>
  <c r="A24" i="48"/>
  <c r="F24" i="48" s="1"/>
  <c r="A25" i="48"/>
  <c r="F25" i="48" s="1"/>
  <c r="A26" i="48"/>
  <c r="F26" i="48" s="1"/>
  <c r="A27" i="48"/>
  <c r="F27" i="48" s="1"/>
  <c r="A28" i="48"/>
  <c r="F28" i="48" s="1"/>
  <c r="A29" i="48"/>
  <c r="F29" i="48" s="1"/>
  <c r="A30" i="48"/>
  <c r="F30" i="48" s="1"/>
  <c r="A31" i="48"/>
  <c r="F31" i="48" s="1"/>
  <c r="A32" i="48"/>
  <c r="F32" i="48" s="1"/>
  <c r="F3" i="48"/>
  <c r="G9" i="35"/>
  <c r="G8" i="35"/>
  <c r="G7" i="35"/>
  <c r="G5" i="35"/>
  <c r="G4" i="35"/>
  <c r="G3" i="35"/>
  <c r="G2" i="35"/>
  <c r="Q4" i="40"/>
  <c r="Q5" i="40"/>
  <c r="Q6" i="40"/>
  <c r="Q7" i="40"/>
  <c r="Q8" i="40"/>
  <c r="Q9"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9" i="40"/>
  <c r="Q40" i="40"/>
  <c r="Q41" i="40"/>
  <c r="Q42" i="40"/>
  <c r="Q43" i="40"/>
  <c r="Q44" i="40"/>
  <c r="Q45" i="40"/>
  <c r="Q46" i="40"/>
  <c r="Q47" i="40"/>
  <c r="Q48" i="40"/>
  <c r="Q49" i="40"/>
  <c r="Q50" i="40"/>
  <c r="Q51" i="40"/>
  <c r="Q52" i="40"/>
  <c r="Q53" i="40"/>
  <c r="Q3" i="40"/>
  <c r="M2" i="42"/>
  <c r="M4" i="42"/>
  <c r="M5" i="42"/>
  <c r="M6" i="42"/>
  <c r="M7" i="42"/>
  <c r="M8" i="42"/>
  <c r="M9" i="42"/>
  <c r="M10" i="42"/>
  <c r="M11" i="42"/>
  <c r="M12" i="42"/>
  <c r="M13" i="42"/>
  <c r="M14" i="42"/>
  <c r="M15" i="42"/>
  <c r="M16" i="42"/>
  <c r="M17" i="42"/>
  <c r="M18" i="42"/>
  <c r="M19" i="42"/>
  <c r="M20" i="42"/>
  <c r="M21" i="42"/>
  <c r="M3" i="42"/>
  <c r="AR4" i="45"/>
  <c r="P4" i="12"/>
  <c r="P5" i="12"/>
  <c r="P6" i="12"/>
  <c r="P7" i="12"/>
  <c r="P8" i="12"/>
  <c r="P9" i="12"/>
  <c r="P10" i="12"/>
  <c r="P11" i="12"/>
  <c r="P12" i="12"/>
  <c r="P13" i="12"/>
  <c r="P14" i="12"/>
  <c r="P15" i="12"/>
  <c r="P16" i="12"/>
  <c r="P17" i="12"/>
  <c r="P18" i="12"/>
  <c r="P19" i="12"/>
  <c r="P20" i="12"/>
  <c r="P3" i="12"/>
  <c r="J11" i="20"/>
  <c r="J12" i="20"/>
  <c r="J13" i="20"/>
  <c r="J14" i="20"/>
  <c r="J15" i="20"/>
  <c r="J16" i="20"/>
  <c r="J17" i="20"/>
  <c r="J10" i="20"/>
  <c r="V77" i="52"/>
  <c r="H8" i="23"/>
  <c r="H9" i="23"/>
  <c r="H10" i="23"/>
  <c r="H11" i="23"/>
  <c r="H12" i="23"/>
  <c r="C4" i="19"/>
  <c r="C5" i="19"/>
  <c r="C6" i="19"/>
  <c r="C7" i="19"/>
  <c r="C8" i="19"/>
  <c r="C9" i="19"/>
  <c r="C10" i="19"/>
  <c r="A3" i="19"/>
  <c r="A4" i="19"/>
  <c r="A5" i="19"/>
  <c r="A6" i="19"/>
  <c r="A7" i="19"/>
  <c r="A8" i="19"/>
  <c r="A9" i="19"/>
  <c r="A10" i="19"/>
  <c r="Z81" i="33"/>
  <c r="Z80" i="33"/>
  <c r="Z38" i="33"/>
  <c r="Z43" i="33"/>
  <c r="Z44" i="33"/>
  <c r="Z45" i="33"/>
  <c r="Z37" i="33"/>
  <c r="E38" i="37"/>
  <c r="E39" i="37"/>
  <c r="E40" i="37"/>
  <c r="E41" i="37"/>
  <c r="E42" i="37"/>
  <c r="E43" i="37"/>
  <c r="E44" i="37"/>
  <c r="E45" i="37"/>
  <c r="E46" i="37"/>
  <c r="E47" i="37"/>
  <c r="E48" i="37"/>
  <c r="E49" i="37"/>
  <c r="E50" i="37"/>
  <c r="E37" i="37"/>
  <c r="D37" i="45"/>
  <c r="G37" i="45"/>
  <c r="K37" i="45"/>
  <c r="X37" i="45"/>
  <c r="D38" i="45"/>
  <c r="G38" i="45"/>
  <c r="K38" i="45"/>
  <c r="X38" i="45"/>
  <c r="D39" i="45"/>
  <c r="G39" i="45"/>
  <c r="K39" i="45"/>
  <c r="X39" i="45"/>
  <c r="D40" i="45"/>
  <c r="G40" i="45"/>
  <c r="K40" i="45"/>
  <c r="X40" i="45"/>
  <c r="D41" i="45"/>
  <c r="G41" i="45"/>
  <c r="K41" i="45"/>
  <c r="X41" i="45"/>
  <c r="D42" i="45"/>
  <c r="G42" i="45"/>
  <c r="K42" i="45"/>
  <c r="X42" i="45"/>
  <c r="X43" i="45"/>
  <c r="X44" i="45"/>
  <c r="X45" i="45"/>
  <c r="X46" i="45"/>
  <c r="X47" i="45"/>
  <c r="X48" i="45"/>
  <c r="X49" i="45"/>
  <c r="AZ29" i="17"/>
  <c r="AZ21" i="17"/>
  <c r="AZ3" i="17"/>
  <c r="AZ4" i="17"/>
  <c r="AZ5" i="17"/>
  <c r="AZ6" i="17"/>
  <c r="AZ7" i="17"/>
  <c r="AZ8" i="17"/>
  <c r="AZ9" i="17"/>
  <c r="AZ10" i="17"/>
  <c r="AZ11" i="17"/>
  <c r="AZ12" i="17"/>
  <c r="AZ13" i="17"/>
  <c r="AZ14" i="17"/>
  <c r="AZ15" i="17"/>
  <c r="AZ16" i="17"/>
  <c r="AZ17" i="17"/>
  <c r="AZ18" i="17"/>
  <c r="AZ19" i="17"/>
  <c r="AZ20" i="17"/>
  <c r="BA20" i="17" s="1"/>
  <c r="AM22" i="17"/>
  <c r="AM23" i="17"/>
  <c r="AM24" i="17"/>
  <c r="AM25" i="17"/>
  <c r="AM26" i="17"/>
  <c r="AM27" i="17"/>
  <c r="AM28" i="17"/>
  <c r="AM29" i="17"/>
  <c r="AM30" i="17"/>
  <c r="AM31" i="17"/>
  <c r="AM32" i="17"/>
  <c r="AM33" i="17"/>
  <c r="AM34" i="17"/>
  <c r="AM35" i="17"/>
  <c r="AM36" i="17"/>
  <c r="AM37" i="17"/>
  <c r="AM38" i="17"/>
  <c r="AM39" i="17"/>
  <c r="AM40" i="17"/>
  <c r="AM41" i="17"/>
  <c r="AM42" i="17"/>
  <c r="AM43" i="17"/>
  <c r="AM44" i="17"/>
  <c r="AM45" i="17"/>
  <c r="AM46" i="17"/>
  <c r="AM47" i="17"/>
  <c r="AM48" i="17"/>
  <c r="AM49" i="17"/>
  <c r="AM50" i="17"/>
  <c r="AM51" i="17"/>
  <c r="AM52" i="17"/>
  <c r="AM53" i="17"/>
  <c r="AM54" i="17"/>
  <c r="AM55" i="17"/>
  <c r="AM56" i="17"/>
  <c r="AM57" i="17"/>
  <c r="AM58" i="17"/>
  <c r="AM59" i="17"/>
  <c r="AM60" i="17"/>
  <c r="AM61" i="17"/>
  <c r="AM62" i="17"/>
  <c r="AM63" i="17"/>
  <c r="AM64" i="17"/>
  <c r="AM65" i="17"/>
  <c r="AM66" i="17"/>
  <c r="AM67" i="17"/>
  <c r="AM68" i="17"/>
  <c r="AM69" i="17"/>
  <c r="AM70" i="17"/>
  <c r="AM71" i="17"/>
  <c r="AM80" i="17"/>
  <c r="AM81" i="17"/>
  <c r="AM82" i="17"/>
  <c r="AM83" i="17"/>
  <c r="AM84" i="17"/>
  <c r="AM85" i="17"/>
  <c r="AM86" i="17"/>
  <c r="AM87" i="17"/>
  <c r="AM88" i="17"/>
  <c r="AM89" i="17"/>
  <c r="AM90" i="17"/>
  <c r="AM91" i="17"/>
  <c r="AM92" i="17"/>
  <c r="AM93" i="17"/>
  <c r="AM94" i="17"/>
  <c r="AM95" i="17"/>
  <c r="AM96" i="17"/>
  <c r="AM97" i="17"/>
  <c r="AM98" i="17"/>
  <c r="AM99" i="17"/>
  <c r="AM100" i="17"/>
  <c r="AM101" i="17"/>
  <c r="AM102" i="17"/>
  <c r="AM103" i="17"/>
  <c r="AM104" i="17"/>
  <c r="AM105" i="17"/>
  <c r="AM106" i="17"/>
  <c r="AM107" i="17"/>
  <c r="AM108" i="17"/>
  <c r="AM109" i="17"/>
  <c r="AM110" i="17"/>
  <c r="AM111" i="17"/>
  <c r="AM112" i="17"/>
  <c r="AM113" i="17"/>
  <c r="AM114" i="17"/>
  <c r="AM115" i="17"/>
  <c r="AM116" i="17"/>
  <c r="AM117" i="17"/>
  <c r="AM118" i="17"/>
  <c r="AM119" i="17"/>
  <c r="AM120" i="17"/>
  <c r="AM121" i="17"/>
  <c r="AM122" i="17"/>
  <c r="AM123" i="17"/>
  <c r="AM124" i="17"/>
  <c r="AM125" i="17"/>
  <c r="AM126" i="17"/>
  <c r="AM127" i="17"/>
  <c r="AM128" i="17"/>
  <c r="AM129" i="17"/>
  <c r="AM130" i="17"/>
  <c r="AM131" i="17"/>
  <c r="AM132" i="17"/>
  <c r="AM133" i="17"/>
  <c r="AM134" i="17"/>
  <c r="AM135" i="17"/>
  <c r="AM136" i="17"/>
  <c r="AM137" i="17"/>
  <c r="AM138" i="17"/>
  <c r="AM139" i="17"/>
  <c r="AM140" i="17"/>
  <c r="AM141" i="17"/>
  <c r="AM142" i="17"/>
  <c r="AM143" i="17"/>
  <c r="AM144" i="17"/>
  <c r="AM145" i="17"/>
  <c r="AM146" i="17"/>
  <c r="AM147" i="17"/>
  <c r="AM148" i="17"/>
  <c r="AM149" i="17"/>
  <c r="AM150" i="17"/>
  <c r="AM151" i="17"/>
  <c r="AM152" i="17"/>
  <c r="AM153" i="17"/>
  <c r="AM154" i="17"/>
  <c r="AM155" i="17"/>
  <c r="AM156" i="17"/>
  <c r="AM157" i="17"/>
  <c r="AM158" i="17"/>
  <c r="AM159" i="17"/>
  <c r="AM160" i="17"/>
  <c r="AM161" i="17"/>
  <c r="AM162" i="17"/>
  <c r="AM163" i="17"/>
  <c r="AM164" i="17"/>
  <c r="AM165" i="17"/>
  <c r="AM166" i="17"/>
  <c r="AM167" i="17"/>
  <c r="AM168" i="17"/>
  <c r="AM169" i="17"/>
  <c r="AM170" i="17"/>
  <c r="AM171" i="17"/>
  <c r="AM172" i="17"/>
  <c r="AM173" i="17"/>
  <c r="AM174" i="17"/>
  <c r="AM175" i="17"/>
  <c r="AM176" i="17"/>
  <c r="AM177" i="17"/>
  <c r="AM178" i="17"/>
  <c r="AM179" i="17"/>
  <c r="AM180" i="17"/>
  <c r="AM181" i="17"/>
  <c r="AM182" i="17"/>
  <c r="AM4" i="17"/>
  <c r="AM5" i="17"/>
  <c r="AM6" i="17"/>
  <c r="AM7" i="17"/>
  <c r="AM8" i="17"/>
  <c r="AM9" i="17"/>
  <c r="AM10" i="17"/>
  <c r="AM11" i="17"/>
  <c r="AM12" i="17"/>
  <c r="AM13" i="17"/>
  <c r="AM14" i="17"/>
  <c r="AM15" i="17"/>
  <c r="AM16" i="17"/>
  <c r="AM17" i="17"/>
  <c r="AM18" i="17"/>
  <c r="AM19" i="17"/>
  <c r="AM20" i="17"/>
  <c r="AM21" i="17"/>
  <c r="AM3"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B2" i="35"/>
  <c r="B3" i="35"/>
  <c r="B4" i="35"/>
  <c r="B5" i="35"/>
  <c r="B6" i="35"/>
  <c r="B7" i="35"/>
  <c r="B8" i="35"/>
  <c r="B9" i="35"/>
  <c r="B10" i="35"/>
  <c r="B11" i="35"/>
  <c r="B12" i="35"/>
  <c r="B13" i="35"/>
  <c r="B14" i="35"/>
  <c r="B15" i="35"/>
  <c r="B16" i="35"/>
  <c r="B17" i="35"/>
  <c r="B18" i="35"/>
  <c r="B19" i="35"/>
  <c r="A2" i="35"/>
  <c r="A3" i="35"/>
  <c r="A4" i="35"/>
  <c r="A5" i="35"/>
  <c r="A7" i="35"/>
  <c r="A8" i="35"/>
  <c r="A9" i="35"/>
  <c r="A10" i="35"/>
  <c r="A11" i="35"/>
  <c r="A12" i="35"/>
  <c r="A13" i="35"/>
  <c r="A14" i="35"/>
  <c r="A15" i="35"/>
  <c r="A16" i="35"/>
  <c r="A17" i="35"/>
  <c r="A18" i="35"/>
  <c r="A19" i="35"/>
  <c r="O3" i="15"/>
  <c r="A2" i="50"/>
  <c r="A3" i="50"/>
  <c r="A4" i="50"/>
  <c r="A5" i="50"/>
  <c r="A6" i="50"/>
  <c r="A7" i="50"/>
  <c r="A8" i="50"/>
  <c r="U4" i="40"/>
  <c r="U5" i="40"/>
  <c r="U6" i="40"/>
  <c r="U7" i="40"/>
  <c r="U8" i="40"/>
  <c r="U9" i="40"/>
  <c r="U3" i="40"/>
  <c r="X5" i="38" l="1"/>
  <c r="A13" i="38"/>
  <c r="C13" i="38" s="1"/>
  <c r="Y25" i="38"/>
  <c r="A10" i="38"/>
  <c r="C10" i="38" s="1"/>
  <c r="X30" i="38"/>
  <c r="A11" i="38"/>
  <c r="C11" i="38" s="1"/>
  <c r="E15" i="36"/>
  <c r="B15" i="36"/>
  <c r="Y22" i="38"/>
  <c r="A6" i="38"/>
  <c r="C6" i="38" s="1"/>
  <c r="X58" i="38"/>
  <c r="A9" i="38"/>
  <c r="C9" i="38" s="1"/>
  <c r="X28" i="38"/>
  <c r="A8" i="38"/>
  <c r="C8" i="38" s="1"/>
  <c r="C12" i="38"/>
  <c r="AE40" i="45"/>
  <c r="AE53" i="45"/>
  <c r="A5" i="38"/>
  <c r="C5" i="38" s="1"/>
  <c r="X61" i="38"/>
  <c r="X37" i="38"/>
  <c r="X13" i="38"/>
  <c r="Y76" i="38"/>
  <c r="Y52" i="38"/>
  <c r="Y28" i="38"/>
  <c r="A3" i="38"/>
  <c r="C3" i="38" s="1"/>
  <c r="Y4" i="38"/>
  <c r="A7" i="38"/>
  <c r="C7" i="38" s="1"/>
  <c r="X75" i="38"/>
  <c r="X51" i="38"/>
  <c r="X27" i="38"/>
  <c r="Y3" i="38"/>
  <c r="Y66" i="38"/>
  <c r="Y42" i="38"/>
  <c r="Y18" i="38"/>
  <c r="X74" i="38"/>
  <c r="X50" i="38"/>
  <c r="X26" i="38"/>
  <c r="Y89" i="38"/>
  <c r="Y65" i="38"/>
  <c r="Y41" i="38"/>
  <c r="Y17" i="38"/>
  <c r="X73" i="38"/>
  <c r="X49" i="38"/>
  <c r="X25" i="38"/>
  <c r="Y88" i="38"/>
  <c r="Y64" i="38"/>
  <c r="Y40" i="38"/>
  <c r="Y16" i="38"/>
  <c r="X72" i="38"/>
  <c r="X48" i="38"/>
  <c r="X24" i="38"/>
  <c r="Y87" i="38"/>
  <c r="Y63" i="38"/>
  <c r="Y39" i="38"/>
  <c r="Y15" i="38"/>
  <c r="X71" i="38"/>
  <c r="X47" i="38"/>
  <c r="X23" i="38"/>
  <c r="Y86" i="38"/>
  <c r="Y62" i="38"/>
  <c r="Y38" i="38"/>
  <c r="Y14" i="38"/>
  <c r="X70" i="38"/>
  <c r="X46" i="38"/>
  <c r="X22" i="38"/>
  <c r="Y85" i="38"/>
  <c r="X69" i="38"/>
  <c r="X45" i="38"/>
  <c r="X21" i="38"/>
  <c r="Y84" i="38"/>
  <c r="Y60" i="38"/>
  <c r="Y36" i="38"/>
  <c r="Y12" i="38"/>
  <c r="X68" i="38"/>
  <c r="X44" i="38"/>
  <c r="X20" i="38"/>
  <c r="Y83" i="38"/>
  <c r="Y59" i="38"/>
  <c r="Y35" i="38"/>
  <c r="Y11" i="38"/>
  <c r="X67" i="38"/>
  <c r="X43" i="38"/>
  <c r="X19" i="38"/>
  <c r="Y82" i="38"/>
  <c r="Y58" i="38"/>
  <c r="Y34" i="38"/>
  <c r="Y10" i="38"/>
  <c r="Y81" i="38"/>
  <c r="Y57" i="38"/>
  <c r="Y33" i="38"/>
  <c r="Y9" i="38"/>
  <c r="Y80" i="38"/>
  <c r="Y56" i="38"/>
  <c r="Y32" i="38"/>
  <c r="Y8" i="38"/>
  <c r="Y79" i="38"/>
  <c r="Y55" i="38"/>
  <c r="Y31" i="38"/>
  <c r="Y7" i="38"/>
  <c r="Y78" i="38"/>
  <c r="Y54" i="38"/>
  <c r="Y30" i="38"/>
  <c r="Y6" i="38"/>
  <c r="Y77" i="38"/>
  <c r="Y53" i="38"/>
  <c r="Y29" i="38"/>
  <c r="Y5" i="38"/>
  <c r="A4" i="38"/>
  <c r="C4" i="38" s="1"/>
  <c r="Y24" i="38"/>
  <c r="X31" i="38"/>
  <c r="AE57" i="45"/>
  <c r="AE47" i="45"/>
  <c r="AE61" i="45"/>
  <c r="AE49" i="45"/>
  <c r="AE39" i="45"/>
  <c r="AE59" i="45"/>
  <c r="AE41" i="45"/>
  <c r="AE51" i="45"/>
  <c r="AE37" i="45"/>
  <c r="AE50" i="45"/>
  <c r="AE56" i="45"/>
  <c r="AE55" i="45"/>
  <c r="AE38" i="45"/>
  <c r="AE54" i="45"/>
  <c r="AE43" i="45"/>
  <c r="AE64" i="45"/>
  <c r="AE63" i="45"/>
  <c r="AE52" i="45"/>
  <c r="AE62" i="45"/>
  <c r="AE46" i="45"/>
  <c r="AE42" i="45"/>
  <c r="AE60" i="45"/>
  <c r="AE45" i="45"/>
  <c r="AE58" i="45"/>
  <c r="AE48" i="45"/>
  <c r="AE44" i="45"/>
  <c r="G3" i="28"/>
  <c r="G4" i="28"/>
  <c r="G5" i="28"/>
  <c r="G6" i="28"/>
  <c r="G7" i="28"/>
  <c r="G8" i="28"/>
  <c r="G9" i="28"/>
  <c r="A3" i="28"/>
  <c r="A4" i="28"/>
  <c r="A5" i="28"/>
  <c r="A6" i="28"/>
  <c r="A7" i="28"/>
  <c r="A8" i="28"/>
  <c r="A9" i="28"/>
  <c r="L123" i="53"/>
  <c r="A4" i="42"/>
  <c r="A5" i="42"/>
  <c r="A6" i="42"/>
  <c r="A7" i="42"/>
  <c r="A8" i="42"/>
  <c r="A3" i="42"/>
  <c r="K3" i="42"/>
  <c r="Z55" i="26" l="1"/>
  <c r="K2" i="26" l="1"/>
  <c r="K3" i="26"/>
  <c r="K4" i="26"/>
  <c r="K5" i="26"/>
  <c r="K6" i="26"/>
  <c r="K7" i="26"/>
  <c r="K8" i="26"/>
  <c r="J3" i="26" l="1"/>
  <c r="J5" i="26"/>
  <c r="J4" i="26"/>
  <c r="J7" i="26"/>
  <c r="J8" i="26"/>
  <c r="J2" i="26"/>
  <c r="J6" i="26"/>
  <c r="D70" i="13"/>
  <c r="C70" i="13"/>
  <c r="D69" i="13"/>
  <c r="C69" i="13"/>
  <c r="D68" i="13"/>
  <c r="C68" i="13"/>
  <c r="D67" i="13"/>
  <c r="C67" i="13"/>
  <c r="D66" i="13"/>
  <c r="C66" i="13"/>
  <c r="D65" i="13"/>
  <c r="C65" i="13"/>
  <c r="D64" i="13"/>
  <c r="C64" i="13"/>
  <c r="D63" i="13"/>
  <c r="C63" i="13"/>
  <c r="K9" i="26" l="1"/>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J17" i="53"/>
  <c r="M109" i="26" a="1"/>
  <c r="S93" i="26" l="1"/>
  <c r="Q93" i="26"/>
  <c r="P93" i="26"/>
  <c r="U93" i="26"/>
  <c r="V93" i="26"/>
  <c r="M109" i="26"/>
  <c r="N109" i="26"/>
  <c r="U88" i="26"/>
  <c r="P74" i="26"/>
  <c r="S72" i="26"/>
  <c r="S73" i="26"/>
  <c r="J19" i="26"/>
  <c r="J20" i="26"/>
  <c r="J18" i="26"/>
  <c r="S77" i="26"/>
  <c r="S76" i="26"/>
  <c r="V75" i="26"/>
  <c r="S74" i="26"/>
  <c r="P76" i="26"/>
  <c r="S75" i="26"/>
  <c r="Q76" i="26"/>
  <c r="V77" i="26"/>
  <c r="Q75" i="26"/>
  <c r="Q77" i="26"/>
  <c r="J11" i="26"/>
  <c r="J15" i="26"/>
  <c r="P77" i="26"/>
  <c r="J14" i="26"/>
  <c r="J13" i="26"/>
  <c r="J64" i="26"/>
  <c r="J10" i="26"/>
  <c r="J9" i="26"/>
  <c r="Q79" i="26"/>
  <c r="S78" i="26"/>
  <c r="S79" i="26"/>
  <c r="P78" i="26"/>
  <c r="Q78" i="26"/>
  <c r="V78" i="26"/>
  <c r="V79" i="26"/>
  <c r="J22" i="26"/>
  <c r="J50" i="26"/>
  <c r="J12" i="26"/>
  <c r="J36" i="26"/>
  <c r="J21" i="26"/>
  <c r="J17" i="26"/>
  <c r="J62" i="26"/>
  <c r="J63" i="26"/>
  <c r="J35" i="26"/>
  <c r="J47" i="26"/>
  <c r="J45" i="26"/>
  <c r="J58" i="26"/>
  <c r="J44" i="26"/>
  <c r="J30" i="26"/>
  <c r="J16" i="26"/>
  <c r="J49" i="26"/>
  <c r="J61" i="26"/>
  <c r="J59" i="26"/>
  <c r="J43" i="26"/>
  <c r="J56" i="26"/>
  <c r="J42" i="26"/>
  <c r="J28" i="26"/>
  <c r="J34" i="26"/>
  <c r="J46" i="26"/>
  <c r="J31" i="26"/>
  <c r="J41" i="26"/>
  <c r="J27" i="26"/>
  <c r="J57" i="26"/>
  <c r="J26" i="26"/>
  <c r="J48" i="26"/>
  <c r="J60" i="26"/>
  <c r="J54" i="26"/>
  <c r="J39" i="26"/>
  <c r="J25" i="26"/>
  <c r="J33" i="26"/>
  <c r="J32" i="26"/>
  <c r="J29" i="26"/>
  <c r="J55" i="26"/>
  <c r="J40" i="26"/>
  <c r="J53" i="26"/>
  <c r="J52" i="26"/>
  <c r="J38" i="26"/>
  <c r="J24" i="26"/>
  <c r="J65" i="26"/>
  <c r="J51" i="26"/>
  <c r="J37" i="26"/>
  <c r="J23" i="26"/>
  <c r="S88" i="26"/>
  <c r="U87" i="26"/>
  <c r="U76" i="26"/>
  <c r="V89" i="26"/>
  <c r="Q87" i="26"/>
  <c r="U81" i="26"/>
  <c r="S92" i="26"/>
  <c r="S84" i="26"/>
  <c r="S85" i="26"/>
  <c r="S80" i="26"/>
  <c r="P81" i="26"/>
  <c r="P86" i="26"/>
  <c r="V82" i="26"/>
  <c r="U84" i="26"/>
  <c r="V84" i="26"/>
  <c r="P85" i="26"/>
  <c r="P84" i="26"/>
  <c r="Q82" i="26"/>
  <c r="V83" i="26"/>
  <c r="U83" i="26"/>
  <c r="S81" i="26"/>
  <c r="S89" i="26"/>
  <c r="Q80" i="26"/>
  <c r="V80" i="26"/>
  <c r="Q89" i="26"/>
  <c r="S86" i="26"/>
  <c r="U82" i="26"/>
  <c r="S91" i="26"/>
  <c r="P80" i="26"/>
  <c r="Q81" i="26"/>
  <c r="S82" i="26"/>
  <c r="V85" i="26"/>
  <c r="Q85" i="26"/>
  <c r="S87" i="26"/>
  <c r="S90" i="26"/>
  <c r="V87" i="26"/>
  <c r="P79" i="26"/>
  <c r="S83" i="26"/>
  <c r="V86" i="26"/>
  <c r="U75" i="26"/>
  <c r="Q83" i="26"/>
  <c r="Q84" i="26"/>
  <c r="Q86" i="26"/>
  <c r="U86" i="26"/>
  <c r="P89" i="26"/>
  <c r="V91" i="26"/>
  <c r="U92" i="26"/>
  <c r="P82" i="26"/>
  <c r="P92" i="26"/>
  <c r="V88" i="26"/>
  <c r="Q92" i="26"/>
  <c r="P87" i="26"/>
  <c r="P75" i="26"/>
  <c r="V90" i="26"/>
  <c r="Q91" i="26"/>
  <c r="U80" i="26"/>
  <c r="U90" i="26"/>
  <c r="U91" i="26"/>
  <c r="V92" i="26"/>
  <c r="P91" i="26"/>
  <c r="U85" i="26"/>
  <c r="V81" i="26"/>
  <c r="V76" i="26"/>
  <c r="Q88" i="26"/>
  <c r="U78" i="26"/>
  <c r="P90" i="26"/>
  <c r="U77" i="26"/>
  <c r="P88" i="26"/>
  <c r="U79" i="26"/>
  <c r="U89" i="26"/>
  <c r="Q90" i="26"/>
  <c r="P83" i="26"/>
  <c r="K77" i="26"/>
  <c r="K75" i="26"/>
  <c r="K87" i="26"/>
  <c r="K78" i="26"/>
  <c r="K81" i="26"/>
  <c r="K90" i="26"/>
  <c r="K93" i="26"/>
  <c r="K74" i="26"/>
  <c r="K83" i="26"/>
  <c r="K84" i="26"/>
  <c r="K91" i="26"/>
  <c r="K73" i="26"/>
  <c r="K76" i="26"/>
  <c r="K82" i="26"/>
  <c r="K72" i="26"/>
  <c r="K89" i="26"/>
  <c r="K88" i="26"/>
  <c r="K85" i="26"/>
  <c r="K79" i="26"/>
  <c r="K86" i="26"/>
  <c r="K92" i="26"/>
  <c r="K80" i="26"/>
  <c r="AD87" i="26"/>
  <c r="L86" i="26" a="1"/>
  <c r="L75" i="26" a="1"/>
  <c r="L90" i="26" a="1"/>
  <c r="L84" i="26" a="1"/>
  <c r="L83" i="26" a="1"/>
  <c r="L79" i="26" a="1"/>
  <c r="L78" i="26" a="1"/>
  <c r="L80" i="26" a="1"/>
  <c r="L76" i="26" a="1"/>
  <c r="L85" i="26" a="1"/>
  <c r="L81" i="26" a="1"/>
  <c r="L82" i="26" a="1"/>
  <c r="L87" i="26" a="1"/>
  <c r="Y93" i="26" l="1"/>
  <c r="Z93" i="26" s="1"/>
  <c r="Y80" i="26"/>
  <c r="Z80" i="26" s="1"/>
  <c r="Y79" i="26"/>
  <c r="Z79" i="26" s="1"/>
  <c r="Y78" i="26"/>
  <c r="Z78" i="26" s="1"/>
  <c r="L79" i="26"/>
  <c r="Y84" i="26"/>
  <c r="Z84" i="26" s="1"/>
  <c r="L84" i="26"/>
  <c r="L86" i="26"/>
  <c r="Y88" i="26"/>
  <c r="Z88" i="26" s="1"/>
  <c r="Y89" i="26"/>
  <c r="Z89" i="26" s="1"/>
  <c r="L87" i="26"/>
  <c r="L90" i="26"/>
  <c r="L82" i="26"/>
  <c r="L78" i="26"/>
  <c r="L81" i="26"/>
  <c r="L83" i="26"/>
  <c r="L85" i="26"/>
  <c r="L80" i="26"/>
  <c r="L76" i="26"/>
  <c r="L75" i="26"/>
  <c r="Y77" i="26"/>
  <c r="Z77" i="26" s="1"/>
  <c r="Y83" i="26"/>
  <c r="Z83" i="26" s="1"/>
  <c r="Y87" i="26"/>
  <c r="Z87" i="26" s="1"/>
  <c r="Y86" i="26"/>
  <c r="Z86" i="26" s="1"/>
  <c r="Y85" i="26"/>
  <c r="Z85" i="26" s="1"/>
  <c r="Y81" i="26"/>
  <c r="Z81" i="26" s="1"/>
  <c r="Y82" i="26"/>
  <c r="Z82" i="26" s="1"/>
  <c r="Y90" i="26"/>
  <c r="Z90" i="26" s="1"/>
  <c r="Y91" i="26"/>
  <c r="Z91" i="26" s="1"/>
  <c r="Y92" i="26"/>
  <c r="Z92" i="26" s="1"/>
  <c r="Y75" i="26"/>
  <c r="Z75" i="26" s="1"/>
  <c r="Y76" i="26"/>
  <c r="Z76" i="26" s="1"/>
  <c r="L93" i="26" a="1"/>
  <c r="L89" i="26" a="1"/>
  <c r="L91" i="26" a="1"/>
  <c r="L88" i="26" a="1"/>
  <c r="L92" i="26" a="1"/>
  <c r="L77" i="26" a="1"/>
  <c r="L93" i="26" l="1"/>
  <c r="L77" i="26"/>
  <c r="L91" i="26"/>
  <c r="L92" i="26"/>
  <c r="L88" i="26"/>
  <c r="L89" i="26"/>
  <c r="W29" i="17"/>
  <c r="AN29" i="17"/>
  <c r="AW29" i="17"/>
  <c r="BA29" i="17" s="1"/>
  <c r="W30" i="17"/>
  <c r="AN30" i="17"/>
  <c r="AW30" i="17"/>
  <c r="W31" i="17"/>
  <c r="AN31" i="17"/>
  <c r="W32" i="17"/>
  <c r="AN32" i="17"/>
  <c r="W33" i="17"/>
  <c r="AN33" i="17"/>
  <c r="W34" i="17"/>
  <c r="AN34" i="17"/>
  <c r="W35" i="17"/>
  <c r="AN35" i="17"/>
  <c r="W36" i="17"/>
  <c r="AN36" i="17"/>
  <c r="W37" i="17"/>
  <c r="AN37" i="17"/>
  <c r="W38" i="17"/>
  <c r="AN38" i="17"/>
  <c r="W39" i="17"/>
  <c r="AN39" i="17"/>
  <c r="W40" i="17"/>
  <c r="AN40" i="17"/>
  <c r="W41" i="17"/>
  <c r="AN41" i="17"/>
  <c r="W42" i="17"/>
  <c r="AN42" i="17"/>
  <c r="W43" i="17"/>
  <c r="AN43" i="17"/>
  <c r="W44" i="17"/>
  <c r="AN44" i="17"/>
  <c r="W45" i="17"/>
  <c r="AN45" i="17"/>
  <c r="W46" i="17"/>
  <c r="AN46" i="17"/>
  <c r="W47" i="17"/>
  <c r="AN47" i="17"/>
  <c r="W48" i="17"/>
  <c r="AN48" i="17"/>
  <c r="V3" i="48"/>
  <c r="V4" i="48"/>
  <c r="V5" i="48"/>
  <c r="V6" i="48"/>
  <c r="V7" i="48"/>
  <c r="V8" i="48"/>
  <c r="V9" i="48"/>
  <c r="V10" i="48"/>
  <c r="V11" i="48"/>
  <c r="V12" i="48"/>
  <c r="V13" i="48"/>
  <c r="V14" i="48"/>
  <c r="V15" i="48"/>
  <c r="V16" i="48"/>
  <c r="V17" i="48"/>
  <c r="V18" i="48"/>
  <c r="V19" i="48"/>
  <c r="V20" i="48"/>
  <c r="V21" i="48"/>
  <c r="V22" i="48"/>
  <c r="V23" i="48"/>
  <c r="V24" i="48"/>
  <c r="V25" i="48"/>
  <c r="V26" i="48"/>
  <c r="V27" i="48"/>
  <c r="V28" i="48"/>
  <c r="V29" i="48"/>
  <c r="V30" i="48"/>
  <c r="V31" i="48"/>
  <c r="V32" i="48"/>
  <c r="V33" i="48"/>
  <c r="V34" i="48"/>
  <c r="V35" i="48"/>
  <c r="V36" i="48"/>
  <c r="V37" i="48"/>
  <c r="V38" i="48"/>
  <c r="V39" i="48"/>
  <c r="V40" i="48"/>
  <c r="V41" i="48"/>
  <c r="V42" i="48"/>
  <c r="V43" i="48"/>
  <c r="V44" i="48"/>
  <c r="V45" i="48"/>
  <c r="V46" i="48"/>
  <c r="V47" i="48"/>
  <c r="V48" i="48"/>
  <c r="V49" i="48"/>
  <c r="V50" i="48"/>
  <c r="V51" i="48"/>
  <c r="V52" i="48"/>
  <c r="V53" i="48"/>
  <c r="V54" i="48"/>
  <c r="V55" i="48"/>
  <c r="V56" i="48"/>
  <c r="V57" i="48"/>
  <c r="V58" i="48"/>
  <c r="V59" i="48"/>
  <c r="V60" i="48"/>
  <c r="V61" i="48"/>
  <c r="V62" i="48"/>
  <c r="V63" i="48"/>
  <c r="V64" i="48"/>
  <c r="V65" i="48"/>
  <c r="V66" i="48"/>
  <c r="V67" i="48"/>
  <c r="V68" i="48"/>
  <c r="V69" i="48"/>
  <c r="V70" i="48"/>
  <c r="V71" i="48"/>
  <c r="V72" i="48"/>
  <c r="V73" i="48"/>
  <c r="V74" i="48"/>
  <c r="V75" i="48"/>
  <c r="V76" i="48"/>
  <c r="V77" i="48"/>
  <c r="V78" i="48"/>
  <c r="V79" i="48"/>
  <c r="V80" i="48"/>
  <c r="V81" i="48"/>
  <c r="V82" i="48"/>
  <c r="V83" i="48"/>
  <c r="V84" i="48"/>
  <c r="V85" i="48"/>
  <c r="V86" i="48"/>
  <c r="V87" i="48"/>
  <c r="V88" i="48"/>
  <c r="V89" i="48"/>
  <c r="V90" i="48"/>
  <c r="V91" i="48"/>
  <c r="V92" i="48"/>
  <c r="V93" i="48"/>
  <c r="V94" i="48"/>
  <c r="V95" i="48"/>
  <c r="V96" i="48"/>
  <c r="V97" i="48"/>
  <c r="V98" i="48"/>
  <c r="V99" i="48"/>
  <c r="V100" i="48"/>
  <c r="V101" i="48"/>
  <c r="V102" i="48"/>
  <c r="V103" i="48"/>
  <c r="V104" i="48"/>
  <c r="V105" i="48"/>
  <c r="V106" i="48"/>
  <c r="V107" i="48"/>
  <c r="V108" i="48"/>
  <c r="V109" i="48"/>
  <c r="V2" i="48"/>
  <c r="B42" i="48" l="1"/>
  <c r="B43" i="48"/>
  <c r="B44" i="48"/>
  <c r="B41" i="48"/>
  <c r="E7" i="46" l="1"/>
  <c r="C7" i="46"/>
  <c r="I89" i="26" l="1"/>
  <c r="H89" i="26"/>
  <c r="W97" i="26"/>
  <c r="I88" i="26"/>
  <c r="H88" i="26"/>
  <c r="I87" i="26"/>
  <c r="H87" i="26"/>
  <c r="I86" i="26"/>
  <c r="H86" i="26"/>
  <c r="I85" i="26"/>
  <c r="H85" i="26"/>
  <c r="I84" i="26"/>
  <c r="H84" i="26"/>
  <c r="I83" i="26"/>
  <c r="H83" i="26"/>
  <c r="I82" i="26"/>
  <c r="H82" i="26"/>
  <c r="I81" i="26"/>
  <c r="H81" i="26"/>
  <c r="I80" i="26"/>
  <c r="H80" i="26"/>
  <c r="I79" i="26"/>
  <c r="H79" i="26"/>
  <c r="I78" i="26"/>
  <c r="H78" i="26"/>
  <c r="I77" i="26"/>
  <c r="H77" i="26"/>
  <c r="I76" i="26"/>
  <c r="H76" i="26"/>
  <c r="I75" i="26"/>
  <c r="H75" i="26"/>
  <c r="I74" i="26"/>
  <c r="H74" i="26"/>
  <c r="I73" i="26"/>
  <c r="H73" i="26"/>
  <c r="I72" i="26"/>
  <c r="H72" i="26"/>
  <c r="I71" i="26"/>
  <c r="H71" i="26"/>
  <c r="I70" i="26"/>
  <c r="H70" i="26"/>
  <c r="I69" i="26"/>
  <c r="H69" i="26"/>
  <c r="I68" i="26"/>
  <c r="H68" i="26"/>
  <c r="I67" i="26"/>
  <c r="H67" i="26"/>
  <c r="I66" i="26"/>
  <c r="H66" i="26"/>
  <c r="Z65" i="26"/>
  <c r="I65" i="26"/>
  <c r="Z64" i="26"/>
  <c r="I64" i="26"/>
  <c r="Z63" i="26"/>
  <c r="I63" i="26"/>
  <c r="Z62" i="26"/>
  <c r="I62" i="26"/>
  <c r="Z61" i="26"/>
  <c r="I61" i="26"/>
  <c r="Z60" i="26"/>
  <c r="I60" i="26"/>
  <c r="Z59" i="26"/>
  <c r="I59" i="26"/>
  <c r="Z58" i="26"/>
  <c r="I58" i="26"/>
  <c r="Z57" i="26"/>
  <c r="I57" i="26"/>
  <c r="Z56" i="26"/>
  <c r="I56" i="26"/>
  <c r="I55" i="26"/>
  <c r="Z54" i="26"/>
  <c r="I54" i="26"/>
  <c r="Z53" i="26"/>
  <c r="I53" i="26"/>
  <c r="Z52" i="26"/>
  <c r="I52" i="26"/>
  <c r="Z51" i="26"/>
  <c r="I51" i="26"/>
  <c r="Z50" i="26"/>
  <c r="I50" i="26"/>
  <c r="Z49" i="26"/>
  <c r="I49" i="26"/>
  <c r="Z48" i="26"/>
  <c r="I48" i="26"/>
  <c r="Z47" i="26"/>
  <c r="I47" i="26"/>
  <c r="Z46" i="26"/>
  <c r="I46" i="26"/>
  <c r="Z45" i="26"/>
  <c r="I45" i="26"/>
  <c r="Z44" i="26"/>
  <c r="I44" i="26"/>
  <c r="Z43" i="26"/>
  <c r="I43" i="26"/>
  <c r="Z42" i="26"/>
  <c r="I42" i="26"/>
  <c r="Z41" i="26"/>
  <c r="I41" i="26"/>
  <c r="Z40" i="26"/>
  <c r="I40" i="26"/>
  <c r="Z39" i="26"/>
  <c r="I39" i="26"/>
  <c r="Z38" i="26"/>
  <c r="I38" i="26"/>
  <c r="Z37" i="26"/>
  <c r="I37" i="26"/>
  <c r="Z36" i="26"/>
  <c r="I36" i="26"/>
  <c r="Z35" i="26"/>
  <c r="I35" i="26"/>
  <c r="Z34" i="26"/>
  <c r="I34" i="26"/>
  <c r="Z33" i="26"/>
  <c r="I33" i="26"/>
  <c r="Z32" i="26"/>
  <c r="I32" i="26"/>
  <c r="Z31" i="26"/>
  <c r="I31" i="26"/>
  <c r="Z30" i="26"/>
  <c r="I30" i="26"/>
  <c r="Z29" i="26"/>
  <c r="I29" i="26"/>
  <c r="Z28" i="26"/>
  <c r="I28" i="26"/>
  <c r="Z27" i="26"/>
  <c r="I27" i="26"/>
  <c r="Z26" i="26"/>
  <c r="I26" i="26"/>
  <c r="Z25" i="26"/>
  <c r="I25" i="26"/>
  <c r="Z24" i="26"/>
  <c r="I24" i="26"/>
  <c r="Z23" i="26"/>
  <c r="I23" i="26"/>
  <c r="Z22" i="26"/>
  <c r="I22" i="26"/>
  <c r="Z21" i="26"/>
  <c r="I21" i="26"/>
  <c r="Z20" i="26"/>
  <c r="I20" i="26"/>
  <c r="Z19" i="26"/>
  <c r="I19" i="26"/>
  <c r="Z18" i="26"/>
  <c r="I18" i="26"/>
  <c r="Z17" i="26"/>
  <c r="I17" i="26"/>
  <c r="Z16" i="26"/>
  <c r="I16" i="26"/>
  <c r="Z15" i="26"/>
  <c r="I15" i="26"/>
  <c r="Z14" i="26"/>
  <c r="I14" i="26"/>
  <c r="Z13" i="26"/>
  <c r="I13" i="26"/>
  <c r="Z12" i="26"/>
  <c r="I12" i="26"/>
  <c r="Z11" i="26"/>
  <c r="I11" i="26"/>
  <c r="Z10" i="26"/>
  <c r="I10" i="26"/>
  <c r="Z9" i="26"/>
  <c r="I9" i="26"/>
  <c r="Z8" i="26"/>
  <c r="I8" i="26"/>
  <c r="Z7" i="26"/>
  <c r="I7" i="26"/>
  <c r="Z6" i="26"/>
  <c r="I6" i="26"/>
  <c r="Z5" i="26"/>
  <c r="I5" i="26"/>
  <c r="Z4" i="26"/>
  <c r="I4" i="26"/>
  <c r="Z3" i="26"/>
  <c r="I3" i="26"/>
  <c r="Z2" i="26"/>
  <c r="I2" i="26"/>
  <c r="E60" i="26" l="1"/>
  <c r="H60" i="26" s="1"/>
  <c r="E35" i="26"/>
  <c r="H35" i="26" s="1"/>
  <c r="E54" i="26"/>
  <c r="H54" i="26" s="1"/>
  <c r="E41" i="26"/>
  <c r="H41" i="26" s="1"/>
  <c r="E23" i="26"/>
  <c r="H23" i="26" s="1"/>
  <c r="E18" i="26"/>
  <c r="H18" i="26" s="1"/>
  <c r="E10" i="26"/>
  <c r="H10" i="26" s="1"/>
  <c r="E11" i="26"/>
  <c r="H11" i="26" s="1"/>
  <c r="E43" i="26"/>
  <c r="H43" i="26" s="1"/>
  <c r="E49" i="26"/>
  <c r="H49" i="26" s="1"/>
  <c r="E63" i="26"/>
  <c r="H63" i="26" s="1"/>
  <c r="E47" i="26"/>
  <c r="H47" i="26" s="1"/>
  <c r="E56" i="26"/>
  <c r="H56" i="26" s="1"/>
  <c r="E53" i="26"/>
  <c r="H53" i="26" s="1"/>
  <c r="E37" i="26"/>
  <c r="H37" i="26" s="1"/>
  <c r="E7" i="26"/>
  <c r="H7" i="26" s="1"/>
  <c r="E44" i="26"/>
  <c r="H44" i="26" s="1"/>
  <c r="E26" i="26"/>
  <c r="H26" i="26" s="1"/>
  <c r="E14" i="26"/>
  <c r="H14" i="26" s="1"/>
  <c r="E20" i="26"/>
  <c r="H20" i="26" s="1"/>
  <c r="E24" i="26"/>
  <c r="H24" i="26" s="1"/>
  <c r="E13" i="26"/>
  <c r="H13" i="26" s="1"/>
  <c r="E39" i="26"/>
  <c r="H39" i="26" s="1"/>
  <c r="E51" i="26"/>
  <c r="H51" i="26" s="1"/>
  <c r="E29" i="26"/>
  <c r="H29" i="26" s="1"/>
  <c r="E33" i="26"/>
  <c r="H33" i="26" s="1"/>
  <c r="E58" i="26"/>
  <c r="H58" i="26" s="1"/>
  <c r="E15" i="26"/>
  <c r="H15" i="26" s="1"/>
  <c r="E19" i="26"/>
  <c r="H19" i="26" s="1"/>
  <c r="E25" i="26"/>
  <c r="H25" i="26" s="1"/>
  <c r="E3" i="26"/>
  <c r="H3" i="26" s="1"/>
  <c r="E9" i="26"/>
  <c r="H9" i="26" s="1"/>
  <c r="E34" i="26"/>
  <c r="H34" i="26" s="1"/>
  <c r="E46" i="26"/>
  <c r="H46" i="26" s="1"/>
  <c r="E59" i="26"/>
  <c r="H59" i="26" s="1"/>
  <c r="E31" i="26"/>
  <c r="H31" i="26" s="1"/>
  <c r="E64" i="26"/>
  <c r="H64" i="26" s="1"/>
  <c r="AA57" i="26"/>
  <c r="E8" i="26"/>
  <c r="H8" i="26" s="1"/>
  <c r="E12" i="26"/>
  <c r="H12" i="26" s="1"/>
  <c r="AA22" i="26"/>
  <c r="E28" i="26"/>
  <c r="H28" i="26" s="1"/>
  <c r="AA50" i="26"/>
  <c r="AA19" i="26"/>
  <c r="E57" i="26"/>
  <c r="H57" i="26" s="1"/>
  <c r="AA16" i="26"/>
  <c r="AA29" i="26"/>
  <c r="AA12" i="26"/>
  <c r="E21" i="26"/>
  <c r="H21" i="26" s="1"/>
  <c r="E42" i="26"/>
  <c r="H42" i="26" s="1"/>
  <c r="E4" i="26"/>
  <c r="H4" i="26" s="1"/>
  <c r="E61" i="26"/>
  <c r="H61" i="26" s="1"/>
  <c r="E27" i="26"/>
  <c r="H27" i="26" s="1"/>
  <c r="E40" i="26"/>
  <c r="H40" i="26" s="1"/>
  <c r="E45" i="26"/>
  <c r="H45" i="26" s="1"/>
  <c r="AA61" i="26"/>
  <c r="AA35" i="26"/>
  <c r="AA54" i="26"/>
  <c r="E2" i="26"/>
  <c r="H2" i="26" s="1"/>
  <c r="AA26" i="26"/>
  <c r="E32" i="26"/>
  <c r="H32" i="26" s="1"/>
  <c r="E5" i="26"/>
  <c r="H5" i="26" s="1"/>
  <c r="AA42" i="26"/>
  <c r="AA51" i="26"/>
  <c r="AA9" i="26"/>
  <c r="AA25" i="26"/>
  <c r="E38" i="26"/>
  <c r="H38" i="26" s="1"/>
  <c r="AA38" i="26"/>
  <c r="E50" i="26"/>
  <c r="H50" i="26" s="1"/>
  <c r="AA63" i="26"/>
  <c r="E65" i="26"/>
  <c r="H65" i="26" s="1"/>
  <c r="AA8" i="26"/>
  <c r="AA21" i="26"/>
  <c r="E6" i="26"/>
  <c r="H6" i="26" s="1"/>
  <c r="AA6" i="26"/>
  <c r="AA4" i="26"/>
  <c r="AA41" i="26"/>
  <c r="AA60" i="26"/>
  <c r="E62" i="26"/>
  <c r="H62" i="26" s="1"/>
  <c r="AA5" i="26"/>
  <c r="AA15" i="26"/>
  <c r="AA28" i="26"/>
  <c r="AA44" i="26"/>
  <c r="AA62" i="26"/>
  <c r="AA37" i="26"/>
  <c r="AA56" i="26"/>
  <c r="AA65" i="26"/>
  <c r="AA2" i="26"/>
  <c r="AA18" i="26"/>
  <c r="AA14" i="26"/>
  <c r="AA43" i="26"/>
  <c r="E52" i="26"/>
  <c r="H52" i="26" s="1"/>
  <c r="AA52" i="26"/>
  <c r="E55" i="26"/>
  <c r="H55" i="26" s="1"/>
  <c r="AA59" i="26"/>
  <c r="AA48" i="26"/>
  <c r="AA53" i="26"/>
  <c r="AA3" i="26"/>
  <c r="AA31" i="26"/>
  <c r="AA34" i="26"/>
  <c r="AA40" i="26"/>
  <c r="AA47" i="26"/>
  <c r="E36" i="26"/>
  <c r="H36" i="26" s="1"/>
  <c r="AA10" i="26"/>
  <c r="E17" i="26"/>
  <c r="H17" i="26" s="1"/>
  <c r="AA23" i="26"/>
  <c r="AA27" i="26"/>
  <c r="AA30" i="26"/>
  <c r="E30" i="26"/>
  <c r="H30" i="26" s="1"/>
  <c r="AA36" i="26"/>
  <c r="AA49" i="26"/>
  <c r="AA55" i="26"/>
  <c r="AA64" i="26"/>
  <c r="AA17" i="26"/>
  <c r="AA39" i="26"/>
  <c r="AA46" i="26"/>
  <c r="AA7" i="26"/>
  <c r="AA13" i="26"/>
  <c r="E16" i="26"/>
  <c r="H16" i="26" s="1"/>
  <c r="AA20" i="26"/>
  <c r="E22" i="26"/>
  <c r="H22" i="26" s="1"/>
  <c r="AA33" i="26"/>
  <c r="E48" i="26"/>
  <c r="H48" i="26" s="1"/>
  <c r="AA11" i="26"/>
  <c r="AA58" i="26"/>
  <c r="AA24" i="26"/>
  <c r="AA32" i="26"/>
  <c r="AA45" i="26"/>
  <c r="D71" i="13" l="1"/>
  <c r="C71" i="13"/>
  <c r="D62" i="13"/>
  <c r="C62" i="13"/>
  <c r="D61" i="13"/>
  <c r="C61" i="13"/>
  <c r="D60" i="13"/>
  <c r="C60" i="13"/>
  <c r="D59" i="13"/>
  <c r="C59" i="13"/>
  <c r="D58" i="13"/>
  <c r="C58" i="13"/>
  <c r="D57" i="13"/>
  <c r="C57" i="13"/>
  <c r="D56" i="13"/>
  <c r="C56" i="13"/>
  <c r="D55" i="13"/>
  <c r="C55" i="13"/>
  <c r="D54" i="13"/>
  <c r="C54" i="13"/>
  <c r="D53" i="13"/>
  <c r="C53" i="13"/>
  <c r="I47" i="13"/>
  <c r="E47" i="13" s="1"/>
  <c r="I46" i="13"/>
  <c r="E46" i="13" s="1"/>
  <c r="I45" i="13"/>
  <c r="E45" i="13" s="1"/>
  <c r="I44" i="13"/>
  <c r="E44" i="13" s="1"/>
  <c r="I43" i="13"/>
  <c r="E43" i="13" s="1"/>
  <c r="I42" i="13"/>
  <c r="E42" i="13" s="1"/>
  <c r="I41" i="13"/>
  <c r="E41" i="13" s="1"/>
  <c r="I40" i="13"/>
  <c r="E40" i="13" s="1"/>
  <c r="I39" i="13"/>
  <c r="E39" i="13" s="1"/>
  <c r="I38" i="13"/>
  <c r="E38" i="13" s="1"/>
  <c r="I37" i="13"/>
  <c r="E37" i="13" s="1"/>
  <c r="I36" i="13"/>
  <c r="E36" i="13" s="1"/>
  <c r="I35" i="13"/>
  <c r="E35" i="13" s="1"/>
  <c r="I34" i="13"/>
  <c r="E34" i="13" s="1"/>
  <c r="I33" i="13"/>
  <c r="E33" i="13" s="1"/>
  <c r="I32" i="13"/>
  <c r="E32" i="13" s="1"/>
  <c r="I31" i="13"/>
  <c r="E31" i="13" s="1"/>
  <c r="I30" i="13"/>
  <c r="E30" i="13" s="1"/>
  <c r="I29" i="13"/>
  <c r="E29" i="13" s="1"/>
  <c r="I28" i="13"/>
  <c r="E28" i="13" s="1"/>
  <c r="I27" i="13"/>
  <c r="E27" i="13" s="1"/>
  <c r="I26" i="13"/>
  <c r="E26" i="13" s="1"/>
  <c r="I25" i="13"/>
  <c r="E25" i="13" s="1"/>
  <c r="I24" i="13"/>
  <c r="E24" i="13" s="1"/>
  <c r="I23" i="13"/>
  <c r="E23" i="13" s="1"/>
  <c r="I22" i="13"/>
  <c r="E22" i="13" s="1"/>
  <c r="I21" i="13"/>
  <c r="E21" i="13" s="1"/>
  <c r="I20" i="13"/>
  <c r="E20" i="13" s="1"/>
  <c r="I19" i="13"/>
  <c r="E19" i="13" s="1"/>
  <c r="I18" i="13"/>
  <c r="E18" i="13" s="1"/>
  <c r="I17" i="13"/>
  <c r="E17" i="13" s="1"/>
  <c r="I16" i="13"/>
  <c r="E16" i="13" s="1"/>
  <c r="I15" i="13"/>
  <c r="E15" i="13" s="1"/>
  <c r="I14" i="13"/>
  <c r="E14" i="13" s="1"/>
  <c r="I13" i="13"/>
  <c r="E13" i="13" s="1"/>
  <c r="I12" i="13"/>
  <c r="E12" i="13" s="1"/>
  <c r="I11" i="13"/>
  <c r="E11" i="13" s="1"/>
  <c r="I10" i="13"/>
  <c r="E10" i="13" s="1"/>
  <c r="I9" i="13"/>
  <c r="E9" i="13" s="1"/>
  <c r="I8" i="13"/>
  <c r="E8" i="13" s="1"/>
  <c r="I7" i="13"/>
  <c r="E7" i="13" s="1"/>
  <c r="I6" i="13"/>
  <c r="E6" i="13" s="1"/>
  <c r="I5" i="13"/>
  <c r="E5" i="13" s="1"/>
  <c r="I4" i="13"/>
  <c r="E4" i="13" s="1"/>
  <c r="I3" i="13"/>
  <c r="E3" i="13" s="1"/>
  <c r="I2" i="13"/>
  <c r="E2" i="13" s="1"/>
  <c r="H3" i="13" l="1"/>
  <c r="H2" i="13"/>
  <c r="D7" i="53"/>
  <c r="H4" i="13" l="1"/>
  <c r="H5" i="13" l="1"/>
  <c r="H6" i="13" l="1"/>
  <c r="H7" i="13" l="1"/>
  <c r="H8" i="13" l="1"/>
  <c r="H9" i="13" l="1"/>
  <c r="H10" i="13" l="1"/>
  <c r="H11" i="13" l="1"/>
  <c r="H12" i="13" l="1"/>
  <c r="H13" i="13" l="1"/>
  <c r="H14" i="13" l="1"/>
  <c r="H15" i="13" l="1"/>
  <c r="H16" i="13" l="1"/>
  <c r="G54" i="13" s="1"/>
  <c r="H54" i="13" s="1"/>
  <c r="H17" i="13" l="1"/>
  <c r="H18" i="13" l="1"/>
  <c r="H19" i="13" l="1"/>
  <c r="G53" i="13" l="1"/>
  <c r="H53" i="13" s="1"/>
  <c r="J54" i="13" s="1"/>
  <c r="H20" i="13"/>
  <c r="H21" i="13" l="1"/>
  <c r="H22" i="13" l="1"/>
  <c r="H23" i="13" l="1"/>
  <c r="H24" i="13" l="1"/>
  <c r="H25" i="13" l="1"/>
  <c r="H26" i="13" l="1"/>
  <c r="H27" i="13" l="1"/>
  <c r="G55" i="13" s="1"/>
  <c r="H55" i="13" s="1"/>
  <c r="J55" i="13" l="1"/>
  <c r="H28" i="13"/>
  <c r="H29" i="13" l="1"/>
  <c r="H30" i="13" l="1"/>
  <c r="H31" i="13" l="1"/>
  <c r="G56" i="13" s="1"/>
  <c r="H56" i="13" s="1"/>
  <c r="J56" i="13" s="1"/>
  <c r="H32" i="13" l="1"/>
  <c r="G65" i="13" s="1"/>
  <c r="H65" i="13" s="1"/>
  <c r="H33" i="13" l="1"/>
  <c r="G66" i="13" s="1"/>
  <c r="H66" i="13" s="1"/>
  <c r="H34" i="13" l="1"/>
  <c r="H35" i="13" l="1"/>
  <c r="G57" i="13" l="1"/>
  <c r="H57" i="13" s="1"/>
  <c r="J57" i="13" s="1"/>
  <c r="G58" i="13"/>
  <c r="H58" i="13" s="1"/>
  <c r="G62" i="13"/>
  <c r="H62" i="13" s="1"/>
  <c r="H36" i="13"/>
  <c r="G63" i="13" s="1"/>
  <c r="H63" i="13" s="1"/>
  <c r="J58" i="13" l="1"/>
  <c r="H37" i="13"/>
  <c r="H38" i="13" l="1"/>
  <c r="G67" i="13" s="1"/>
  <c r="H67" i="13" s="1"/>
  <c r="H39" i="13" l="1"/>
  <c r="G69" i="13" l="1"/>
  <c r="H69" i="13" s="1"/>
  <c r="G64" i="13"/>
  <c r="H64" i="13" s="1"/>
  <c r="H40" i="13"/>
  <c r="H41" i="13" l="1"/>
  <c r="G68" i="13" s="1"/>
  <c r="H68" i="13" s="1"/>
  <c r="H42" i="13" l="1"/>
  <c r="G60" i="13" s="1"/>
  <c r="H60" i="13" s="1"/>
  <c r="H43" i="13" l="1"/>
  <c r="G59" i="13" l="1"/>
  <c r="H59" i="13" s="1"/>
  <c r="H44" i="13"/>
  <c r="H45" i="13" l="1"/>
  <c r="J60" i="13"/>
  <c r="J59" i="13"/>
  <c r="G61" i="13" l="1"/>
  <c r="H61" i="13" s="1"/>
  <c r="H47" i="13"/>
  <c r="H46" i="13"/>
  <c r="G70" i="13" s="1"/>
  <c r="H70" i="13" s="1"/>
  <c r="J62" i="13" l="1"/>
  <c r="J67" i="13"/>
  <c r="J65" i="13"/>
  <c r="J64" i="13"/>
  <c r="J70" i="13"/>
  <c r="J66" i="13"/>
  <c r="J69" i="13"/>
  <c r="J68" i="13"/>
  <c r="J63" i="13"/>
  <c r="J61" i="13"/>
  <c r="H72" i="13"/>
  <c r="H75" i="13" s="1"/>
  <c r="T49" i="13"/>
  <c r="T52" i="13" s="1"/>
  <c r="T53" i="13" s="1"/>
  <c r="T55" i="13" s="1"/>
  <c r="T57" i="13" s="1"/>
  <c r="L101" i="53" a="1"/>
  <c r="L101" i="53" l="1"/>
  <c r="S43" i="15"/>
  <c r="S44" i="15"/>
  <c r="S45" i="15"/>
  <c r="S46" i="15"/>
  <c r="S47" i="15"/>
  <c r="S48" i="15"/>
  <c r="S49" i="15"/>
  <c r="S50" i="15"/>
  <c r="S51" i="15"/>
  <c r="T49" i="15" l="1"/>
  <c r="X49" i="15"/>
  <c r="T48" i="15"/>
  <c r="X48" i="15"/>
  <c r="T51" i="15"/>
  <c r="X51" i="15"/>
  <c r="T50" i="15"/>
  <c r="X50" i="15"/>
  <c r="T47" i="15"/>
  <c r="X47" i="15"/>
  <c r="T46" i="15"/>
  <c r="X46" i="15"/>
  <c r="T44" i="15"/>
  <c r="X44" i="15"/>
  <c r="T45" i="15"/>
  <c r="X45" i="15"/>
  <c r="T43" i="15"/>
  <c r="X43" i="15"/>
  <c r="L6" i="29" l="1"/>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O6" i="29"/>
  <c r="O7" i="29"/>
  <c r="O8" i="29"/>
  <c r="O9" i="29"/>
  <c r="O10" i="29"/>
  <c r="O11" i="29"/>
  <c r="O12" i="29"/>
  <c r="O13" i="29"/>
  <c r="O14" i="29"/>
  <c r="O15" i="29"/>
  <c r="O16" i="29"/>
  <c r="O17" i="29"/>
  <c r="O18" i="29"/>
  <c r="O19"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5" i="29"/>
  <c r="O46" i="29"/>
  <c r="O47" i="29"/>
  <c r="O48" i="29"/>
  <c r="O49" i="29"/>
  <c r="O5" i="29"/>
  <c r="L5" i="29"/>
  <c r="K5" i="29"/>
  <c r="K6" i="29"/>
  <c r="K7" i="29"/>
  <c r="K8" i="29"/>
  <c r="N9" i="29"/>
  <c r="N10" i="29"/>
  <c r="N11" i="29"/>
  <c r="N12" i="29"/>
  <c r="N13" i="29"/>
  <c r="N14" i="29"/>
  <c r="N15" i="29"/>
  <c r="N16" i="29"/>
  <c r="N17" i="29"/>
  <c r="N18" i="29"/>
  <c r="K19" i="29"/>
  <c r="K20" i="29"/>
  <c r="K21" i="29"/>
  <c r="K22" i="29"/>
  <c r="N23" i="29"/>
  <c r="N24" i="29"/>
  <c r="N25" i="29"/>
  <c r="N26" i="29"/>
  <c r="N27" i="29"/>
  <c r="N28" i="29"/>
  <c r="N29" i="29"/>
  <c r="N30" i="29"/>
  <c r="N31" i="29"/>
  <c r="N32" i="29"/>
  <c r="K33" i="29"/>
  <c r="K34" i="29"/>
  <c r="K35" i="29"/>
  <c r="K36" i="29"/>
  <c r="N37" i="29"/>
  <c r="N38" i="29"/>
  <c r="N39" i="29"/>
  <c r="N40" i="29"/>
  <c r="N41" i="29"/>
  <c r="N42" i="29"/>
  <c r="N43" i="29"/>
  <c r="N44" i="29"/>
  <c r="N45" i="29"/>
  <c r="N46" i="29"/>
  <c r="K47" i="29"/>
  <c r="K48" i="29"/>
  <c r="K49" i="29"/>
  <c r="M47" i="29" l="1"/>
  <c r="M33" i="29"/>
  <c r="M19" i="29"/>
  <c r="M5" i="29"/>
  <c r="M36" i="29"/>
  <c r="M22" i="29"/>
  <c r="M8" i="29"/>
  <c r="M49" i="29"/>
  <c r="M35" i="29"/>
  <c r="M21" i="29"/>
  <c r="M7" i="29"/>
  <c r="M48" i="29"/>
  <c r="M34" i="29"/>
  <c r="M20" i="29"/>
  <c r="M6" i="29"/>
  <c r="P28" i="29"/>
  <c r="K10" i="29"/>
  <c r="M10" i="29" s="1"/>
  <c r="K30" i="29"/>
  <c r="M30" i="29" s="1"/>
  <c r="M45" i="29"/>
  <c r="K18" i="29"/>
  <c r="M18" i="29" s="1"/>
  <c r="N8" i="29"/>
  <c r="P8" i="29" s="1"/>
  <c r="K38" i="29"/>
  <c r="M38" i="29" s="1"/>
  <c r="K17" i="29"/>
  <c r="M17" i="29" s="1"/>
  <c r="N6" i="29"/>
  <c r="P6" i="29" s="1"/>
  <c r="M46" i="29"/>
  <c r="K26" i="29"/>
  <c r="M26" i="29" s="1"/>
  <c r="P42" i="29"/>
  <c r="P14" i="29"/>
  <c r="P10" i="29"/>
  <c r="M44" i="29"/>
  <c r="M32" i="29"/>
  <c r="K25" i="29"/>
  <c r="M25" i="29" s="1"/>
  <c r="K16" i="29"/>
  <c r="M16" i="29" s="1"/>
  <c r="N5" i="29"/>
  <c r="P5" i="29" s="1"/>
  <c r="N34" i="29"/>
  <c r="P34" i="29" s="1"/>
  <c r="N22" i="29"/>
  <c r="P22" i="29" s="1"/>
  <c r="N7" i="29"/>
  <c r="P7" i="29" s="1"/>
  <c r="N47" i="29"/>
  <c r="P47" i="29" s="1"/>
  <c r="N35" i="29"/>
  <c r="P35" i="29" s="1"/>
  <c r="N19" i="29"/>
  <c r="P19" i="29" s="1"/>
  <c r="K40" i="29"/>
  <c r="M40" i="29" s="1"/>
  <c r="K31" i="29"/>
  <c r="M31" i="29" s="1"/>
  <c r="K24" i="29"/>
  <c r="M24" i="29" s="1"/>
  <c r="K12" i="29"/>
  <c r="M12" i="29" s="1"/>
  <c r="N49" i="29"/>
  <c r="P49" i="29" s="1"/>
  <c r="N33" i="29"/>
  <c r="P33" i="29" s="1"/>
  <c r="N21" i="29"/>
  <c r="P21" i="29" s="1"/>
  <c r="K39" i="29"/>
  <c r="M39" i="29" s="1"/>
  <c r="K11" i="29"/>
  <c r="M11" i="29" s="1"/>
  <c r="N48" i="29"/>
  <c r="P48" i="29" s="1"/>
  <c r="N36" i="29"/>
  <c r="P36" i="29" s="1"/>
  <c r="N20" i="29"/>
  <c r="P20" i="29" s="1"/>
  <c r="P38" i="29"/>
  <c r="M43" i="29"/>
  <c r="K29" i="29"/>
  <c r="M29" i="29" s="1"/>
  <c r="K15" i="29"/>
  <c r="M15" i="29" s="1"/>
  <c r="K42" i="29"/>
  <c r="M42" i="29" s="1"/>
  <c r="K28" i="29"/>
  <c r="M28" i="29" s="1"/>
  <c r="K14" i="29"/>
  <c r="M14" i="29" s="1"/>
  <c r="K41" i="29"/>
  <c r="M41" i="29" s="1"/>
  <c r="K27" i="29"/>
  <c r="M27" i="29" s="1"/>
  <c r="K13" i="29"/>
  <c r="M13" i="29" s="1"/>
  <c r="K37" i="29"/>
  <c r="M37" i="29" s="1"/>
  <c r="K9" i="29"/>
  <c r="M9" i="29" s="1"/>
  <c r="K23" i="29"/>
  <c r="M23" i="29" s="1"/>
  <c r="L50" i="29"/>
  <c r="P24" i="29"/>
  <c r="P40" i="29"/>
  <c r="P26" i="29"/>
  <c r="P12" i="29"/>
  <c r="O50" i="29"/>
  <c r="P46" i="29"/>
  <c r="P32" i="29"/>
  <c r="P18" i="29"/>
  <c r="P44" i="29"/>
  <c r="P30" i="29"/>
  <c r="P16" i="29"/>
  <c r="P27" i="29"/>
  <c r="P11" i="29"/>
  <c r="P17" i="29"/>
  <c r="P13" i="29"/>
  <c r="P9" i="29"/>
  <c r="P15" i="29"/>
  <c r="P23" i="29"/>
  <c r="P25" i="29"/>
  <c r="P29" i="29"/>
  <c r="P31" i="29"/>
  <c r="P37" i="29"/>
  <c r="P39" i="29"/>
  <c r="P41" i="29"/>
  <c r="P43" i="29"/>
  <c r="P45" i="29"/>
  <c r="M50" i="29" l="1"/>
  <c r="M53" i="29" s="1"/>
  <c r="P50" i="29"/>
  <c r="P53" i="29" s="1"/>
  <c r="L99" i="53" l="1"/>
  <c r="F5" i="53"/>
  <c r="BD15" i="17"/>
  <c r="BE15" i="17" s="1"/>
  <c r="BD14" i="17"/>
  <c r="BE14" i="17" s="1"/>
  <c r="BD13" i="17"/>
  <c r="BE13" i="17" s="1"/>
  <c r="BD9" i="17"/>
  <c r="BE9" i="17" s="1"/>
  <c r="T68" i="52" l="1"/>
  <c r="T69" i="52"/>
  <c r="T70" i="52"/>
  <c r="T71" i="52"/>
  <c r="T72" i="52"/>
  <c r="T73" i="52"/>
  <c r="T74" i="52"/>
  <c r="T75" i="52"/>
  <c r="T76" i="52"/>
  <c r="T40" i="52"/>
  <c r="T51" i="52"/>
  <c r="T52" i="52"/>
  <c r="T53" i="52"/>
  <c r="T54" i="52"/>
  <c r="T55" i="52"/>
  <c r="T56" i="52"/>
  <c r="T57" i="52"/>
  <c r="T58" i="52"/>
  <c r="T59" i="52"/>
  <c r="T60" i="52"/>
  <c r="T61" i="52"/>
  <c r="T62" i="52"/>
  <c r="T63" i="52"/>
  <c r="T64" i="52"/>
  <c r="T65" i="52"/>
  <c r="T66" i="52"/>
  <c r="T41" i="52"/>
  <c r="T42" i="52"/>
  <c r="T43" i="52"/>
  <c r="T44" i="52"/>
  <c r="T45" i="52"/>
  <c r="T46" i="52"/>
  <c r="T47" i="52"/>
  <c r="T48" i="52"/>
  <c r="T49" i="52"/>
  <c r="T3" i="52"/>
  <c r="T4" i="52"/>
  <c r="T5" i="52"/>
  <c r="T6" i="52"/>
  <c r="T7" i="52"/>
  <c r="T8" i="52"/>
  <c r="T9" i="52"/>
  <c r="T10" i="52"/>
  <c r="T11" i="52"/>
  <c r="T12" i="52"/>
  <c r="T13" i="52"/>
  <c r="T14" i="52"/>
  <c r="T15" i="52"/>
  <c r="T16" i="52"/>
  <c r="T17" i="52"/>
  <c r="T18" i="52"/>
  <c r="T19" i="52"/>
  <c r="T20" i="52"/>
  <c r="T21" i="52"/>
  <c r="T22" i="52"/>
  <c r="T23" i="52"/>
  <c r="T24" i="52"/>
  <c r="T25" i="52"/>
  <c r="T26" i="52"/>
  <c r="T27" i="52"/>
  <c r="T28" i="52"/>
  <c r="T29" i="52"/>
  <c r="T30" i="52"/>
  <c r="T31" i="52"/>
  <c r="T32" i="52"/>
  <c r="T33" i="52"/>
  <c r="P20" i="43" l="1"/>
  <c r="P25" i="43"/>
  <c r="P24" i="43"/>
  <c r="P23" i="43"/>
  <c r="P22" i="43"/>
  <c r="P21" i="43"/>
  <c r="S39" i="15" l="1"/>
  <c r="S40" i="15"/>
  <c r="S41" i="15"/>
  <c r="S42" i="15"/>
  <c r="T42" i="15" l="1"/>
  <c r="X42" i="15"/>
  <c r="T41" i="15"/>
  <c r="X41" i="15"/>
  <c r="T40" i="15"/>
  <c r="X40" i="15"/>
  <c r="T39" i="15"/>
  <c r="X39" i="15"/>
  <c r="P76" i="17"/>
  <c r="BQ112" i="17" l="1"/>
  <c r="BQ83" i="17"/>
  <c r="M26" i="28"/>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S4" i="15"/>
  <c r="S5" i="15"/>
  <c r="S6" i="15"/>
  <c r="S7" i="15"/>
  <c r="S8" i="15"/>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T29" i="15" l="1"/>
  <c r="X29" i="15"/>
  <c r="T15" i="15"/>
  <c r="X15" i="15"/>
  <c r="T28" i="15"/>
  <c r="X28" i="15"/>
  <c r="T38" i="15"/>
  <c r="X38" i="15"/>
  <c r="T24" i="15"/>
  <c r="X24" i="15"/>
  <c r="T10" i="15"/>
  <c r="X10" i="15"/>
  <c r="T27" i="15"/>
  <c r="X27" i="15"/>
  <c r="T37" i="15"/>
  <c r="X37" i="15"/>
  <c r="T23" i="15"/>
  <c r="X23" i="15"/>
  <c r="T9" i="15"/>
  <c r="X9" i="15"/>
  <c r="T13" i="15"/>
  <c r="X13" i="15"/>
  <c r="T12" i="15"/>
  <c r="X12" i="15"/>
  <c r="T36" i="15"/>
  <c r="X36" i="15"/>
  <c r="T22" i="15"/>
  <c r="X22" i="15"/>
  <c r="T8" i="15"/>
  <c r="X8" i="15"/>
  <c r="T14" i="15"/>
  <c r="X14" i="15"/>
  <c r="T35" i="15"/>
  <c r="X35" i="15"/>
  <c r="T21" i="15"/>
  <c r="X21" i="15"/>
  <c r="T7" i="15"/>
  <c r="X7" i="15"/>
  <c r="T11" i="15"/>
  <c r="X11" i="15"/>
  <c r="T34" i="15"/>
  <c r="X34" i="15"/>
  <c r="T20" i="15"/>
  <c r="X20" i="15"/>
  <c r="T6" i="15"/>
  <c r="X6" i="15"/>
  <c r="T25" i="15"/>
  <c r="X25" i="15"/>
  <c r="T33" i="15"/>
  <c r="X33" i="15"/>
  <c r="T19" i="15"/>
  <c r="X19" i="15"/>
  <c r="T5" i="15"/>
  <c r="X5" i="15"/>
  <c r="T32" i="15"/>
  <c r="X32" i="15"/>
  <c r="T18" i="15"/>
  <c r="X18" i="15"/>
  <c r="T4" i="15"/>
  <c r="X4" i="15"/>
  <c r="T26" i="15"/>
  <c r="X26" i="15"/>
  <c r="T31" i="15"/>
  <c r="X31" i="15"/>
  <c r="T17" i="15"/>
  <c r="X17" i="15"/>
  <c r="T30" i="15"/>
  <c r="X30" i="15"/>
  <c r="T16" i="15"/>
  <c r="X16" i="15"/>
  <c r="E5" i="46"/>
  <c r="C5" i="46"/>
  <c r="I3" i="37" l="1"/>
  <c r="I4" i="37"/>
  <c r="I5" i="37"/>
  <c r="I6" i="37"/>
  <c r="I7" i="37"/>
  <c r="I8" i="37"/>
  <c r="I9" i="37"/>
  <c r="I10" i="37"/>
  <c r="I11" i="37"/>
  <c r="I12" i="37"/>
  <c r="I13" i="37"/>
  <c r="I14" i="37"/>
  <c r="I15" i="37"/>
  <c r="I16" i="37"/>
  <c r="I17" i="37"/>
  <c r="I18" i="37"/>
  <c r="I19" i="37"/>
  <c r="I20" i="37"/>
  <c r="I21" i="37"/>
  <c r="I22" i="37"/>
  <c r="I23" i="37"/>
  <c r="I24" i="37"/>
  <c r="I25" i="37"/>
  <c r="I26" i="37"/>
  <c r="I27" i="37"/>
  <c r="O16" i="9" l="1"/>
  <c r="O15" i="9"/>
  <c r="O14" i="9"/>
  <c r="O13" i="9"/>
  <c r="O12" i="9"/>
  <c r="O11" i="9"/>
  <c r="O10" i="9"/>
  <c r="O9" i="9"/>
  <c r="O8" i="9"/>
  <c r="O7" i="9"/>
  <c r="O6" i="9"/>
  <c r="O5" i="9"/>
  <c r="O4" i="9"/>
  <c r="O3" i="9"/>
  <c r="N16" i="9" l="1"/>
  <c r="N15" i="9"/>
  <c r="N14" i="9"/>
  <c r="N13" i="9"/>
  <c r="N12" i="9"/>
  <c r="N11" i="9"/>
  <c r="K16" i="9"/>
  <c r="K15" i="9"/>
  <c r="K14" i="9"/>
  <c r="K13" i="9"/>
  <c r="K12" i="9"/>
  <c r="K11" i="9"/>
  <c r="N3" i="9" l="1"/>
  <c r="N4" i="9"/>
  <c r="N5" i="9"/>
  <c r="N6" i="9"/>
  <c r="N7" i="9"/>
  <c r="N8" i="9"/>
  <c r="N9" i="9"/>
  <c r="N10" i="9"/>
  <c r="K3" i="9"/>
  <c r="K4" i="9"/>
  <c r="K5" i="9"/>
  <c r="K6" i="9"/>
  <c r="K7" i="9"/>
  <c r="K8" i="9"/>
  <c r="K9" i="9"/>
  <c r="K10" i="9"/>
  <c r="AS5" i="23"/>
  <c r="AT5" i="23"/>
  <c r="AS6" i="23"/>
  <c r="AT6" i="23"/>
  <c r="AS7" i="23"/>
  <c r="AT7" i="23"/>
  <c r="E4" i="46" l="1"/>
  <c r="A9" i="25"/>
  <c r="F9" i="28" l="1"/>
  <c r="S3" i="15"/>
  <c r="X3" i="15" s="1"/>
  <c r="T3" i="15" l="1"/>
  <c r="T2" i="15" s="1"/>
  <c r="I5" i="23"/>
  <c r="B23" i="9"/>
  <c r="E2" i="46"/>
  <c r="E3" i="46"/>
  <c r="F88" i="17"/>
  <c r="AY30" i="17"/>
  <c r="AY29" i="17"/>
  <c r="I29" i="17"/>
  <c r="I28" i="17"/>
  <c r="I27" i="17"/>
  <c r="I26" i="17"/>
  <c r="I25" i="17"/>
  <c r="I24" i="17"/>
  <c r="I23" i="17"/>
  <c r="I22" i="17"/>
  <c r="L18" i="18" a="1"/>
  <c r="L18" i="18" s="1"/>
  <c r="L60" i="55"/>
  <c r="A19" i="15" l="1"/>
  <c r="D19" i="52"/>
  <c r="D18" i="52"/>
  <c r="D17" i="52"/>
  <c r="D16" i="52"/>
  <c r="D15" i="52"/>
  <c r="D20" i="52"/>
  <c r="L89" i="52" l="1" a="1"/>
  <c r="L89" i="52" s="1"/>
  <c r="K89" i="52" a="1"/>
  <c r="K89" i="52" s="1"/>
  <c r="J89" i="52" a="1"/>
  <c r="J89" i="52" s="1"/>
  <c r="O76" i="52"/>
  <c r="O75" i="52"/>
  <c r="O74" i="52"/>
  <c r="O73" i="52"/>
  <c r="O72" i="52"/>
  <c r="O71" i="52"/>
  <c r="O70" i="52"/>
  <c r="O69" i="52"/>
  <c r="O68" i="52"/>
  <c r="O66" i="52"/>
  <c r="O64" i="52"/>
  <c r="O63" i="52"/>
  <c r="O62" i="52"/>
  <c r="O61" i="52"/>
  <c r="O60" i="52"/>
  <c r="O59" i="52"/>
  <c r="O58" i="52"/>
  <c r="O57" i="52"/>
  <c r="O56" i="52"/>
  <c r="O55" i="52"/>
  <c r="O54" i="52"/>
  <c r="O53" i="52"/>
  <c r="O52" i="52"/>
  <c r="O51" i="52"/>
  <c r="O49" i="52"/>
  <c r="O48" i="52"/>
  <c r="O47" i="52"/>
  <c r="O46" i="52"/>
  <c r="O45" i="52"/>
  <c r="O44" i="52"/>
  <c r="O43" i="52"/>
  <c r="O42" i="52"/>
  <c r="O41" i="52"/>
  <c r="O40" i="52"/>
  <c r="V107" i="52"/>
  <c r="V106" i="52"/>
  <c r="V105" i="52"/>
  <c r="V104" i="52"/>
  <c r="V103" i="52"/>
  <c r="V102" i="52"/>
  <c r="V101" i="52"/>
  <c r="V100" i="52"/>
  <c r="V99" i="52"/>
  <c r="V98" i="52"/>
  <c r="V97" i="52"/>
  <c r="V96" i="52"/>
  <c r="V95" i="52"/>
  <c r="V94" i="52"/>
  <c r="V93" i="52"/>
  <c r="V92" i="52"/>
  <c r="V91" i="52"/>
  <c r="V90" i="52"/>
  <c r="V89" i="52"/>
  <c r="P106" i="52" l="1"/>
  <c r="Q89" i="52"/>
  <c r="Q102" i="52"/>
  <c r="P103" i="52"/>
  <c r="Q94" i="52"/>
  <c r="Q99" i="52"/>
  <c r="Q107" i="52"/>
  <c r="P96" i="52"/>
  <c r="P100" i="52"/>
  <c r="P104" i="52"/>
  <c r="V88" i="52"/>
  <c r="Q91" i="52"/>
  <c r="Q95" i="52"/>
  <c r="Q100" i="52"/>
  <c r="Q104" i="52"/>
  <c r="P89" i="52"/>
  <c r="P101" i="52"/>
  <c r="P105" i="52"/>
  <c r="Q93" i="52"/>
  <c r="Q97" i="52"/>
  <c r="Q106" i="52"/>
  <c r="P95" i="52"/>
  <c r="P99" i="52"/>
  <c r="P107" i="52"/>
  <c r="Q90" i="52"/>
  <c r="Q103" i="52"/>
  <c r="Q98" i="52"/>
  <c r="Q92" i="52"/>
  <c r="Q96" i="52"/>
  <c r="Q101" i="52"/>
  <c r="Q105" i="52"/>
  <c r="P90" i="52"/>
  <c r="P94" i="52"/>
  <c r="P102" i="52"/>
  <c r="B6" i="9" l="1"/>
  <c r="B11" i="19" l="1"/>
  <c r="A3" i="15"/>
  <c r="P4" i="15" l="1"/>
  <c r="V4" i="15" l="1"/>
  <c r="P5" i="15"/>
  <c r="V5" i="15" l="1"/>
  <c r="P6" i="15"/>
  <c r="G83" i="15"/>
  <c r="G84" i="15"/>
  <c r="G85" i="15"/>
  <c r="G86" i="15"/>
  <c r="G87" i="15"/>
  <c r="G88" i="15"/>
  <c r="G89" i="15"/>
  <c r="G90" i="15"/>
  <c r="G91" i="15"/>
  <c r="G92" i="15"/>
  <c r="G93" i="15"/>
  <c r="G94" i="15"/>
  <c r="G95" i="15"/>
  <c r="G96" i="15"/>
  <c r="G97" i="15"/>
  <c r="G98" i="15"/>
  <c r="G99" i="15"/>
  <c r="G100" i="15"/>
  <c r="G101"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V6" i="15" l="1"/>
  <c r="P7" i="15"/>
  <c r="P8" i="15" s="1"/>
  <c r="P9" i="15" s="1"/>
  <c r="G31" i="35"/>
  <c r="G30" i="35"/>
  <c r="G29" i="35"/>
  <c r="G28" i="35"/>
  <c r="G27" i="35"/>
  <c r="G26" i="35"/>
  <c r="V8" i="15" l="1"/>
  <c r="V9" i="15"/>
  <c r="V7" i="15"/>
  <c r="P10" i="15"/>
  <c r="E263" i="55"/>
  <c r="D263" i="55"/>
  <c r="E262" i="55"/>
  <c r="D262" i="55"/>
  <c r="E261" i="55"/>
  <c r="D261" i="55"/>
  <c r="E260" i="55"/>
  <c r="D260" i="55"/>
  <c r="E259" i="55"/>
  <c r="D259" i="55"/>
  <c r="E258" i="55"/>
  <c r="D258" i="55"/>
  <c r="E257" i="55"/>
  <c r="D257" i="55"/>
  <c r="E256" i="55"/>
  <c r="D256" i="55"/>
  <c r="E255" i="55"/>
  <c r="D255" i="55"/>
  <c r="E254" i="55"/>
  <c r="D254" i="55"/>
  <c r="E253" i="55"/>
  <c r="D253" i="55"/>
  <c r="E252" i="55"/>
  <c r="D252" i="55"/>
  <c r="E251" i="55"/>
  <c r="D251" i="55"/>
  <c r="E250" i="55"/>
  <c r="D250" i="55"/>
  <c r="E249" i="55"/>
  <c r="D249" i="55"/>
  <c r="E248" i="55"/>
  <c r="D248" i="55"/>
  <c r="E247" i="55"/>
  <c r="D247" i="55"/>
  <c r="E246" i="55"/>
  <c r="D246" i="55"/>
  <c r="E245" i="55"/>
  <c r="D245" i="55"/>
  <c r="E244" i="55"/>
  <c r="D244" i="55"/>
  <c r="E243" i="55"/>
  <c r="D243" i="55"/>
  <c r="E242" i="55"/>
  <c r="D242" i="55"/>
  <c r="E241" i="55"/>
  <c r="D241" i="55"/>
  <c r="E240" i="55"/>
  <c r="D240" i="55"/>
  <c r="E239" i="55"/>
  <c r="D239" i="55"/>
  <c r="E238" i="55"/>
  <c r="D238" i="55"/>
  <c r="E237" i="55"/>
  <c r="D237" i="55"/>
  <c r="E236" i="55"/>
  <c r="D236" i="55"/>
  <c r="E235" i="55"/>
  <c r="D235" i="55"/>
  <c r="E234" i="55"/>
  <c r="D234" i="55"/>
  <c r="E233" i="55"/>
  <c r="D233" i="55"/>
  <c r="E232" i="55"/>
  <c r="D232" i="55"/>
  <c r="E231" i="55"/>
  <c r="D231" i="55"/>
  <c r="E230" i="55"/>
  <c r="D230" i="55"/>
  <c r="E229" i="55"/>
  <c r="D229" i="55"/>
  <c r="E228" i="55"/>
  <c r="D228" i="55"/>
  <c r="E227" i="55"/>
  <c r="D227" i="55"/>
  <c r="E226" i="55"/>
  <c r="D226" i="55"/>
  <c r="E225" i="55"/>
  <c r="D225" i="55"/>
  <c r="E224" i="55"/>
  <c r="D224" i="55"/>
  <c r="E223" i="55"/>
  <c r="D223" i="55"/>
  <c r="E222" i="55"/>
  <c r="D222" i="55"/>
  <c r="E221" i="55"/>
  <c r="D221" i="55"/>
  <c r="D220" i="55"/>
  <c r="D219" i="55"/>
  <c r="E218" i="55"/>
  <c r="D218" i="55"/>
  <c r="E217" i="55"/>
  <c r="D217" i="55"/>
  <c r="D216" i="55"/>
  <c r="E215" i="55"/>
  <c r="D215" i="55"/>
  <c r="Q214" i="55"/>
  <c r="E214" i="55"/>
  <c r="Q213" i="55"/>
  <c r="E213" i="55"/>
  <c r="Q212" i="55"/>
  <c r="E212" i="55"/>
  <c r="Q211" i="55"/>
  <c r="E211" i="55"/>
  <c r="Q210" i="55"/>
  <c r="E210" i="55"/>
  <c r="Q209" i="55"/>
  <c r="E209" i="55"/>
  <c r="Q208" i="55"/>
  <c r="E208" i="55"/>
  <c r="Q207" i="55"/>
  <c r="E207" i="55"/>
  <c r="Q206" i="55"/>
  <c r="E206" i="55"/>
  <c r="Q205" i="55"/>
  <c r="E205" i="55"/>
  <c r="Q204" i="55"/>
  <c r="E204" i="55"/>
  <c r="Q203" i="55"/>
  <c r="E203" i="55"/>
  <c r="Q202" i="55"/>
  <c r="E202" i="55"/>
  <c r="Q201" i="55"/>
  <c r="E201" i="55"/>
  <c r="Q200" i="55"/>
  <c r="E200" i="55"/>
  <c r="Q199" i="55"/>
  <c r="E199" i="55"/>
  <c r="Q198" i="55"/>
  <c r="E198" i="55"/>
  <c r="Q197" i="55"/>
  <c r="E197" i="55"/>
  <c r="Q196" i="55"/>
  <c r="E196" i="55"/>
  <c r="Q195" i="55"/>
  <c r="E195" i="55"/>
  <c r="Q194" i="55"/>
  <c r="E194" i="55"/>
  <c r="Q193" i="55"/>
  <c r="E193" i="55"/>
  <c r="Q192" i="55"/>
  <c r="E192" i="55"/>
  <c r="Q191" i="55"/>
  <c r="Q190" i="55"/>
  <c r="Q189" i="55"/>
  <c r="O188" i="55"/>
  <c r="L188" i="55"/>
  <c r="E188" i="55"/>
  <c r="O187" i="55"/>
  <c r="L187" i="55"/>
  <c r="E187" i="55"/>
  <c r="O186" i="55"/>
  <c r="L186" i="55"/>
  <c r="E186" i="55"/>
  <c r="O185" i="55"/>
  <c r="L185" i="55"/>
  <c r="E185" i="55"/>
  <c r="O184" i="55"/>
  <c r="E184" i="55"/>
  <c r="L184" i="55" s="1"/>
  <c r="O183" i="55"/>
  <c r="L183" i="55"/>
  <c r="E183" i="55"/>
  <c r="O182" i="55"/>
  <c r="E182" i="55"/>
  <c r="L182" i="55" s="1"/>
  <c r="O181" i="55"/>
  <c r="L181" i="55"/>
  <c r="E181" i="55"/>
  <c r="O180" i="55"/>
  <c r="L180" i="55"/>
  <c r="E180" i="55"/>
  <c r="O179" i="55"/>
  <c r="L179" i="55"/>
  <c r="E179" i="55"/>
  <c r="O178" i="55"/>
  <c r="L178" i="55"/>
  <c r="E178" i="55"/>
  <c r="O177" i="55"/>
  <c r="L177" i="55"/>
  <c r="E177" i="55"/>
  <c r="O176" i="55"/>
  <c r="L176" i="55"/>
  <c r="E176" i="55"/>
  <c r="O175" i="55"/>
  <c r="L175" i="55"/>
  <c r="E175" i="55"/>
  <c r="O174" i="55"/>
  <c r="L174" i="55"/>
  <c r="E174" i="55"/>
  <c r="O173" i="55"/>
  <c r="L173" i="55"/>
  <c r="E173" i="55"/>
  <c r="O172" i="55"/>
  <c r="L172" i="55"/>
  <c r="E172" i="55"/>
  <c r="O171" i="55"/>
  <c r="L171" i="55"/>
  <c r="E171" i="55"/>
  <c r="O170" i="55"/>
  <c r="L170" i="55"/>
  <c r="E170" i="55"/>
  <c r="O169" i="55"/>
  <c r="L169" i="55"/>
  <c r="E169" i="55"/>
  <c r="O168" i="55"/>
  <c r="L168" i="55"/>
  <c r="E168" i="55"/>
  <c r="O167" i="55"/>
  <c r="L167" i="55"/>
  <c r="E167" i="55"/>
  <c r="O166" i="55"/>
  <c r="L166" i="55"/>
  <c r="E166" i="55"/>
  <c r="O165" i="55"/>
  <c r="L165" i="55"/>
  <c r="E165" i="55"/>
  <c r="O164" i="55"/>
  <c r="L164" i="55"/>
  <c r="E164" i="55"/>
  <c r="O163" i="55"/>
  <c r="L163" i="55"/>
  <c r="E163" i="55"/>
  <c r="O162" i="55"/>
  <c r="L162" i="55"/>
  <c r="E162" i="55"/>
  <c r="O161" i="55"/>
  <c r="L161" i="55"/>
  <c r="E161" i="55"/>
  <c r="O160" i="55"/>
  <c r="L160" i="55"/>
  <c r="E160" i="55"/>
  <c r="O159" i="55"/>
  <c r="L159" i="55"/>
  <c r="E159" i="55"/>
  <c r="O158" i="55"/>
  <c r="L158" i="55"/>
  <c r="E158" i="55"/>
  <c r="O157" i="55"/>
  <c r="L157" i="55"/>
  <c r="E157" i="55"/>
  <c r="O156" i="55"/>
  <c r="L156" i="55"/>
  <c r="E156" i="55"/>
  <c r="O155" i="55"/>
  <c r="L155" i="55"/>
  <c r="E155" i="55"/>
  <c r="O154" i="55"/>
  <c r="L154" i="55"/>
  <c r="E154" i="55"/>
  <c r="O153" i="55"/>
  <c r="L153" i="55"/>
  <c r="E153" i="55"/>
  <c r="O152" i="55"/>
  <c r="E152" i="55"/>
  <c r="O151" i="55"/>
  <c r="L151" i="55"/>
  <c r="E151" i="55"/>
  <c r="O150" i="55"/>
  <c r="L150" i="55"/>
  <c r="E150" i="55"/>
  <c r="O149" i="55"/>
  <c r="E149" i="55"/>
  <c r="O148" i="55"/>
  <c r="L148" i="55"/>
  <c r="E148" i="55"/>
  <c r="O147" i="55"/>
  <c r="E147" i="55"/>
  <c r="O146" i="55"/>
  <c r="L146" i="55"/>
  <c r="E146" i="55"/>
  <c r="O145" i="55"/>
  <c r="E145" i="55"/>
  <c r="L144" i="55"/>
  <c r="E144" i="55"/>
  <c r="O143" i="55"/>
  <c r="L143" i="55"/>
  <c r="E143" i="55"/>
  <c r="O142" i="55"/>
  <c r="L142" i="55"/>
  <c r="E142" i="55"/>
  <c r="O141" i="55"/>
  <c r="E141" i="55"/>
  <c r="L141" i="55" s="1"/>
  <c r="L140" i="55"/>
  <c r="E140" i="55"/>
  <c r="L139" i="55"/>
  <c r="E139" i="55"/>
  <c r="L138" i="55"/>
  <c r="E138" i="55"/>
  <c r="E137" i="55"/>
  <c r="E136" i="55"/>
  <c r="L135" i="55"/>
  <c r="E135" i="55"/>
  <c r="E134" i="55"/>
  <c r="O133" i="55"/>
  <c r="L133" i="55"/>
  <c r="E133" i="55"/>
  <c r="O132" i="55"/>
  <c r="E132" i="55"/>
  <c r="L132" i="55" s="1"/>
  <c r="O131" i="55"/>
  <c r="L131" i="55"/>
  <c r="E131" i="55"/>
  <c r="O130" i="55"/>
  <c r="E130" i="55"/>
  <c r="O129" i="55"/>
  <c r="E129" i="55"/>
  <c r="O128" i="55"/>
  <c r="L128" i="55"/>
  <c r="E128" i="55"/>
  <c r="O127" i="55"/>
  <c r="L127" i="55"/>
  <c r="E127" i="55"/>
  <c r="L126" i="55"/>
  <c r="E126" i="55"/>
  <c r="O126" i="55" s="1"/>
  <c r="L125" i="55"/>
  <c r="E125" i="55"/>
  <c r="O125" i="55" s="1"/>
  <c r="O124" i="55"/>
  <c r="L124" i="55"/>
  <c r="E124" i="55"/>
  <c r="O123" i="55"/>
  <c r="L123" i="55"/>
  <c r="E123" i="55"/>
  <c r="L122" i="55"/>
  <c r="E122" i="55"/>
  <c r="O122" i="55" s="1"/>
  <c r="E121" i="55"/>
  <c r="L121" i="55" s="1"/>
  <c r="E120" i="55"/>
  <c r="O120" i="55" s="1"/>
  <c r="O119" i="55"/>
  <c r="L119" i="55"/>
  <c r="E119" i="55"/>
  <c r="O118" i="55"/>
  <c r="E118" i="55"/>
  <c r="O117" i="55"/>
  <c r="L117" i="55"/>
  <c r="E117" i="55"/>
  <c r="O116" i="55"/>
  <c r="L116" i="55"/>
  <c r="E116" i="55"/>
  <c r="O115" i="55"/>
  <c r="L115" i="55"/>
  <c r="E115" i="55"/>
  <c r="L114" i="55"/>
  <c r="E114" i="55"/>
  <c r="L113" i="55"/>
  <c r="E113" i="55"/>
  <c r="O112" i="55"/>
  <c r="L112" i="55"/>
  <c r="E112" i="55"/>
  <c r="O111" i="55"/>
  <c r="L111" i="55"/>
  <c r="E111" i="55"/>
  <c r="O110" i="55"/>
  <c r="L110" i="55"/>
  <c r="E110" i="55"/>
  <c r="O109" i="55"/>
  <c r="L109" i="55"/>
  <c r="E109" i="55"/>
  <c r="L108" i="55"/>
  <c r="E108" i="55"/>
  <c r="O107" i="55"/>
  <c r="L107" i="55"/>
  <c r="E107" i="55"/>
  <c r="E106" i="55"/>
  <c r="O106" i="55" s="1"/>
  <c r="O105" i="55"/>
  <c r="L105" i="55"/>
  <c r="E105" i="55"/>
  <c r="E104" i="55"/>
  <c r="O104" i="55" s="1"/>
  <c r="O103" i="55"/>
  <c r="L103" i="55"/>
  <c r="E103" i="55"/>
  <c r="O102" i="55"/>
  <c r="L102" i="55"/>
  <c r="E102" i="55"/>
  <c r="O101" i="55"/>
  <c r="L101" i="55"/>
  <c r="E101" i="55"/>
  <c r="O100" i="55"/>
  <c r="L100" i="55"/>
  <c r="E100" i="55"/>
  <c r="Q99" i="55"/>
  <c r="Q98" i="55"/>
  <c r="Q97" i="55"/>
  <c r="L96" i="55"/>
  <c r="Q96" i="55" s="1"/>
  <c r="E96" i="55"/>
  <c r="L95" i="55"/>
  <c r="Q95" i="55" s="1"/>
  <c r="E95" i="55"/>
  <c r="L94" i="55"/>
  <c r="Q94" i="55" s="1"/>
  <c r="E94" i="55"/>
  <c r="L93" i="55"/>
  <c r="Q93" i="55" s="1"/>
  <c r="E93" i="55"/>
  <c r="L92" i="55"/>
  <c r="Q92" i="55" s="1"/>
  <c r="E92" i="55"/>
  <c r="L91" i="55"/>
  <c r="Q91" i="55" s="1"/>
  <c r="E91" i="55"/>
  <c r="L90" i="55"/>
  <c r="Q90" i="55" s="1"/>
  <c r="E90" i="55"/>
  <c r="L89" i="55"/>
  <c r="Q89" i="55" s="1"/>
  <c r="E89" i="55"/>
  <c r="L88" i="55"/>
  <c r="Q88" i="55" s="1"/>
  <c r="E88" i="55"/>
  <c r="L87" i="55"/>
  <c r="Q87" i="55" s="1"/>
  <c r="E87" i="55"/>
  <c r="E86" i="55"/>
  <c r="L85" i="55"/>
  <c r="Q85" i="55" s="1"/>
  <c r="E85" i="55"/>
  <c r="E84" i="55"/>
  <c r="L84" i="55" s="1"/>
  <c r="D84" i="55" s="1"/>
  <c r="L83" i="55"/>
  <c r="Q83" i="55" s="1"/>
  <c r="E83" i="55"/>
  <c r="L82" i="55"/>
  <c r="Q82" i="55" s="1"/>
  <c r="E82" i="55"/>
  <c r="E81" i="55"/>
  <c r="E80" i="55"/>
  <c r="L80" i="55" s="1"/>
  <c r="Q80" i="55" s="1"/>
  <c r="L79" i="55"/>
  <c r="Q79" i="55" s="1"/>
  <c r="E79" i="55"/>
  <c r="E78" i="55"/>
  <c r="L78" i="55" s="1"/>
  <c r="Q78" i="55" s="1"/>
  <c r="E77" i="55"/>
  <c r="E76" i="55"/>
  <c r="E75" i="55"/>
  <c r="E74" i="55"/>
  <c r="E73" i="55"/>
  <c r="L73" i="55" s="1"/>
  <c r="E72" i="55"/>
  <c r="L71" i="55"/>
  <c r="Q71" i="55" s="1"/>
  <c r="E71" i="55"/>
  <c r="E70" i="55"/>
  <c r="E69" i="55"/>
  <c r="E68" i="55"/>
  <c r="E67" i="55"/>
  <c r="L66" i="55"/>
  <c r="Q66" i="55" s="1"/>
  <c r="E66" i="55"/>
  <c r="L65" i="55"/>
  <c r="Q65" i="55" s="1"/>
  <c r="E65" i="55"/>
  <c r="E64" i="55"/>
  <c r="L63" i="55"/>
  <c r="Q63" i="55" s="1"/>
  <c r="E63" i="55"/>
  <c r="E62" i="55"/>
  <c r="L62" i="55" s="1"/>
  <c r="D62" i="55" s="1"/>
  <c r="L61" i="55"/>
  <c r="Q61" i="55" s="1"/>
  <c r="E61" i="55"/>
  <c r="E59" i="55"/>
  <c r="L58" i="55"/>
  <c r="Q58" i="55" s="1"/>
  <c r="E58" i="55"/>
  <c r="L57" i="55"/>
  <c r="Q57" i="55" s="1"/>
  <c r="E57" i="55"/>
  <c r="Q56" i="55"/>
  <c r="Q55" i="55"/>
  <c r="Q54" i="55"/>
  <c r="Q53" i="55"/>
  <c r="Q52" i="55"/>
  <c r="E52" i="55"/>
  <c r="O51" i="55"/>
  <c r="Q51" i="55" s="1"/>
  <c r="E51" i="55"/>
  <c r="L50" i="55"/>
  <c r="E50" i="55"/>
  <c r="O49" i="55"/>
  <c r="L49" i="55"/>
  <c r="E49" i="55"/>
  <c r="O48" i="55"/>
  <c r="L48" i="55"/>
  <c r="E48" i="55"/>
  <c r="O47" i="55"/>
  <c r="L47" i="55"/>
  <c r="E47" i="55"/>
  <c r="O46" i="55"/>
  <c r="L46" i="55"/>
  <c r="E46" i="55"/>
  <c r="O45" i="55"/>
  <c r="L45" i="55"/>
  <c r="E45" i="55"/>
  <c r="O44" i="55"/>
  <c r="L44" i="55"/>
  <c r="E44" i="55"/>
  <c r="O43" i="55"/>
  <c r="L43" i="55"/>
  <c r="E43" i="55"/>
  <c r="O42" i="55"/>
  <c r="L42" i="55"/>
  <c r="E42" i="55"/>
  <c r="O41" i="55"/>
  <c r="L41" i="55"/>
  <c r="E41" i="55"/>
  <c r="O40" i="55"/>
  <c r="L40" i="55"/>
  <c r="E40" i="55"/>
  <c r="O39" i="55"/>
  <c r="L39" i="55"/>
  <c r="E39" i="55"/>
  <c r="O38" i="55"/>
  <c r="L38" i="55"/>
  <c r="E38" i="55"/>
  <c r="O37" i="55"/>
  <c r="L37" i="55"/>
  <c r="E37" i="55"/>
  <c r="O36" i="55"/>
  <c r="L36" i="55"/>
  <c r="E36" i="55"/>
  <c r="O35" i="55"/>
  <c r="L35" i="55"/>
  <c r="E35" i="55"/>
  <c r="O34" i="55"/>
  <c r="E34" i="55"/>
  <c r="L34" i="55" s="1"/>
  <c r="O33" i="55"/>
  <c r="L33" i="55"/>
  <c r="E33" i="55"/>
  <c r="O32" i="55"/>
  <c r="L32" i="55"/>
  <c r="E32" i="55"/>
  <c r="O31" i="55"/>
  <c r="E31" i="55"/>
  <c r="L31" i="55" s="1"/>
  <c r="O30" i="55"/>
  <c r="E30" i="55"/>
  <c r="O29" i="55"/>
  <c r="L29" i="55"/>
  <c r="E29" i="55"/>
  <c r="O28" i="55"/>
  <c r="L28" i="55"/>
  <c r="E28" i="55"/>
  <c r="O27" i="55"/>
  <c r="E27" i="55"/>
  <c r="O26" i="55"/>
  <c r="E26" i="55"/>
  <c r="L26" i="55" s="1"/>
  <c r="O25" i="55"/>
  <c r="E25" i="55"/>
  <c r="O24" i="55"/>
  <c r="L24" i="55"/>
  <c r="E24" i="55"/>
  <c r="O23" i="55"/>
  <c r="E23" i="55"/>
  <c r="O22" i="55"/>
  <c r="L22" i="55"/>
  <c r="E22" i="55"/>
  <c r="O21" i="55"/>
  <c r="E21" i="55"/>
  <c r="O20" i="55"/>
  <c r="L20" i="55"/>
  <c r="E20" i="55"/>
  <c r="L19" i="55"/>
  <c r="E19" i="55"/>
  <c r="E18" i="55"/>
  <c r="O18" i="55" s="1"/>
  <c r="E17" i="55"/>
  <c r="L17" i="55" s="1"/>
  <c r="O16" i="55"/>
  <c r="E16" i="55"/>
  <c r="L16" i="55" s="1"/>
  <c r="O15" i="55"/>
  <c r="E15" i="55"/>
  <c r="L15" i="55" s="1"/>
  <c r="O14" i="55"/>
  <c r="L14" i="55"/>
  <c r="E14" i="55"/>
  <c r="L13" i="55"/>
  <c r="E13" i="55"/>
  <c r="O12" i="55"/>
  <c r="E12" i="55"/>
  <c r="L12" i="55" s="1"/>
  <c r="L11" i="55"/>
  <c r="E11" i="55"/>
  <c r="O10" i="55"/>
  <c r="E10" i="55"/>
  <c r="O9" i="55"/>
  <c r="L9" i="55"/>
  <c r="E9" i="55"/>
  <c r="O8" i="55"/>
  <c r="L8" i="55"/>
  <c r="E8" i="55"/>
  <c r="O7" i="55"/>
  <c r="E7" i="55"/>
  <c r="O6" i="55"/>
  <c r="L6" i="55"/>
  <c r="E6" i="55"/>
  <c r="O5" i="55"/>
  <c r="L5" i="55"/>
  <c r="E5" i="55"/>
  <c r="P11" i="15" l="1"/>
  <c r="U5" i="55" a="1"/>
  <c r="U5" i="55" s="1"/>
  <c r="V5" i="55" s="1"/>
  <c r="V9" i="55"/>
  <c r="Q102" i="55"/>
  <c r="Q154" i="55"/>
  <c r="Q158" i="55"/>
  <c r="Q166" i="55"/>
  <c r="Q178" i="55"/>
  <c r="Q186" i="55"/>
  <c r="Q20" i="55"/>
  <c r="Q123" i="55"/>
  <c r="Q16" i="55"/>
  <c r="Q164" i="55"/>
  <c r="Q168" i="55"/>
  <c r="Q172" i="55"/>
  <c r="D15" i="55"/>
  <c r="Q49" i="55"/>
  <c r="Q124" i="55"/>
  <c r="Q142" i="55"/>
  <c r="Q171" i="55"/>
  <c r="Q175" i="55"/>
  <c r="Q153" i="55"/>
  <c r="Q163" i="55"/>
  <c r="Q182" i="55"/>
  <c r="O13" i="55"/>
  <c r="Q13" i="55" s="1"/>
  <c r="Q183" i="55"/>
  <c r="Q100" i="55"/>
  <c r="Q146" i="55"/>
  <c r="L25" i="55"/>
  <c r="D25" i="55" s="1"/>
  <c r="Q37" i="55"/>
  <c r="Q167" i="55"/>
  <c r="Q35" i="55"/>
  <c r="Q39" i="55"/>
  <c r="Q109" i="55"/>
  <c r="D122" i="55"/>
  <c r="Q131" i="55"/>
  <c r="Q150" i="55"/>
  <c r="Q157" i="55"/>
  <c r="Q161" i="55"/>
  <c r="Q155" i="55"/>
  <c r="O121" i="55"/>
  <c r="D121" i="55" s="1"/>
  <c r="Q101" i="55"/>
  <c r="D31" i="55"/>
  <c r="Q31" i="55"/>
  <c r="Q180" i="55"/>
  <c r="Q5" i="55"/>
  <c r="Q160" i="55"/>
  <c r="L104" i="55"/>
  <c r="Q104" i="55" s="1"/>
  <c r="Q151" i="55"/>
  <c r="L23" i="55"/>
  <c r="D23" i="55" s="1"/>
  <c r="Q46" i="55"/>
  <c r="Q133" i="55"/>
  <c r="L68" i="55"/>
  <c r="Q68" i="55" s="1"/>
  <c r="O17" i="55"/>
  <c r="Q17" i="55" s="1"/>
  <c r="Q126" i="55"/>
  <c r="Q143" i="55"/>
  <c r="Q33" i="55"/>
  <c r="Q47" i="55"/>
  <c r="Q9" i="55"/>
  <c r="Q34" i="55"/>
  <c r="Q112" i="55"/>
  <c r="L10" i="55"/>
  <c r="Q10" i="55" s="1"/>
  <c r="Q14" i="55"/>
  <c r="O19" i="55"/>
  <c r="Q19" i="55" s="1"/>
  <c r="Q36" i="55"/>
  <c r="Q40" i="55"/>
  <c r="Q45" i="55"/>
  <c r="Q111" i="55"/>
  <c r="Q116" i="55"/>
  <c r="L130" i="55"/>
  <c r="Q130" i="55" s="1"/>
  <c r="Q187" i="55"/>
  <c r="Q28" i="55"/>
  <c r="Q32" i="55"/>
  <c r="Q41" i="55"/>
  <c r="Q107" i="55"/>
  <c r="Q117" i="55"/>
  <c r="Q122" i="55"/>
  <c r="Q159" i="55"/>
  <c r="Q176" i="55"/>
  <c r="Q188" i="55"/>
  <c r="Q6" i="55"/>
  <c r="Q24" i="55"/>
  <c r="Q29" i="55"/>
  <c r="Q42" i="55"/>
  <c r="Q103" i="55"/>
  <c r="Q127" i="55"/>
  <c r="Q177" i="55"/>
  <c r="Q181" i="55"/>
  <c r="Q12" i="55"/>
  <c r="Q38" i="55"/>
  <c r="Q156" i="55"/>
  <c r="Q173" i="55"/>
  <c r="Q185" i="55"/>
  <c r="Q169" i="55"/>
  <c r="Q8" i="55"/>
  <c r="Q43" i="55"/>
  <c r="Q119" i="55"/>
  <c r="Q128" i="55"/>
  <c r="Q165" i="55"/>
  <c r="Q22" i="55"/>
  <c r="Q48" i="55"/>
  <c r="Q115" i="55"/>
  <c r="O144" i="55"/>
  <c r="D144" i="55" s="1"/>
  <c r="Q148" i="55"/>
  <c r="Q170" i="55"/>
  <c r="Q174" i="55"/>
  <c r="Q44" i="55"/>
  <c r="Q105" i="55"/>
  <c r="Q110" i="55"/>
  <c r="Q162" i="55"/>
  <c r="Q179" i="55"/>
  <c r="L30" i="55"/>
  <c r="Q184" i="55"/>
  <c r="D184" i="55"/>
  <c r="D34" i="55"/>
  <c r="D126" i="55"/>
  <c r="O138" i="55"/>
  <c r="Q138" i="55" s="1"/>
  <c r="L152" i="55"/>
  <c r="Q84" i="55"/>
  <c r="L106" i="55"/>
  <c r="O114" i="55"/>
  <c r="D114" i="55" s="1"/>
  <c r="L149" i="55"/>
  <c r="L81" i="55"/>
  <c r="O140" i="55"/>
  <c r="D140" i="55" s="1"/>
  <c r="Q15" i="55"/>
  <c r="Q141" i="55"/>
  <c r="D141" i="55"/>
  <c r="L74" i="55"/>
  <c r="L27" i="55"/>
  <c r="L69" i="55"/>
  <c r="O11" i="55"/>
  <c r="D11" i="55" s="1"/>
  <c r="L59" i="55"/>
  <c r="L76" i="55"/>
  <c r="L72" i="55"/>
  <c r="O108" i="55"/>
  <c r="D108" i="55" s="1"/>
  <c r="Q132" i="55"/>
  <c r="D132" i="55"/>
  <c r="O136" i="55"/>
  <c r="L147" i="55"/>
  <c r="O134" i="55"/>
  <c r="L134" i="55"/>
  <c r="Q62" i="55"/>
  <c r="Q73" i="55"/>
  <c r="D73" i="55"/>
  <c r="Q125" i="55"/>
  <c r="D125" i="55"/>
  <c r="L136" i="55"/>
  <c r="D16" i="55"/>
  <c r="Q26" i="55"/>
  <c r="D26" i="55"/>
  <c r="L129" i="55"/>
  <c r="L145" i="55"/>
  <c r="L18" i="55"/>
  <c r="L67" i="55"/>
  <c r="L120" i="55"/>
  <c r="D12" i="55"/>
  <c r="D80" i="55"/>
  <c r="L7" i="55"/>
  <c r="L64" i="55"/>
  <c r="L77" i="55"/>
  <c r="L86" i="55"/>
  <c r="L118" i="55"/>
  <c r="L21" i="55"/>
  <c r="L137" i="55"/>
  <c r="L70" i="55"/>
  <c r="L75" i="55"/>
  <c r="O50" i="55"/>
  <c r="D50" i="55" s="1"/>
  <c r="O113" i="55"/>
  <c r="Q113" i="55" s="1"/>
  <c r="O135" i="55"/>
  <c r="D135" i="55" s="1"/>
  <c r="O137" i="55"/>
  <c r="O139" i="55"/>
  <c r="Q139" i="55" s="1"/>
  <c r="J13" i="53"/>
  <c r="J11" i="53"/>
  <c r="J10" i="53"/>
  <c r="J9" i="53"/>
  <c r="J5" i="53"/>
  <c r="J16" i="53"/>
  <c r="J6" i="53"/>
  <c r="J15" i="53"/>
  <c r="J14" i="53"/>
  <c r="J8" i="53"/>
  <c r="J12" i="53"/>
  <c r="P12" i="15" l="1"/>
  <c r="V7" i="55"/>
  <c r="V8" i="55"/>
  <c r="V6" i="55"/>
  <c r="D13" i="55"/>
  <c r="D19" i="55"/>
  <c r="Q25" i="55"/>
  <c r="Q121" i="55"/>
  <c r="Q23" i="55"/>
  <c r="D139" i="55"/>
  <c r="D17" i="55"/>
  <c r="D104" i="55"/>
  <c r="D10" i="55"/>
  <c r="Q140" i="55"/>
  <c r="Q135" i="55"/>
  <c r="D68" i="55"/>
  <c r="D130" i="55"/>
  <c r="Q114" i="55"/>
  <c r="Q108" i="55"/>
  <c r="Q144" i="55"/>
  <c r="Q7" i="55"/>
  <c r="D7" i="55"/>
  <c r="Q30" i="55"/>
  <c r="D30" i="55"/>
  <c r="Q147" i="55"/>
  <c r="D147" i="55"/>
  <c r="Q136" i="55"/>
  <c r="D136" i="55"/>
  <c r="Q120" i="55"/>
  <c r="D120" i="55"/>
  <c r="Q67" i="55"/>
  <c r="D67" i="55"/>
  <c r="Q118" i="55"/>
  <c r="D118" i="55"/>
  <c r="D113" i="55"/>
  <c r="D129" i="55"/>
  <c r="Q129" i="55"/>
  <c r="Q72" i="55"/>
  <c r="D72" i="55"/>
  <c r="Q86" i="55"/>
  <c r="D86" i="55"/>
  <c r="Q106" i="55"/>
  <c r="D106" i="55"/>
  <c r="D138" i="55"/>
  <c r="D81" i="55"/>
  <c r="Q81" i="55"/>
  <c r="Q27" i="55"/>
  <c r="D27" i="55"/>
  <c r="Q137" i="55"/>
  <c r="D137" i="55"/>
  <c r="Q145" i="55"/>
  <c r="D145" i="55"/>
  <c r="Q134" i="55"/>
  <c r="D134" i="55"/>
  <c r="Q50" i="55"/>
  <c r="Q69" i="55"/>
  <c r="D69" i="55"/>
  <c r="Q75" i="55"/>
  <c r="D75" i="55"/>
  <c r="Q70" i="55"/>
  <c r="D70" i="55"/>
  <c r="Q21" i="55"/>
  <c r="D21" i="55"/>
  <c r="D149" i="55"/>
  <c r="Q149" i="55"/>
  <c r="Q76" i="55"/>
  <c r="D76" i="55"/>
  <c r="Q64" i="55"/>
  <c r="D64" i="55"/>
  <c r="Q59" i="55"/>
  <c r="D59" i="55"/>
  <c r="Q11" i="55"/>
  <c r="Q74" i="55"/>
  <c r="D74" i="55"/>
  <c r="Q18" i="55"/>
  <c r="D18" i="55"/>
  <c r="Q77" i="55"/>
  <c r="D77" i="55"/>
  <c r="Q152" i="55"/>
  <c r="D152" i="55"/>
  <c r="J7" i="53"/>
  <c r="P13" i="15" l="1"/>
  <c r="P14" i="15" s="1"/>
  <c r="P15" i="15" s="1"/>
  <c r="V3" i="55"/>
  <c r="L121" i="53" s="1"/>
  <c r="AY12" i="45"/>
  <c r="AZ12" i="45" s="1"/>
  <c r="AT11" i="45"/>
  <c r="AY11" i="45" s="1"/>
  <c r="AZ11" i="45" s="1"/>
  <c r="P75" i="17"/>
  <c r="BQ84" i="17" s="1"/>
  <c r="J4" i="53"/>
  <c r="BQ103" i="17" l="1"/>
  <c r="BQ111" i="17"/>
  <c r="P16" i="15"/>
  <c r="P17" i="15" s="1"/>
  <c r="P18" i="15" s="1"/>
  <c r="P19" i="15" s="1"/>
  <c r="P20" i="15" s="1"/>
  <c r="P21" i="15" s="1"/>
  <c r="P22" i="15" s="1"/>
  <c r="P23" i="15" s="1"/>
  <c r="P24" i="15" s="1"/>
  <c r="P25" i="15" s="1"/>
  <c r="P26" i="15" s="1"/>
  <c r="P27" i="15" s="1"/>
  <c r="P28" i="15" s="1"/>
  <c r="P29" i="15" s="1"/>
  <c r="P30" i="15" s="1"/>
  <c r="P31" i="15" s="1"/>
  <c r="P32" i="15" s="1"/>
  <c r="P33" i="15" s="1"/>
  <c r="P34" i="15" s="1"/>
  <c r="P35" i="15" s="1"/>
  <c r="P36" i="15" s="1"/>
  <c r="P37" i="15" s="1"/>
  <c r="P38" i="15" s="1"/>
  <c r="P39" i="15" s="1"/>
  <c r="P40" i="15" s="1"/>
  <c r="P41" i="15" s="1"/>
  <c r="P42" i="15" s="1"/>
  <c r="P43" i="15" s="1"/>
  <c r="P44" i="15" s="1"/>
  <c r="P45" i="15" s="1"/>
  <c r="P46" i="15" s="1"/>
  <c r="P47" i="15" s="1"/>
  <c r="P48" i="15" s="1"/>
  <c r="BQ82" i="17"/>
  <c r="BQ125" i="17"/>
  <c r="AT4" i="45"/>
  <c r="AY4" i="45" s="1"/>
  <c r="AZ4" i="45" s="1"/>
  <c r="P49" i="15" l="1"/>
  <c r="P50" i="15" s="1"/>
  <c r="P51" i="15" s="1"/>
  <c r="P52" i="15" s="1"/>
  <c r="P53" i="15" s="1"/>
  <c r="P54" i="15" s="1"/>
  <c r="V10" i="15" s="1"/>
  <c r="F208" i="17"/>
  <c r="F207" i="17"/>
  <c r="F206" i="17"/>
  <c r="F205" i="17"/>
  <c r="F204" i="17"/>
  <c r="F203" i="17"/>
  <c r="F202" i="17"/>
  <c r="F201" i="17"/>
  <c r="F200" i="17"/>
  <c r="F199" i="17"/>
  <c r="F198" i="17"/>
  <c r="F197" i="17"/>
  <c r="F196" i="17"/>
  <c r="F195" i="17"/>
  <c r="F194" i="17"/>
  <c r="F193" i="17"/>
  <c r="F192" i="17"/>
  <c r="F191" i="17"/>
  <c r="F190" i="17"/>
  <c r="F189" i="17"/>
  <c r="F188" i="17"/>
  <c r="F187" i="17"/>
  <c r="F186" i="17"/>
  <c r="F185" i="17"/>
  <c r="F184" i="17"/>
  <c r="F183" i="17"/>
  <c r="F182" i="17"/>
  <c r="F181" i="17"/>
  <c r="F180" i="17"/>
  <c r="F179" i="17"/>
  <c r="F178" i="17"/>
  <c r="F177" i="17"/>
  <c r="F176" i="17"/>
  <c r="E10" i="15" l="1"/>
  <c r="V12" i="15"/>
  <c r="V61" i="15"/>
  <c r="V51" i="15"/>
  <c r="V36" i="15"/>
  <c r="V49" i="15"/>
  <c r="V54" i="15"/>
  <c r="V53" i="15"/>
  <c r="V25" i="15"/>
  <c r="V62" i="15"/>
  <c r="V18" i="15"/>
  <c r="V65" i="15"/>
  <c r="V22" i="15"/>
  <c r="V23" i="15"/>
  <c r="V21" i="15"/>
  <c r="V60" i="15"/>
  <c r="V68" i="15"/>
  <c r="V40" i="15"/>
  <c r="V41" i="15"/>
  <c r="V57" i="15"/>
  <c r="V69" i="15"/>
  <c r="V70" i="15"/>
  <c r="V52" i="15"/>
  <c r="V48" i="15"/>
  <c r="V13" i="15"/>
  <c r="V43" i="15"/>
  <c r="V11" i="15"/>
  <c r="V14" i="15"/>
  <c r="V59" i="15"/>
  <c r="V58" i="15"/>
  <c r="V29" i="15"/>
  <c r="V45" i="15"/>
  <c r="V35" i="15"/>
  <c r="V71" i="15"/>
  <c r="V17" i="15"/>
  <c r="V28" i="15"/>
  <c r="V20" i="15"/>
  <c r="V38" i="15"/>
  <c r="V16" i="15"/>
  <c r="V46" i="15"/>
  <c r="V37" i="15"/>
  <c r="V50" i="15"/>
  <c r="V24" i="15"/>
  <c r="V33" i="15"/>
  <c r="V67" i="15"/>
  <c r="V42" i="15"/>
  <c r="V30" i="15"/>
  <c r="V34" i="15"/>
  <c r="V31" i="15"/>
  <c r="V27" i="15"/>
  <c r="V56" i="15"/>
  <c r="V64" i="15"/>
  <c r="V26" i="15"/>
  <c r="V72" i="15"/>
  <c r="V66" i="15"/>
  <c r="V63" i="15"/>
  <c r="V32" i="15"/>
  <c r="V39" i="15"/>
  <c r="V73" i="15"/>
  <c r="V15" i="15"/>
  <c r="V47" i="15"/>
  <c r="V55" i="15"/>
  <c r="V19" i="15"/>
  <c r="V44" i="15"/>
  <c r="B3" i="15"/>
  <c r="J3" i="53"/>
  <c r="B11" i="15" l="1"/>
  <c r="A4" i="15"/>
  <c r="A5" i="15"/>
  <c r="A7" i="15"/>
  <c r="A6" i="15"/>
  <c r="B4" i="15"/>
  <c r="A8" i="15"/>
  <c r="A11" i="15"/>
  <c r="B10" i="15"/>
  <c r="A9" i="15"/>
  <c r="A10" i="15"/>
  <c r="B8" i="15"/>
  <c r="B7" i="15"/>
  <c r="B5" i="15"/>
  <c r="B9" i="15"/>
  <c r="B6" i="15"/>
  <c r="A12" i="15"/>
  <c r="B12" i="15"/>
  <c r="A13" i="15"/>
  <c r="A14" i="15"/>
  <c r="E3" i="15"/>
  <c r="B15" i="15"/>
  <c r="B14" i="15"/>
  <c r="D3" i="15"/>
  <c r="A15" i="15"/>
  <c r="B13" i="15"/>
  <c r="E4" i="15"/>
  <c r="D5" i="15"/>
  <c r="E5" i="15"/>
  <c r="D4" i="15"/>
  <c r="D6" i="53"/>
  <c r="D12" i="53"/>
  <c r="D4" i="53"/>
  <c r="D9" i="53"/>
  <c r="D14" i="53"/>
  <c r="D10" i="53"/>
  <c r="D5" i="53"/>
  <c r="D8" i="53"/>
  <c r="D11" i="53"/>
  <c r="D15" i="53"/>
  <c r="D13" i="53"/>
  <c r="D18" i="53"/>
  <c r="K3" i="52" l="1" a="1"/>
  <c r="D5" i="52"/>
  <c r="D3" i="53"/>
  <c r="K3" i="52" l="1"/>
  <c r="L3" i="52" s="1"/>
  <c r="L4" i="52"/>
  <c r="L5" i="52"/>
  <c r="L6" i="52"/>
  <c r="L7" i="52"/>
  <c r="L8" i="52"/>
  <c r="L9" i="52"/>
  <c r="L10" i="52"/>
  <c r="L11" i="52"/>
  <c r="L12" i="52"/>
  <c r="L13" i="52"/>
  <c r="L14" i="52"/>
  <c r="L15" i="52"/>
  <c r="L16" i="52"/>
  <c r="L17" i="52"/>
  <c r="L18" i="52"/>
  <c r="L19" i="52"/>
  <c r="L20" i="52"/>
  <c r="L21" i="52"/>
  <c r="L22" i="52"/>
  <c r="G26" i="52"/>
  <c r="G25" i="52"/>
  <c r="G24" i="52"/>
  <c r="G23" i="52"/>
  <c r="G22" i="52"/>
  <c r="G21" i="52"/>
  <c r="D24" i="52"/>
  <c r="D25" i="52"/>
  <c r="D26" i="52"/>
  <c r="D27" i="52"/>
  <c r="D21" i="52"/>
  <c r="D22" i="52"/>
  <c r="D23" i="52"/>
  <c r="G246" i="35" l="1"/>
  <c r="G247" i="35"/>
  <c r="G248" i="35"/>
  <c r="G249" i="35"/>
  <c r="G250" i="35"/>
  <c r="G251" i="35"/>
  <c r="G252" i="35"/>
  <c r="G253" i="35"/>
  <c r="G254" i="35"/>
  <c r="G255" i="35"/>
  <c r="A38" i="18"/>
  <c r="B38" i="18"/>
  <c r="A39" i="18"/>
  <c r="B39" i="18"/>
  <c r="A40" i="18"/>
  <c r="B40" i="18"/>
  <c r="A41" i="18"/>
  <c r="B41" i="18"/>
  <c r="A42" i="18"/>
  <c r="B42" i="18"/>
  <c r="D14" i="52" l="1"/>
  <c r="D13" i="52"/>
  <c r="D12" i="52"/>
  <c r="D11" i="52"/>
  <c r="D10" i="52"/>
  <c r="D9" i="52"/>
  <c r="D8" i="52"/>
  <c r="D7" i="52"/>
  <c r="I255" i="35"/>
  <c r="I254" i="35"/>
  <c r="I253" i="35"/>
  <c r="I252" i="35"/>
  <c r="I251" i="35"/>
  <c r="I250" i="35"/>
  <c r="I249" i="35"/>
  <c r="I248" i="35"/>
  <c r="I247" i="35"/>
  <c r="I246" i="35"/>
  <c r="G257" i="35"/>
  <c r="M4" i="15" l="1"/>
  <c r="B25" i="18"/>
  <c r="A25" i="18"/>
  <c r="B24" i="18"/>
  <c r="A24" i="18"/>
  <c r="B23" i="18"/>
  <c r="A23" i="18"/>
  <c r="B22" i="18"/>
  <c r="A22" i="18"/>
  <c r="B21" i="18"/>
  <c r="A21" i="18"/>
  <c r="B20" i="18"/>
  <c r="A20" i="18"/>
  <c r="B19" i="18"/>
  <c r="A19" i="18"/>
  <c r="B18" i="18"/>
  <c r="A18" i="18"/>
  <c r="M5" i="15" l="1"/>
  <c r="M3" i="15"/>
  <c r="N3" i="15"/>
  <c r="N4" i="15"/>
  <c r="M13" i="15"/>
  <c r="N7" i="15"/>
  <c r="M6" i="15"/>
  <c r="N11" i="15"/>
  <c r="M14" i="15"/>
  <c r="N6" i="15"/>
  <c r="M9" i="15"/>
  <c r="N5" i="15"/>
  <c r="M15" i="15"/>
  <c r="N10" i="15"/>
  <c r="M10" i="15"/>
  <c r="N13" i="15"/>
  <c r="M7" i="15"/>
  <c r="N12" i="15"/>
  <c r="N15" i="15"/>
  <c r="N9" i="15"/>
  <c r="M8" i="15"/>
  <c r="N14" i="15"/>
  <c r="M12" i="15"/>
  <c r="M11" i="15"/>
  <c r="N8" i="15"/>
  <c r="D3" i="52"/>
  <c r="D4" i="52"/>
  <c r="D6" i="52"/>
  <c r="V40" i="52"/>
  <c r="V41" i="52"/>
  <c r="R41" i="52"/>
  <c r="R76" i="52"/>
  <c r="R75" i="52"/>
  <c r="R74" i="52"/>
  <c r="R73" i="52"/>
  <c r="R72" i="52"/>
  <c r="R71" i="52"/>
  <c r="R70" i="52"/>
  <c r="R69" i="52"/>
  <c r="R68" i="52"/>
  <c r="R66" i="52"/>
  <c r="R64" i="52"/>
  <c r="R63" i="52"/>
  <c r="P97" i="52" s="1"/>
  <c r="R62" i="52"/>
  <c r="R61" i="52"/>
  <c r="R60" i="52"/>
  <c r="R59" i="52"/>
  <c r="R58" i="52"/>
  <c r="P91" i="52" s="1"/>
  <c r="R57" i="52"/>
  <c r="R56" i="52"/>
  <c r="R55" i="52"/>
  <c r="R54" i="52"/>
  <c r="R53" i="52"/>
  <c r="P93" i="52" s="1"/>
  <c r="R52" i="52"/>
  <c r="P92" i="52" s="1"/>
  <c r="R51" i="52"/>
  <c r="R49" i="52"/>
  <c r="R48" i="52"/>
  <c r="R47" i="52"/>
  <c r="R46" i="52"/>
  <c r="R45" i="52"/>
  <c r="R44" i="52"/>
  <c r="R43" i="52"/>
  <c r="R42" i="52"/>
  <c r="R40" i="52"/>
  <c r="A17" i="52" l="1"/>
  <c r="C16" i="52"/>
  <c r="C17" i="52"/>
  <c r="A16" i="52"/>
  <c r="F17" i="52"/>
  <c r="G17" i="52" s="1"/>
  <c r="F16" i="52"/>
  <c r="G16" i="52" s="1"/>
  <c r="C8" i="52"/>
  <c r="A8" i="52"/>
  <c r="F8" i="52"/>
  <c r="G8" i="52" s="1"/>
  <c r="A15" i="52"/>
  <c r="F15" i="52"/>
  <c r="G15" i="52" s="1"/>
  <c r="C15" i="52"/>
  <c r="C3" i="52"/>
  <c r="A3" i="52"/>
  <c r="F3" i="52"/>
  <c r="G3" i="52" s="1"/>
  <c r="C4" i="52"/>
  <c r="C5" i="52"/>
  <c r="C6" i="52"/>
  <c r="C7" i="52"/>
  <c r="A4" i="52"/>
  <c r="A6" i="52"/>
  <c r="A7" i="52"/>
  <c r="A5" i="52"/>
  <c r="F4" i="52"/>
  <c r="G4" i="52" s="1"/>
  <c r="F7" i="52"/>
  <c r="G7" i="52" s="1"/>
  <c r="F6" i="52"/>
  <c r="G6" i="52" s="1"/>
  <c r="F5" i="52"/>
  <c r="G5" i="52" s="1"/>
  <c r="C14" i="52"/>
  <c r="A13" i="52"/>
  <c r="A14" i="52"/>
  <c r="F9" i="52"/>
  <c r="G9" i="52" s="1"/>
  <c r="F10" i="52"/>
  <c r="G10" i="52" s="1"/>
  <c r="C9" i="52"/>
  <c r="F11" i="52"/>
  <c r="G11" i="52" s="1"/>
  <c r="C10" i="52"/>
  <c r="A9" i="52"/>
  <c r="F12" i="52"/>
  <c r="G12" i="52" s="1"/>
  <c r="C11" i="52"/>
  <c r="A10" i="52"/>
  <c r="F13" i="52"/>
  <c r="G13" i="52" s="1"/>
  <c r="C12" i="52"/>
  <c r="A11" i="52"/>
  <c r="F14" i="52"/>
  <c r="G14" i="52" s="1"/>
  <c r="C13" i="52"/>
  <c r="A12" i="52"/>
  <c r="G20" i="52"/>
  <c r="G18" i="52"/>
  <c r="G19" i="52"/>
  <c r="P98" i="52"/>
  <c r="BJ6" i="17"/>
  <c r="BJ5" i="17"/>
  <c r="AW21" i="45"/>
  <c r="B9" i="18"/>
  <c r="A9" i="18"/>
  <c r="B8" i="18"/>
  <c r="A8" i="18"/>
  <c r="B7" i="18"/>
  <c r="A7" i="18"/>
  <c r="B6" i="18"/>
  <c r="A6" i="18"/>
  <c r="AV10" i="45"/>
  <c r="AW14" i="45"/>
  <c r="A70" i="52"/>
  <c r="G1" i="52" l="1"/>
  <c r="L120" i="53" s="1"/>
  <c r="V79" i="52"/>
  <c r="V83" i="52" s="1"/>
  <c r="H1" i="52" l="1"/>
  <c r="I1" i="52" s="1"/>
  <c r="AS3" i="23"/>
  <c r="AS4" i="23"/>
  <c r="AB27" i="23" l="1"/>
  <c r="AB26" i="23"/>
  <c r="AE27" i="23"/>
  <c r="AF27" i="23" s="1"/>
  <c r="AC27" i="23"/>
  <c r="AE26" i="23"/>
  <c r="AF26" i="23" s="1"/>
  <c r="AC26" i="23"/>
  <c r="AE25" i="23"/>
  <c r="AF25" i="23" s="1"/>
  <c r="AC25" i="23"/>
  <c r="G19" i="18" l="1"/>
  <c r="H19" i="18" s="1"/>
  <c r="G18" i="18"/>
  <c r="H18" i="18" s="1"/>
  <c r="G17" i="18"/>
  <c r="H17" i="18" s="1"/>
  <c r="G16" i="18"/>
  <c r="H16" i="18" s="1"/>
  <c r="B16" i="18"/>
  <c r="A16" i="18"/>
  <c r="G15" i="18"/>
  <c r="H15" i="18" s="1"/>
  <c r="B15" i="18"/>
  <c r="A15" i="18"/>
  <c r="G14" i="18"/>
  <c r="H14" i="18" s="1"/>
  <c r="B14" i="18"/>
  <c r="A14" i="18"/>
  <c r="K13" i="15" l="1"/>
  <c r="E9" i="15" l="1"/>
  <c r="E7" i="15"/>
  <c r="D6" i="15"/>
  <c r="D12" i="15"/>
  <c r="E8" i="15"/>
  <c r="D8" i="15"/>
  <c r="E12" i="15"/>
  <c r="J11" i="15"/>
  <c r="D10" i="15"/>
  <c r="G7" i="15"/>
  <c r="D7" i="15"/>
  <c r="D11" i="15"/>
  <c r="E6" i="15"/>
  <c r="G14" i="15"/>
  <c r="D9" i="15"/>
  <c r="E11" i="15"/>
  <c r="G5" i="15"/>
  <c r="K8" i="15"/>
  <c r="H5" i="15"/>
  <c r="G13" i="15"/>
  <c r="H10" i="15"/>
  <c r="E14" i="15"/>
  <c r="H15" i="15"/>
  <c r="G6" i="15"/>
  <c r="D15" i="15"/>
  <c r="E13" i="15"/>
  <c r="G9" i="15"/>
  <c r="H9" i="15"/>
  <c r="H6" i="15"/>
  <c r="D13" i="15"/>
  <c r="J5" i="15"/>
  <c r="H4" i="15"/>
  <c r="J3" i="15"/>
  <c r="H12" i="15"/>
  <c r="J10" i="15"/>
  <c r="G11" i="15"/>
  <c r="G4" i="15"/>
  <c r="K7" i="15"/>
  <c r="K12" i="15"/>
  <c r="H14" i="15"/>
  <c r="K14" i="15"/>
  <c r="J8" i="15"/>
  <c r="J9" i="15"/>
  <c r="G15" i="15"/>
  <c r="J13" i="15"/>
  <c r="H3" i="15"/>
  <c r="K5" i="15"/>
  <c r="G10" i="15"/>
  <c r="G8" i="15"/>
  <c r="K15" i="15"/>
  <c r="H13" i="15"/>
  <c r="E15" i="15"/>
  <c r="K4" i="15"/>
  <c r="G12" i="15"/>
  <c r="D14" i="15"/>
  <c r="K11" i="15"/>
  <c r="J4" i="15"/>
  <c r="G3" i="15"/>
  <c r="H11" i="15"/>
  <c r="H7" i="15"/>
  <c r="H8" i="15"/>
  <c r="J14" i="15"/>
  <c r="J15" i="15"/>
  <c r="J7" i="15"/>
  <c r="J6" i="15"/>
  <c r="J12" i="15"/>
  <c r="K6" i="15"/>
  <c r="K3" i="15"/>
  <c r="K10" i="15"/>
  <c r="K9" i="15"/>
  <c r="B16" i="15" l="1"/>
  <c r="G25" i="35"/>
  <c r="G24" i="35"/>
  <c r="G35" i="35" l="1"/>
  <c r="M33" i="28" l="1"/>
  <c r="H77" i="28"/>
  <c r="M20" i="28" l="1"/>
  <c r="N20" i="28" s="1"/>
  <c r="M19" i="28"/>
  <c r="M17" i="28"/>
  <c r="AG20" i="23"/>
  <c r="AL4" i="23" l="1"/>
  <c r="AJ20" i="23"/>
  <c r="AK20" i="23" s="1"/>
  <c r="AH20" i="23"/>
  <c r="AE20" i="23"/>
  <c r="AF20" i="23" s="1"/>
  <c r="AC20" i="23"/>
  <c r="AG14" i="23"/>
  <c r="AG10" i="23"/>
  <c r="AG9" i="23"/>
  <c r="AB19" i="23"/>
  <c r="AB18" i="23"/>
  <c r="AB16" i="23"/>
  <c r="AB14" i="23"/>
  <c r="AB12" i="23"/>
  <c r="AB9" i="23"/>
  <c r="AB5" i="23"/>
  <c r="AC5" i="23"/>
  <c r="AC6" i="23"/>
  <c r="AC7" i="23"/>
  <c r="AC8" i="23"/>
  <c r="AC9" i="23"/>
  <c r="AC10" i="23"/>
  <c r="AC11" i="23"/>
  <c r="AC12" i="23"/>
  <c r="AC13" i="23"/>
  <c r="AC14" i="23"/>
  <c r="AC15" i="23"/>
  <c r="AC16" i="23"/>
  <c r="AC17" i="23"/>
  <c r="AC18" i="23"/>
  <c r="AC19" i="23"/>
  <c r="AH19" i="23"/>
  <c r="AH18" i="23"/>
  <c r="AH17" i="23"/>
  <c r="AH16" i="23"/>
  <c r="AH15" i="23"/>
  <c r="AH14" i="23"/>
  <c r="AH13" i="23"/>
  <c r="AH12" i="23"/>
  <c r="AH11" i="23"/>
  <c r="AH10" i="23"/>
  <c r="AH9" i="23"/>
  <c r="AH8" i="23"/>
  <c r="AH7" i="23"/>
  <c r="AH5" i="23"/>
  <c r="AH6" i="23"/>
  <c r="AB6" i="23" l="1"/>
  <c r="G32" i="48"/>
  <c r="AL5" i="23"/>
  <c r="AB7" i="23"/>
  <c r="AB8" i="23" s="1"/>
  <c r="AB10" i="23" l="1"/>
  <c r="AL6" i="23"/>
  <c r="AT3" i="23"/>
  <c r="AT4" i="23"/>
  <c r="AT8" i="23"/>
  <c r="AT9" i="23"/>
  <c r="AT10" i="23"/>
  <c r="AT11" i="23"/>
  <c r="AT12" i="23"/>
  <c r="AT13" i="23"/>
  <c r="AT14" i="23"/>
  <c r="AT15" i="23"/>
  <c r="AT16" i="23"/>
  <c r="AT17" i="23"/>
  <c r="AT18" i="23"/>
  <c r="AT19" i="23"/>
  <c r="AT20" i="23"/>
  <c r="AT21" i="23"/>
  <c r="AT22" i="23"/>
  <c r="AT23" i="23"/>
  <c r="AT26" i="23"/>
  <c r="AT27" i="23"/>
  <c r="AT28" i="23"/>
  <c r="AT29" i="23"/>
  <c r="AT30" i="23"/>
  <c r="AT31" i="23"/>
  <c r="AT32" i="23"/>
  <c r="AT33" i="23"/>
  <c r="AT34" i="23"/>
  <c r="AT35" i="23"/>
  <c r="AT36" i="23"/>
  <c r="AS8" i="23"/>
  <c r="AS9" i="23"/>
  <c r="AS10" i="23"/>
  <c r="AS11" i="23"/>
  <c r="AS12" i="23"/>
  <c r="AS13" i="23"/>
  <c r="AS14" i="23"/>
  <c r="AS15" i="23"/>
  <c r="AS16" i="23"/>
  <c r="AS17" i="23"/>
  <c r="AS18" i="23"/>
  <c r="AS19" i="23"/>
  <c r="AS20" i="23"/>
  <c r="AS21" i="23"/>
  <c r="AS22" i="23"/>
  <c r="AS23" i="23"/>
  <c r="AS26" i="23"/>
  <c r="AS27" i="23"/>
  <c r="AS28" i="23"/>
  <c r="AS29" i="23"/>
  <c r="AS30" i="23"/>
  <c r="AS31" i="23"/>
  <c r="AS32" i="23"/>
  <c r="AS33" i="23"/>
  <c r="AS34" i="23"/>
  <c r="AS35" i="23"/>
  <c r="AS36" i="23"/>
  <c r="K3" i="23"/>
  <c r="L3" i="23" s="1"/>
  <c r="K4" i="23"/>
  <c r="L4" i="23" s="1"/>
  <c r="K5" i="23"/>
  <c r="L5" i="23" s="1"/>
  <c r="K6" i="23"/>
  <c r="L6" i="23" s="1"/>
  <c r="K7" i="23"/>
  <c r="L7" i="23" s="1"/>
  <c r="K8" i="23"/>
  <c r="L8" i="23" s="1"/>
  <c r="K9" i="23"/>
  <c r="L9" i="23" s="1"/>
  <c r="K10" i="23"/>
  <c r="L10" i="23" s="1"/>
  <c r="G7" i="23" s="1"/>
  <c r="K11" i="23"/>
  <c r="L11" i="23" s="1"/>
  <c r="K12" i="23"/>
  <c r="L12" i="23" s="1"/>
  <c r="K13" i="23"/>
  <c r="L13" i="23" s="1"/>
  <c r="K14" i="23"/>
  <c r="L14" i="23" s="1"/>
  <c r="K15" i="23"/>
  <c r="L15" i="23" s="1"/>
  <c r="K16" i="23"/>
  <c r="L16" i="23" s="1"/>
  <c r="K17" i="23"/>
  <c r="L17" i="23" s="1"/>
  <c r="K18" i="23"/>
  <c r="L18" i="23" s="1"/>
  <c r="K19" i="23"/>
  <c r="L19" i="23" s="1"/>
  <c r="K20" i="23"/>
  <c r="L20" i="23" s="1"/>
  <c r="K21" i="23"/>
  <c r="L21" i="23" s="1"/>
  <c r="K22" i="23"/>
  <c r="L22" i="23" s="1"/>
  <c r="K23" i="23"/>
  <c r="L23" i="23" s="1"/>
  <c r="K24" i="23"/>
  <c r="L24" i="23" s="1"/>
  <c r="K25" i="23"/>
  <c r="L25" i="23" s="1"/>
  <c r="K26" i="23"/>
  <c r="L26" i="23" s="1"/>
  <c r="K27" i="23"/>
  <c r="L27" i="23" s="1"/>
  <c r="K28" i="23"/>
  <c r="L28" i="23" s="1"/>
  <c r="K29" i="23"/>
  <c r="L29" i="23" s="1"/>
  <c r="K30" i="23"/>
  <c r="L30" i="23" s="1"/>
  <c r="K31" i="23"/>
  <c r="L31" i="23" s="1"/>
  <c r="K32" i="23"/>
  <c r="L32" i="23" s="1"/>
  <c r="K33" i="23"/>
  <c r="L33" i="23" s="1"/>
  <c r="K34" i="23"/>
  <c r="L34" i="23" s="1"/>
  <c r="K35" i="23"/>
  <c r="L35" i="23" s="1"/>
  <c r="K36" i="23"/>
  <c r="L36" i="23" s="1"/>
  <c r="K37" i="23"/>
  <c r="L37" i="23" s="1"/>
  <c r="K38" i="23"/>
  <c r="L38" i="23" s="1"/>
  <c r="M3" i="23"/>
  <c r="N3" i="23" s="1"/>
  <c r="M4" i="23"/>
  <c r="N4" i="23" s="1"/>
  <c r="M5" i="23"/>
  <c r="N5" i="23" s="1"/>
  <c r="M6" i="23"/>
  <c r="N6" i="23" s="1"/>
  <c r="M7" i="23"/>
  <c r="N7" i="23" s="1"/>
  <c r="M8" i="23"/>
  <c r="N8" i="23" s="1"/>
  <c r="M9" i="23"/>
  <c r="N9" i="23" s="1"/>
  <c r="M10" i="23"/>
  <c r="N10" i="23" s="1"/>
  <c r="D7" i="23" s="1"/>
  <c r="M11" i="23"/>
  <c r="N11" i="23" s="1"/>
  <c r="M12" i="23"/>
  <c r="N12" i="23" s="1"/>
  <c r="M13" i="23"/>
  <c r="N13" i="23" s="1"/>
  <c r="M14" i="23"/>
  <c r="N14" i="23" s="1"/>
  <c r="M15" i="23"/>
  <c r="N15" i="23" s="1"/>
  <c r="M16" i="23"/>
  <c r="N16" i="23" s="1"/>
  <c r="M17" i="23"/>
  <c r="N17" i="23" s="1"/>
  <c r="M18" i="23"/>
  <c r="N18" i="23" s="1"/>
  <c r="M19" i="23"/>
  <c r="N19" i="23" s="1"/>
  <c r="M20" i="23"/>
  <c r="N20" i="23" s="1"/>
  <c r="M21" i="23"/>
  <c r="N21" i="23" s="1"/>
  <c r="M22" i="23"/>
  <c r="N22" i="23" s="1"/>
  <c r="M23" i="23"/>
  <c r="N23" i="23" s="1"/>
  <c r="M24" i="23"/>
  <c r="N24" i="23" s="1"/>
  <c r="M25" i="23"/>
  <c r="N25" i="23" s="1"/>
  <c r="M26" i="23"/>
  <c r="N26" i="23" s="1"/>
  <c r="M27" i="23"/>
  <c r="N27" i="23" s="1"/>
  <c r="M28" i="23"/>
  <c r="N28" i="23" s="1"/>
  <c r="M29" i="23"/>
  <c r="N29" i="23" s="1"/>
  <c r="M30" i="23"/>
  <c r="N30" i="23" s="1"/>
  <c r="M31" i="23"/>
  <c r="N31" i="23" s="1"/>
  <c r="M32" i="23"/>
  <c r="N32" i="23" s="1"/>
  <c r="M33" i="23"/>
  <c r="N33" i="23" s="1"/>
  <c r="M34" i="23"/>
  <c r="N34" i="23" s="1"/>
  <c r="M35" i="23"/>
  <c r="N35" i="23" s="1"/>
  <c r="M36" i="23"/>
  <c r="N36" i="23" s="1"/>
  <c r="M37" i="23"/>
  <c r="N37" i="23" s="1"/>
  <c r="M38" i="23"/>
  <c r="N38" i="23" s="1"/>
  <c r="AE8" i="23"/>
  <c r="AF8" i="23" s="1"/>
  <c r="AE9" i="23"/>
  <c r="AF9" i="23" s="1"/>
  <c r="AE10" i="23"/>
  <c r="AF10" i="23" s="1"/>
  <c r="AE11" i="23"/>
  <c r="AF11" i="23" s="1"/>
  <c r="AE12" i="23"/>
  <c r="AF12" i="23" s="1"/>
  <c r="AE13" i="23"/>
  <c r="AF13" i="23" s="1"/>
  <c r="AE14" i="23"/>
  <c r="AF14" i="23" s="1"/>
  <c r="AE15" i="23"/>
  <c r="AF15" i="23" s="1"/>
  <c r="AE16" i="23"/>
  <c r="AF16" i="23" s="1"/>
  <c r="AE17" i="23"/>
  <c r="AF17" i="23" s="1"/>
  <c r="AE18" i="23"/>
  <c r="AF18" i="23" s="1"/>
  <c r="AE19" i="23"/>
  <c r="AF19" i="23" s="1"/>
  <c r="AJ7" i="23"/>
  <c r="AK7" i="23" s="1"/>
  <c r="AJ8" i="23"/>
  <c r="AK8" i="23" s="1"/>
  <c r="AJ9" i="23"/>
  <c r="AK9" i="23" s="1"/>
  <c r="AJ10" i="23"/>
  <c r="AK10" i="23" s="1"/>
  <c r="AJ11" i="23"/>
  <c r="AK11" i="23" s="1"/>
  <c r="AJ12" i="23"/>
  <c r="AK12" i="23" s="1"/>
  <c r="AJ13" i="23"/>
  <c r="AK13" i="23" s="1"/>
  <c r="AJ14" i="23"/>
  <c r="AK14" i="23" s="1"/>
  <c r="AJ15" i="23"/>
  <c r="AK15" i="23" s="1"/>
  <c r="AJ16" i="23"/>
  <c r="AK16" i="23" s="1"/>
  <c r="AJ17" i="23"/>
  <c r="AK17" i="23" s="1"/>
  <c r="AJ18" i="23"/>
  <c r="AK18" i="23" s="1"/>
  <c r="AJ19" i="23"/>
  <c r="AK19" i="23" s="1"/>
  <c r="AE7" i="23"/>
  <c r="AF7" i="23" s="1"/>
  <c r="AJ6" i="23"/>
  <c r="AK6" i="23" s="1"/>
  <c r="AE6" i="23"/>
  <c r="AF6" i="23" s="1"/>
  <c r="AJ5" i="23"/>
  <c r="AK5" i="23" s="1"/>
  <c r="AE5" i="23"/>
  <c r="AF5" i="23" s="1"/>
  <c r="G6" i="23" l="1"/>
  <c r="D6" i="23"/>
  <c r="E6" i="23" s="1"/>
  <c r="AB11" i="23"/>
  <c r="E7" i="23"/>
  <c r="H7" i="23"/>
  <c r="AL7" i="23"/>
  <c r="G3" i="23"/>
  <c r="G5" i="23"/>
  <c r="G4" i="23"/>
  <c r="D3" i="23"/>
  <c r="D5" i="23"/>
  <c r="E5" i="23" s="1"/>
  <c r="D4" i="23"/>
  <c r="E4" i="23" s="1"/>
  <c r="AF2" i="23"/>
  <c r="AB13" i="23"/>
  <c r="AK2" i="23"/>
  <c r="H6" i="23" l="1"/>
  <c r="AL8" i="23"/>
  <c r="AB15" i="23"/>
  <c r="AK1" i="23"/>
  <c r="AX1" i="23" s="1"/>
  <c r="AW36" i="45"/>
  <c r="AV36" i="45"/>
  <c r="AT36" i="45"/>
  <c r="AY36" i="45" s="1"/>
  <c r="AZ36" i="45" s="1"/>
  <c r="AO36" i="45"/>
  <c r="AN36" i="45"/>
  <c r="AL36" i="45"/>
  <c r="X36" i="45"/>
  <c r="K36" i="45"/>
  <c r="G36" i="45"/>
  <c r="D36" i="45"/>
  <c r="AW35" i="45"/>
  <c r="AV35" i="45"/>
  <c r="AT35" i="45"/>
  <c r="AY35" i="45" s="1"/>
  <c r="AZ35" i="45" s="1"/>
  <c r="AO35" i="45"/>
  <c r="AN35" i="45"/>
  <c r="AL35" i="45"/>
  <c r="X35" i="45"/>
  <c r="K35" i="45"/>
  <c r="G35" i="45"/>
  <c r="D35" i="45"/>
  <c r="AW34" i="45"/>
  <c r="AV34" i="45"/>
  <c r="AT34" i="45"/>
  <c r="AY34" i="45" s="1"/>
  <c r="AZ34" i="45" s="1"/>
  <c r="AO34" i="45"/>
  <c r="AN34" i="45"/>
  <c r="AL34" i="45"/>
  <c r="X34" i="45"/>
  <c r="K34" i="45"/>
  <c r="G34" i="45"/>
  <c r="D34" i="45"/>
  <c r="AW33" i="45"/>
  <c r="AV33" i="45"/>
  <c r="AT33" i="45"/>
  <c r="AY33" i="45" s="1"/>
  <c r="AZ33" i="45" s="1"/>
  <c r="AO33" i="45"/>
  <c r="AN33" i="45"/>
  <c r="AL33" i="45"/>
  <c r="X33" i="45"/>
  <c r="K33" i="45"/>
  <c r="G33" i="45"/>
  <c r="D33" i="45"/>
  <c r="AW32" i="45"/>
  <c r="AV32" i="45"/>
  <c r="AT32" i="45"/>
  <c r="AY32" i="45" s="1"/>
  <c r="AZ32" i="45" s="1"/>
  <c r="AO32" i="45"/>
  <c r="AN32" i="45"/>
  <c r="AL32" i="45"/>
  <c r="X32" i="45"/>
  <c r="K32" i="45"/>
  <c r="G32" i="45"/>
  <c r="D32" i="45"/>
  <c r="AW31" i="45"/>
  <c r="AV31" i="45"/>
  <c r="AT31" i="45"/>
  <c r="AY31" i="45" s="1"/>
  <c r="AZ31" i="45" s="1"/>
  <c r="AO31" i="45"/>
  <c r="AN31" i="45"/>
  <c r="AL31" i="45"/>
  <c r="X31" i="45"/>
  <c r="K31" i="45"/>
  <c r="G31" i="45"/>
  <c r="D31" i="45"/>
  <c r="AW30" i="45"/>
  <c r="AV30" i="45"/>
  <c r="AT30" i="45"/>
  <c r="AY30" i="45" s="1"/>
  <c r="AZ30" i="45" s="1"/>
  <c r="AO30" i="45"/>
  <c r="AN30" i="45"/>
  <c r="AL30" i="45"/>
  <c r="X30" i="45"/>
  <c r="K30" i="45"/>
  <c r="G30" i="45"/>
  <c r="D30" i="45"/>
  <c r="AW29" i="45"/>
  <c r="AV29" i="45"/>
  <c r="AT29" i="45"/>
  <c r="AY29" i="45" s="1"/>
  <c r="AZ29" i="45" s="1"/>
  <c r="AO29" i="45"/>
  <c r="AN29" i="45"/>
  <c r="AL29" i="45"/>
  <c r="X29" i="45"/>
  <c r="K29" i="45"/>
  <c r="G29" i="45"/>
  <c r="D29" i="45"/>
  <c r="AW28" i="45"/>
  <c r="AV28" i="45"/>
  <c r="AT28" i="45"/>
  <c r="AY28" i="45" s="1"/>
  <c r="AZ28" i="45" s="1"/>
  <c r="AO28" i="45"/>
  <c r="AN28" i="45"/>
  <c r="AL28" i="45"/>
  <c r="X28" i="45"/>
  <c r="K28" i="45"/>
  <c r="G28" i="45"/>
  <c r="D28" i="45"/>
  <c r="AW27" i="45"/>
  <c r="AV27" i="45"/>
  <c r="AT27" i="45"/>
  <c r="AO27" i="45"/>
  <c r="AN27" i="45"/>
  <c r="AL27" i="45"/>
  <c r="X27" i="45"/>
  <c r="K27" i="45"/>
  <c r="G27" i="45"/>
  <c r="D27" i="45"/>
  <c r="AW26" i="45"/>
  <c r="AV26" i="45"/>
  <c r="AT26" i="45"/>
  <c r="AO26" i="45"/>
  <c r="AN26" i="45"/>
  <c r="AL26" i="45"/>
  <c r="X26" i="45"/>
  <c r="K26" i="45"/>
  <c r="G26" i="45"/>
  <c r="D26" i="45"/>
  <c r="AW25" i="45"/>
  <c r="AV25" i="45"/>
  <c r="AT25" i="45"/>
  <c r="AY25" i="45" s="1"/>
  <c r="AZ25" i="45" s="1"/>
  <c r="AO25" i="45"/>
  <c r="AN25" i="45"/>
  <c r="AL25" i="45"/>
  <c r="X25" i="45"/>
  <c r="K25" i="45"/>
  <c r="G25" i="45"/>
  <c r="D25" i="45"/>
  <c r="AW24" i="45"/>
  <c r="AV24" i="45"/>
  <c r="AT24" i="45"/>
  <c r="AY24" i="45" s="1"/>
  <c r="AZ24" i="45" s="1"/>
  <c r="AO24" i="45"/>
  <c r="AN24" i="45"/>
  <c r="AL24" i="45"/>
  <c r="X24" i="45"/>
  <c r="K24" i="45"/>
  <c r="G24" i="45"/>
  <c r="D24" i="45"/>
  <c r="AW23" i="45"/>
  <c r="AV23" i="45"/>
  <c r="AT23" i="45"/>
  <c r="AY23" i="45" s="1"/>
  <c r="AZ23" i="45" s="1"/>
  <c r="AO23" i="45"/>
  <c r="AN23" i="45"/>
  <c r="AL23" i="45"/>
  <c r="X23" i="45"/>
  <c r="K23" i="45"/>
  <c r="G23" i="45"/>
  <c r="D23" i="45"/>
  <c r="AW22" i="45"/>
  <c r="AV22" i="45"/>
  <c r="AT22" i="45"/>
  <c r="AY22" i="45" s="1"/>
  <c r="AZ22" i="45" s="1"/>
  <c r="AO22" i="45"/>
  <c r="AN22" i="45"/>
  <c r="AL22" i="45"/>
  <c r="X22" i="45"/>
  <c r="K22" i="45"/>
  <c r="G22" i="45"/>
  <c r="D22" i="45"/>
  <c r="AV21" i="45"/>
  <c r="AT21" i="45"/>
  <c r="AY21" i="45" s="1"/>
  <c r="AZ21" i="45" s="1"/>
  <c r="AO21" i="45"/>
  <c r="AN21" i="45"/>
  <c r="AL21" i="45"/>
  <c r="X21" i="45"/>
  <c r="K21" i="45"/>
  <c r="G21" i="45"/>
  <c r="D21" i="45"/>
  <c r="AW20" i="45"/>
  <c r="AV20" i="45"/>
  <c r="AT20" i="45"/>
  <c r="AY20" i="45" s="1"/>
  <c r="AZ20" i="45" s="1"/>
  <c r="AO20" i="45"/>
  <c r="AN20" i="45"/>
  <c r="AL20" i="45"/>
  <c r="X20" i="45"/>
  <c r="K20" i="45"/>
  <c r="G20" i="45"/>
  <c r="D20" i="45"/>
  <c r="AW19" i="45"/>
  <c r="AV19" i="45"/>
  <c r="AT19" i="45"/>
  <c r="AY19" i="45" s="1"/>
  <c r="AZ19" i="45" s="1"/>
  <c r="AO19" i="45"/>
  <c r="AN19" i="45"/>
  <c r="AL19" i="45"/>
  <c r="X19" i="45"/>
  <c r="K19" i="45"/>
  <c r="G19" i="45"/>
  <c r="D19" i="45"/>
  <c r="AW18" i="45"/>
  <c r="AV18" i="45"/>
  <c r="AT18" i="45"/>
  <c r="AY18" i="45" s="1"/>
  <c r="AZ18" i="45" s="1"/>
  <c r="AO18" i="45"/>
  <c r="AN18" i="45"/>
  <c r="AL18" i="45"/>
  <c r="X18" i="45"/>
  <c r="K18" i="45"/>
  <c r="G18" i="45"/>
  <c r="D18" i="45"/>
  <c r="AW17" i="45"/>
  <c r="AV17" i="45"/>
  <c r="AT17" i="45"/>
  <c r="AY17" i="45" s="1"/>
  <c r="AZ17" i="45" s="1"/>
  <c r="AN17" i="45"/>
  <c r="AL17" i="45"/>
  <c r="X17" i="45"/>
  <c r="K17" i="45"/>
  <c r="G17" i="45"/>
  <c r="D17" i="45"/>
  <c r="AW16" i="45"/>
  <c r="AV16" i="45"/>
  <c r="AT16" i="45"/>
  <c r="AY16" i="45" s="1"/>
  <c r="AZ16" i="45" s="1"/>
  <c r="AN16" i="45"/>
  <c r="AL16" i="45"/>
  <c r="X16" i="45"/>
  <c r="K16" i="45"/>
  <c r="G16" i="45"/>
  <c r="D16" i="45"/>
  <c r="AW15" i="45"/>
  <c r="AV15" i="45"/>
  <c r="AT15" i="45"/>
  <c r="AY15" i="45" s="1"/>
  <c r="AZ15" i="45" s="1"/>
  <c r="AN15" i="45"/>
  <c r="AL15" i="45"/>
  <c r="X15" i="45"/>
  <c r="K15" i="45"/>
  <c r="G15" i="45"/>
  <c r="D15" i="45"/>
  <c r="AV14" i="45"/>
  <c r="AT14" i="45"/>
  <c r="AY14" i="45" s="1"/>
  <c r="AZ14" i="45" s="1"/>
  <c r="AN14" i="45"/>
  <c r="AL14" i="45"/>
  <c r="X14" i="45"/>
  <c r="K14" i="45"/>
  <c r="G14" i="45"/>
  <c r="D14" i="45"/>
  <c r="AW13" i="45"/>
  <c r="AV13" i="45"/>
  <c r="AY13" i="45"/>
  <c r="AZ13" i="45" s="1"/>
  <c r="AN13" i="45"/>
  <c r="AL13" i="45"/>
  <c r="X13" i="45"/>
  <c r="K13" i="45"/>
  <c r="G13" i="45"/>
  <c r="D13" i="45"/>
  <c r="AW12" i="45"/>
  <c r="AV12" i="45"/>
  <c r="AN12" i="45"/>
  <c r="AL12" i="45"/>
  <c r="X12" i="45"/>
  <c r="K12" i="45"/>
  <c r="G12" i="45"/>
  <c r="D12" i="45"/>
  <c r="AW11" i="45"/>
  <c r="AV11" i="45"/>
  <c r="AN11" i="45"/>
  <c r="AL11" i="45"/>
  <c r="X11" i="45"/>
  <c r="K11" i="45"/>
  <c r="G11" i="45"/>
  <c r="D11" i="45"/>
  <c r="AW10" i="45"/>
  <c r="AT10" i="45"/>
  <c r="AY10" i="45" s="1"/>
  <c r="AZ10" i="45" s="1"/>
  <c r="AN10" i="45"/>
  <c r="AL10" i="45"/>
  <c r="X10" i="45"/>
  <c r="K10" i="45"/>
  <c r="G10" i="45"/>
  <c r="D10" i="45"/>
  <c r="AW9" i="45"/>
  <c r="AV9" i="45"/>
  <c r="AT9" i="45"/>
  <c r="AY9" i="45" s="1"/>
  <c r="AZ9" i="45" s="1"/>
  <c r="AN9" i="45"/>
  <c r="AL9" i="45"/>
  <c r="X9" i="45"/>
  <c r="K9" i="45"/>
  <c r="G9" i="45"/>
  <c r="D9" i="45"/>
  <c r="AW8" i="45"/>
  <c r="AV8" i="45"/>
  <c r="AT8" i="45"/>
  <c r="AY8" i="45" s="1"/>
  <c r="AZ8" i="45" s="1"/>
  <c r="AN8" i="45"/>
  <c r="AL8" i="45"/>
  <c r="X8" i="45"/>
  <c r="K8" i="45"/>
  <c r="G8" i="45"/>
  <c r="D8" i="45"/>
  <c r="AW7" i="45"/>
  <c r="AV7" i="45"/>
  <c r="AT7" i="45"/>
  <c r="AY7" i="45" s="1"/>
  <c r="AZ7" i="45" s="1"/>
  <c r="AN7" i="45"/>
  <c r="AL7" i="45"/>
  <c r="X7" i="45"/>
  <c r="K7" i="45"/>
  <c r="G7" i="45"/>
  <c r="D7" i="45"/>
  <c r="AW6" i="45"/>
  <c r="AV6" i="45"/>
  <c r="AT6" i="45"/>
  <c r="AY6" i="45" s="1"/>
  <c r="AZ6" i="45" s="1"/>
  <c r="AO6" i="45"/>
  <c r="AN6" i="45"/>
  <c r="AL6" i="45"/>
  <c r="X6" i="45"/>
  <c r="K6" i="45"/>
  <c r="G6" i="45"/>
  <c r="D6" i="45"/>
  <c r="AW5" i="45"/>
  <c r="AV5" i="45"/>
  <c r="AT5" i="45"/>
  <c r="AO5" i="45"/>
  <c r="AN5" i="45"/>
  <c r="AR5" i="45"/>
  <c r="AL5" i="45"/>
  <c r="X5" i="45"/>
  <c r="K5" i="45"/>
  <c r="G5" i="45"/>
  <c r="D5" i="45"/>
  <c r="AW4" i="45"/>
  <c r="AV4" i="45"/>
  <c r="AO4" i="45"/>
  <c r="AN4" i="45"/>
  <c r="AL4" i="45"/>
  <c r="X4" i="45"/>
  <c r="K4" i="45"/>
  <c r="G4" i="45"/>
  <c r="D4" i="45"/>
  <c r="V70" i="12"/>
  <c r="U70" i="12"/>
  <c r="T70" i="12"/>
  <c r="V69" i="12"/>
  <c r="U69" i="12"/>
  <c r="T69" i="12"/>
  <c r="V68" i="12"/>
  <c r="U68" i="12"/>
  <c r="T68" i="12"/>
  <c r="V67" i="12"/>
  <c r="U67" i="12"/>
  <c r="T67" i="12"/>
  <c r="V66" i="12"/>
  <c r="U66" i="12"/>
  <c r="T66" i="12"/>
  <c r="V65" i="12"/>
  <c r="U65" i="12"/>
  <c r="T65" i="12"/>
  <c r="V64" i="12"/>
  <c r="U64" i="12"/>
  <c r="T64" i="12"/>
  <c r="V63" i="12"/>
  <c r="U63" i="12"/>
  <c r="T63" i="12"/>
  <c r="V62" i="12"/>
  <c r="U62" i="12"/>
  <c r="T62" i="12"/>
  <c r="V61" i="12"/>
  <c r="U61" i="12"/>
  <c r="T61" i="12"/>
  <c r="V60" i="12"/>
  <c r="U60" i="12"/>
  <c r="T60" i="12"/>
  <c r="V59" i="12"/>
  <c r="U59" i="12"/>
  <c r="T59" i="12"/>
  <c r="V58" i="12"/>
  <c r="U58" i="12"/>
  <c r="T58" i="12"/>
  <c r="V57" i="12"/>
  <c r="U57" i="12"/>
  <c r="T57" i="12"/>
  <c r="V56" i="12"/>
  <c r="U56" i="12"/>
  <c r="T56" i="12"/>
  <c r="A10" i="12" s="1"/>
  <c r="V55" i="12"/>
  <c r="U55" i="12"/>
  <c r="T55" i="12"/>
  <c r="A9" i="12" s="1"/>
  <c r="V54" i="12"/>
  <c r="U54" i="12"/>
  <c r="T54" i="12"/>
  <c r="V53" i="12"/>
  <c r="U53" i="12"/>
  <c r="T53" i="12"/>
  <c r="V52" i="12"/>
  <c r="U52" i="12"/>
  <c r="T52" i="12"/>
  <c r="A8" i="12" s="1"/>
  <c r="V51" i="12"/>
  <c r="U51" i="12"/>
  <c r="T51" i="12"/>
  <c r="V50" i="12"/>
  <c r="U50" i="12"/>
  <c r="T50" i="12"/>
  <c r="V49" i="12"/>
  <c r="U49" i="12"/>
  <c r="T49" i="12"/>
  <c r="V48" i="12"/>
  <c r="U48" i="12"/>
  <c r="T48" i="12"/>
  <c r="V47" i="12"/>
  <c r="U47" i="12"/>
  <c r="T47" i="12"/>
  <c r="V46" i="12"/>
  <c r="U46" i="12"/>
  <c r="T46" i="12"/>
  <c r="V45" i="12"/>
  <c r="U45" i="12"/>
  <c r="T45" i="12"/>
  <c r="V44" i="12"/>
  <c r="U44" i="12"/>
  <c r="T44" i="12"/>
  <c r="V43" i="12"/>
  <c r="U43" i="12"/>
  <c r="T43" i="12"/>
  <c r="V42" i="12"/>
  <c r="U42" i="12"/>
  <c r="T42" i="12"/>
  <c r="V41" i="12"/>
  <c r="U41" i="12"/>
  <c r="T41" i="12"/>
  <c r="A41" i="12"/>
  <c r="AG40" i="12"/>
  <c r="AE40" i="12" s="1"/>
  <c r="V40" i="12"/>
  <c r="U40" i="12"/>
  <c r="T40" i="12"/>
  <c r="A40" i="12"/>
  <c r="AG39" i="12"/>
  <c r="AE39" i="12" s="1"/>
  <c r="V39" i="12"/>
  <c r="U39" i="12"/>
  <c r="T39" i="12"/>
  <c r="A39" i="12"/>
  <c r="AG38" i="12"/>
  <c r="AE38" i="12" s="1"/>
  <c r="V38" i="12"/>
  <c r="U38" i="12"/>
  <c r="T38" i="12"/>
  <c r="A38" i="12"/>
  <c r="AG37" i="12"/>
  <c r="AE37" i="12" s="1"/>
  <c r="V37" i="12"/>
  <c r="U37" i="12"/>
  <c r="T37" i="12"/>
  <c r="A37" i="12"/>
  <c r="AG36" i="12"/>
  <c r="AE36" i="12" s="1"/>
  <c r="V36" i="12"/>
  <c r="U36" i="12"/>
  <c r="T36" i="12"/>
  <c r="A7" i="12" s="1"/>
  <c r="A36" i="12"/>
  <c r="AG35" i="12"/>
  <c r="AE35" i="12" s="1"/>
  <c r="V35" i="12"/>
  <c r="U35" i="12"/>
  <c r="T35" i="12"/>
  <c r="A35" i="12"/>
  <c r="AG34" i="12"/>
  <c r="AE34" i="12" s="1"/>
  <c r="V34" i="12"/>
  <c r="U34" i="12"/>
  <c r="T34" i="12"/>
  <c r="A34" i="12"/>
  <c r="AG33" i="12"/>
  <c r="AE33" i="12" s="1"/>
  <c r="V33" i="12"/>
  <c r="U33" i="12"/>
  <c r="T33" i="12"/>
  <c r="A33" i="12"/>
  <c r="AG32" i="12"/>
  <c r="AE32" i="12" s="1"/>
  <c r="V32" i="12"/>
  <c r="U32" i="12"/>
  <c r="T32" i="12"/>
  <c r="A32" i="12"/>
  <c r="AG31" i="12"/>
  <c r="AE31" i="12" s="1"/>
  <c r="V31" i="12"/>
  <c r="U31" i="12"/>
  <c r="T31" i="12"/>
  <c r="A12" i="12" s="1"/>
  <c r="A31" i="12"/>
  <c r="AG30" i="12"/>
  <c r="AE30" i="12" s="1"/>
  <c r="V30" i="12"/>
  <c r="U30" i="12"/>
  <c r="T30" i="12"/>
  <c r="A30" i="12"/>
  <c r="AG29" i="12"/>
  <c r="AE29" i="12" s="1"/>
  <c r="V29" i="12"/>
  <c r="U29" i="12"/>
  <c r="T29" i="12"/>
  <c r="A29" i="12"/>
  <c r="AG28" i="12"/>
  <c r="AE28" i="12" s="1"/>
  <c r="V28" i="12"/>
  <c r="U28" i="12"/>
  <c r="T28" i="12"/>
  <c r="K28" i="12"/>
  <c r="A28" i="12"/>
  <c r="AG27" i="12"/>
  <c r="AE27" i="12" s="1"/>
  <c r="V27" i="12"/>
  <c r="U27" i="12"/>
  <c r="T27" i="12"/>
  <c r="A27" i="12"/>
  <c r="AG26" i="12"/>
  <c r="AE26" i="12" s="1"/>
  <c r="V26" i="12"/>
  <c r="U26" i="12"/>
  <c r="T26" i="12"/>
  <c r="A26" i="12"/>
  <c r="AG25" i="12"/>
  <c r="AE25" i="12" s="1"/>
  <c r="V25" i="12"/>
  <c r="U25" i="12"/>
  <c r="T25" i="12"/>
  <c r="J25" i="12"/>
  <c r="N25" i="12" s="1"/>
  <c r="O25" i="12" s="1"/>
  <c r="A25" i="12"/>
  <c r="AG24" i="12"/>
  <c r="AE24" i="12" s="1"/>
  <c r="V24" i="12"/>
  <c r="U24" i="12"/>
  <c r="T24" i="12"/>
  <c r="J24" i="12"/>
  <c r="N24" i="12" s="1"/>
  <c r="O24" i="12" s="1"/>
  <c r="A24" i="12"/>
  <c r="AG23" i="12"/>
  <c r="AE23" i="12" s="1"/>
  <c r="V23" i="12"/>
  <c r="U23" i="12"/>
  <c r="T23" i="12"/>
  <c r="J23" i="12"/>
  <c r="N23" i="12" s="1"/>
  <c r="O23" i="12" s="1"/>
  <c r="A23" i="12"/>
  <c r="AG22" i="12"/>
  <c r="AE22" i="12" s="1"/>
  <c r="V22" i="12"/>
  <c r="U22" i="12"/>
  <c r="T22" i="12"/>
  <c r="J22" i="12"/>
  <c r="N22" i="12" s="1"/>
  <c r="O22" i="12" s="1"/>
  <c r="A22" i="12"/>
  <c r="AG21" i="12"/>
  <c r="AE21" i="12" s="1"/>
  <c r="V21" i="12"/>
  <c r="U21" i="12"/>
  <c r="T21" i="12"/>
  <c r="J21" i="12"/>
  <c r="N21" i="12" s="1"/>
  <c r="O21" i="12" s="1"/>
  <c r="A21" i="12"/>
  <c r="AG20" i="12"/>
  <c r="AE20" i="12" s="1"/>
  <c r="V20" i="12"/>
  <c r="U20" i="12"/>
  <c r="T20" i="12"/>
  <c r="J20" i="12"/>
  <c r="N20" i="12" s="1"/>
  <c r="O20" i="12" s="1"/>
  <c r="A20" i="12"/>
  <c r="AG19" i="12"/>
  <c r="AE19" i="12" s="1"/>
  <c r="V19" i="12"/>
  <c r="U19" i="12"/>
  <c r="T19" i="12"/>
  <c r="J19" i="12"/>
  <c r="N19" i="12" s="1"/>
  <c r="O19" i="12" s="1"/>
  <c r="A19" i="12"/>
  <c r="AG18" i="12"/>
  <c r="AE18" i="12" s="1"/>
  <c r="V18" i="12"/>
  <c r="U18" i="12"/>
  <c r="T18" i="12"/>
  <c r="J18" i="12"/>
  <c r="N18" i="12" s="1"/>
  <c r="O18" i="12" s="1"/>
  <c r="A18" i="12"/>
  <c r="AG17" i="12"/>
  <c r="AE17" i="12" s="1"/>
  <c r="V17" i="12"/>
  <c r="U17" i="12"/>
  <c r="T17" i="12"/>
  <c r="J17" i="12"/>
  <c r="N17" i="12" s="1"/>
  <c r="O17" i="12" s="1"/>
  <c r="A17" i="12"/>
  <c r="AG16" i="12"/>
  <c r="AE16" i="12" s="1"/>
  <c r="V16" i="12"/>
  <c r="U16" i="12"/>
  <c r="T16" i="12"/>
  <c r="J16" i="12"/>
  <c r="N16" i="12" s="1"/>
  <c r="A16" i="12"/>
  <c r="AG15" i="12"/>
  <c r="AE15" i="12" s="1"/>
  <c r="V15" i="12"/>
  <c r="U15" i="12"/>
  <c r="T15" i="12"/>
  <c r="J15" i="12"/>
  <c r="N15" i="12" s="1"/>
  <c r="A15" i="12"/>
  <c r="AG14" i="12"/>
  <c r="AE14" i="12" s="1"/>
  <c r="V14" i="12"/>
  <c r="U14" i="12"/>
  <c r="T14" i="12"/>
  <c r="K14" i="12"/>
  <c r="K15" i="12" s="1"/>
  <c r="J14" i="12"/>
  <c r="N14" i="12" s="1"/>
  <c r="A14" i="12"/>
  <c r="AG13" i="12"/>
  <c r="AE13" i="12" s="1"/>
  <c r="V13" i="12"/>
  <c r="U13" i="12"/>
  <c r="T13" i="12"/>
  <c r="J13" i="12"/>
  <c r="N13" i="12" s="1"/>
  <c r="O13" i="12" s="1"/>
  <c r="A13" i="12"/>
  <c r="AG12" i="12"/>
  <c r="AE12" i="12" s="1"/>
  <c r="V12" i="12"/>
  <c r="U12" i="12"/>
  <c r="T12" i="12"/>
  <c r="J12" i="12"/>
  <c r="N12" i="12" s="1"/>
  <c r="O12" i="12" s="1"/>
  <c r="AG11" i="12"/>
  <c r="AE11" i="12" s="1"/>
  <c r="V11" i="12"/>
  <c r="U11" i="12"/>
  <c r="T11" i="12"/>
  <c r="A4" i="12" s="1"/>
  <c r="J11" i="12"/>
  <c r="N11" i="12" s="1"/>
  <c r="O11" i="12" s="1"/>
  <c r="AG10" i="12"/>
  <c r="AE10" i="12" s="1"/>
  <c r="V10" i="12"/>
  <c r="U10" i="12"/>
  <c r="T10" i="12"/>
  <c r="J10" i="12"/>
  <c r="N10" i="12" s="1"/>
  <c r="O10" i="12" s="1"/>
  <c r="AG9" i="12"/>
  <c r="AE9" i="12" s="1"/>
  <c r="V9" i="12"/>
  <c r="U9" i="12"/>
  <c r="T9" i="12"/>
  <c r="J9" i="12"/>
  <c r="N9" i="12" s="1"/>
  <c r="O9" i="12" s="1"/>
  <c r="AG8" i="12"/>
  <c r="AE8" i="12" s="1"/>
  <c r="V8" i="12"/>
  <c r="U8" i="12"/>
  <c r="T8" i="12"/>
  <c r="A5" i="12" s="1"/>
  <c r="J8" i="12"/>
  <c r="N8" i="12" s="1"/>
  <c r="O8" i="12" s="1"/>
  <c r="AG7" i="12"/>
  <c r="AC7" i="12"/>
  <c r="V7" i="12"/>
  <c r="U7" i="12"/>
  <c r="T7" i="12"/>
  <c r="J7" i="12"/>
  <c r="N7" i="12" s="1"/>
  <c r="O7" i="12" s="1"/>
  <c r="AG6" i="12"/>
  <c r="AC6" i="12"/>
  <c r="V6" i="12"/>
  <c r="U6" i="12"/>
  <c r="T6" i="12"/>
  <c r="J6" i="12"/>
  <c r="N6" i="12" s="1"/>
  <c r="O6" i="12" s="1"/>
  <c r="AG5" i="12"/>
  <c r="AC5" i="12"/>
  <c r="V5" i="12"/>
  <c r="U5" i="12"/>
  <c r="T5" i="12"/>
  <c r="J5" i="12"/>
  <c r="N5" i="12" s="1"/>
  <c r="O5" i="12" s="1"/>
  <c r="AG4" i="12"/>
  <c r="AC4" i="12"/>
  <c r="V4" i="12"/>
  <c r="U4" i="12"/>
  <c r="T4" i="12"/>
  <c r="A3" i="12" s="1"/>
  <c r="J4" i="12"/>
  <c r="N4" i="12" s="1"/>
  <c r="O4" i="12" s="1"/>
  <c r="AG3" i="12"/>
  <c r="AC3" i="12"/>
  <c r="V3" i="12"/>
  <c r="U3" i="12"/>
  <c r="T3" i="12"/>
  <c r="J3" i="12"/>
  <c r="N3" i="12" s="1"/>
  <c r="O3" i="12" s="1"/>
  <c r="Q29" i="20"/>
  <c r="J29" i="20"/>
  <c r="K29" i="20" s="1"/>
  <c r="Q28" i="20"/>
  <c r="J28" i="20"/>
  <c r="K28" i="20" s="1"/>
  <c r="Q27" i="20"/>
  <c r="J27" i="20"/>
  <c r="K27" i="20" s="1"/>
  <c r="Q24" i="20"/>
  <c r="J24" i="20"/>
  <c r="K24" i="20" s="1"/>
  <c r="Q23" i="20"/>
  <c r="J23" i="20"/>
  <c r="K23" i="20" s="1"/>
  <c r="B20" i="20"/>
  <c r="I17" i="20"/>
  <c r="C17" i="20"/>
  <c r="D17" i="20" s="1"/>
  <c r="E17" i="20" s="1"/>
  <c r="I16" i="20"/>
  <c r="C16" i="20"/>
  <c r="D16" i="20" s="1"/>
  <c r="I15" i="20"/>
  <c r="C15" i="20"/>
  <c r="D15" i="20" s="1"/>
  <c r="E15" i="20" s="1"/>
  <c r="I14" i="20"/>
  <c r="C14" i="20"/>
  <c r="D14" i="20" s="1"/>
  <c r="E14" i="20" s="1"/>
  <c r="I13" i="20"/>
  <c r="C13" i="20"/>
  <c r="D13" i="20" s="1"/>
  <c r="B13" i="20"/>
  <c r="I12" i="20"/>
  <c r="C12" i="20"/>
  <c r="D12" i="20" s="1"/>
  <c r="E12" i="20" s="1"/>
  <c r="I11" i="20"/>
  <c r="C11" i="20"/>
  <c r="D11" i="20" s="1"/>
  <c r="E11" i="20" s="1"/>
  <c r="I10" i="20"/>
  <c r="C10" i="20"/>
  <c r="D10" i="20" s="1"/>
  <c r="E10" i="20" s="1"/>
  <c r="I9" i="20"/>
  <c r="C9" i="20"/>
  <c r="D9" i="20" s="1"/>
  <c r="E9" i="20" s="1"/>
  <c r="I8" i="20"/>
  <c r="C8" i="20"/>
  <c r="D8" i="20" s="1"/>
  <c r="E8" i="20" s="1"/>
  <c r="I7" i="20"/>
  <c r="I6" i="20"/>
  <c r="I5" i="20"/>
  <c r="I4" i="20"/>
  <c r="I3" i="20"/>
  <c r="T89" i="38"/>
  <c r="O89" i="38"/>
  <c r="T88" i="38"/>
  <c r="O88" i="38"/>
  <c r="T87" i="38"/>
  <c r="O87" i="38"/>
  <c r="T86" i="38"/>
  <c r="O86" i="38"/>
  <c r="T85" i="38"/>
  <c r="O85" i="38"/>
  <c r="T84" i="38"/>
  <c r="O84" i="38"/>
  <c r="T83" i="38"/>
  <c r="O83" i="38"/>
  <c r="T82" i="38"/>
  <c r="O82" i="38"/>
  <c r="T81" i="38"/>
  <c r="O81" i="38"/>
  <c r="T80" i="38"/>
  <c r="O80" i="38"/>
  <c r="T79" i="38"/>
  <c r="O79" i="38"/>
  <c r="T78" i="38"/>
  <c r="O78" i="38"/>
  <c r="T77" i="38"/>
  <c r="O77" i="38"/>
  <c r="T76" i="38"/>
  <c r="O76" i="38"/>
  <c r="T75" i="38"/>
  <c r="O75" i="38"/>
  <c r="T74" i="38"/>
  <c r="O74" i="38"/>
  <c r="T73" i="38"/>
  <c r="O73" i="38"/>
  <c r="T72" i="38"/>
  <c r="O72" i="38"/>
  <c r="T71" i="38"/>
  <c r="O71" i="38"/>
  <c r="T70" i="38"/>
  <c r="O70" i="38"/>
  <c r="T69" i="38"/>
  <c r="O69" i="38"/>
  <c r="T68" i="38"/>
  <c r="O68" i="38"/>
  <c r="T67" i="38"/>
  <c r="O67" i="38"/>
  <c r="T66" i="38"/>
  <c r="O66" i="38"/>
  <c r="T65" i="38"/>
  <c r="O65" i="38"/>
  <c r="T64" i="38"/>
  <c r="O64" i="38"/>
  <c r="T63" i="38"/>
  <c r="O63" i="38"/>
  <c r="T62" i="38"/>
  <c r="O62" i="38"/>
  <c r="T61" i="38"/>
  <c r="O61" i="38"/>
  <c r="T60" i="38"/>
  <c r="O60" i="38"/>
  <c r="T59" i="38"/>
  <c r="O59" i="38"/>
  <c r="T58" i="38"/>
  <c r="O58" i="38"/>
  <c r="T57" i="38"/>
  <c r="O57" i="38"/>
  <c r="T56" i="38"/>
  <c r="O56" i="38"/>
  <c r="T55" i="38"/>
  <c r="O55" i="38"/>
  <c r="T54" i="38"/>
  <c r="O54" i="38"/>
  <c r="T53" i="38"/>
  <c r="O53" i="38"/>
  <c r="T52" i="38"/>
  <c r="O52" i="38"/>
  <c r="T51" i="38"/>
  <c r="O51" i="38"/>
  <c r="T50" i="38"/>
  <c r="O50" i="38"/>
  <c r="T49" i="38"/>
  <c r="O49" i="38"/>
  <c r="T48" i="38"/>
  <c r="O48" i="38"/>
  <c r="T47" i="38"/>
  <c r="O47" i="38"/>
  <c r="T46" i="38"/>
  <c r="O46" i="38"/>
  <c r="T45" i="38"/>
  <c r="O45" i="38"/>
  <c r="T44" i="38"/>
  <c r="O44" i="38"/>
  <c r="T43" i="38"/>
  <c r="O43" i="38"/>
  <c r="T42" i="38"/>
  <c r="O42" i="38"/>
  <c r="T41" i="38"/>
  <c r="O41" i="38"/>
  <c r="T40" i="38"/>
  <c r="O40" i="38"/>
  <c r="T39" i="38"/>
  <c r="O39" i="38"/>
  <c r="T38" i="38"/>
  <c r="O38" i="38"/>
  <c r="T37" i="38"/>
  <c r="O37" i="38"/>
  <c r="T36" i="38"/>
  <c r="O36" i="38"/>
  <c r="T35" i="38"/>
  <c r="O35" i="38"/>
  <c r="T34" i="38"/>
  <c r="O34" i="38"/>
  <c r="T33" i="38"/>
  <c r="O33" i="38"/>
  <c r="T32" i="38"/>
  <c r="O32" i="38"/>
  <c r="I32" i="38"/>
  <c r="G32" i="38" s="1"/>
  <c r="H32" i="38" s="1"/>
  <c r="T31" i="38"/>
  <c r="O31" i="38"/>
  <c r="T30" i="38"/>
  <c r="O30" i="38"/>
  <c r="T29" i="38"/>
  <c r="O29" i="38"/>
  <c r="I29" i="38"/>
  <c r="G29" i="38" s="1"/>
  <c r="H29" i="38" s="1"/>
  <c r="T28" i="38"/>
  <c r="O28" i="38"/>
  <c r="I28" i="38"/>
  <c r="G28" i="38" s="1"/>
  <c r="H28" i="38" s="1"/>
  <c r="T27" i="38"/>
  <c r="O27" i="38"/>
  <c r="T26" i="38"/>
  <c r="O26" i="38"/>
  <c r="I26" i="38"/>
  <c r="G26" i="38" s="1"/>
  <c r="H26" i="38" s="1"/>
  <c r="T25" i="38"/>
  <c r="O25" i="38"/>
  <c r="I25" i="38"/>
  <c r="G25" i="38" s="1"/>
  <c r="H25" i="38" s="1"/>
  <c r="T24" i="38"/>
  <c r="O24" i="38"/>
  <c r="I24" i="38"/>
  <c r="G24" i="38" s="1"/>
  <c r="H24" i="38" s="1"/>
  <c r="T23" i="38"/>
  <c r="O23" i="38"/>
  <c r="T22" i="38"/>
  <c r="O22" i="38"/>
  <c r="T21" i="38"/>
  <c r="O21" i="38"/>
  <c r="T20" i="38"/>
  <c r="O20" i="38"/>
  <c r="T19" i="38"/>
  <c r="O19" i="38"/>
  <c r="T18" i="38"/>
  <c r="O18" i="38"/>
  <c r="T17" i="38"/>
  <c r="O17" i="38"/>
  <c r="T16" i="38"/>
  <c r="O16" i="38"/>
  <c r="AG15" i="38"/>
  <c r="T15" i="38"/>
  <c r="O15" i="38"/>
  <c r="AG14" i="38"/>
  <c r="T14" i="38"/>
  <c r="O14" i="38"/>
  <c r="T13" i="38"/>
  <c r="O13" i="38"/>
  <c r="T12" i="38"/>
  <c r="O12" i="38"/>
  <c r="T11" i="38"/>
  <c r="O11" i="38"/>
  <c r="T10" i="38"/>
  <c r="O10" i="38"/>
  <c r="T9" i="38"/>
  <c r="O9" i="38"/>
  <c r="T8" i="38"/>
  <c r="O8" i="38"/>
  <c r="T7" i="38"/>
  <c r="O7" i="38"/>
  <c r="T6" i="38"/>
  <c r="O6" i="38"/>
  <c r="T5" i="38"/>
  <c r="O5" i="38"/>
  <c r="T4" i="38"/>
  <c r="O4" i="38"/>
  <c r="T3" i="38"/>
  <c r="O3" i="38"/>
  <c r="I2" i="38"/>
  <c r="H36" i="23"/>
  <c r="H35" i="23"/>
  <c r="H34" i="23"/>
  <c r="H33" i="23"/>
  <c r="H32" i="23"/>
  <c r="H31" i="23"/>
  <c r="H30" i="23"/>
  <c r="H29" i="23"/>
  <c r="H28" i="23"/>
  <c r="H27" i="23"/>
  <c r="H26" i="23"/>
  <c r="H25" i="23"/>
  <c r="H24" i="23"/>
  <c r="H23" i="23"/>
  <c r="H22" i="23"/>
  <c r="H21" i="23"/>
  <c r="H20" i="23"/>
  <c r="H19" i="23"/>
  <c r="H18" i="23"/>
  <c r="H17" i="23"/>
  <c r="H16" i="23"/>
  <c r="H15" i="23"/>
  <c r="H14" i="23"/>
  <c r="H13" i="23"/>
  <c r="E3" i="23"/>
  <c r="Q26" i="19"/>
  <c r="Q25" i="19"/>
  <c r="Q24" i="19"/>
  <c r="Q23" i="19"/>
  <c r="Q22" i="19"/>
  <c r="Q21" i="19"/>
  <c r="Q20" i="19"/>
  <c r="Q19" i="19"/>
  <c r="Q18" i="19"/>
  <c r="Q17" i="19"/>
  <c r="Q16" i="19"/>
  <c r="Q15" i="19"/>
  <c r="Q14" i="19"/>
  <c r="Q13" i="19"/>
  <c r="Q12" i="19"/>
  <c r="Q11" i="19"/>
  <c r="Q10" i="19"/>
  <c r="Q9" i="19"/>
  <c r="Q8" i="19"/>
  <c r="Q7" i="19"/>
  <c r="Q4" i="19"/>
  <c r="Q3" i="19"/>
  <c r="Q2" i="19"/>
  <c r="Y856" i="39"/>
  <c r="Y855" i="39"/>
  <c r="Y854" i="39"/>
  <c r="Y853" i="39"/>
  <c r="Y852" i="39"/>
  <c r="Y851" i="39"/>
  <c r="Y850" i="39"/>
  <c r="Y849" i="39"/>
  <c r="Y848" i="39"/>
  <c r="Y847" i="39"/>
  <c r="Y846" i="39"/>
  <c r="Y845" i="39"/>
  <c r="Y844" i="39"/>
  <c r="Y843" i="39"/>
  <c r="Y842" i="39"/>
  <c r="Y841" i="39"/>
  <c r="Y840" i="39"/>
  <c r="Y839" i="39"/>
  <c r="Y838" i="39"/>
  <c r="Y837" i="39"/>
  <c r="Y836" i="39"/>
  <c r="Y835" i="39"/>
  <c r="Y834" i="39"/>
  <c r="Y833" i="39"/>
  <c r="Y832" i="39"/>
  <c r="Y831" i="39"/>
  <c r="Y830" i="39"/>
  <c r="Y829" i="39"/>
  <c r="Y828" i="39"/>
  <c r="Y827" i="39"/>
  <c r="Y826" i="39"/>
  <c r="Y825" i="39"/>
  <c r="Y824" i="39"/>
  <c r="Y823" i="39"/>
  <c r="Y822" i="39"/>
  <c r="Y821" i="39"/>
  <c r="Y820" i="39"/>
  <c r="Y819" i="39"/>
  <c r="Y818" i="39"/>
  <c r="Y817" i="39"/>
  <c r="Y816" i="39"/>
  <c r="Y815" i="39"/>
  <c r="Y814" i="39"/>
  <c r="Y813" i="39"/>
  <c r="Y812" i="39"/>
  <c r="Y811" i="39"/>
  <c r="Y810" i="39"/>
  <c r="Y809" i="39"/>
  <c r="Y808" i="39"/>
  <c r="Y807" i="39"/>
  <c r="Y806" i="39"/>
  <c r="Y805" i="39"/>
  <c r="Y804" i="39"/>
  <c r="Y803" i="39"/>
  <c r="Y802" i="39"/>
  <c r="Y801" i="39"/>
  <c r="Y800" i="39"/>
  <c r="AF29" i="39" s="1"/>
  <c r="Y799" i="39"/>
  <c r="Y798" i="39"/>
  <c r="Y797" i="39"/>
  <c r="Y796" i="39"/>
  <c r="AF27" i="39" s="1"/>
  <c r="Y795" i="39"/>
  <c r="Y794" i="39"/>
  <c r="AF26" i="39" s="1"/>
  <c r="Y793" i="39"/>
  <c r="Y792" i="39"/>
  <c r="AF25" i="39" s="1"/>
  <c r="Y791" i="39"/>
  <c r="Y790" i="39"/>
  <c r="AF64" i="39" s="1"/>
  <c r="Y789" i="39"/>
  <c r="Y788" i="39"/>
  <c r="AF63" i="39" s="1"/>
  <c r="Y787" i="39"/>
  <c r="Y786" i="39"/>
  <c r="AF62" i="39" s="1"/>
  <c r="Y785" i="39"/>
  <c r="Y784" i="39"/>
  <c r="AF40" i="39" s="1"/>
  <c r="Y783" i="39"/>
  <c r="Y782" i="39"/>
  <c r="AF61" i="39" s="1"/>
  <c r="Y781" i="39"/>
  <c r="Y780" i="39"/>
  <c r="AF60" i="39" s="1"/>
  <c r="Y779" i="39"/>
  <c r="Y778" i="39"/>
  <c r="AF59" i="39" s="1"/>
  <c r="Y777" i="39"/>
  <c r="Y776" i="39"/>
  <c r="AF58" i="39" s="1"/>
  <c r="Y775" i="39"/>
  <c r="Y774" i="39"/>
  <c r="Y773" i="39"/>
  <c r="Y772" i="39"/>
  <c r="Y771" i="39"/>
  <c r="Y770" i="39"/>
  <c r="Y769" i="39"/>
  <c r="Y768" i="39"/>
  <c r="Y767" i="39"/>
  <c r="Y766" i="39"/>
  <c r="Y765" i="39"/>
  <c r="Y764" i="39"/>
  <c r="Y763" i="39"/>
  <c r="Y762" i="39"/>
  <c r="Y761" i="39"/>
  <c r="Y760" i="39"/>
  <c r="Y759" i="39"/>
  <c r="Y758" i="39"/>
  <c r="Y757" i="39"/>
  <c r="Y756" i="39"/>
  <c r="AF14" i="39" s="1"/>
  <c r="Y755" i="39"/>
  <c r="Y754" i="39"/>
  <c r="Y753" i="39"/>
  <c r="Y752" i="39"/>
  <c r="Y751" i="39"/>
  <c r="Y750" i="39"/>
  <c r="Y749" i="39"/>
  <c r="Y748" i="39"/>
  <c r="Y747" i="39"/>
  <c r="Y746" i="39"/>
  <c r="Y745" i="39"/>
  <c r="Y744" i="39"/>
  <c r="Y743" i="39"/>
  <c r="Y742" i="39"/>
  <c r="AF15" i="39" s="1"/>
  <c r="Y741" i="39"/>
  <c r="Y740" i="39"/>
  <c r="Y739" i="39"/>
  <c r="Y738" i="39"/>
  <c r="Y737" i="39"/>
  <c r="Y736" i="39"/>
  <c r="Y735" i="39"/>
  <c r="Y734" i="39"/>
  <c r="Y733" i="39"/>
  <c r="Y732" i="39"/>
  <c r="Y731" i="39"/>
  <c r="Y730" i="39"/>
  <c r="Y729" i="39"/>
  <c r="Y728" i="39"/>
  <c r="Y727" i="39"/>
  <c r="Y726" i="39"/>
  <c r="Y725" i="39"/>
  <c r="Y724" i="39"/>
  <c r="Y723" i="39"/>
  <c r="Y722" i="39"/>
  <c r="Y721" i="39"/>
  <c r="Y720" i="39"/>
  <c r="Y719" i="39"/>
  <c r="Y718" i="39"/>
  <c r="Y717" i="39"/>
  <c r="Y716" i="39"/>
  <c r="Y715" i="39"/>
  <c r="Y714" i="39"/>
  <c r="Y713" i="39"/>
  <c r="Y711" i="39"/>
  <c r="Y708" i="39"/>
  <c r="Y707" i="39"/>
  <c r="Y705" i="39"/>
  <c r="Y701" i="39"/>
  <c r="Y696" i="39"/>
  <c r="Y692" i="39"/>
  <c r="Y688" i="39"/>
  <c r="Y682" i="39"/>
  <c r="Y680" i="39"/>
  <c r="Y676" i="39"/>
  <c r="Y674" i="39"/>
  <c r="Y670" i="39"/>
  <c r="Y665" i="39"/>
  <c r="Y664" i="39"/>
  <c r="Y663" i="39"/>
  <c r="Y662" i="39"/>
  <c r="Y661" i="39"/>
  <c r="Y660" i="39"/>
  <c r="Y659" i="39"/>
  <c r="Y658" i="39"/>
  <c r="Y657" i="39"/>
  <c r="Y656" i="39"/>
  <c r="Y655" i="39"/>
  <c r="Y654" i="39"/>
  <c r="Y653" i="39"/>
  <c r="Y652" i="39"/>
  <c r="Y651" i="39"/>
  <c r="Y650" i="39"/>
  <c r="Y649" i="39"/>
  <c r="Y648" i="39"/>
  <c r="Y647" i="39"/>
  <c r="Y646" i="39"/>
  <c r="Y645" i="39"/>
  <c r="Y644" i="39"/>
  <c r="Y643" i="39"/>
  <c r="Y642" i="39"/>
  <c r="Y641" i="39"/>
  <c r="Y640" i="39"/>
  <c r="Y639" i="39"/>
  <c r="Y638" i="39"/>
  <c r="Y637" i="39"/>
  <c r="Y636" i="39"/>
  <c r="Y635" i="39"/>
  <c r="Y634" i="39"/>
  <c r="Y633" i="39"/>
  <c r="Y632" i="39"/>
  <c r="Y631" i="39"/>
  <c r="Y630" i="39"/>
  <c r="Y629" i="39"/>
  <c r="Y628" i="39"/>
  <c r="Y627" i="39"/>
  <c r="Y626" i="39"/>
  <c r="Y625" i="39"/>
  <c r="Y624" i="39"/>
  <c r="Y623" i="39"/>
  <c r="Y622" i="39"/>
  <c r="Y621" i="39"/>
  <c r="Y620" i="39"/>
  <c r="Y619" i="39"/>
  <c r="Y618" i="39"/>
  <c r="Y617" i="39"/>
  <c r="Y616" i="39"/>
  <c r="Y615" i="39"/>
  <c r="Y614" i="39"/>
  <c r="Y613" i="39"/>
  <c r="Y612" i="39"/>
  <c r="Y611" i="39"/>
  <c r="Y610" i="39"/>
  <c r="Y609" i="39"/>
  <c r="Y608" i="39"/>
  <c r="Y607" i="39"/>
  <c r="Y606" i="39"/>
  <c r="Y605" i="39"/>
  <c r="Y604" i="39"/>
  <c r="Y603" i="39"/>
  <c r="Y602" i="39"/>
  <c r="Y601" i="39"/>
  <c r="Y600" i="39"/>
  <c r="Y599" i="39"/>
  <c r="Y598" i="39"/>
  <c r="Y597" i="39"/>
  <c r="Y596" i="39"/>
  <c r="Y595" i="39"/>
  <c r="Y594" i="39"/>
  <c r="Y593" i="39"/>
  <c r="Y592" i="39"/>
  <c r="Y591" i="39"/>
  <c r="Y590" i="39"/>
  <c r="Y589" i="39"/>
  <c r="Y588" i="39"/>
  <c r="AF24" i="39" s="1"/>
  <c r="Y587" i="39"/>
  <c r="Y586" i="39"/>
  <c r="Y585" i="39"/>
  <c r="Y584" i="39"/>
  <c r="AF23" i="39" s="1"/>
  <c r="Y583" i="39"/>
  <c r="Y582" i="39"/>
  <c r="Y581" i="39"/>
  <c r="Y580" i="39"/>
  <c r="Y579" i="39"/>
  <c r="Y578" i="39"/>
  <c r="Y577" i="39"/>
  <c r="Y576" i="39"/>
  <c r="Y575" i="39"/>
  <c r="Y574" i="39"/>
  <c r="Y573" i="39"/>
  <c r="Y572" i="39"/>
  <c r="Y571" i="39"/>
  <c r="Y570" i="39"/>
  <c r="Y569" i="39"/>
  <c r="Y568" i="39"/>
  <c r="Y567" i="39"/>
  <c r="Y566" i="39"/>
  <c r="Y565" i="39"/>
  <c r="Y564" i="39"/>
  <c r="Y563" i="39"/>
  <c r="Y562" i="39"/>
  <c r="Y561" i="39"/>
  <c r="Y560" i="39"/>
  <c r="AF22" i="39" s="1"/>
  <c r="Y559" i="39"/>
  <c r="Y558" i="39"/>
  <c r="Y557" i="39"/>
  <c r="Y556" i="39"/>
  <c r="Y555" i="39"/>
  <c r="Y554" i="39"/>
  <c r="AF21" i="39" s="1"/>
  <c r="Y553" i="39"/>
  <c r="Y552" i="39"/>
  <c r="Y551" i="39"/>
  <c r="Y550" i="39"/>
  <c r="Y549" i="39"/>
  <c r="Y548" i="39"/>
  <c r="Y547" i="39"/>
  <c r="Y546" i="39"/>
  <c r="Y545" i="39"/>
  <c r="Y544" i="39"/>
  <c r="Y543" i="39"/>
  <c r="Y542" i="39"/>
  <c r="AF10" i="39" s="1"/>
  <c r="Y541" i="39"/>
  <c r="Y540" i="39"/>
  <c r="AF9" i="39" s="1"/>
  <c r="Y539" i="39"/>
  <c r="Y538" i="39"/>
  <c r="Y537" i="39"/>
  <c r="Y536" i="39"/>
  <c r="AF8" i="39" s="1"/>
  <c r="Y535" i="39"/>
  <c r="Y534" i="39"/>
  <c r="AF7" i="39" s="1"/>
  <c r="Y533" i="39"/>
  <c r="Y532" i="39"/>
  <c r="AF6" i="39" s="1"/>
  <c r="Y531" i="39"/>
  <c r="Y530" i="39"/>
  <c r="AF5" i="39" s="1"/>
  <c r="Y529" i="39"/>
  <c r="Y528" i="39"/>
  <c r="Y527" i="39"/>
  <c r="Y526" i="39"/>
  <c r="Y525" i="39"/>
  <c r="Y524" i="39"/>
  <c r="AF3" i="39" s="1"/>
  <c r="Y523" i="39"/>
  <c r="Y522" i="39"/>
  <c r="Y521" i="39"/>
  <c r="Y520" i="39"/>
  <c r="Y519" i="39"/>
  <c r="Y518" i="39"/>
  <c r="Y517" i="39"/>
  <c r="Y516" i="39"/>
  <c r="Y515" i="39"/>
  <c r="Y514" i="39"/>
  <c r="Y513" i="39"/>
  <c r="Y512" i="39"/>
  <c r="Y511" i="39"/>
  <c r="Y510" i="39"/>
  <c r="Y509" i="39"/>
  <c r="Y508" i="39"/>
  <c r="Y507" i="39"/>
  <c r="Y506" i="39"/>
  <c r="Y505" i="39"/>
  <c r="Y504" i="39"/>
  <c r="Y503" i="39"/>
  <c r="Y502" i="39"/>
  <c r="Y501" i="39"/>
  <c r="Y500" i="39"/>
  <c r="Y499" i="39"/>
  <c r="Y498" i="39"/>
  <c r="Y497" i="39"/>
  <c r="Y496" i="39"/>
  <c r="Y495" i="39"/>
  <c r="Y494" i="39"/>
  <c r="Y493" i="39"/>
  <c r="Y492" i="39"/>
  <c r="Y491" i="39"/>
  <c r="Y490" i="39"/>
  <c r="Y489" i="39"/>
  <c r="Y488" i="39"/>
  <c r="Y487" i="39"/>
  <c r="Y485" i="39"/>
  <c r="Y322" i="39"/>
  <c r="Y483" i="39"/>
  <c r="Y482" i="39"/>
  <c r="Y481" i="39"/>
  <c r="Y480" i="39"/>
  <c r="Y479" i="39"/>
  <c r="Y477" i="39"/>
  <c r="Y476" i="39"/>
  <c r="Y475" i="39"/>
  <c r="Y474" i="39"/>
  <c r="Y473" i="39"/>
  <c r="Y472" i="39"/>
  <c r="Y471" i="39"/>
  <c r="Y470" i="39"/>
  <c r="Y469" i="39"/>
  <c r="Y467" i="39"/>
  <c r="Y465" i="39"/>
  <c r="Y463" i="39"/>
  <c r="Y97" i="39"/>
  <c r="Y461" i="39"/>
  <c r="Y460" i="39"/>
  <c r="Y109" i="39"/>
  <c r="Y458" i="39"/>
  <c r="Y457" i="39"/>
  <c r="Y73" i="39"/>
  <c r="Y455" i="39"/>
  <c r="Y454" i="39"/>
  <c r="Y453" i="39"/>
  <c r="Y451" i="39"/>
  <c r="Y450" i="39"/>
  <c r="Y449" i="39"/>
  <c r="Y448" i="39"/>
  <c r="Y447" i="39"/>
  <c r="Y446" i="39"/>
  <c r="Y445" i="39"/>
  <c r="Y444" i="39"/>
  <c r="Y443" i="39"/>
  <c r="Y441" i="39"/>
  <c r="Y440" i="39"/>
  <c r="Y439" i="39"/>
  <c r="Y438" i="39"/>
  <c r="Y437" i="39"/>
  <c r="Y436" i="39"/>
  <c r="Y435" i="39"/>
  <c r="Y434" i="39"/>
  <c r="Y433" i="39"/>
  <c r="Y432" i="39"/>
  <c r="Y431" i="39"/>
  <c r="AF51" i="39" s="1"/>
  <c r="Y430" i="39"/>
  <c r="Y429" i="39"/>
  <c r="AF50" i="39" s="1"/>
  <c r="Y428" i="39"/>
  <c r="Y427" i="39"/>
  <c r="Y426" i="39"/>
  <c r="Y425" i="39"/>
  <c r="AF49" i="39" s="1"/>
  <c r="Y424" i="39"/>
  <c r="Y423" i="39"/>
  <c r="Y422" i="39"/>
  <c r="Y421" i="39"/>
  <c r="Y420" i="39"/>
  <c r="Y419" i="39"/>
  <c r="Y418" i="39"/>
  <c r="Y417" i="39"/>
  <c r="Y416" i="39"/>
  <c r="Y415" i="39"/>
  <c r="Y414" i="39"/>
  <c r="Y413" i="39"/>
  <c r="Y412" i="39"/>
  <c r="Y411" i="39"/>
  <c r="AF48" i="39" s="1"/>
  <c r="Y410" i="39"/>
  <c r="Y409" i="39"/>
  <c r="AF47" i="39" s="1"/>
  <c r="Y408" i="39"/>
  <c r="Y407" i="39"/>
  <c r="AF46" i="39" s="1"/>
  <c r="Y406" i="39"/>
  <c r="Y405" i="39"/>
  <c r="Y404" i="39"/>
  <c r="Y403" i="39"/>
  <c r="Y402" i="39"/>
  <c r="Y401" i="39"/>
  <c r="AF45" i="39" s="1"/>
  <c r="Y400" i="39"/>
  <c r="Y399" i="39"/>
  <c r="AF44" i="39" s="1"/>
  <c r="Y398" i="39"/>
  <c r="Y397" i="39"/>
  <c r="AF43" i="39" s="1"/>
  <c r="Y396" i="39"/>
  <c r="Y395" i="39"/>
  <c r="AF42" i="39" s="1"/>
  <c r="Y394" i="39"/>
  <c r="Y393" i="39"/>
  <c r="Y392" i="39"/>
  <c r="Y391" i="39"/>
  <c r="AF41" i="39" s="1"/>
  <c r="Y390" i="39"/>
  <c r="Y389" i="39"/>
  <c r="Y388" i="39"/>
  <c r="Y387" i="39"/>
  <c r="Y386" i="39"/>
  <c r="Y385" i="39"/>
  <c r="Y384" i="39"/>
  <c r="Y383" i="39"/>
  <c r="Y382" i="39"/>
  <c r="Y381" i="39"/>
  <c r="AF20" i="39" s="1"/>
  <c r="Y380" i="39"/>
  <c r="Y379" i="39"/>
  <c r="AF19" i="39" s="1"/>
  <c r="Y378" i="39"/>
  <c r="Y377" i="39"/>
  <c r="AF18" i="39" s="1"/>
  <c r="Y376" i="39"/>
  <c r="Y375" i="39"/>
  <c r="Y374" i="39"/>
  <c r="Y373" i="39"/>
  <c r="AF16" i="39" s="1"/>
  <c r="Y372" i="39"/>
  <c r="Y371" i="39"/>
  <c r="Y370" i="39"/>
  <c r="Y369" i="39"/>
  <c r="Y368" i="39"/>
  <c r="Y367" i="39"/>
  <c r="Y366" i="39"/>
  <c r="Y365" i="39"/>
  <c r="Y364" i="39"/>
  <c r="Y363" i="39"/>
  <c r="Y362" i="39"/>
  <c r="Y361" i="39"/>
  <c r="Y360" i="39"/>
  <c r="Y359" i="39"/>
  <c r="Y358" i="39"/>
  <c r="Y357" i="39"/>
  <c r="Y356" i="39"/>
  <c r="Y355" i="39"/>
  <c r="Y354" i="39"/>
  <c r="Y353" i="39"/>
  <c r="Y352" i="39"/>
  <c r="Y351" i="39"/>
  <c r="Y350" i="39"/>
  <c r="Y349" i="39"/>
  <c r="Y348" i="39"/>
  <c r="Y347" i="39"/>
  <c r="Y346" i="39"/>
  <c r="Y345" i="39"/>
  <c r="Y344" i="39"/>
  <c r="Y343" i="39"/>
  <c r="Y342" i="39"/>
  <c r="Y341" i="39"/>
  <c r="Y340" i="39"/>
  <c r="Y339" i="39"/>
  <c r="Y338" i="39"/>
  <c r="Y337" i="39"/>
  <c r="Y336" i="39"/>
  <c r="Y335" i="39"/>
  <c r="Y334" i="39"/>
  <c r="Y333" i="39"/>
  <c r="Y332" i="39"/>
  <c r="Y331" i="39"/>
  <c r="Y330" i="39"/>
  <c r="Y329" i="39"/>
  <c r="Y328" i="39"/>
  <c r="Y327" i="39"/>
  <c r="Y326" i="39"/>
  <c r="Y325" i="39"/>
  <c r="Y323" i="39"/>
  <c r="Y321" i="39"/>
  <c r="Y319" i="39"/>
  <c r="Y317" i="39"/>
  <c r="Y316" i="39"/>
  <c r="Y315" i="39"/>
  <c r="Y314" i="39"/>
  <c r="Y313" i="39"/>
  <c r="Y312" i="39"/>
  <c r="Y309" i="39"/>
  <c r="Y305" i="39"/>
  <c r="Y303" i="39"/>
  <c r="Y301" i="39"/>
  <c r="Y299" i="39"/>
  <c r="Y297" i="39"/>
  <c r="Y291" i="39"/>
  <c r="Y287" i="39"/>
  <c r="Y281" i="39"/>
  <c r="Y278" i="39"/>
  <c r="Y277" i="39"/>
  <c r="Y276" i="39"/>
  <c r="Y275" i="39"/>
  <c r="Y65" i="39"/>
  <c r="Y273" i="39"/>
  <c r="Y272" i="39"/>
  <c r="Y271" i="39"/>
  <c r="Y270" i="39"/>
  <c r="Y269" i="39"/>
  <c r="Y268" i="39"/>
  <c r="Y267" i="39"/>
  <c r="Y266" i="39"/>
  <c r="Y265" i="39"/>
  <c r="Y264" i="39"/>
  <c r="Y263" i="39"/>
  <c r="Y262" i="39"/>
  <c r="Y261" i="39"/>
  <c r="Y260" i="39"/>
  <c r="Y259" i="39"/>
  <c r="Y689" i="39"/>
  <c r="Y257" i="39"/>
  <c r="Y256" i="39"/>
  <c r="Y255" i="39"/>
  <c r="Y318" i="39"/>
  <c r="Y253" i="39"/>
  <c r="Y252" i="39"/>
  <c r="Y251" i="39"/>
  <c r="Y250" i="39"/>
  <c r="Y249" i="39"/>
  <c r="Y248" i="39"/>
  <c r="Y247" i="39"/>
  <c r="Y246" i="39"/>
  <c r="Y245" i="39"/>
  <c r="Y244" i="39"/>
  <c r="Y700" i="39"/>
  <c r="Y242" i="39"/>
  <c r="Y241" i="39"/>
  <c r="Y240" i="39"/>
  <c r="Y239" i="39"/>
  <c r="Y238" i="39"/>
  <c r="Y236" i="39"/>
  <c r="Y235" i="39"/>
  <c r="Y234" i="39"/>
  <c r="Y232" i="39"/>
  <c r="Y231" i="39"/>
  <c r="Y230" i="39"/>
  <c r="Y229" i="39"/>
  <c r="Y228" i="39"/>
  <c r="Y227" i="39"/>
  <c r="Y226" i="39"/>
  <c r="Y224" i="39"/>
  <c r="Y222" i="39"/>
  <c r="Y221" i="39"/>
  <c r="Y220" i="39"/>
  <c r="Y219" i="39"/>
  <c r="Y218" i="39"/>
  <c r="Y217" i="39"/>
  <c r="Y216" i="39"/>
  <c r="Y215" i="39"/>
  <c r="Y214" i="39"/>
  <c r="Y213" i="39"/>
  <c r="Y212" i="39"/>
  <c r="Y211" i="39"/>
  <c r="Y210" i="39"/>
  <c r="Y209" i="39"/>
  <c r="Y208" i="39"/>
  <c r="Y207" i="39"/>
  <c r="Y206" i="39"/>
  <c r="AF39" i="39" s="1"/>
  <c r="Y205" i="39"/>
  <c r="Y204" i="39"/>
  <c r="AF38" i="39" s="1"/>
  <c r="Y203" i="39"/>
  <c r="Y202" i="39"/>
  <c r="Y201" i="39"/>
  <c r="Y200" i="39"/>
  <c r="AF36" i="39" s="1"/>
  <c r="Y199" i="39"/>
  <c r="Y198" i="39"/>
  <c r="AF35" i="39" s="1"/>
  <c r="Y197" i="39"/>
  <c r="Y196" i="39"/>
  <c r="AF67" i="39" s="1"/>
  <c r="Y195" i="39"/>
  <c r="Y194" i="39"/>
  <c r="Y193" i="39"/>
  <c r="Y192" i="39"/>
  <c r="Y191" i="39"/>
  <c r="Y190" i="39"/>
  <c r="Y189" i="39"/>
  <c r="Y188" i="39"/>
  <c r="Y187" i="39"/>
  <c r="Y186" i="39"/>
  <c r="Y185" i="39"/>
  <c r="Y184" i="39"/>
  <c r="Y183" i="39"/>
  <c r="Y182" i="39"/>
  <c r="Y181" i="39"/>
  <c r="Y180" i="39"/>
  <c r="Y179" i="39"/>
  <c r="AF66" i="39" s="1"/>
  <c r="Y178" i="39"/>
  <c r="Y177" i="39"/>
  <c r="Y176" i="39"/>
  <c r="Y175" i="39"/>
  <c r="Y174" i="39"/>
  <c r="Y173" i="39"/>
  <c r="Y172" i="39"/>
  <c r="Y171" i="39"/>
  <c r="AF65" i="39" s="1"/>
  <c r="Y170" i="39"/>
  <c r="Y169" i="39"/>
  <c r="Y168" i="39"/>
  <c r="Y167" i="39"/>
  <c r="Y166" i="39"/>
  <c r="Y165" i="39"/>
  <c r="Y164" i="39"/>
  <c r="Y163" i="39"/>
  <c r="Y162" i="39"/>
  <c r="Y161" i="39"/>
  <c r="Y160" i="39"/>
  <c r="Y159" i="39"/>
  <c r="Y158" i="39"/>
  <c r="Y157" i="39"/>
  <c r="Y156" i="39"/>
  <c r="Y155" i="39"/>
  <c r="Y154" i="39"/>
  <c r="Y153" i="39"/>
  <c r="Y152" i="39"/>
  <c r="Y151" i="39"/>
  <c r="Y150" i="39"/>
  <c r="Y149" i="39"/>
  <c r="AF56" i="39" s="1"/>
  <c r="Y148" i="39"/>
  <c r="Y147" i="39"/>
  <c r="AF55" i="39" s="1"/>
  <c r="Y146" i="39"/>
  <c r="Y145" i="39"/>
  <c r="AF54" i="39" s="1"/>
  <c r="Y144" i="39"/>
  <c r="Y143" i="39"/>
  <c r="AF53" i="39" s="1"/>
  <c r="Y142" i="39"/>
  <c r="Y141" i="39"/>
  <c r="AF52" i="39" s="1"/>
  <c r="Y140" i="39"/>
  <c r="Y139" i="39"/>
  <c r="Y138" i="39"/>
  <c r="Y137" i="39"/>
  <c r="Y136" i="39"/>
  <c r="Y135" i="39"/>
  <c r="Y134" i="39"/>
  <c r="Y133" i="39"/>
  <c r="Y132" i="39"/>
  <c r="Y131" i="39"/>
  <c r="Y130" i="39"/>
  <c r="Y129" i="39"/>
  <c r="Y128" i="39"/>
  <c r="Y127" i="39"/>
  <c r="Y126" i="39"/>
  <c r="Y125" i="39"/>
  <c r="Y124" i="39"/>
  <c r="Y123" i="39"/>
  <c r="Y122" i="39"/>
  <c r="Y121" i="39"/>
  <c r="Y120" i="39"/>
  <c r="Y119" i="39"/>
  <c r="Y118" i="39"/>
  <c r="Y117" i="39"/>
  <c r="Y116" i="39"/>
  <c r="Y115" i="39"/>
  <c r="Y114" i="39"/>
  <c r="Y113" i="39"/>
  <c r="Y112" i="39"/>
  <c r="Y108" i="39"/>
  <c r="Y102" i="39"/>
  <c r="Y96" i="39"/>
  <c r="Y94" i="39"/>
  <c r="Y90" i="39"/>
  <c r="Y88" i="39"/>
  <c r="Y85" i="39"/>
  <c r="Y84" i="39"/>
  <c r="Y78" i="39"/>
  <c r="Y76" i="39"/>
  <c r="Y72" i="39"/>
  <c r="Y70" i="39"/>
  <c r="Y68" i="39"/>
  <c r="Y66" i="39"/>
  <c r="Y64" i="39"/>
  <c r="Y62" i="39"/>
  <c r="Y60" i="39"/>
  <c r="Y59" i="39"/>
  <c r="Y57" i="39"/>
  <c r="Y56" i="39"/>
  <c r="Y55" i="39"/>
  <c r="Y54" i="39"/>
  <c r="Y53" i="39"/>
  <c r="Y52" i="39"/>
  <c r="Y51" i="39"/>
  <c r="Y50" i="39"/>
  <c r="Y49" i="39"/>
  <c r="Y48" i="39"/>
  <c r="Y47" i="39"/>
  <c r="Y46" i="39"/>
  <c r="Y44" i="39"/>
  <c r="F44" i="39"/>
  <c r="Y43" i="39"/>
  <c r="F43" i="39"/>
  <c r="Y42" i="39"/>
  <c r="F42" i="39"/>
  <c r="F41" i="39"/>
  <c r="Y40" i="39"/>
  <c r="F40" i="39"/>
  <c r="Y39" i="39"/>
  <c r="F39" i="39"/>
  <c r="Y38" i="39"/>
  <c r="F38" i="39"/>
  <c r="Y37" i="39"/>
  <c r="F37" i="39"/>
  <c r="Y36" i="39"/>
  <c r="F36" i="39"/>
  <c r="Y35" i="39"/>
  <c r="F35" i="39"/>
  <c r="Y34" i="39"/>
  <c r="Y33" i="39"/>
  <c r="Y32" i="39"/>
  <c r="Y31" i="39"/>
  <c r="Y30" i="39"/>
  <c r="Y29" i="39"/>
  <c r="AH28" i="39"/>
  <c r="Y28" i="39"/>
  <c r="Y27" i="39"/>
  <c r="Q27" i="39"/>
  <c r="Y26" i="39"/>
  <c r="Q26" i="39"/>
  <c r="Y25" i="39"/>
  <c r="Q25" i="39"/>
  <c r="Y24" i="39"/>
  <c r="Q24" i="39"/>
  <c r="Y23" i="39"/>
  <c r="Q23" i="39"/>
  <c r="Y22" i="39"/>
  <c r="Q22" i="39"/>
  <c r="Y21" i="39"/>
  <c r="Q21" i="39"/>
  <c r="Y20" i="39"/>
  <c r="Q20" i="39"/>
  <c r="Y19" i="39"/>
  <c r="Q19" i="39"/>
  <c r="Y18" i="39"/>
  <c r="Q18" i="39"/>
  <c r="Y17" i="39"/>
  <c r="Q17" i="39"/>
  <c r="Y16" i="39"/>
  <c r="Q16" i="39"/>
  <c r="Y15" i="39"/>
  <c r="Q15" i="39"/>
  <c r="Y14" i="39"/>
  <c r="Q14" i="39"/>
  <c r="Y13" i="39"/>
  <c r="Q13" i="39"/>
  <c r="Y12" i="39"/>
  <c r="Q12" i="39"/>
  <c r="Y11" i="39"/>
  <c r="Q11" i="39"/>
  <c r="Y10" i="39"/>
  <c r="Q10" i="39"/>
  <c r="Y9" i="39"/>
  <c r="Q9" i="39"/>
  <c r="Y8" i="39"/>
  <c r="Q8" i="39"/>
  <c r="Y7" i="39"/>
  <c r="Q7" i="39"/>
  <c r="Y6" i="39"/>
  <c r="Q6" i="39"/>
  <c r="Y5" i="39"/>
  <c r="Q5" i="39"/>
  <c r="Y4" i="39"/>
  <c r="Q4" i="39"/>
  <c r="Y3" i="39"/>
  <c r="Q3" i="39"/>
  <c r="Y2" i="39"/>
  <c r="Q2" i="39"/>
  <c r="S88" i="33"/>
  <c r="L38" i="33" s="1"/>
  <c r="S87" i="33"/>
  <c r="L36" i="33" s="1"/>
  <c r="S86" i="33"/>
  <c r="L37" i="33" s="1"/>
  <c r="S85" i="33"/>
  <c r="L34" i="33" s="1"/>
  <c r="S84" i="33"/>
  <c r="L35" i="33" s="1"/>
  <c r="S83" i="33"/>
  <c r="L32" i="33" s="1"/>
  <c r="S82" i="33"/>
  <c r="L33" i="33" s="1"/>
  <c r="AD81" i="33"/>
  <c r="AD80" i="33"/>
  <c r="S74" i="33"/>
  <c r="L6" i="33" s="1"/>
  <c r="S73" i="33"/>
  <c r="L7" i="33" s="1"/>
  <c r="S71" i="33"/>
  <c r="L9" i="33" s="1"/>
  <c r="S70" i="33"/>
  <c r="L8" i="33" s="1"/>
  <c r="S69" i="33"/>
  <c r="L11" i="33" s="1"/>
  <c r="S68" i="33"/>
  <c r="L10" i="33" s="1"/>
  <c r="Z58" i="33"/>
  <c r="Z57" i="33"/>
  <c r="S56" i="33"/>
  <c r="L13" i="33" s="1"/>
  <c r="Z54" i="33"/>
  <c r="Z53" i="33"/>
  <c r="S52" i="33"/>
  <c r="L12" i="33" s="1"/>
  <c r="S42" i="33"/>
  <c r="L31" i="33" s="1"/>
  <c r="S41" i="33"/>
  <c r="L29" i="33" s="1"/>
  <c r="S40" i="33"/>
  <c r="L28" i="33" s="1"/>
  <c r="S39" i="33"/>
  <c r="L27" i="33" s="1"/>
  <c r="N38" i="33"/>
  <c r="N37" i="33"/>
  <c r="N36" i="33"/>
  <c r="N35" i="33"/>
  <c r="N34" i="33"/>
  <c r="N33" i="33"/>
  <c r="N32" i="33"/>
  <c r="N31" i="33"/>
  <c r="S30" i="33"/>
  <c r="L5" i="33" s="1"/>
  <c r="N30" i="33"/>
  <c r="S29" i="33"/>
  <c r="L3" i="33" s="1"/>
  <c r="N29" i="33"/>
  <c r="S28" i="33"/>
  <c r="L4" i="33" s="1"/>
  <c r="N28" i="33"/>
  <c r="S27" i="33"/>
  <c r="L2" i="33" s="1"/>
  <c r="N27" i="33"/>
  <c r="Z26" i="33"/>
  <c r="N26" i="33"/>
  <c r="N25" i="33"/>
  <c r="N24" i="33"/>
  <c r="N23" i="33"/>
  <c r="N22" i="33"/>
  <c r="N21" i="33"/>
  <c r="Z20" i="33"/>
  <c r="N20" i="33"/>
  <c r="N19" i="33"/>
  <c r="N18" i="33"/>
  <c r="N17" i="33"/>
  <c r="N16" i="33"/>
  <c r="N15" i="33"/>
  <c r="S14" i="33"/>
  <c r="L21" i="33" s="1"/>
  <c r="N14" i="33"/>
  <c r="S13" i="33"/>
  <c r="L17" i="33" s="1"/>
  <c r="N13" i="33"/>
  <c r="S12" i="33"/>
  <c r="L15" i="33" s="1"/>
  <c r="N12" i="33"/>
  <c r="S11" i="33"/>
  <c r="L26" i="33" s="1"/>
  <c r="N11" i="33"/>
  <c r="S10" i="33"/>
  <c r="L25" i="33" s="1"/>
  <c r="A11" i="33" s="1"/>
  <c r="N10" i="33"/>
  <c r="S9" i="33"/>
  <c r="L24" i="33" s="1"/>
  <c r="N9" i="33"/>
  <c r="S8" i="33"/>
  <c r="L23" i="33" s="1"/>
  <c r="N8" i="33"/>
  <c r="S7" i="33"/>
  <c r="L22" i="33" s="1"/>
  <c r="N7" i="33"/>
  <c r="S6" i="33"/>
  <c r="L16" i="33" s="1"/>
  <c r="N6" i="33"/>
  <c r="S5" i="33"/>
  <c r="L18" i="33" s="1"/>
  <c r="N5" i="33"/>
  <c r="S4" i="33"/>
  <c r="L14" i="33" s="1"/>
  <c r="N4" i="33"/>
  <c r="S3" i="33"/>
  <c r="N3" i="33"/>
  <c r="N2" i="33"/>
  <c r="L29" i="24"/>
  <c r="K29" i="24"/>
  <c r="L28" i="24"/>
  <c r="K28" i="24"/>
  <c r="J28" i="24"/>
  <c r="L27" i="24"/>
  <c r="K27" i="24"/>
  <c r="J27" i="24"/>
  <c r="A13" i="24" s="1"/>
  <c r="L26" i="24"/>
  <c r="K26" i="24"/>
  <c r="J26" i="24"/>
  <c r="L25" i="24"/>
  <c r="K25" i="24"/>
  <c r="J25" i="24"/>
  <c r="L24" i="24"/>
  <c r="K24" i="24"/>
  <c r="J24" i="24"/>
  <c r="L23" i="24"/>
  <c r="K23" i="24"/>
  <c r="J23" i="24"/>
  <c r="L22" i="24"/>
  <c r="K22" i="24"/>
  <c r="J22" i="24"/>
  <c r="L21" i="24"/>
  <c r="K21" i="24"/>
  <c r="J21" i="24"/>
  <c r="L20" i="24"/>
  <c r="K20" i="24"/>
  <c r="J20" i="24"/>
  <c r="L19" i="24"/>
  <c r="K19" i="24"/>
  <c r="J19" i="24"/>
  <c r="L18" i="24"/>
  <c r="K18" i="24"/>
  <c r="J18" i="24"/>
  <c r="L17" i="24"/>
  <c r="K17" i="24"/>
  <c r="J17" i="24"/>
  <c r="L16" i="24"/>
  <c r="K16" i="24"/>
  <c r="J16" i="24"/>
  <c r="L15" i="24"/>
  <c r="K15" i="24"/>
  <c r="J15" i="24"/>
  <c r="A15" i="24"/>
  <c r="L14" i="24"/>
  <c r="K14" i="24"/>
  <c r="J14" i="24"/>
  <c r="A14" i="24"/>
  <c r="L13" i="24"/>
  <c r="K13" i="24"/>
  <c r="J13" i="24"/>
  <c r="L12" i="24"/>
  <c r="K12" i="24"/>
  <c r="J12" i="24"/>
  <c r="L11" i="24"/>
  <c r="K11" i="24"/>
  <c r="J11" i="24"/>
  <c r="L10" i="24"/>
  <c r="K10" i="24"/>
  <c r="J10" i="24"/>
  <c r="L9" i="24"/>
  <c r="K9" i="24"/>
  <c r="J9" i="24"/>
  <c r="L8" i="24"/>
  <c r="K8" i="24"/>
  <c r="J8" i="24"/>
  <c r="L7" i="24"/>
  <c r="K7" i="24"/>
  <c r="J7" i="24"/>
  <c r="L6" i="24"/>
  <c r="K6" i="24"/>
  <c r="J6" i="24"/>
  <c r="L5" i="24"/>
  <c r="K5" i="24"/>
  <c r="J5" i="24"/>
  <c r="L4" i="24"/>
  <c r="K4" i="24"/>
  <c r="J4" i="24"/>
  <c r="L3" i="24"/>
  <c r="K3" i="24"/>
  <c r="J3" i="24"/>
  <c r="C35" i="37"/>
  <c r="B27" i="37"/>
  <c r="A27" i="37"/>
  <c r="B26" i="37"/>
  <c r="A26" i="37"/>
  <c r="B25" i="37"/>
  <c r="A25" i="37"/>
  <c r="B24" i="37"/>
  <c r="A24" i="37"/>
  <c r="B23" i="37"/>
  <c r="A23" i="37"/>
  <c r="B22" i="37"/>
  <c r="A22" i="37"/>
  <c r="B21" i="37"/>
  <c r="A21" i="37"/>
  <c r="B20" i="37"/>
  <c r="A20" i="37"/>
  <c r="B19" i="37"/>
  <c r="A19" i="37"/>
  <c r="B18" i="37"/>
  <c r="A18" i="37"/>
  <c r="B17" i="37"/>
  <c r="A17" i="37"/>
  <c r="B16" i="37"/>
  <c r="A16" i="37"/>
  <c r="B15" i="37"/>
  <c r="A15" i="37"/>
  <c r="C15" i="37" s="1"/>
  <c r="B14" i="37"/>
  <c r="A14" i="37"/>
  <c r="C14" i="37" s="1"/>
  <c r="B13" i="37"/>
  <c r="A13" i="37"/>
  <c r="C13" i="37" s="1"/>
  <c r="B12" i="37"/>
  <c r="A12" i="37"/>
  <c r="C12" i="37" s="1"/>
  <c r="B11" i="37"/>
  <c r="A11" i="37"/>
  <c r="C11" i="37" s="1"/>
  <c r="B10" i="37"/>
  <c r="A10" i="37"/>
  <c r="C10" i="37" s="1"/>
  <c r="B9" i="37"/>
  <c r="A9" i="37"/>
  <c r="C9" i="37" s="1"/>
  <c r="B8" i="37"/>
  <c r="A8" i="37"/>
  <c r="C8" i="37" s="1"/>
  <c r="B4" i="37"/>
  <c r="A4" i="37"/>
  <c r="B3" i="37"/>
  <c r="A3" i="37"/>
  <c r="O76" i="36"/>
  <c r="L76" i="36"/>
  <c r="N76" i="36" s="1"/>
  <c r="O74" i="36"/>
  <c r="L74" i="36"/>
  <c r="N74" i="36" s="1"/>
  <c r="O73" i="36"/>
  <c r="L73" i="36"/>
  <c r="O72" i="36"/>
  <c r="L72" i="36"/>
  <c r="N72" i="36" s="1"/>
  <c r="O71" i="36"/>
  <c r="L71" i="36"/>
  <c r="N71" i="36" s="1"/>
  <c r="O70" i="36"/>
  <c r="L70" i="36"/>
  <c r="N70" i="36" s="1"/>
  <c r="O69" i="36"/>
  <c r="L69" i="36"/>
  <c r="N69" i="36" s="1"/>
  <c r="O68" i="36"/>
  <c r="L68" i="36"/>
  <c r="N68" i="36" s="1"/>
  <c r="O67" i="36"/>
  <c r="L67" i="36"/>
  <c r="N67" i="36" s="1"/>
  <c r="O66" i="36"/>
  <c r="L66" i="36"/>
  <c r="N66" i="36" s="1"/>
  <c r="F66" i="36"/>
  <c r="O65" i="36"/>
  <c r="L65" i="36"/>
  <c r="F65" i="36"/>
  <c r="O64" i="36"/>
  <c r="L64" i="36"/>
  <c r="N64" i="36" s="1"/>
  <c r="F64" i="36"/>
  <c r="O63" i="36"/>
  <c r="L63" i="36"/>
  <c r="F63" i="36"/>
  <c r="O62" i="36"/>
  <c r="L62" i="36"/>
  <c r="F62" i="36"/>
  <c r="O61" i="36"/>
  <c r="L61" i="36"/>
  <c r="F61" i="36"/>
  <c r="O60" i="36"/>
  <c r="L60" i="36"/>
  <c r="N60" i="36" s="1"/>
  <c r="F60" i="36"/>
  <c r="O59" i="36"/>
  <c r="L59" i="36"/>
  <c r="N59" i="36" s="1"/>
  <c r="F59" i="36"/>
  <c r="O58" i="36"/>
  <c r="L58" i="36"/>
  <c r="N58" i="36" s="1"/>
  <c r="F58" i="36"/>
  <c r="O57" i="36"/>
  <c r="L57" i="36"/>
  <c r="N57" i="36" s="1"/>
  <c r="O56" i="36"/>
  <c r="L56" i="36"/>
  <c r="N56" i="36" s="1"/>
  <c r="O55" i="36"/>
  <c r="L55" i="36"/>
  <c r="N55" i="36" s="1"/>
  <c r="O54" i="36"/>
  <c r="L54" i="36"/>
  <c r="N54" i="36" s="1"/>
  <c r="O53" i="36"/>
  <c r="L53" i="36"/>
  <c r="N53" i="36" s="1"/>
  <c r="O52" i="36"/>
  <c r="L52" i="36"/>
  <c r="N52" i="36" s="1"/>
  <c r="O51" i="36"/>
  <c r="L51" i="36"/>
  <c r="N51" i="36" s="1"/>
  <c r="O50" i="36"/>
  <c r="L50" i="36"/>
  <c r="N50" i="36" s="1"/>
  <c r="O49" i="36"/>
  <c r="L49" i="36"/>
  <c r="N49" i="36" s="1"/>
  <c r="O48" i="36"/>
  <c r="L48" i="36"/>
  <c r="N48" i="36" s="1"/>
  <c r="O47" i="36"/>
  <c r="L47" i="36"/>
  <c r="N47" i="36" s="1"/>
  <c r="O46" i="36"/>
  <c r="L46" i="36"/>
  <c r="N46" i="36" s="1"/>
  <c r="O45" i="36"/>
  <c r="L45" i="36"/>
  <c r="N45" i="36" s="1"/>
  <c r="O44" i="36"/>
  <c r="L44" i="36"/>
  <c r="N44" i="36" s="1"/>
  <c r="O43" i="36"/>
  <c r="L43" i="36"/>
  <c r="O42" i="36"/>
  <c r="L42" i="36"/>
  <c r="N42" i="36" s="1"/>
  <c r="O41" i="36"/>
  <c r="L41" i="36"/>
  <c r="N41" i="36" s="1"/>
  <c r="O40" i="36"/>
  <c r="L40" i="36"/>
  <c r="N40" i="36" s="1"/>
  <c r="O39" i="36"/>
  <c r="L39" i="36"/>
  <c r="N39" i="36" s="1"/>
  <c r="O38" i="36"/>
  <c r="L38" i="36"/>
  <c r="N38" i="36" s="1"/>
  <c r="O37" i="36"/>
  <c r="L37" i="36"/>
  <c r="N37" i="36" s="1"/>
  <c r="O36" i="36"/>
  <c r="L36" i="36"/>
  <c r="N36" i="36" s="1"/>
  <c r="O35" i="36"/>
  <c r="L35" i="36"/>
  <c r="N35" i="36" s="1"/>
  <c r="O34" i="36"/>
  <c r="L34" i="36"/>
  <c r="N34" i="36" s="1"/>
  <c r="O33" i="36"/>
  <c r="L33" i="36"/>
  <c r="N33" i="36" s="1"/>
  <c r="O32" i="36"/>
  <c r="L32" i="36"/>
  <c r="N32" i="36" s="1"/>
  <c r="O31" i="36"/>
  <c r="L31" i="36"/>
  <c r="N31" i="36" s="1"/>
  <c r="O30" i="36"/>
  <c r="L30" i="36"/>
  <c r="O29" i="36"/>
  <c r="L29" i="36"/>
  <c r="N29" i="36" s="1"/>
  <c r="O28" i="36"/>
  <c r="L28" i="36"/>
  <c r="O27" i="36"/>
  <c r="L27" i="36"/>
  <c r="N27" i="36" s="1"/>
  <c r="O26" i="36"/>
  <c r="L26" i="36"/>
  <c r="N26" i="36" s="1"/>
  <c r="O25" i="36"/>
  <c r="L25" i="36"/>
  <c r="N25" i="36" s="1"/>
  <c r="O24" i="36"/>
  <c r="L24" i="36"/>
  <c r="O23" i="36"/>
  <c r="L23" i="36"/>
  <c r="O22" i="36"/>
  <c r="L22" i="36"/>
  <c r="N22" i="36" s="1"/>
  <c r="O21" i="36"/>
  <c r="L21" i="36"/>
  <c r="N21" i="36" s="1"/>
  <c r="O20" i="36"/>
  <c r="L20" i="36"/>
  <c r="N20" i="36" s="1"/>
  <c r="O19" i="36"/>
  <c r="L19" i="36"/>
  <c r="N19" i="36" s="1"/>
  <c r="O18" i="36"/>
  <c r="L18" i="36"/>
  <c r="N18" i="36" s="1"/>
  <c r="O17" i="36"/>
  <c r="L17" i="36"/>
  <c r="N17" i="36" s="1"/>
  <c r="O16" i="36"/>
  <c r="L16" i="36"/>
  <c r="N16" i="36" s="1"/>
  <c r="O15" i="36"/>
  <c r="L15" i="36"/>
  <c r="N15" i="36" s="1"/>
  <c r="O14" i="36"/>
  <c r="L14" i="36"/>
  <c r="N14" i="36" s="1"/>
  <c r="O13" i="36"/>
  <c r="L13" i="36"/>
  <c r="N13" i="36" s="1"/>
  <c r="O12" i="36"/>
  <c r="L12" i="36"/>
  <c r="O11" i="36"/>
  <c r="L11" i="36"/>
  <c r="N11" i="36" s="1"/>
  <c r="O10" i="36"/>
  <c r="L10" i="36"/>
  <c r="O9" i="36"/>
  <c r="L9" i="36"/>
  <c r="N9" i="36" s="1"/>
  <c r="O8" i="36"/>
  <c r="L8" i="36"/>
  <c r="N8" i="36" s="1"/>
  <c r="O7" i="36"/>
  <c r="L7" i="36"/>
  <c r="N7" i="36" s="1"/>
  <c r="O6" i="36"/>
  <c r="L6" i="36"/>
  <c r="N6" i="36" s="1"/>
  <c r="O5" i="36"/>
  <c r="L5" i="36"/>
  <c r="N5" i="36" s="1"/>
  <c r="O4" i="36"/>
  <c r="L4" i="36"/>
  <c r="N4" i="36" s="1"/>
  <c r="O3" i="36"/>
  <c r="L3" i="36"/>
  <c r="N3" i="36" s="1"/>
  <c r="P52" i="22"/>
  <c r="K52" i="22"/>
  <c r="P51" i="22"/>
  <c r="Q51" i="22" s="1"/>
  <c r="M51" i="22"/>
  <c r="K51" i="22"/>
  <c r="P50" i="22"/>
  <c r="Q50" i="22" s="1"/>
  <c r="M50" i="22"/>
  <c r="K50" i="22"/>
  <c r="P49" i="22"/>
  <c r="Q49" i="22" s="1"/>
  <c r="M49" i="22"/>
  <c r="K49" i="22"/>
  <c r="P48" i="22"/>
  <c r="Q48" i="22" s="1"/>
  <c r="M48" i="22"/>
  <c r="K48" i="22"/>
  <c r="P47" i="22"/>
  <c r="Q47" i="22" s="1"/>
  <c r="M47" i="22"/>
  <c r="K47" i="22"/>
  <c r="P46" i="22"/>
  <c r="Q46" i="22" s="1"/>
  <c r="M46" i="22"/>
  <c r="K46" i="22"/>
  <c r="P45" i="22"/>
  <c r="Q45" i="22" s="1"/>
  <c r="G17" i="22" s="1"/>
  <c r="M45" i="22"/>
  <c r="E17" i="22" s="1"/>
  <c r="K45" i="22"/>
  <c r="P44" i="22"/>
  <c r="Q44" i="22" s="1"/>
  <c r="M44" i="22"/>
  <c r="K44" i="22"/>
  <c r="P43" i="22"/>
  <c r="Q43" i="22" s="1"/>
  <c r="M43" i="22"/>
  <c r="K43" i="22"/>
  <c r="P42" i="22"/>
  <c r="Q42" i="22" s="1"/>
  <c r="M42" i="22"/>
  <c r="K42" i="22"/>
  <c r="P41" i="22"/>
  <c r="Q41" i="22" s="1"/>
  <c r="M41" i="22"/>
  <c r="K41" i="22"/>
  <c r="P40" i="22"/>
  <c r="Q40" i="22" s="1"/>
  <c r="M40" i="22"/>
  <c r="K40" i="22"/>
  <c r="P39" i="22"/>
  <c r="Q39" i="22" s="1"/>
  <c r="M39" i="22"/>
  <c r="K39" i="22"/>
  <c r="P38" i="22"/>
  <c r="Q38" i="22" s="1"/>
  <c r="M38" i="22"/>
  <c r="K38" i="22"/>
  <c r="P37" i="22"/>
  <c r="Q37" i="22" s="1"/>
  <c r="M37" i="22"/>
  <c r="K37" i="22"/>
  <c r="P36" i="22"/>
  <c r="Q36" i="22" s="1"/>
  <c r="M36" i="22"/>
  <c r="K36" i="22"/>
  <c r="P35" i="22"/>
  <c r="Q35" i="22" s="1"/>
  <c r="M35" i="22"/>
  <c r="K35" i="22"/>
  <c r="P34" i="22"/>
  <c r="Q34" i="22" s="1"/>
  <c r="M34" i="22"/>
  <c r="K34" i="22"/>
  <c r="P33" i="22"/>
  <c r="Q33" i="22" s="1"/>
  <c r="M33" i="22"/>
  <c r="K33" i="22"/>
  <c r="P32" i="22"/>
  <c r="Q32" i="22" s="1"/>
  <c r="M32" i="22"/>
  <c r="K32" i="22"/>
  <c r="P31" i="22"/>
  <c r="Q31" i="22" s="1"/>
  <c r="M31" i="22"/>
  <c r="K31" i="22"/>
  <c r="P30" i="22"/>
  <c r="Q30" i="22" s="1"/>
  <c r="M30" i="22"/>
  <c r="K30" i="22"/>
  <c r="P29" i="22"/>
  <c r="Q29" i="22" s="1"/>
  <c r="M29" i="22"/>
  <c r="K29" i="22"/>
  <c r="P28" i="22"/>
  <c r="Q28" i="22" s="1"/>
  <c r="M28" i="22"/>
  <c r="K28" i="22"/>
  <c r="P27" i="22"/>
  <c r="Q27" i="22" s="1"/>
  <c r="M27" i="22"/>
  <c r="K27" i="22"/>
  <c r="P26" i="22"/>
  <c r="Q26" i="22" s="1"/>
  <c r="M26" i="22"/>
  <c r="K26" i="22"/>
  <c r="P25" i="22"/>
  <c r="Q25" i="22" s="1"/>
  <c r="M25" i="22"/>
  <c r="K25" i="22"/>
  <c r="P24" i="22"/>
  <c r="Q24" i="22" s="1"/>
  <c r="G18" i="22" s="1"/>
  <c r="M24" i="22"/>
  <c r="E18" i="22" s="1"/>
  <c r="K24" i="22"/>
  <c r="P23" i="22"/>
  <c r="Q23" i="22" s="1"/>
  <c r="M23" i="22"/>
  <c r="E19" i="22" s="1"/>
  <c r="K23" i="22"/>
  <c r="G23" i="22"/>
  <c r="E23" i="22"/>
  <c r="A23" i="22"/>
  <c r="P22" i="22"/>
  <c r="Q22" i="22" s="1"/>
  <c r="M22" i="22"/>
  <c r="K22" i="22"/>
  <c r="G22" i="22"/>
  <c r="E22" i="22"/>
  <c r="A22" i="22"/>
  <c r="P21" i="22"/>
  <c r="Q21" i="22" s="1"/>
  <c r="M21" i="22"/>
  <c r="K21" i="22"/>
  <c r="G21" i="22"/>
  <c r="E21" i="22"/>
  <c r="A21" i="22"/>
  <c r="P20" i="22"/>
  <c r="Q20" i="22" s="1"/>
  <c r="M20" i="22"/>
  <c r="K20" i="22"/>
  <c r="G20" i="22"/>
  <c r="E20" i="22"/>
  <c r="A20" i="22"/>
  <c r="P19" i="22"/>
  <c r="Q19" i="22" s="1"/>
  <c r="M19" i="22"/>
  <c r="K19" i="22"/>
  <c r="A19" i="22"/>
  <c r="B19" i="22" s="1"/>
  <c r="P18" i="22"/>
  <c r="Q18" i="22" s="1"/>
  <c r="M18" i="22"/>
  <c r="K18" i="22"/>
  <c r="A18" i="22"/>
  <c r="P17" i="22"/>
  <c r="Q17" i="22" s="1"/>
  <c r="M17" i="22"/>
  <c r="K17" i="22"/>
  <c r="A17" i="22"/>
  <c r="P16" i="22"/>
  <c r="Q16" i="22" s="1"/>
  <c r="M16" i="22"/>
  <c r="K16" i="22"/>
  <c r="A16" i="22"/>
  <c r="P15" i="22"/>
  <c r="Q15" i="22" s="1"/>
  <c r="M15" i="22"/>
  <c r="K15" i="22"/>
  <c r="A15" i="22"/>
  <c r="P14" i="22"/>
  <c r="Q14" i="22" s="1"/>
  <c r="M14" i="22"/>
  <c r="K14" i="22"/>
  <c r="A14" i="22"/>
  <c r="B14" i="22" s="1"/>
  <c r="P13" i="22"/>
  <c r="Q13" i="22" s="1"/>
  <c r="M13" i="22"/>
  <c r="K13" i="22"/>
  <c r="A13" i="22"/>
  <c r="B13" i="22" s="1"/>
  <c r="P12" i="22"/>
  <c r="Q12" i="22" s="1"/>
  <c r="M12" i="22"/>
  <c r="K12" i="22"/>
  <c r="A12" i="22"/>
  <c r="P11" i="22"/>
  <c r="Q11" i="22" s="1"/>
  <c r="M11" i="22"/>
  <c r="K11" i="22"/>
  <c r="A11" i="22"/>
  <c r="P10" i="22"/>
  <c r="Q10" i="22" s="1"/>
  <c r="M10" i="22"/>
  <c r="K10" i="22"/>
  <c r="A10" i="22"/>
  <c r="P9" i="22"/>
  <c r="Q9" i="22" s="1"/>
  <c r="M9" i="22"/>
  <c r="K9" i="22"/>
  <c r="A9" i="22"/>
  <c r="P8" i="22"/>
  <c r="Q8" i="22" s="1"/>
  <c r="M8" i="22"/>
  <c r="K8" i="22"/>
  <c r="A8" i="22"/>
  <c r="P7" i="22"/>
  <c r="Q7" i="22" s="1"/>
  <c r="M7" i="22"/>
  <c r="K7" i="22"/>
  <c r="A7" i="22"/>
  <c r="P6" i="22"/>
  <c r="Q6" i="22" s="1"/>
  <c r="M6" i="22"/>
  <c r="K6" i="22"/>
  <c r="A6" i="22"/>
  <c r="P5" i="22"/>
  <c r="Q5" i="22" s="1"/>
  <c r="M5" i="22"/>
  <c r="K5" i="22"/>
  <c r="A5" i="22"/>
  <c r="P4" i="22"/>
  <c r="Q4" i="22" s="1"/>
  <c r="M4" i="22"/>
  <c r="K4" i="22"/>
  <c r="A4" i="22"/>
  <c r="P3" i="22"/>
  <c r="Q3" i="22" s="1"/>
  <c r="M3" i="22"/>
  <c r="K3" i="22"/>
  <c r="A3" i="22"/>
  <c r="F23" i="34"/>
  <c r="B23" i="34"/>
  <c r="F22" i="34"/>
  <c r="B22" i="34"/>
  <c r="F21" i="34"/>
  <c r="B21" i="34"/>
  <c r="F20" i="34"/>
  <c r="B20" i="34"/>
  <c r="F19" i="34"/>
  <c r="B19" i="34"/>
  <c r="F18" i="34"/>
  <c r="B18" i="34"/>
  <c r="F17" i="34"/>
  <c r="B17" i="34"/>
  <c r="F16" i="34"/>
  <c r="B16" i="34"/>
  <c r="I9" i="34"/>
  <c r="I8" i="34"/>
  <c r="I7" i="34"/>
  <c r="I6" i="34"/>
  <c r="I5" i="34"/>
  <c r="I4" i="34"/>
  <c r="I3" i="34"/>
  <c r="I2" i="34"/>
  <c r="H55" i="18"/>
  <c r="B55" i="18"/>
  <c r="A55" i="18"/>
  <c r="H54" i="18"/>
  <c r="B54" i="18"/>
  <c r="A54" i="18"/>
  <c r="H53" i="18"/>
  <c r="B53" i="18"/>
  <c r="A53" i="18"/>
  <c r="H52" i="18"/>
  <c r="B52" i="18"/>
  <c r="A52" i="18"/>
  <c r="H51" i="18"/>
  <c r="B51" i="18"/>
  <c r="A51" i="18"/>
  <c r="H50" i="18"/>
  <c r="B50" i="18"/>
  <c r="A50" i="18"/>
  <c r="H49" i="18"/>
  <c r="B49" i="18"/>
  <c r="A49" i="18"/>
  <c r="H48" i="18"/>
  <c r="B48" i="18"/>
  <c r="A48" i="18"/>
  <c r="H47" i="18"/>
  <c r="B47" i="18"/>
  <c r="A47" i="18"/>
  <c r="H46" i="18"/>
  <c r="B46" i="18"/>
  <c r="A46" i="18"/>
  <c r="H45" i="18"/>
  <c r="B45" i="18"/>
  <c r="A45" i="18"/>
  <c r="H44" i="18"/>
  <c r="B44" i="18"/>
  <c r="A44" i="18"/>
  <c r="H43" i="18"/>
  <c r="B43" i="18"/>
  <c r="A43" i="18"/>
  <c r="H42" i="18"/>
  <c r="G41" i="18"/>
  <c r="H41" i="18" s="1"/>
  <c r="G40" i="18"/>
  <c r="H40" i="18" s="1"/>
  <c r="G39" i="18"/>
  <c r="H39" i="18" s="1"/>
  <c r="G38" i="18"/>
  <c r="H38" i="18" s="1"/>
  <c r="G37" i="18"/>
  <c r="H37" i="18" s="1"/>
  <c r="B37" i="18"/>
  <c r="A37" i="18"/>
  <c r="G36" i="18"/>
  <c r="H36" i="18" s="1"/>
  <c r="B36" i="18"/>
  <c r="A36" i="18"/>
  <c r="G35" i="18"/>
  <c r="H35" i="18" s="1"/>
  <c r="B35" i="18"/>
  <c r="A35" i="18"/>
  <c r="G34" i="18"/>
  <c r="H34" i="18" s="1"/>
  <c r="B34" i="18"/>
  <c r="A34" i="18"/>
  <c r="G33" i="18"/>
  <c r="H33" i="18" s="1"/>
  <c r="B33" i="18"/>
  <c r="A33" i="18"/>
  <c r="G32" i="18"/>
  <c r="H32" i="18" s="1"/>
  <c r="B32" i="18"/>
  <c r="A32" i="18"/>
  <c r="G31" i="18"/>
  <c r="H31" i="18" s="1"/>
  <c r="B31" i="18"/>
  <c r="A31" i="18"/>
  <c r="G30" i="18"/>
  <c r="H30" i="18" s="1"/>
  <c r="B30" i="18"/>
  <c r="A30" i="18"/>
  <c r="G29" i="18"/>
  <c r="H29" i="18" s="1"/>
  <c r="B29" i="18"/>
  <c r="A29" i="18"/>
  <c r="G28" i="18"/>
  <c r="H28" i="18" s="1"/>
  <c r="B28" i="18"/>
  <c r="A28" i="18"/>
  <c r="G27" i="18"/>
  <c r="H27" i="18" s="1"/>
  <c r="B27" i="18"/>
  <c r="A27" i="18"/>
  <c r="G26" i="18"/>
  <c r="H26" i="18" s="1"/>
  <c r="B26" i="18"/>
  <c r="A26" i="18"/>
  <c r="G25" i="18"/>
  <c r="H25" i="18" s="1"/>
  <c r="G24" i="18"/>
  <c r="H24" i="18" s="1"/>
  <c r="G23" i="18"/>
  <c r="H23" i="18" s="1"/>
  <c r="G22" i="18"/>
  <c r="H22" i="18" s="1"/>
  <c r="G21" i="18"/>
  <c r="H21" i="18" s="1"/>
  <c r="G20" i="18"/>
  <c r="H20" i="18" s="1"/>
  <c r="G13" i="18"/>
  <c r="H13" i="18" s="1"/>
  <c r="B13" i="18"/>
  <c r="A13" i="18"/>
  <c r="G12" i="18"/>
  <c r="H12" i="18" s="1"/>
  <c r="B12" i="18"/>
  <c r="A12" i="18"/>
  <c r="G11" i="18"/>
  <c r="H11" i="18" s="1"/>
  <c r="B11" i="18"/>
  <c r="G10" i="18"/>
  <c r="H10" i="18" s="1"/>
  <c r="B10" i="18"/>
  <c r="A10" i="18"/>
  <c r="G9" i="18"/>
  <c r="G8" i="18"/>
  <c r="G7" i="18"/>
  <c r="G6" i="18"/>
  <c r="G5" i="18"/>
  <c r="B5" i="18"/>
  <c r="A5" i="18"/>
  <c r="G4" i="18"/>
  <c r="B4" i="18"/>
  <c r="A4" i="18"/>
  <c r="G3" i="18"/>
  <c r="B3" i="18"/>
  <c r="A3" i="18"/>
  <c r="N25" i="43"/>
  <c r="N24" i="43"/>
  <c r="N23" i="43"/>
  <c r="N22" i="43"/>
  <c r="N21" i="43"/>
  <c r="N20" i="43"/>
  <c r="N18" i="43"/>
  <c r="N17" i="43"/>
  <c r="N16" i="43"/>
  <c r="N15" i="43"/>
  <c r="N14" i="43"/>
  <c r="N13" i="43"/>
  <c r="N10" i="43"/>
  <c r="N9" i="43"/>
  <c r="N8" i="43"/>
  <c r="N7" i="43"/>
  <c r="N6" i="43"/>
  <c r="N5" i="43"/>
  <c r="D24" i="25"/>
  <c r="E24" i="25" s="1"/>
  <c r="F24" i="25" s="1"/>
  <c r="A24" i="25"/>
  <c r="D23" i="25"/>
  <c r="E23" i="25" s="1"/>
  <c r="F23" i="25" s="1"/>
  <c r="A23" i="25"/>
  <c r="D22" i="25"/>
  <c r="E22" i="25" s="1"/>
  <c r="F22" i="25" s="1"/>
  <c r="A22" i="25"/>
  <c r="D21" i="25"/>
  <c r="E21" i="25" s="1"/>
  <c r="F21" i="25" s="1"/>
  <c r="A21" i="25"/>
  <c r="D20" i="25"/>
  <c r="E20" i="25" s="1"/>
  <c r="F20" i="25" s="1"/>
  <c r="A20" i="25"/>
  <c r="D19" i="25"/>
  <c r="E19" i="25" s="1"/>
  <c r="F19" i="25" s="1"/>
  <c r="A19" i="25"/>
  <c r="D18" i="25"/>
  <c r="E18" i="25" s="1"/>
  <c r="F18" i="25" s="1"/>
  <c r="A18" i="25"/>
  <c r="D17" i="25"/>
  <c r="E17" i="25" s="1"/>
  <c r="F17" i="25" s="1"/>
  <c r="A17" i="25"/>
  <c r="D16" i="25"/>
  <c r="E16" i="25" s="1"/>
  <c r="F16" i="25" s="1"/>
  <c r="A16" i="25"/>
  <c r="D15" i="25"/>
  <c r="E15" i="25" s="1"/>
  <c r="F15" i="25" s="1"/>
  <c r="A15" i="25"/>
  <c r="D14" i="25"/>
  <c r="E14" i="25" s="1"/>
  <c r="F14" i="25" s="1"/>
  <c r="A14" i="25"/>
  <c r="D13" i="25"/>
  <c r="E13" i="25" s="1"/>
  <c r="F13" i="25" s="1"/>
  <c r="A13" i="25"/>
  <c r="D12" i="25"/>
  <c r="E12" i="25" s="1"/>
  <c r="F12" i="25" s="1"/>
  <c r="A12" i="25"/>
  <c r="D11" i="25"/>
  <c r="E11" i="25" s="1"/>
  <c r="F11" i="25" s="1"/>
  <c r="A11" i="25"/>
  <c r="D10" i="25"/>
  <c r="E10" i="25" s="1"/>
  <c r="F10" i="25" s="1"/>
  <c r="A10" i="25"/>
  <c r="D9" i="25"/>
  <c r="E9" i="25" s="1"/>
  <c r="F9" i="25" s="1"/>
  <c r="D8" i="25"/>
  <c r="E8" i="25" s="1"/>
  <c r="F8" i="25" s="1"/>
  <c r="A8" i="25"/>
  <c r="D7" i="25"/>
  <c r="E7" i="25" s="1"/>
  <c r="F7" i="25" s="1"/>
  <c r="A7" i="25"/>
  <c r="D6" i="25"/>
  <c r="E6" i="25" s="1"/>
  <c r="F6" i="25" s="1"/>
  <c r="A6" i="25"/>
  <c r="D5" i="25"/>
  <c r="E5" i="25" s="1"/>
  <c r="F5" i="25" s="1"/>
  <c r="A5" i="25"/>
  <c r="D4" i="25"/>
  <c r="E4" i="25" s="1"/>
  <c r="F4" i="25" s="1"/>
  <c r="A4" i="25"/>
  <c r="D3" i="25"/>
  <c r="E3" i="25" s="1"/>
  <c r="F3" i="25" s="1"/>
  <c r="A3" i="25"/>
  <c r="W1318" i="17"/>
  <c r="W1317" i="17"/>
  <c r="W1316" i="17"/>
  <c r="W1315" i="17"/>
  <c r="W1314" i="17"/>
  <c r="W1313" i="17"/>
  <c r="W1312" i="17"/>
  <c r="W1311" i="17"/>
  <c r="W1310" i="17"/>
  <c r="W1309" i="17"/>
  <c r="W1308" i="17"/>
  <c r="W1307" i="17"/>
  <c r="W1306" i="17"/>
  <c r="W1305" i="17"/>
  <c r="W1304" i="17"/>
  <c r="W1303" i="17"/>
  <c r="W1302" i="17"/>
  <c r="W1301" i="17"/>
  <c r="W1300" i="17"/>
  <c r="W1299" i="17"/>
  <c r="W1298" i="17"/>
  <c r="W1297" i="17"/>
  <c r="W1296" i="17"/>
  <c r="W1295" i="17"/>
  <c r="W1294" i="17"/>
  <c r="W1293" i="17"/>
  <c r="W1292" i="17"/>
  <c r="W1291" i="17"/>
  <c r="W1290" i="17"/>
  <c r="W1289" i="17"/>
  <c r="W1288" i="17"/>
  <c r="W1287" i="17"/>
  <c r="W1286" i="17"/>
  <c r="W1285" i="17"/>
  <c r="W1284" i="17"/>
  <c r="W1283" i="17"/>
  <c r="W1282" i="17"/>
  <c r="W1281" i="17"/>
  <c r="W1280" i="17"/>
  <c r="W1279" i="17"/>
  <c r="W1278" i="17"/>
  <c r="W1277" i="17"/>
  <c r="W1276" i="17"/>
  <c r="W1275" i="17"/>
  <c r="W1274" i="17"/>
  <c r="W1273" i="17"/>
  <c r="W1272" i="17"/>
  <c r="W1271" i="17"/>
  <c r="W1270" i="17"/>
  <c r="W1269" i="17"/>
  <c r="W1268" i="17"/>
  <c r="W1267" i="17"/>
  <c r="W1266" i="17"/>
  <c r="W1265" i="17"/>
  <c r="W1264" i="17"/>
  <c r="W1263" i="17"/>
  <c r="W1262" i="17"/>
  <c r="W1261" i="17"/>
  <c r="W1260" i="17"/>
  <c r="W1259" i="17"/>
  <c r="W1258" i="17"/>
  <c r="W1257" i="17"/>
  <c r="W1256" i="17"/>
  <c r="W1255" i="17"/>
  <c r="W1254" i="17"/>
  <c r="W1253" i="17"/>
  <c r="W1252" i="17"/>
  <c r="W1251" i="17"/>
  <c r="W1250" i="17"/>
  <c r="W1249" i="17"/>
  <c r="W1248" i="17"/>
  <c r="W1247" i="17"/>
  <c r="W1246" i="17"/>
  <c r="W1245" i="17"/>
  <c r="W1244" i="17"/>
  <c r="W1243" i="17"/>
  <c r="W1242" i="17"/>
  <c r="W1241" i="17"/>
  <c r="W1240" i="17"/>
  <c r="W1239" i="17"/>
  <c r="W1238" i="17"/>
  <c r="W1237" i="17"/>
  <c r="W1236" i="17"/>
  <c r="W1235" i="17"/>
  <c r="W1234" i="17"/>
  <c r="W1233" i="17"/>
  <c r="W1232" i="17"/>
  <c r="W1231" i="17"/>
  <c r="W1230" i="17"/>
  <c r="W1229" i="17"/>
  <c r="W1228" i="17"/>
  <c r="W1227" i="17"/>
  <c r="W1226" i="17"/>
  <c r="W1225" i="17"/>
  <c r="W1224" i="17"/>
  <c r="W1223" i="17"/>
  <c r="W1222" i="17"/>
  <c r="W1221" i="17"/>
  <c r="W1220" i="17"/>
  <c r="W1219" i="17"/>
  <c r="W1218" i="17"/>
  <c r="W1217" i="17"/>
  <c r="W1216" i="17"/>
  <c r="W1215" i="17"/>
  <c r="W1214" i="17"/>
  <c r="W1213" i="17"/>
  <c r="W1212" i="17"/>
  <c r="W1211" i="17"/>
  <c r="W1210" i="17"/>
  <c r="W1209" i="17"/>
  <c r="W1208" i="17"/>
  <c r="W1207" i="17"/>
  <c r="W1206" i="17"/>
  <c r="W1205" i="17"/>
  <c r="W1204" i="17"/>
  <c r="W1203" i="17"/>
  <c r="W1202" i="17"/>
  <c r="W1201" i="17"/>
  <c r="W1200" i="17"/>
  <c r="W1199" i="17"/>
  <c r="W1198" i="17"/>
  <c r="W1197" i="17"/>
  <c r="W1196" i="17"/>
  <c r="W1195" i="17"/>
  <c r="W1194" i="17"/>
  <c r="W1193" i="17"/>
  <c r="W1192" i="17"/>
  <c r="W1191" i="17"/>
  <c r="W1190" i="17"/>
  <c r="W1189" i="17"/>
  <c r="W1188" i="17"/>
  <c r="W1187" i="17"/>
  <c r="W1186" i="17"/>
  <c r="W1185" i="17"/>
  <c r="W1184" i="17"/>
  <c r="W1183" i="17"/>
  <c r="W1182" i="17"/>
  <c r="W1181" i="17"/>
  <c r="W1180" i="17"/>
  <c r="W1179" i="17"/>
  <c r="W1178" i="17"/>
  <c r="W1177" i="17"/>
  <c r="W1176" i="17"/>
  <c r="W1175" i="17"/>
  <c r="W1174" i="17"/>
  <c r="W1173" i="17"/>
  <c r="W1172" i="17"/>
  <c r="W1171" i="17"/>
  <c r="W1170" i="17"/>
  <c r="W1169" i="17"/>
  <c r="W1168" i="17"/>
  <c r="W1167" i="17"/>
  <c r="W1166" i="17"/>
  <c r="W1165" i="17"/>
  <c r="W1164" i="17"/>
  <c r="W1163" i="17"/>
  <c r="W1162" i="17"/>
  <c r="W1161" i="17"/>
  <c r="W1160" i="17"/>
  <c r="W1159" i="17"/>
  <c r="W1158" i="17"/>
  <c r="W1157" i="17"/>
  <c r="W1156" i="17"/>
  <c r="W1155" i="17"/>
  <c r="W1154" i="17"/>
  <c r="W1153" i="17"/>
  <c r="W1152" i="17"/>
  <c r="W1151" i="17"/>
  <c r="W1150" i="17"/>
  <c r="W1149" i="17"/>
  <c r="W1148" i="17"/>
  <c r="W1147" i="17"/>
  <c r="W1146" i="17"/>
  <c r="W1145" i="17"/>
  <c r="W1144" i="17"/>
  <c r="W1143" i="17"/>
  <c r="W1142" i="17"/>
  <c r="W1141" i="17"/>
  <c r="W1140" i="17"/>
  <c r="W1139" i="17"/>
  <c r="W1138" i="17"/>
  <c r="W1137" i="17"/>
  <c r="W1136" i="17"/>
  <c r="W1135" i="17"/>
  <c r="W1134" i="17"/>
  <c r="W1133" i="17"/>
  <c r="W1132" i="17"/>
  <c r="W1131" i="17"/>
  <c r="W1130" i="17"/>
  <c r="W1129" i="17"/>
  <c r="W1128" i="17"/>
  <c r="W1127" i="17"/>
  <c r="W1126" i="17"/>
  <c r="W1125" i="17"/>
  <c r="W1124" i="17"/>
  <c r="W1123" i="17"/>
  <c r="W1122" i="17"/>
  <c r="W1121" i="17"/>
  <c r="W1120" i="17"/>
  <c r="W1119" i="17"/>
  <c r="W1118" i="17"/>
  <c r="W1117" i="17"/>
  <c r="W1116" i="17"/>
  <c r="W1115" i="17"/>
  <c r="W1114" i="17"/>
  <c r="W1113" i="17"/>
  <c r="W1112" i="17"/>
  <c r="W1111" i="17"/>
  <c r="W1110" i="17"/>
  <c r="W1109" i="17"/>
  <c r="W1108" i="17"/>
  <c r="W1107" i="17"/>
  <c r="W1106" i="17"/>
  <c r="W1105" i="17"/>
  <c r="W1104" i="17"/>
  <c r="W1103" i="17"/>
  <c r="W1102" i="17"/>
  <c r="W1101" i="17"/>
  <c r="W1100" i="17"/>
  <c r="W1099" i="17"/>
  <c r="W1098" i="17"/>
  <c r="W1097" i="17"/>
  <c r="W1096" i="17"/>
  <c r="W1095" i="17"/>
  <c r="W1094" i="17"/>
  <c r="W1093" i="17"/>
  <c r="W1092" i="17"/>
  <c r="W1091" i="17"/>
  <c r="W1090" i="17"/>
  <c r="W1089" i="17"/>
  <c r="W1088" i="17"/>
  <c r="W1087" i="17"/>
  <c r="W1086" i="17"/>
  <c r="W1085" i="17"/>
  <c r="W1084" i="17"/>
  <c r="W1083" i="17"/>
  <c r="W1082" i="17"/>
  <c r="W1081" i="17"/>
  <c r="W1080" i="17"/>
  <c r="W1079" i="17"/>
  <c r="W1078" i="17"/>
  <c r="W1077" i="17"/>
  <c r="W1076" i="17"/>
  <c r="W1075" i="17"/>
  <c r="W1074" i="17"/>
  <c r="W1073" i="17"/>
  <c r="W1072" i="17"/>
  <c r="W1071" i="17"/>
  <c r="W1070" i="17"/>
  <c r="W1069" i="17"/>
  <c r="W1068" i="17"/>
  <c r="W1067" i="17"/>
  <c r="W1066" i="17"/>
  <c r="W1065" i="17"/>
  <c r="W1064" i="17"/>
  <c r="W1063" i="17"/>
  <c r="W1062" i="17"/>
  <c r="W1061" i="17"/>
  <c r="W1060" i="17"/>
  <c r="W1059" i="17"/>
  <c r="W1058" i="17"/>
  <c r="W1057" i="17"/>
  <c r="W1056" i="17"/>
  <c r="W1055" i="17"/>
  <c r="W1054" i="17"/>
  <c r="W1053" i="17"/>
  <c r="W1052" i="17"/>
  <c r="W1051" i="17"/>
  <c r="W1050" i="17"/>
  <c r="W1049" i="17"/>
  <c r="W1048" i="17"/>
  <c r="W1047" i="17"/>
  <c r="W1046" i="17"/>
  <c r="W1045" i="17"/>
  <c r="W1044" i="17"/>
  <c r="W1043" i="17"/>
  <c r="W1042" i="17"/>
  <c r="W1041" i="17"/>
  <c r="W1040" i="17"/>
  <c r="W1039" i="17"/>
  <c r="W1038" i="17"/>
  <c r="W1037" i="17"/>
  <c r="W1036" i="17"/>
  <c r="W1035" i="17"/>
  <c r="W1034" i="17"/>
  <c r="W1033" i="17"/>
  <c r="W1032" i="17"/>
  <c r="W1031" i="17"/>
  <c r="W1030" i="17"/>
  <c r="W1029" i="17"/>
  <c r="W1028" i="17"/>
  <c r="W1027" i="17"/>
  <c r="W1026" i="17"/>
  <c r="W1025" i="17"/>
  <c r="W1024" i="17"/>
  <c r="W1023" i="17"/>
  <c r="W1022" i="17"/>
  <c r="W1021" i="17"/>
  <c r="W1020" i="17"/>
  <c r="W1019" i="17"/>
  <c r="W1018" i="17"/>
  <c r="W1017" i="17"/>
  <c r="W1016" i="17"/>
  <c r="W1015" i="17"/>
  <c r="W1014" i="17"/>
  <c r="W1013" i="17"/>
  <c r="W1012" i="17"/>
  <c r="W1011" i="17"/>
  <c r="W1010" i="17"/>
  <c r="W1009" i="17"/>
  <c r="W1008" i="17"/>
  <c r="W1007" i="17"/>
  <c r="W1006" i="17"/>
  <c r="W1005" i="17"/>
  <c r="W1004" i="17"/>
  <c r="W1003" i="17"/>
  <c r="W1002" i="17"/>
  <c r="W1001" i="17"/>
  <c r="W1000" i="17"/>
  <c r="W999" i="17"/>
  <c r="W998" i="17"/>
  <c r="W997" i="17"/>
  <c r="W996" i="17"/>
  <c r="W995" i="17"/>
  <c r="W994" i="17"/>
  <c r="W993" i="17"/>
  <c r="W992" i="17"/>
  <c r="W991" i="17"/>
  <c r="W990" i="17"/>
  <c r="W989" i="17"/>
  <c r="W988" i="17"/>
  <c r="W987" i="17"/>
  <c r="W986" i="17"/>
  <c r="W985" i="17"/>
  <c r="W984" i="17"/>
  <c r="W983" i="17"/>
  <c r="W982" i="17"/>
  <c r="W981" i="17"/>
  <c r="W980" i="17"/>
  <c r="W979" i="17"/>
  <c r="W978" i="17"/>
  <c r="W977" i="17"/>
  <c r="W976" i="17"/>
  <c r="W975" i="17"/>
  <c r="W974" i="17"/>
  <c r="W973" i="17"/>
  <c r="W972" i="17"/>
  <c r="W971" i="17"/>
  <c r="W970" i="17"/>
  <c r="W969" i="17"/>
  <c r="W968" i="17"/>
  <c r="W967" i="17"/>
  <c r="W966" i="17"/>
  <c r="W965" i="17"/>
  <c r="W964" i="17"/>
  <c r="W963" i="17"/>
  <c r="W962" i="17"/>
  <c r="W961" i="17"/>
  <c r="W960" i="17"/>
  <c r="W959" i="17"/>
  <c r="W958" i="17"/>
  <c r="W957" i="17"/>
  <c r="W956" i="17"/>
  <c r="W955" i="17"/>
  <c r="W954" i="17"/>
  <c r="W953" i="17"/>
  <c r="W952" i="17"/>
  <c r="W951" i="17"/>
  <c r="W950" i="17"/>
  <c r="W949" i="17"/>
  <c r="W948" i="17"/>
  <c r="W947" i="17"/>
  <c r="W946" i="17"/>
  <c r="W945" i="17"/>
  <c r="W944" i="17"/>
  <c r="W943" i="17"/>
  <c r="W942" i="17"/>
  <c r="W941" i="17"/>
  <c r="W940" i="17"/>
  <c r="W939" i="17"/>
  <c r="W938" i="17"/>
  <c r="W937" i="17"/>
  <c r="W936" i="17"/>
  <c r="W935" i="17"/>
  <c r="W934" i="17"/>
  <c r="W933" i="17"/>
  <c r="W932" i="17"/>
  <c r="W931" i="17"/>
  <c r="W930" i="17"/>
  <c r="W929" i="17"/>
  <c r="W928" i="17"/>
  <c r="W927" i="17"/>
  <c r="W926" i="17"/>
  <c r="W925" i="17"/>
  <c r="W924" i="17"/>
  <c r="W923" i="17"/>
  <c r="W922" i="17"/>
  <c r="W921" i="17"/>
  <c r="W920" i="17"/>
  <c r="W919" i="17"/>
  <c r="W918" i="17"/>
  <c r="W917" i="17"/>
  <c r="W916" i="17"/>
  <c r="W915" i="17"/>
  <c r="W914" i="17"/>
  <c r="W913" i="17"/>
  <c r="W912" i="17"/>
  <c r="W911" i="17"/>
  <c r="W910" i="17"/>
  <c r="W909" i="17"/>
  <c r="W908" i="17"/>
  <c r="W907" i="17"/>
  <c r="W906" i="17"/>
  <c r="W905" i="17"/>
  <c r="W904" i="17"/>
  <c r="W903" i="17"/>
  <c r="W902" i="17"/>
  <c r="W901" i="17"/>
  <c r="W900" i="17"/>
  <c r="W899" i="17"/>
  <c r="W898" i="17"/>
  <c r="W897" i="17"/>
  <c r="W896" i="17"/>
  <c r="W895" i="17"/>
  <c r="W894" i="17"/>
  <c r="W893" i="17"/>
  <c r="W892" i="17"/>
  <c r="W891" i="17"/>
  <c r="W890" i="17"/>
  <c r="W889" i="17"/>
  <c r="W888" i="17"/>
  <c r="W887" i="17"/>
  <c r="W886" i="17"/>
  <c r="W885" i="17"/>
  <c r="W884" i="17"/>
  <c r="W883" i="17"/>
  <c r="W882" i="17"/>
  <c r="W881" i="17"/>
  <c r="W880" i="17"/>
  <c r="W879" i="17"/>
  <c r="W878" i="17"/>
  <c r="W877" i="17"/>
  <c r="W876" i="17"/>
  <c r="W875" i="17"/>
  <c r="W874" i="17"/>
  <c r="W873" i="17"/>
  <c r="W872" i="17"/>
  <c r="W871" i="17"/>
  <c r="W870" i="17"/>
  <c r="W869" i="17"/>
  <c r="W868" i="17"/>
  <c r="W867" i="17"/>
  <c r="W866" i="17"/>
  <c r="W865" i="17"/>
  <c r="W864" i="17"/>
  <c r="W863" i="17"/>
  <c r="W862" i="17"/>
  <c r="W861" i="17"/>
  <c r="W860" i="17"/>
  <c r="W859" i="17"/>
  <c r="W858" i="17"/>
  <c r="W857" i="17"/>
  <c r="W856" i="17"/>
  <c r="W855" i="17"/>
  <c r="W854" i="17"/>
  <c r="W853" i="17"/>
  <c r="W852" i="17"/>
  <c r="W851" i="17"/>
  <c r="W850" i="17"/>
  <c r="W849" i="17"/>
  <c r="W848" i="17"/>
  <c r="W847" i="17"/>
  <c r="W846" i="17"/>
  <c r="W845" i="17"/>
  <c r="W844" i="17"/>
  <c r="W843" i="17"/>
  <c r="W842" i="17"/>
  <c r="W841" i="17"/>
  <c r="W840" i="17"/>
  <c r="W839" i="17"/>
  <c r="W838" i="17"/>
  <c r="W837" i="17"/>
  <c r="W836" i="17"/>
  <c r="W835" i="17"/>
  <c r="W834" i="17"/>
  <c r="W833" i="17"/>
  <c r="W832" i="17"/>
  <c r="W831" i="17"/>
  <c r="W830" i="17"/>
  <c r="W829" i="17"/>
  <c r="W828" i="17"/>
  <c r="W827" i="17"/>
  <c r="W826" i="17"/>
  <c r="W825" i="17"/>
  <c r="W824" i="17"/>
  <c r="W823" i="17"/>
  <c r="W822" i="17"/>
  <c r="W821" i="17"/>
  <c r="W820" i="17"/>
  <c r="W819" i="17"/>
  <c r="W818" i="17"/>
  <c r="W817" i="17"/>
  <c r="W816" i="17"/>
  <c r="W815" i="17"/>
  <c r="W814" i="17"/>
  <c r="W813" i="17"/>
  <c r="W812" i="17"/>
  <c r="W811" i="17"/>
  <c r="W810" i="17"/>
  <c r="W809" i="17"/>
  <c r="W808" i="17"/>
  <c r="W807" i="17"/>
  <c r="W806" i="17"/>
  <c r="W805" i="17"/>
  <c r="W804" i="17"/>
  <c r="W803" i="17"/>
  <c r="W802" i="17"/>
  <c r="W801" i="17"/>
  <c r="W800" i="17"/>
  <c r="W799" i="17"/>
  <c r="W798" i="17"/>
  <c r="W797" i="17"/>
  <c r="W796" i="17"/>
  <c r="W795" i="17"/>
  <c r="W794" i="17"/>
  <c r="W793" i="17"/>
  <c r="W792" i="17"/>
  <c r="W791" i="17"/>
  <c r="W790" i="17"/>
  <c r="W789" i="17"/>
  <c r="W788" i="17"/>
  <c r="W787" i="17"/>
  <c r="W786" i="17"/>
  <c r="W785" i="17"/>
  <c r="W784" i="17"/>
  <c r="W783" i="17"/>
  <c r="W782" i="17"/>
  <c r="W781" i="17"/>
  <c r="W780" i="17"/>
  <c r="W779" i="17"/>
  <c r="W778" i="17"/>
  <c r="W777" i="17"/>
  <c r="W776" i="17"/>
  <c r="W775" i="17"/>
  <c r="W774" i="17"/>
  <c r="W773" i="17"/>
  <c r="W772" i="17"/>
  <c r="W771" i="17"/>
  <c r="W770" i="17"/>
  <c r="W769" i="17"/>
  <c r="W768" i="17"/>
  <c r="W767" i="17"/>
  <c r="W766" i="17"/>
  <c r="W765" i="17"/>
  <c r="W764" i="17"/>
  <c r="W763" i="17"/>
  <c r="W762" i="17"/>
  <c r="W761" i="17"/>
  <c r="W760" i="17"/>
  <c r="W759" i="17"/>
  <c r="W758" i="17"/>
  <c r="W757" i="17"/>
  <c r="W756" i="17"/>
  <c r="W755" i="17"/>
  <c r="W754" i="17"/>
  <c r="W753" i="17"/>
  <c r="W752" i="17"/>
  <c r="W751" i="17"/>
  <c r="W750" i="17"/>
  <c r="W749" i="17"/>
  <c r="W748" i="17"/>
  <c r="W747" i="17"/>
  <c r="W746" i="17"/>
  <c r="W745" i="17"/>
  <c r="W744" i="17"/>
  <c r="W743" i="17"/>
  <c r="W742" i="17"/>
  <c r="W741" i="17"/>
  <c r="W740" i="17"/>
  <c r="W739" i="17"/>
  <c r="W738" i="17"/>
  <c r="W737" i="17"/>
  <c r="W736" i="17"/>
  <c r="W735" i="17"/>
  <c r="W734" i="17"/>
  <c r="W733" i="17"/>
  <c r="W732" i="17"/>
  <c r="W731" i="17"/>
  <c r="W730" i="17"/>
  <c r="W729" i="17"/>
  <c r="W728" i="17"/>
  <c r="W727" i="17"/>
  <c r="W726" i="17"/>
  <c r="W725" i="17"/>
  <c r="W724" i="17"/>
  <c r="W723" i="17"/>
  <c r="W722" i="17"/>
  <c r="W721" i="17"/>
  <c r="W720" i="17"/>
  <c r="W719" i="17"/>
  <c r="W718" i="17"/>
  <c r="W717" i="17"/>
  <c r="W716" i="17"/>
  <c r="W715" i="17"/>
  <c r="W714" i="17"/>
  <c r="W713" i="17"/>
  <c r="W712" i="17"/>
  <c r="W711" i="17"/>
  <c r="W710" i="17"/>
  <c r="W709" i="17"/>
  <c r="W708" i="17"/>
  <c r="W707" i="17"/>
  <c r="W706" i="17"/>
  <c r="W705" i="17"/>
  <c r="W704" i="17"/>
  <c r="W703" i="17"/>
  <c r="W702" i="17"/>
  <c r="W701" i="17"/>
  <c r="W700" i="17"/>
  <c r="W699" i="17"/>
  <c r="W698" i="17"/>
  <c r="W697" i="17"/>
  <c r="W696" i="17"/>
  <c r="W695" i="17"/>
  <c r="W694" i="17"/>
  <c r="W693" i="17"/>
  <c r="W692" i="17"/>
  <c r="W691" i="17"/>
  <c r="W690" i="17"/>
  <c r="W689" i="17"/>
  <c r="W688" i="17"/>
  <c r="W687" i="17"/>
  <c r="W686" i="17"/>
  <c r="W685" i="17"/>
  <c r="W684" i="17"/>
  <c r="W683" i="17"/>
  <c r="W682" i="17"/>
  <c r="W681" i="17"/>
  <c r="W680" i="17"/>
  <c r="W679" i="17"/>
  <c r="W678" i="17"/>
  <c r="W677" i="17"/>
  <c r="W676" i="17"/>
  <c r="W675" i="17"/>
  <c r="W674" i="17"/>
  <c r="W673" i="17"/>
  <c r="W672" i="17"/>
  <c r="W671" i="17"/>
  <c r="W670" i="17"/>
  <c r="W669" i="17"/>
  <c r="W668" i="17"/>
  <c r="W667" i="17"/>
  <c r="W666" i="17"/>
  <c r="W665" i="17"/>
  <c r="W664" i="17"/>
  <c r="W663" i="17"/>
  <c r="W662" i="17"/>
  <c r="W661" i="17"/>
  <c r="W660" i="17"/>
  <c r="W659" i="17"/>
  <c r="W658" i="17"/>
  <c r="W657" i="17"/>
  <c r="W656" i="17"/>
  <c r="W655" i="17"/>
  <c r="W654" i="17"/>
  <c r="W653" i="17"/>
  <c r="W652" i="17"/>
  <c r="W651" i="17"/>
  <c r="W650" i="17"/>
  <c r="W649" i="17"/>
  <c r="W648" i="17"/>
  <c r="W647" i="17"/>
  <c r="W646" i="17"/>
  <c r="W645" i="17"/>
  <c r="W644" i="17"/>
  <c r="W643" i="17"/>
  <c r="W642" i="17"/>
  <c r="W641" i="17"/>
  <c r="W640" i="17"/>
  <c r="W639" i="17"/>
  <c r="W638" i="17"/>
  <c r="W637" i="17"/>
  <c r="W636" i="17"/>
  <c r="W635" i="17"/>
  <c r="W634" i="17"/>
  <c r="W633" i="17"/>
  <c r="W632" i="17"/>
  <c r="W631" i="17"/>
  <c r="W630" i="17"/>
  <c r="W629" i="17"/>
  <c r="W628" i="17"/>
  <c r="W627" i="17"/>
  <c r="W626" i="17"/>
  <c r="W625" i="17"/>
  <c r="W624" i="17"/>
  <c r="W623" i="17"/>
  <c r="W622" i="17"/>
  <c r="W621" i="17"/>
  <c r="W620" i="17"/>
  <c r="W619" i="17"/>
  <c r="W618" i="17"/>
  <c r="W617" i="17"/>
  <c r="W616" i="17"/>
  <c r="W615" i="17"/>
  <c r="W614" i="17"/>
  <c r="W613" i="17"/>
  <c r="W612" i="17"/>
  <c r="W611" i="17"/>
  <c r="W610" i="17"/>
  <c r="W609" i="17"/>
  <c r="W608" i="17"/>
  <c r="W607" i="17"/>
  <c r="W606" i="17"/>
  <c r="W605" i="17"/>
  <c r="W604" i="17"/>
  <c r="W603" i="17"/>
  <c r="W602" i="17"/>
  <c r="W601" i="17"/>
  <c r="W600" i="17"/>
  <c r="W599" i="17"/>
  <c r="W598" i="17"/>
  <c r="W597" i="17"/>
  <c r="W596" i="17"/>
  <c r="W595" i="17"/>
  <c r="W594" i="17"/>
  <c r="W593" i="17"/>
  <c r="W592" i="17"/>
  <c r="W591" i="17"/>
  <c r="W590" i="17"/>
  <c r="W589" i="17"/>
  <c r="W588" i="17"/>
  <c r="W587" i="17"/>
  <c r="W586" i="17"/>
  <c r="W585" i="17"/>
  <c r="W584" i="17"/>
  <c r="W583" i="17"/>
  <c r="W582" i="17"/>
  <c r="W581" i="17"/>
  <c r="W580" i="17"/>
  <c r="W579" i="17"/>
  <c r="W578" i="17"/>
  <c r="W577" i="17"/>
  <c r="W576" i="17"/>
  <c r="W575" i="17"/>
  <c r="W574" i="17"/>
  <c r="W573" i="17"/>
  <c r="W572" i="17"/>
  <c r="W571" i="17"/>
  <c r="W570" i="17"/>
  <c r="W569" i="17"/>
  <c r="W568" i="17"/>
  <c r="W567" i="17"/>
  <c r="W566" i="17"/>
  <c r="W565" i="17"/>
  <c r="W564" i="17"/>
  <c r="W563" i="17"/>
  <c r="W562" i="17"/>
  <c r="W561" i="17"/>
  <c r="W560" i="17"/>
  <c r="W559" i="17"/>
  <c r="W558" i="17"/>
  <c r="W557" i="17"/>
  <c r="W556" i="17"/>
  <c r="W555" i="17"/>
  <c r="W554" i="17"/>
  <c r="W553" i="17"/>
  <c r="W552" i="17"/>
  <c r="W551" i="17"/>
  <c r="W550" i="17"/>
  <c r="W549" i="17"/>
  <c r="W548" i="17"/>
  <c r="W547" i="17"/>
  <c r="W546" i="17"/>
  <c r="W545" i="17"/>
  <c r="W544" i="17"/>
  <c r="W543" i="17"/>
  <c r="W542" i="17"/>
  <c r="W541" i="17"/>
  <c r="W540" i="17"/>
  <c r="W539" i="17"/>
  <c r="W538" i="17"/>
  <c r="W537" i="17"/>
  <c r="W536" i="17"/>
  <c r="W535" i="17"/>
  <c r="W534" i="17"/>
  <c r="W533" i="17"/>
  <c r="W532" i="17"/>
  <c r="W531" i="17"/>
  <c r="W530" i="17"/>
  <c r="W529" i="17"/>
  <c r="W528" i="17"/>
  <c r="W527" i="17"/>
  <c r="N77" i="17" s="1"/>
  <c r="W526" i="17"/>
  <c r="W525" i="17"/>
  <c r="W524" i="17"/>
  <c r="W523" i="17"/>
  <c r="W522" i="17"/>
  <c r="W521" i="17"/>
  <c r="W520" i="17"/>
  <c r="W519" i="17"/>
  <c r="W518" i="17"/>
  <c r="W517" i="17"/>
  <c r="W516" i="17"/>
  <c r="W515" i="17"/>
  <c r="W514" i="17"/>
  <c r="W513" i="17"/>
  <c r="W512" i="17"/>
  <c r="W511" i="17"/>
  <c r="W510" i="17"/>
  <c r="W509" i="17"/>
  <c r="W508" i="17"/>
  <c r="W507" i="17"/>
  <c r="W506" i="17"/>
  <c r="W505" i="17"/>
  <c r="W504" i="17"/>
  <c r="W503" i="17"/>
  <c r="W502" i="17"/>
  <c r="W501" i="17"/>
  <c r="W500" i="17"/>
  <c r="W499" i="17"/>
  <c r="W498" i="17"/>
  <c r="W497" i="17"/>
  <c r="W496" i="17"/>
  <c r="W495" i="17"/>
  <c r="W494" i="17"/>
  <c r="W493" i="17"/>
  <c r="W492" i="17"/>
  <c r="W491" i="17"/>
  <c r="W490" i="17"/>
  <c r="W489" i="17"/>
  <c r="W488" i="17"/>
  <c r="W487" i="17"/>
  <c r="W486" i="17"/>
  <c r="W485" i="17"/>
  <c r="W484" i="17"/>
  <c r="W483" i="17"/>
  <c r="W482" i="17"/>
  <c r="W481" i="17"/>
  <c r="W480" i="17"/>
  <c r="W479" i="17"/>
  <c r="W478" i="17"/>
  <c r="W477" i="17"/>
  <c r="W476" i="17"/>
  <c r="W475" i="17"/>
  <c r="W474" i="17"/>
  <c r="W473" i="17"/>
  <c r="W472" i="17"/>
  <c r="W471" i="17"/>
  <c r="W470" i="17"/>
  <c r="W469" i="17"/>
  <c r="W468" i="17"/>
  <c r="W467" i="17"/>
  <c r="W466" i="17"/>
  <c r="W465" i="17"/>
  <c r="W464" i="17"/>
  <c r="W463" i="17"/>
  <c r="W462" i="17"/>
  <c r="W461" i="17"/>
  <c r="W460" i="17"/>
  <c r="W459" i="17"/>
  <c r="W458" i="17"/>
  <c r="W457" i="17"/>
  <c r="W456" i="17"/>
  <c r="W455" i="17"/>
  <c r="W454" i="17"/>
  <c r="W453" i="17"/>
  <c r="W452" i="17"/>
  <c r="W451" i="17"/>
  <c r="W450" i="17"/>
  <c r="W449" i="17"/>
  <c r="W448" i="17"/>
  <c r="W447" i="17"/>
  <c r="W446" i="17"/>
  <c r="W445" i="17"/>
  <c r="W444" i="17"/>
  <c r="W443" i="17"/>
  <c r="W442" i="17"/>
  <c r="W441" i="17"/>
  <c r="W440" i="17"/>
  <c r="W439" i="17"/>
  <c r="W438" i="17"/>
  <c r="W437" i="17"/>
  <c r="W436" i="17"/>
  <c r="W435" i="17"/>
  <c r="W434" i="17"/>
  <c r="W433" i="17"/>
  <c r="W432" i="17"/>
  <c r="W431" i="17"/>
  <c r="W430" i="17"/>
  <c r="W429" i="17"/>
  <c r="W428" i="17"/>
  <c r="W427" i="17"/>
  <c r="W426" i="17"/>
  <c r="W425" i="17"/>
  <c r="W424" i="17"/>
  <c r="W423" i="17"/>
  <c r="W422" i="17"/>
  <c r="W421" i="17"/>
  <c r="W420" i="17"/>
  <c r="W419" i="17"/>
  <c r="W418" i="17"/>
  <c r="W417" i="17"/>
  <c r="W416" i="17"/>
  <c r="W415" i="17"/>
  <c r="W414" i="17"/>
  <c r="W413" i="17"/>
  <c r="W412" i="17"/>
  <c r="W411" i="17"/>
  <c r="W410" i="17"/>
  <c r="W409" i="17"/>
  <c r="W408" i="17"/>
  <c r="W407" i="17"/>
  <c r="W406" i="17"/>
  <c r="W405" i="17"/>
  <c r="W404" i="17"/>
  <c r="W403" i="17"/>
  <c r="W402" i="17"/>
  <c r="W401" i="17"/>
  <c r="W400" i="17"/>
  <c r="W399" i="17"/>
  <c r="W398" i="17"/>
  <c r="W397" i="17"/>
  <c r="W396" i="17"/>
  <c r="W395" i="17"/>
  <c r="W394" i="17"/>
  <c r="W393" i="17"/>
  <c r="W392" i="17"/>
  <c r="W391" i="17"/>
  <c r="W390" i="17"/>
  <c r="W389" i="17"/>
  <c r="W388" i="17"/>
  <c r="W387" i="17"/>
  <c r="W386" i="17"/>
  <c r="W385" i="17"/>
  <c r="W384" i="17"/>
  <c r="W383" i="17"/>
  <c r="W382" i="17"/>
  <c r="W381" i="17"/>
  <c r="W380" i="17"/>
  <c r="W379" i="17"/>
  <c r="W378" i="17"/>
  <c r="W377" i="17"/>
  <c r="W376" i="17"/>
  <c r="W375" i="17"/>
  <c r="W374" i="17"/>
  <c r="W373" i="17"/>
  <c r="W372" i="17"/>
  <c r="W371" i="17"/>
  <c r="W370" i="17"/>
  <c r="W369" i="17"/>
  <c r="W368" i="17"/>
  <c r="W367" i="17"/>
  <c r="W366" i="17"/>
  <c r="W365" i="17"/>
  <c r="W364" i="17"/>
  <c r="W363" i="17"/>
  <c r="W362" i="17"/>
  <c r="W361" i="17"/>
  <c r="W360" i="17"/>
  <c r="W359" i="17"/>
  <c r="W358" i="17"/>
  <c r="W357" i="17"/>
  <c r="W356" i="17"/>
  <c r="W355" i="17"/>
  <c r="W354" i="17"/>
  <c r="W353" i="17"/>
  <c r="W352" i="17"/>
  <c r="W351" i="17"/>
  <c r="W350" i="17"/>
  <c r="W349" i="17"/>
  <c r="W348" i="17"/>
  <c r="W347" i="17"/>
  <c r="W346" i="17"/>
  <c r="W345" i="17"/>
  <c r="W344" i="17"/>
  <c r="W343" i="17"/>
  <c r="W342" i="17"/>
  <c r="W341" i="17"/>
  <c r="W340" i="17"/>
  <c r="W339" i="17"/>
  <c r="W338" i="17"/>
  <c r="W337" i="17"/>
  <c r="W336" i="17"/>
  <c r="W335" i="17"/>
  <c r="W334" i="17"/>
  <c r="W333" i="17"/>
  <c r="W332" i="17"/>
  <c r="W331" i="17"/>
  <c r="W330" i="17"/>
  <c r="W329" i="17"/>
  <c r="W328" i="17"/>
  <c r="W327" i="17"/>
  <c r="W326" i="17"/>
  <c r="W325" i="17"/>
  <c r="W324" i="17"/>
  <c r="W323" i="17"/>
  <c r="W322" i="17"/>
  <c r="W321" i="17"/>
  <c r="W320" i="17"/>
  <c r="W319" i="17"/>
  <c r="W318" i="17"/>
  <c r="W317" i="17"/>
  <c r="W316" i="17"/>
  <c r="W315" i="17"/>
  <c r="W314" i="17"/>
  <c r="W313" i="17"/>
  <c r="W312" i="17"/>
  <c r="W311" i="17"/>
  <c r="W310" i="17"/>
  <c r="W309" i="17"/>
  <c r="W308" i="17"/>
  <c r="W307" i="17"/>
  <c r="W306" i="17"/>
  <c r="W305" i="17"/>
  <c r="W304" i="17"/>
  <c r="W303" i="17"/>
  <c r="W302" i="17"/>
  <c r="W301" i="17"/>
  <c r="W300" i="17"/>
  <c r="W299" i="17"/>
  <c r="W298" i="17"/>
  <c r="W297" i="17"/>
  <c r="W296" i="17"/>
  <c r="W295" i="17"/>
  <c r="W294" i="17"/>
  <c r="W293" i="17"/>
  <c r="W292" i="17"/>
  <c r="W291" i="17"/>
  <c r="W290" i="17"/>
  <c r="W289" i="17"/>
  <c r="W288" i="17"/>
  <c r="W287" i="17"/>
  <c r="W286" i="17"/>
  <c r="W285" i="17"/>
  <c r="W284" i="17"/>
  <c r="W283" i="17"/>
  <c r="W282" i="17"/>
  <c r="W281" i="17"/>
  <c r="W280" i="17"/>
  <c r="W279" i="17"/>
  <c r="W278" i="17"/>
  <c r="W277" i="17"/>
  <c r="W276" i="17"/>
  <c r="W275" i="17"/>
  <c r="W274" i="17"/>
  <c r="W273" i="17"/>
  <c r="W272" i="17"/>
  <c r="W271" i="17"/>
  <c r="W270" i="17"/>
  <c r="W269" i="17"/>
  <c r="W268" i="17"/>
  <c r="W267" i="17"/>
  <c r="W266" i="17"/>
  <c r="W265" i="17"/>
  <c r="W264" i="17"/>
  <c r="W263" i="17"/>
  <c r="W262" i="17"/>
  <c r="W261" i="17"/>
  <c r="W260" i="17"/>
  <c r="W259" i="17"/>
  <c r="W258" i="17"/>
  <c r="W257" i="17"/>
  <c r="W256" i="17"/>
  <c r="W255" i="17"/>
  <c r="W254" i="17"/>
  <c r="W253" i="17"/>
  <c r="W252" i="17"/>
  <c r="W251" i="17"/>
  <c r="W250" i="17"/>
  <c r="W249" i="17"/>
  <c r="W248" i="17"/>
  <c r="W247" i="17"/>
  <c r="W246" i="17"/>
  <c r="W245" i="17"/>
  <c r="W244" i="17"/>
  <c r="W243" i="17"/>
  <c r="W242" i="17"/>
  <c r="W241" i="17"/>
  <c r="W240" i="17"/>
  <c r="W239" i="17"/>
  <c r="W238" i="17"/>
  <c r="W237" i="17"/>
  <c r="W236" i="17"/>
  <c r="W235" i="17"/>
  <c r="W234" i="17"/>
  <c r="W233" i="17"/>
  <c r="W232" i="17"/>
  <c r="W231" i="17"/>
  <c r="W230" i="17"/>
  <c r="W229" i="17"/>
  <c r="W228" i="17"/>
  <c r="W227" i="17"/>
  <c r="W226" i="17"/>
  <c r="W225" i="17"/>
  <c r="W224" i="17"/>
  <c r="W223" i="17"/>
  <c r="W222" i="17"/>
  <c r="W221" i="17"/>
  <c r="W220" i="17"/>
  <c r="W219" i="17"/>
  <c r="W218" i="17"/>
  <c r="W217" i="17"/>
  <c r="W216" i="17"/>
  <c r="W215" i="17"/>
  <c r="W214" i="17"/>
  <c r="W213" i="17"/>
  <c r="W212" i="17"/>
  <c r="W211" i="17"/>
  <c r="W210" i="17"/>
  <c r="W209" i="17"/>
  <c r="W208" i="17"/>
  <c r="W207" i="17"/>
  <c r="W206" i="17"/>
  <c r="W205" i="17"/>
  <c r="W204" i="17"/>
  <c r="W203" i="17"/>
  <c r="W202" i="17"/>
  <c r="W201" i="17"/>
  <c r="W200" i="17"/>
  <c r="W199" i="17"/>
  <c r="W198" i="17"/>
  <c r="W197" i="17"/>
  <c r="W196" i="17"/>
  <c r="W195" i="17"/>
  <c r="W194" i="17"/>
  <c r="W193" i="17"/>
  <c r="W192" i="17"/>
  <c r="W191" i="17"/>
  <c r="W190" i="17"/>
  <c r="W189" i="17"/>
  <c r="W188" i="17"/>
  <c r="W187" i="17"/>
  <c r="W186" i="17"/>
  <c r="W185" i="17"/>
  <c r="W184" i="17"/>
  <c r="W183" i="17"/>
  <c r="AN182" i="17"/>
  <c r="W182" i="17"/>
  <c r="F175" i="17"/>
  <c r="AN181" i="17"/>
  <c r="W181" i="17"/>
  <c r="F174" i="17"/>
  <c r="AN180" i="17"/>
  <c r="W180" i="17"/>
  <c r="F173" i="17"/>
  <c r="AN179" i="17"/>
  <c r="W179" i="17"/>
  <c r="F172" i="17"/>
  <c r="AN178" i="17"/>
  <c r="W178" i="17"/>
  <c r="F171" i="17"/>
  <c r="AN177" i="17"/>
  <c r="W177" i="17"/>
  <c r="F170" i="17"/>
  <c r="AN176" i="17"/>
  <c r="W176" i="17"/>
  <c r="F169" i="17"/>
  <c r="AN175" i="17"/>
  <c r="W175" i="17"/>
  <c r="F168" i="17"/>
  <c r="AN174" i="17"/>
  <c r="W174" i="17"/>
  <c r="F167" i="17"/>
  <c r="AN173" i="17"/>
  <c r="W173" i="17"/>
  <c r="F166" i="17"/>
  <c r="AN172" i="17"/>
  <c r="W172" i="17"/>
  <c r="F165" i="17"/>
  <c r="AN171" i="17"/>
  <c r="W171" i="17"/>
  <c r="F164" i="17"/>
  <c r="AN170" i="17"/>
  <c r="Y170" i="17"/>
  <c r="W170" i="17"/>
  <c r="F163" i="17"/>
  <c r="AN169" i="17"/>
  <c r="W169" i="17"/>
  <c r="F162" i="17"/>
  <c r="AN168" i="17"/>
  <c r="W168" i="17"/>
  <c r="F161" i="17"/>
  <c r="AN167" i="17"/>
  <c r="W167" i="17"/>
  <c r="F160" i="17"/>
  <c r="AN166" i="17"/>
  <c r="W166" i="17"/>
  <c r="F159" i="17"/>
  <c r="AN165" i="17"/>
  <c r="W165" i="17"/>
  <c r="F158" i="17"/>
  <c r="AN164" i="17"/>
  <c r="W164" i="17"/>
  <c r="F157" i="17"/>
  <c r="AP163" i="17"/>
  <c r="AN163" i="17"/>
  <c r="W163" i="17"/>
  <c r="F156" i="17"/>
  <c r="AP162" i="17"/>
  <c r="AN162" i="17"/>
  <c r="W162" i="17"/>
  <c r="F155" i="17"/>
  <c r="AP161" i="17"/>
  <c r="AN161" i="17"/>
  <c r="W161" i="17"/>
  <c r="F154" i="17"/>
  <c r="AP160" i="17"/>
  <c r="AN160" i="17"/>
  <c r="W160" i="17"/>
  <c r="F153" i="17"/>
  <c r="AP159" i="17"/>
  <c r="AN159" i="17"/>
  <c r="W159" i="17"/>
  <c r="F152" i="17"/>
  <c r="AP158" i="17"/>
  <c r="AN158" i="17"/>
  <c r="W158" i="17"/>
  <c r="F151" i="17"/>
  <c r="AP157" i="17"/>
  <c r="AN157" i="17"/>
  <c r="W157" i="17"/>
  <c r="F150" i="17"/>
  <c r="AP156" i="17"/>
  <c r="AN156" i="17"/>
  <c r="W156" i="17"/>
  <c r="F149" i="17"/>
  <c r="AP155" i="17"/>
  <c r="AN155" i="17"/>
  <c r="W155" i="17"/>
  <c r="F148" i="17"/>
  <c r="AP154" i="17"/>
  <c r="AN154" i="17"/>
  <c r="W154" i="17"/>
  <c r="F147" i="17"/>
  <c r="AP153" i="17"/>
  <c r="AN153" i="17"/>
  <c r="W153" i="17"/>
  <c r="F146" i="17"/>
  <c r="AP152" i="17"/>
  <c r="AN152" i="17"/>
  <c r="W152" i="17"/>
  <c r="F145" i="17"/>
  <c r="AP151" i="17"/>
  <c r="AN151" i="17"/>
  <c r="W151" i="17"/>
  <c r="F144" i="17"/>
  <c r="AP150" i="17"/>
  <c r="AN150" i="17"/>
  <c r="W150" i="17"/>
  <c r="F143" i="17"/>
  <c r="AN149" i="17"/>
  <c r="W149" i="17"/>
  <c r="F142" i="17"/>
  <c r="AN148" i="17"/>
  <c r="W148" i="17"/>
  <c r="F141" i="17"/>
  <c r="AN147" i="17"/>
  <c r="W147" i="17"/>
  <c r="F140" i="17"/>
  <c r="AN146" i="17"/>
  <c r="W146" i="17"/>
  <c r="F139" i="17"/>
  <c r="AN145" i="17"/>
  <c r="W145" i="17"/>
  <c r="F138" i="17"/>
  <c r="AN144" i="17"/>
  <c r="W144" i="17"/>
  <c r="F137" i="17"/>
  <c r="AN143" i="17"/>
  <c r="W143" i="17"/>
  <c r="F136" i="17"/>
  <c r="AN142" i="17"/>
  <c r="W142" i="17"/>
  <c r="F135" i="17"/>
  <c r="AN141" i="17"/>
  <c r="W141" i="17"/>
  <c r="F134" i="17"/>
  <c r="AN140" i="17"/>
  <c r="W140" i="17"/>
  <c r="F133" i="17"/>
  <c r="AN139" i="17"/>
  <c r="W139" i="17"/>
  <c r="F132" i="17"/>
  <c r="AN138" i="17"/>
  <c r="W138" i="17"/>
  <c r="F131" i="17"/>
  <c r="AN137" i="17"/>
  <c r="W137" i="17"/>
  <c r="F130" i="17"/>
  <c r="AN136" i="17"/>
  <c r="W136" i="17"/>
  <c r="F129" i="17"/>
  <c r="AN135" i="17"/>
  <c r="W135" i="17"/>
  <c r="AN134" i="17"/>
  <c r="W134" i="17"/>
  <c r="F127" i="17"/>
  <c r="AN133" i="17"/>
  <c r="W133" i="17"/>
  <c r="AN132" i="17"/>
  <c r="W132" i="17"/>
  <c r="F125" i="17"/>
  <c r="AN131" i="17"/>
  <c r="W131" i="17"/>
  <c r="F124" i="17"/>
  <c r="AN130" i="17"/>
  <c r="W130" i="17"/>
  <c r="F123" i="17"/>
  <c r="AN129" i="17"/>
  <c r="W129" i="17"/>
  <c r="F122" i="17"/>
  <c r="AN128" i="17"/>
  <c r="W128" i="17"/>
  <c r="F121" i="17"/>
  <c r="AN127" i="17"/>
  <c r="W127" i="17"/>
  <c r="F120" i="17"/>
  <c r="AN126" i="17"/>
  <c r="W126" i="17"/>
  <c r="F119" i="17"/>
  <c r="AP125" i="17"/>
  <c r="AN125" i="17"/>
  <c r="W125" i="17"/>
  <c r="F118" i="17"/>
  <c r="AN124" i="17"/>
  <c r="W124" i="17"/>
  <c r="F117" i="17"/>
  <c r="AP123" i="17"/>
  <c r="AN123" i="17"/>
  <c r="W123" i="17"/>
  <c r="F116" i="17"/>
  <c r="AN122" i="17"/>
  <c r="W122" i="17"/>
  <c r="F115" i="17"/>
  <c r="AN121" i="17"/>
  <c r="W121" i="17"/>
  <c r="F114" i="17"/>
  <c r="AP120" i="17"/>
  <c r="AN120" i="17"/>
  <c r="W120" i="17"/>
  <c r="F113" i="17"/>
  <c r="AP119" i="17"/>
  <c r="AN119" i="17"/>
  <c r="W119" i="17"/>
  <c r="F112" i="17"/>
  <c r="AP118" i="17"/>
  <c r="AN118" i="17"/>
  <c r="W118" i="17"/>
  <c r="F111" i="17"/>
  <c r="AN117" i="17"/>
  <c r="W117" i="17"/>
  <c r="F110" i="17"/>
  <c r="AN116" i="17"/>
  <c r="W116" i="17"/>
  <c r="F109" i="17"/>
  <c r="AN115" i="17"/>
  <c r="W115" i="17"/>
  <c r="F108" i="17"/>
  <c r="AN114" i="17"/>
  <c r="W114" i="17"/>
  <c r="F107" i="17"/>
  <c r="AP113" i="17"/>
  <c r="AN113" i="17"/>
  <c r="W113" i="17"/>
  <c r="F106" i="17"/>
  <c r="AP112" i="17"/>
  <c r="AN112" i="17"/>
  <c r="W112" i="17"/>
  <c r="F105" i="17"/>
  <c r="AN111" i="17"/>
  <c r="W111" i="17"/>
  <c r="F104" i="17"/>
  <c r="AP110" i="17"/>
  <c r="AN110" i="17"/>
  <c r="W110" i="17"/>
  <c r="F103" i="17"/>
  <c r="AN109" i="17"/>
  <c r="W109" i="17"/>
  <c r="AY12" i="17"/>
  <c r="AN108" i="17"/>
  <c r="W108" i="17"/>
  <c r="AY11" i="17"/>
  <c r="AN107" i="17"/>
  <c r="W107" i="17"/>
  <c r="F100" i="17"/>
  <c r="AP106" i="17"/>
  <c r="AN106" i="17"/>
  <c r="W106" i="17"/>
  <c r="AN105" i="17"/>
  <c r="W105" i="17"/>
  <c r="AY9" i="17"/>
  <c r="AN104" i="17"/>
  <c r="W104" i="17"/>
  <c r="AY8" i="17"/>
  <c r="AN103" i="17"/>
  <c r="W103" i="17"/>
  <c r="AY7" i="17"/>
  <c r="AN102" i="17"/>
  <c r="W102" i="17"/>
  <c r="F95" i="17"/>
  <c r="AN101" i="17"/>
  <c r="W101" i="17"/>
  <c r="F94" i="17"/>
  <c r="AN100" i="17"/>
  <c r="W100" i="17"/>
  <c r="AP99" i="17"/>
  <c r="AN99" i="17"/>
  <c r="W99" i="17"/>
  <c r="F92" i="17"/>
  <c r="AP98" i="17"/>
  <c r="AN98" i="17"/>
  <c r="W98" i="17"/>
  <c r="F91" i="17"/>
  <c r="AN97" i="17"/>
  <c r="W97" i="17"/>
  <c r="F90" i="17"/>
  <c r="AN96" i="17"/>
  <c r="W96" i="17"/>
  <c r="F89" i="17"/>
  <c r="AN95" i="17"/>
  <c r="W95" i="17"/>
  <c r="F87" i="17"/>
  <c r="AN94" i="17"/>
  <c r="W94" i="17"/>
  <c r="F86" i="17"/>
  <c r="AN93" i="17"/>
  <c r="W93" i="17"/>
  <c r="F85" i="17"/>
  <c r="AN92" i="17"/>
  <c r="W92" i="17"/>
  <c r="AN91" i="17"/>
  <c r="W91" i="17"/>
  <c r="AY5" i="17"/>
  <c r="AN90" i="17"/>
  <c r="W90" i="17"/>
  <c r="AY4" i="17"/>
  <c r="AN89" i="17"/>
  <c r="W89" i="17"/>
  <c r="F81" i="17"/>
  <c r="AN87" i="17"/>
  <c r="W87" i="17"/>
  <c r="F80" i="17"/>
  <c r="AN86" i="17"/>
  <c r="W86" i="17"/>
  <c r="F79" i="17"/>
  <c r="AN85" i="17"/>
  <c r="W85" i="17"/>
  <c r="F78" i="17"/>
  <c r="AN84" i="17"/>
  <c r="W84" i="17"/>
  <c r="F77" i="17"/>
  <c r="AP83" i="17"/>
  <c r="AN83" i="17"/>
  <c r="W83" i="17"/>
  <c r="F76" i="17"/>
  <c r="AP82" i="17"/>
  <c r="AN82" i="17"/>
  <c r="W82" i="17"/>
  <c r="F75" i="17"/>
  <c r="AN81" i="17"/>
  <c r="W81" i="17"/>
  <c r="AY16" i="17"/>
  <c r="AN80" i="17"/>
  <c r="W80" i="17"/>
  <c r="AY15" i="17"/>
  <c r="F71" i="17"/>
  <c r="F70" i="17"/>
  <c r="F69" i="17"/>
  <c r="F68" i="17"/>
  <c r="F67" i="17"/>
  <c r="F66" i="17"/>
  <c r="F65" i="17"/>
  <c r="AN71" i="17"/>
  <c r="W71" i="17"/>
  <c r="F64" i="17"/>
  <c r="AN70" i="17"/>
  <c r="W70" i="17"/>
  <c r="F63" i="17"/>
  <c r="AN69" i="17"/>
  <c r="W69" i="17"/>
  <c r="F62" i="17"/>
  <c r="AN68" i="17"/>
  <c r="W68" i="17"/>
  <c r="F61" i="17"/>
  <c r="AN67" i="17"/>
  <c r="W67" i="17"/>
  <c r="F60" i="17"/>
  <c r="AN66" i="17"/>
  <c r="W66" i="17"/>
  <c r="F59" i="17"/>
  <c r="AN65" i="17"/>
  <c r="W65" i="17"/>
  <c r="I65" i="17"/>
  <c r="F58" i="17"/>
  <c r="AN64" i="17"/>
  <c r="W64" i="17"/>
  <c r="I64" i="17"/>
  <c r="F57" i="17"/>
  <c r="AN63" i="17"/>
  <c r="W63" i="17"/>
  <c r="I63" i="17"/>
  <c r="F56" i="17"/>
  <c r="AN62" i="17"/>
  <c r="W62" i="17"/>
  <c r="I62" i="17"/>
  <c r="F55" i="17"/>
  <c r="AN61" i="17"/>
  <c r="W61" i="17"/>
  <c r="I61" i="17"/>
  <c r="F54" i="17"/>
  <c r="AN60" i="17"/>
  <c r="W60" i="17"/>
  <c r="I60" i="17"/>
  <c r="F53" i="17"/>
  <c r="AN59" i="17"/>
  <c r="W59" i="17"/>
  <c r="I59" i="17"/>
  <c r="F52" i="17"/>
  <c r="AN58" i="17"/>
  <c r="W58" i="17"/>
  <c r="I58" i="17"/>
  <c r="F51" i="17"/>
  <c r="AN57" i="17"/>
  <c r="W57" i="17"/>
  <c r="I57" i="17"/>
  <c r="F50" i="17"/>
  <c r="AN56" i="17"/>
  <c r="W56" i="17"/>
  <c r="I56" i="17"/>
  <c r="F49" i="17"/>
  <c r="AN55" i="17"/>
  <c r="W55" i="17"/>
  <c r="I55" i="17"/>
  <c r="F48" i="17"/>
  <c r="AN54" i="17"/>
  <c r="W54" i="17"/>
  <c r="I54" i="17"/>
  <c r="F47" i="17"/>
  <c r="AN53" i="17"/>
  <c r="W53" i="17"/>
  <c r="I53" i="17"/>
  <c r="F46" i="17"/>
  <c r="AN52" i="17"/>
  <c r="W52" i="17"/>
  <c r="I52" i="17"/>
  <c r="F45" i="17"/>
  <c r="AN51" i="17"/>
  <c r="W51" i="17"/>
  <c r="I51" i="17"/>
  <c r="F44" i="17"/>
  <c r="AN50" i="17"/>
  <c r="W50" i="17"/>
  <c r="I50" i="17"/>
  <c r="F43" i="17"/>
  <c r="AN49" i="17"/>
  <c r="W49" i="17"/>
  <c r="I49" i="17"/>
  <c r="F42" i="17"/>
  <c r="I48" i="17"/>
  <c r="F41" i="17"/>
  <c r="I47" i="17"/>
  <c r="F40" i="17"/>
  <c r="I46" i="17"/>
  <c r="F39" i="17"/>
  <c r="I45" i="17"/>
  <c r="F38" i="17"/>
  <c r="I44" i="17"/>
  <c r="F37" i="17"/>
  <c r="I43" i="17"/>
  <c r="F36" i="17"/>
  <c r="I42" i="17"/>
  <c r="F35" i="17"/>
  <c r="I41" i="17"/>
  <c r="F34" i="17"/>
  <c r="I40" i="17"/>
  <c r="I39" i="17"/>
  <c r="F32" i="17"/>
  <c r="I38" i="17"/>
  <c r="F31" i="17"/>
  <c r="I37" i="17"/>
  <c r="F30" i="17"/>
  <c r="I36" i="17"/>
  <c r="F29" i="17"/>
  <c r="I35" i="17"/>
  <c r="F28" i="17"/>
  <c r="I34" i="17"/>
  <c r="F27" i="17"/>
  <c r="I33" i="17"/>
  <c r="F26" i="17"/>
  <c r="I32" i="17"/>
  <c r="F25" i="17"/>
  <c r="I31" i="17"/>
  <c r="F24" i="17"/>
  <c r="BD16" i="17"/>
  <c r="BE16" i="17" s="1"/>
  <c r="I30" i="17"/>
  <c r="F23" i="17"/>
  <c r="F22" i="17"/>
  <c r="AW21" i="17"/>
  <c r="BA21" i="17" s="1"/>
  <c r="AN21" i="17"/>
  <c r="W21" i="17"/>
  <c r="I21" i="17"/>
  <c r="F21" i="17"/>
  <c r="AY20" i="17"/>
  <c r="AW20" i="17"/>
  <c r="AN20" i="17"/>
  <c r="W20" i="17"/>
  <c r="I20" i="17"/>
  <c r="F20" i="17"/>
  <c r="AW19" i="17"/>
  <c r="BA19" i="17" s="1"/>
  <c r="AN19" i="17"/>
  <c r="W19" i="17"/>
  <c r="I19" i="17"/>
  <c r="F19" i="17"/>
  <c r="AW18" i="17"/>
  <c r="AN18" i="17"/>
  <c r="W18" i="17"/>
  <c r="I18" i="17"/>
  <c r="F18" i="17"/>
  <c r="AW17" i="17"/>
  <c r="BA17" i="17" s="1"/>
  <c r="AN17" i="17"/>
  <c r="W17" i="17"/>
  <c r="I17" i="17"/>
  <c r="F17" i="17"/>
  <c r="AW16" i="17"/>
  <c r="BA16" i="17" s="1"/>
  <c r="AN16" i="17"/>
  <c r="W16" i="17"/>
  <c r="I16" i="17"/>
  <c r="F16" i="17"/>
  <c r="AW15" i="17"/>
  <c r="BA15" i="17" s="1"/>
  <c r="AN15" i="17"/>
  <c r="W15" i="17"/>
  <c r="I15" i="17"/>
  <c r="F15" i="17"/>
  <c r="AW14" i="17"/>
  <c r="AN14" i="17"/>
  <c r="W14" i="17"/>
  <c r="I14" i="17"/>
  <c r="F14" i="17"/>
  <c r="AW13" i="17"/>
  <c r="BA13" i="17" s="1"/>
  <c r="AN13" i="17"/>
  <c r="AC13" i="17"/>
  <c r="AB13" i="17"/>
  <c r="W13" i="17"/>
  <c r="I13" i="17"/>
  <c r="F13" i="17"/>
  <c r="AW12" i="17"/>
  <c r="BA12" i="17" s="1"/>
  <c r="AN12" i="17"/>
  <c r="AC12" i="17"/>
  <c r="AB12" i="17"/>
  <c r="W12" i="17"/>
  <c r="I12" i="17"/>
  <c r="F12" i="17"/>
  <c r="AW11" i="17"/>
  <c r="BA11" i="17" s="1"/>
  <c r="AN11" i="17"/>
  <c r="AC11" i="17"/>
  <c r="AB11" i="17"/>
  <c r="W11" i="17"/>
  <c r="I11" i="17"/>
  <c r="F11" i="17"/>
  <c r="AW10" i="17"/>
  <c r="BA10" i="17" s="1"/>
  <c r="AN10" i="17"/>
  <c r="AC10" i="17"/>
  <c r="AB10" i="17"/>
  <c r="W10" i="17"/>
  <c r="I10" i="17"/>
  <c r="F10" i="17"/>
  <c r="AW9" i="17"/>
  <c r="AN9" i="17"/>
  <c r="AC9" i="17"/>
  <c r="AB9" i="17"/>
  <c r="W9" i="17"/>
  <c r="I9" i="17"/>
  <c r="F9" i="17"/>
  <c r="BD8" i="17"/>
  <c r="BE8" i="17" s="1"/>
  <c r="AW8" i="17"/>
  <c r="AN8" i="17"/>
  <c r="W8" i="17"/>
  <c r="I8" i="17"/>
  <c r="F8" i="17"/>
  <c r="AW7" i="17"/>
  <c r="BA7" i="17" s="1"/>
  <c r="AN7" i="17"/>
  <c r="W7" i="17"/>
  <c r="I7" i="17"/>
  <c r="F7" i="17"/>
  <c r="AW6" i="17"/>
  <c r="BA6" i="17" s="1"/>
  <c r="AN6" i="17"/>
  <c r="W6" i="17"/>
  <c r="I6" i="17"/>
  <c r="F6" i="17"/>
  <c r="AW5" i="17"/>
  <c r="BA5" i="17" s="1"/>
  <c r="AN5" i="17"/>
  <c r="W5" i="17"/>
  <c r="I5" i="17"/>
  <c r="F5" i="17"/>
  <c r="BJ4" i="17"/>
  <c r="AW4" i="17"/>
  <c r="AT4" i="17"/>
  <c r="AT5" i="17" s="1"/>
  <c r="AT6" i="17" s="1"/>
  <c r="AN4" i="17"/>
  <c r="W4" i="17"/>
  <c r="I4" i="17"/>
  <c r="F4" i="17"/>
  <c r="BJ3" i="17"/>
  <c r="AW3" i="17"/>
  <c r="BA3" i="17" s="1"/>
  <c r="AN3" i="17"/>
  <c r="W3" i="17"/>
  <c r="I3" i="17"/>
  <c r="F3" i="17"/>
  <c r="W2" i="17"/>
  <c r="AO286" i="35"/>
  <c r="AO285" i="35"/>
  <c r="AO284" i="35"/>
  <c r="AO283" i="35"/>
  <c r="AO282" i="35"/>
  <c r="AO281" i="35"/>
  <c r="AO280" i="35"/>
  <c r="AO279" i="35"/>
  <c r="AO278" i="35"/>
  <c r="AO277" i="35"/>
  <c r="AO276" i="35"/>
  <c r="AO275" i="35"/>
  <c r="AO274" i="35"/>
  <c r="AO273" i="35"/>
  <c r="AO272" i="35"/>
  <c r="AO271" i="35"/>
  <c r="AO270" i="35"/>
  <c r="AO269" i="35"/>
  <c r="AO268" i="35"/>
  <c r="AO267" i="35"/>
  <c r="AO266" i="35"/>
  <c r="AO265" i="35"/>
  <c r="AO264" i="35"/>
  <c r="AO263" i="35"/>
  <c r="AO262" i="35"/>
  <c r="AO261" i="35"/>
  <c r="AO260" i="35"/>
  <c r="AO259" i="35"/>
  <c r="AO258" i="35"/>
  <c r="AO257" i="35"/>
  <c r="AO256" i="35"/>
  <c r="AO255" i="35"/>
  <c r="AO254" i="35"/>
  <c r="AO253" i="35"/>
  <c r="AO252" i="35"/>
  <c r="AO251" i="35"/>
  <c r="AO250" i="35"/>
  <c r="AO249" i="35"/>
  <c r="AO248" i="35"/>
  <c r="AO247" i="35"/>
  <c r="AO246" i="35"/>
  <c r="AO245" i="35"/>
  <c r="AO244" i="35"/>
  <c r="AO243" i="35"/>
  <c r="AO242" i="35"/>
  <c r="AO241" i="35"/>
  <c r="AO240" i="35"/>
  <c r="AO239" i="35"/>
  <c r="AO238" i="35"/>
  <c r="AO237" i="35"/>
  <c r="AO236" i="35"/>
  <c r="AO235" i="35"/>
  <c r="AO234" i="35"/>
  <c r="AO233" i="35"/>
  <c r="AO232" i="35"/>
  <c r="AO231" i="35"/>
  <c r="AO230" i="35"/>
  <c r="AO229" i="35"/>
  <c r="AO228" i="35"/>
  <c r="AO227" i="35"/>
  <c r="AO226" i="35"/>
  <c r="AO225" i="35"/>
  <c r="AO224" i="35"/>
  <c r="AO223" i="35"/>
  <c r="AO222" i="35"/>
  <c r="AO221" i="35"/>
  <c r="AO220" i="35"/>
  <c r="AO219" i="35"/>
  <c r="AO218" i="35"/>
  <c r="AO217" i="35"/>
  <c r="AO216" i="35"/>
  <c r="AO215" i="35"/>
  <c r="AO214" i="35"/>
  <c r="AO213" i="35"/>
  <c r="AO212" i="35"/>
  <c r="AO211" i="35"/>
  <c r="AO210" i="35"/>
  <c r="AO209" i="35"/>
  <c r="AO208" i="35"/>
  <c r="AO207" i="35"/>
  <c r="AO206" i="35"/>
  <c r="AO205" i="35"/>
  <c r="AO204" i="35"/>
  <c r="AO203" i="35"/>
  <c r="AO202" i="35"/>
  <c r="AO201" i="35"/>
  <c r="AO200" i="35"/>
  <c r="AO199" i="35"/>
  <c r="AO198" i="35"/>
  <c r="AO197" i="35"/>
  <c r="AO196" i="35"/>
  <c r="AO195" i="35"/>
  <c r="AO194" i="35"/>
  <c r="AO193" i="35"/>
  <c r="AO192" i="35"/>
  <c r="AO191" i="35"/>
  <c r="AO190" i="35"/>
  <c r="AO189" i="35"/>
  <c r="AO188" i="35"/>
  <c r="AO187" i="35"/>
  <c r="AO186" i="35"/>
  <c r="AO185" i="35"/>
  <c r="AO184" i="35"/>
  <c r="AO183" i="35"/>
  <c r="AO182" i="35"/>
  <c r="AO181" i="35"/>
  <c r="AO180" i="35"/>
  <c r="AO179" i="35"/>
  <c r="AO178" i="35"/>
  <c r="AO177" i="35"/>
  <c r="AO176" i="35"/>
  <c r="AO175" i="35"/>
  <c r="AO174" i="35"/>
  <c r="AO173" i="35"/>
  <c r="AO172" i="35"/>
  <c r="AO171" i="35"/>
  <c r="AO170" i="35"/>
  <c r="AO169" i="35"/>
  <c r="AO168" i="35"/>
  <c r="AO167" i="35"/>
  <c r="AO166" i="35"/>
  <c r="AO165" i="35"/>
  <c r="AO164" i="35"/>
  <c r="AO163" i="35"/>
  <c r="AO162" i="35"/>
  <c r="AO161" i="35"/>
  <c r="AO160" i="35"/>
  <c r="AO159" i="35"/>
  <c r="AO158" i="35"/>
  <c r="AO157" i="35"/>
  <c r="AO156" i="35"/>
  <c r="AO155" i="35"/>
  <c r="AO154" i="35"/>
  <c r="AO153" i="35"/>
  <c r="AO152" i="35"/>
  <c r="AO151" i="35"/>
  <c r="AO150" i="35"/>
  <c r="AO149" i="35"/>
  <c r="AO148" i="35"/>
  <c r="AO147" i="35"/>
  <c r="AO146" i="35"/>
  <c r="AO145" i="35"/>
  <c r="AO144" i="35"/>
  <c r="AO143" i="35"/>
  <c r="AO142" i="35"/>
  <c r="AO141" i="35"/>
  <c r="AO140" i="35"/>
  <c r="AO139" i="35"/>
  <c r="AO138" i="35"/>
  <c r="AO137" i="35"/>
  <c r="AO136" i="35"/>
  <c r="AO135" i="35"/>
  <c r="AO134" i="35"/>
  <c r="AO133" i="35"/>
  <c r="AO132" i="35"/>
  <c r="AO131" i="35"/>
  <c r="AO130" i="35"/>
  <c r="AO129" i="35"/>
  <c r="AO128" i="35"/>
  <c r="AO127" i="35"/>
  <c r="AO126" i="35"/>
  <c r="AO125" i="35"/>
  <c r="AO124" i="35"/>
  <c r="AO123" i="35"/>
  <c r="AO122" i="35"/>
  <c r="AO121" i="35"/>
  <c r="AO120" i="35"/>
  <c r="AO119" i="35"/>
  <c r="AO118" i="35"/>
  <c r="AC118" i="35"/>
  <c r="AB118" i="35"/>
  <c r="V118" i="35"/>
  <c r="X118" i="35" s="1"/>
  <c r="T118" i="35"/>
  <c r="AO117" i="35"/>
  <c r="AC117" i="35"/>
  <c r="AB117" i="35"/>
  <c r="V117" i="35"/>
  <c r="X117" i="35" s="1"/>
  <c r="T117" i="35"/>
  <c r="AO116" i="35"/>
  <c r="AC116" i="35"/>
  <c r="AB116" i="35"/>
  <c r="V116" i="35"/>
  <c r="X116" i="35" s="1"/>
  <c r="T116" i="35"/>
  <c r="AO115" i="35"/>
  <c r="AC115" i="35"/>
  <c r="AB115" i="35"/>
  <c r="V115" i="35"/>
  <c r="X115" i="35" s="1"/>
  <c r="T115" i="35"/>
  <c r="AO114" i="35"/>
  <c r="AC114" i="35"/>
  <c r="AB114" i="35"/>
  <c r="V114" i="35"/>
  <c r="X114" i="35" s="1"/>
  <c r="T114" i="35"/>
  <c r="AO113" i="35"/>
  <c r="AC113" i="35"/>
  <c r="AB113" i="35"/>
  <c r="V113" i="35"/>
  <c r="X113" i="35" s="1"/>
  <c r="T113" i="35"/>
  <c r="AO112" i="35"/>
  <c r="AC112" i="35"/>
  <c r="AB112" i="35"/>
  <c r="V112" i="35"/>
  <c r="X112" i="35" s="1"/>
  <c r="T112" i="35"/>
  <c r="AO111" i="35"/>
  <c r="AC111" i="35"/>
  <c r="AB111" i="35"/>
  <c r="V111" i="35"/>
  <c r="X111" i="35" s="1"/>
  <c r="T111" i="35"/>
  <c r="AO110" i="35"/>
  <c r="AC110" i="35"/>
  <c r="AB110" i="35"/>
  <c r="V110" i="35"/>
  <c r="X110" i="35" s="1"/>
  <c r="T110" i="35"/>
  <c r="AO109" i="35"/>
  <c r="AC109" i="35"/>
  <c r="AB109" i="35"/>
  <c r="V109" i="35"/>
  <c r="X109" i="35" s="1"/>
  <c r="T109" i="35"/>
  <c r="AO108" i="35"/>
  <c r="AC108" i="35"/>
  <c r="AB108" i="35"/>
  <c r="V108" i="35"/>
  <c r="X108" i="35" s="1"/>
  <c r="T108" i="35"/>
  <c r="AO107" i="35"/>
  <c r="AC107" i="35"/>
  <c r="AB107" i="35"/>
  <c r="V107" i="35"/>
  <c r="X107" i="35" s="1"/>
  <c r="T107" i="35"/>
  <c r="AO106" i="35"/>
  <c r="AC106" i="35"/>
  <c r="AB106" i="35"/>
  <c r="V106" i="35"/>
  <c r="X106" i="35" s="1"/>
  <c r="T106" i="35"/>
  <c r="AO105" i="35"/>
  <c r="AC105" i="35"/>
  <c r="AB105" i="35"/>
  <c r="V105" i="35"/>
  <c r="X105" i="35" s="1"/>
  <c r="T105" i="35"/>
  <c r="AO104" i="35"/>
  <c r="AC104" i="35"/>
  <c r="AB104" i="35"/>
  <c r="V104" i="35"/>
  <c r="X104" i="35" s="1"/>
  <c r="T104" i="35"/>
  <c r="AO103" i="35"/>
  <c r="AC103" i="35"/>
  <c r="AB103" i="35"/>
  <c r="V103" i="35"/>
  <c r="X103" i="35" s="1"/>
  <c r="T103" i="35"/>
  <c r="AO102" i="35"/>
  <c r="AC102" i="35"/>
  <c r="AB102" i="35"/>
  <c r="V102" i="35"/>
  <c r="X102" i="35" s="1"/>
  <c r="T102" i="35"/>
  <c r="AO101" i="35"/>
  <c r="AC101" i="35"/>
  <c r="AB101" i="35"/>
  <c r="V101" i="35"/>
  <c r="X101" i="35" s="1"/>
  <c r="T101" i="35"/>
  <c r="AO100" i="35"/>
  <c r="AC100" i="35"/>
  <c r="AB100" i="35"/>
  <c r="V100" i="35"/>
  <c r="X100" i="35" s="1"/>
  <c r="T100" i="35"/>
  <c r="AO99" i="35"/>
  <c r="AC99" i="35"/>
  <c r="AB99" i="35"/>
  <c r="V99" i="35"/>
  <c r="X99" i="35" s="1"/>
  <c r="T99" i="35"/>
  <c r="AO98" i="35"/>
  <c r="AC98" i="35"/>
  <c r="AB98" i="35"/>
  <c r="V98" i="35"/>
  <c r="X98" i="35" s="1"/>
  <c r="T98" i="35"/>
  <c r="AO97" i="35"/>
  <c r="AC97" i="35"/>
  <c r="AB97" i="35"/>
  <c r="V97" i="35"/>
  <c r="X97" i="35" s="1"/>
  <c r="T97" i="35"/>
  <c r="AO96" i="35"/>
  <c r="AC96" i="35"/>
  <c r="AB96" i="35"/>
  <c r="V96" i="35"/>
  <c r="X96" i="35" s="1"/>
  <c r="T96" i="35"/>
  <c r="AO95" i="35"/>
  <c r="AC95" i="35"/>
  <c r="AB95" i="35"/>
  <c r="V95" i="35"/>
  <c r="X95" i="35" s="1"/>
  <c r="T95" i="35"/>
  <c r="AO94" i="35"/>
  <c r="AC94" i="35"/>
  <c r="AB94" i="35"/>
  <c r="V94" i="35"/>
  <c r="X94" i="35" s="1"/>
  <c r="T94" i="35"/>
  <c r="AO93" i="35"/>
  <c r="AC93" i="35"/>
  <c r="AB93" i="35"/>
  <c r="V93" i="35"/>
  <c r="X93" i="35" s="1"/>
  <c r="T93" i="35"/>
  <c r="AO92" i="35"/>
  <c r="AC92" i="35"/>
  <c r="AB92" i="35"/>
  <c r="V92" i="35"/>
  <c r="X92" i="35" s="1"/>
  <c r="T92" i="35"/>
  <c r="AO91" i="35"/>
  <c r="AC91" i="35"/>
  <c r="AB91" i="35"/>
  <c r="V91" i="35"/>
  <c r="X91" i="35" s="1"/>
  <c r="T91" i="35"/>
  <c r="AO90" i="35"/>
  <c r="AC90" i="35"/>
  <c r="AB90" i="35"/>
  <c r="V90" i="35"/>
  <c r="X90" i="35" s="1"/>
  <c r="T90" i="35"/>
  <c r="AO89" i="35"/>
  <c r="AC89" i="35"/>
  <c r="AB89" i="35"/>
  <c r="V89" i="35"/>
  <c r="X89" i="35" s="1"/>
  <c r="T89" i="35"/>
  <c r="AO88" i="35"/>
  <c r="AC88" i="35"/>
  <c r="AB88" i="35"/>
  <c r="V88" i="35"/>
  <c r="X88" i="35" s="1"/>
  <c r="T88" i="35"/>
  <c r="AO87" i="35"/>
  <c r="AC87" i="35"/>
  <c r="AB87" i="35"/>
  <c r="V87" i="35"/>
  <c r="X87" i="35" s="1"/>
  <c r="T87" i="35"/>
  <c r="AO86" i="35"/>
  <c r="AC86" i="35"/>
  <c r="AB86" i="35"/>
  <c r="V86" i="35"/>
  <c r="X86" i="35" s="1"/>
  <c r="T86" i="35"/>
  <c r="AO85" i="35"/>
  <c r="AC85" i="35"/>
  <c r="AB85" i="35"/>
  <c r="V85" i="35"/>
  <c r="X85" i="35" s="1"/>
  <c r="T85" i="35"/>
  <c r="AO84" i="35"/>
  <c r="AC84" i="35"/>
  <c r="AB84" i="35"/>
  <c r="V84" i="35"/>
  <c r="X84" i="35" s="1"/>
  <c r="T84" i="35"/>
  <c r="AO83" i="35"/>
  <c r="AC83" i="35"/>
  <c r="AB83" i="35"/>
  <c r="V83" i="35"/>
  <c r="X83" i="35" s="1"/>
  <c r="T83" i="35"/>
  <c r="AO82" i="35"/>
  <c r="AC82" i="35"/>
  <c r="AB82" i="35"/>
  <c r="V82" i="35"/>
  <c r="X82" i="35" s="1"/>
  <c r="T82" i="35"/>
  <c r="AO81" i="35"/>
  <c r="AC81" i="35"/>
  <c r="AB81" i="35"/>
  <c r="V81" i="35"/>
  <c r="X81" i="35" s="1"/>
  <c r="T81" i="35"/>
  <c r="AO80" i="35"/>
  <c r="AC80" i="35"/>
  <c r="AB80" i="35"/>
  <c r="V80" i="35"/>
  <c r="X80" i="35" s="1"/>
  <c r="T80" i="35"/>
  <c r="AO79" i="35"/>
  <c r="AC79" i="35"/>
  <c r="AB79" i="35"/>
  <c r="V79" i="35"/>
  <c r="T79" i="35"/>
  <c r="AO78" i="35"/>
  <c r="AC78" i="35"/>
  <c r="AB78" i="35"/>
  <c r="V78" i="35"/>
  <c r="X78" i="35" s="1"/>
  <c r="T78" i="35"/>
  <c r="AO77" i="35"/>
  <c r="AC77" i="35"/>
  <c r="AB77" i="35"/>
  <c r="V77" i="35"/>
  <c r="T77" i="35"/>
  <c r="G10" i="35" s="1"/>
  <c r="AO76" i="35"/>
  <c r="AC76" i="35"/>
  <c r="AB76" i="35"/>
  <c r="V76" i="35"/>
  <c r="X76" i="35" s="1"/>
  <c r="T76" i="35"/>
  <c r="AO75" i="35"/>
  <c r="AC75" i="35"/>
  <c r="AB75" i="35"/>
  <c r="V75" i="35"/>
  <c r="X75" i="35" s="1"/>
  <c r="T75" i="35"/>
  <c r="AO74" i="35"/>
  <c r="AC74" i="35"/>
  <c r="AB74" i="35"/>
  <c r="V74" i="35"/>
  <c r="X74" i="35" s="1"/>
  <c r="T74" i="35"/>
  <c r="AO73" i="35"/>
  <c r="AC73" i="35"/>
  <c r="AB73" i="35"/>
  <c r="V73" i="35"/>
  <c r="X73" i="35" s="1"/>
  <c r="T73" i="35"/>
  <c r="AO72" i="35"/>
  <c r="AC72" i="35"/>
  <c r="AB72" i="35"/>
  <c r="V72" i="35"/>
  <c r="X72" i="35" s="1"/>
  <c r="T72" i="35"/>
  <c r="AO71" i="35"/>
  <c r="AC71" i="35"/>
  <c r="AB71" i="35"/>
  <c r="V71" i="35"/>
  <c r="X71" i="35" s="1"/>
  <c r="T71" i="35"/>
  <c r="AO70" i="35"/>
  <c r="AC70" i="35"/>
  <c r="AB70" i="35"/>
  <c r="V70" i="35"/>
  <c r="X70" i="35" s="1"/>
  <c r="T70" i="35"/>
  <c r="AO69" i="35"/>
  <c r="AC69" i="35"/>
  <c r="AB69" i="35"/>
  <c r="V69" i="35"/>
  <c r="X69" i="35" s="1"/>
  <c r="T69" i="35"/>
  <c r="AO68" i="35"/>
  <c r="AC68" i="35"/>
  <c r="AB68" i="35"/>
  <c r="V68" i="35"/>
  <c r="X68" i="35" s="1"/>
  <c r="T68" i="35"/>
  <c r="AO67" i="35"/>
  <c r="AC67" i="35"/>
  <c r="AB67" i="35"/>
  <c r="V67" i="35"/>
  <c r="X67" i="35" s="1"/>
  <c r="T67" i="35"/>
  <c r="AO66" i="35"/>
  <c r="AC66" i="35"/>
  <c r="AB66" i="35"/>
  <c r="V66" i="35"/>
  <c r="X66" i="35" s="1"/>
  <c r="T66" i="35"/>
  <c r="AO65" i="35"/>
  <c r="AC65" i="35"/>
  <c r="AB65" i="35"/>
  <c r="V65" i="35"/>
  <c r="X65" i="35" s="1"/>
  <c r="T65" i="35"/>
  <c r="AO64" i="35"/>
  <c r="AC64" i="35"/>
  <c r="AB64" i="35"/>
  <c r="V64" i="35"/>
  <c r="X64" i="35" s="1"/>
  <c r="T64" i="35"/>
  <c r="J64" i="35"/>
  <c r="G64" i="35"/>
  <c r="H64" i="35" s="1"/>
  <c r="AO63" i="35"/>
  <c r="AC63" i="35"/>
  <c r="AB63" i="35"/>
  <c r="V63" i="35"/>
  <c r="X63" i="35" s="1"/>
  <c r="T63" i="35"/>
  <c r="J63" i="35"/>
  <c r="G63" i="35"/>
  <c r="H63" i="35" s="1"/>
  <c r="AO62" i="35"/>
  <c r="AC62" i="35"/>
  <c r="AB62" i="35"/>
  <c r="V62" i="35"/>
  <c r="X62" i="35" s="1"/>
  <c r="T62" i="35"/>
  <c r="J62" i="35"/>
  <c r="G62" i="35"/>
  <c r="H62" i="35" s="1"/>
  <c r="AO61" i="35"/>
  <c r="AC61" i="35"/>
  <c r="AB61" i="35"/>
  <c r="V61" i="35"/>
  <c r="X61" i="35" s="1"/>
  <c r="T61" i="35"/>
  <c r="J61" i="35"/>
  <c r="G61" i="35"/>
  <c r="H61" i="35" s="1"/>
  <c r="AO60" i="35"/>
  <c r="AC60" i="35"/>
  <c r="AB60" i="35"/>
  <c r="V60" i="35"/>
  <c r="X60" i="35" s="1"/>
  <c r="T60" i="35"/>
  <c r="J60" i="35"/>
  <c r="G60" i="35"/>
  <c r="H60" i="35" s="1"/>
  <c r="AO59" i="35"/>
  <c r="AC59" i="35"/>
  <c r="AB59" i="35"/>
  <c r="V59" i="35"/>
  <c r="X59" i="35" s="1"/>
  <c r="T59" i="35"/>
  <c r="J59" i="35"/>
  <c r="AO58" i="35"/>
  <c r="AC58" i="35"/>
  <c r="AB58" i="35"/>
  <c r="V58" i="35"/>
  <c r="X58" i="35" s="1"/>
  <c r="T58" i="35"/>
  <c r="AO57" i="35"/>
  <c r="AC57" i="35"/>
  <c r="AB57" i="35"/>
  <c r="V57" i="35"/>
  <c r="T57" i="35"/>
  <c r="G6" i="35" s="1"/>
  <c r="L57" i="35"/>
  <c r="N57" i="35" s="1"/>
  <c r="K57" i="35"/>
  <c r="G57" i="35"/>
  <c r="H57" i="35" s="1"/>
  <c r="AO56" i="35"/>
  <c r="AC56" i="35"/>
  <c r="AB56" i="35"/>
  <c r="V56" i="35"/>
  <c r="X56" i="35" s="1"/>
  <c r="T56" i="35"/>
  <c r="L56" i="35"/>
  <c r="N56" i="35" s="1"/>
  <c r="K56" i="35"/>
  <c r="G56" i="35"/>
  <c r="H56" i="35" s="1"/>
  <c r="AO55" i="35"/>
  <c r="AC55" i="35"/>
  <c r="AB55" i="35"/>
  <c r="V55" i="35"/>
  <c r="X55" i="35" s="1"/>
  <c r="T55" i="35"/>
  <c r="L55" i="35"/>
  <c r="N55" i="35" s="1"/>
  <c r="K55" i="35"/>
  <c r="G55" i="35"/>
  <c r="H55" i="35" s="1"/>
  <c r="AO54" i="35"/>
  <c r="AC54" i="35"/>
  <c r="AB54" i="35"/>
  <c r="V54" i="35"/>
  <c r="X54" i="35" s="1"/>
  <c r="T54" i="35"/>
  <c r="L54" i="35"/>
  <c r="N54" i="35" s="1"/>
  <c r="K54" i="35"/>
  <c r="G54" i="35"/>
  <c r="H54" i="35" s="1"/>
  <c r="AO53" i="35"/>
  <c r="AC53" i="35"/>
  <c r="AB53" i="35"/>
  <c r="V53" i="35"/>
  <c r="X53" i="35" s="1"/>
  <c r="T53" i="35"/>
  <c r="L53" i="35"/>
  <c r="N53" i="35" s="1"/>
  <c r="K53" i="35"/>
  <c r="G53" i="35"/>
  <c r="H53" i="35" s="1"/>
  <c r="AO52" i="35"/>
  <c r="AC52" i="35"/>
  <c r="AB52" i="35"/>
  <c r="V52" i="35"/>
  <c r="X52" i="35" s="1"/>
  <c r="T52" i="35"/>
  <c r="L52" i="35"/>
  <c r="N52" i="35" s="1"/>
  <c r="K52" i="35"/>
  <c r="G52" i="35"/>
  <c r="H52" i="35" s="1"/>
  <c r="AO51" i="35"/>
  <c r="AC51" i="35"/>
  <c r="AB51" i="35"/>
  <c r="V51" i="35"/>
  <c r="X51" i="35" s="1"/>
  <c r="T51" i="35"/>
  <c r="L51" i="35"/>
  <c r="N51" i="35" s="1"/>
  <c r="K51" i="35"/>
  <c r="G51" i="35"/>
  <c r="H51" i="35" s="1"/>
  <c r="AO50" i="35"/>
  <c r="AC50" i="35"/>
  <c r="AB50" i="35"/>
  <c r="V50" i="35"/>
  <c r="X50" i="35" s="1"/>
  <c r="T50" i="35"/>
  <c r="L50" i="35"/>
  <c r="N50" i="35" s="1"/>
  <c r="K50" i="35"/>
  <c r="G50" i="35"/>
  <c r="H50" i="35" s="1"/>
  <c r="AO49" i="35"/>
  <c r="AC49" i="35"/>
  <c r="AB49" i="35"/>
  <c r="V49" i="35"/>
  <c r="X49" i="35" s="1"/>
  <c r="T49" i="35"/>
  <c r="L49" i="35"/>
  <c r="N49" i="35" s="1"/>
  <c r="K49" i="35"/>
  <c r="G49" i="35"/>
  <c r="H49" i="35" s="1"/>
  <c r="AO48" i="35"/>
  <c r="AC48" i="35"/>
  <c r="AB48" i="35"/>
  <c r="V48" i="35"/>
  <c r="X48" i="35" s="1"/>
  <c r="T48" i="35"/>
  <c r="L48" i="35"/>
  <c r="N48" i="35" s="1"/>
  <c r="K48" i="35"/>
  <c r="G48" i="35"/>
  <c r="H48" i="35" s="1"/>
  <c r="AO47" i="35"/>
  <c r="AC47" i="35"/>
  <c r="AB47" i="35"/>
  <c r="V47" i="35"/>
  <c r="X47" i="35" s="1"/>
  <c r="T47" i="35"/>
  <c r="AO46" i="35"/>
  <c r="AC46" i="35"/>
  <c r="AB46" i="35"/>
  <c r="V46" i="35"/>
  <c r="X46" i="35" s="1"/>
  <c r="T46" i="35"/>
  <c r="AO45" i="35"/>
  <c r="AC45" i="35"/>
  <c r="AB45" i="35"/>
  <c r="V45" i="35"/>
  <c r="X45" i="35" s="1"/>
  <c r="T45" i="35"/>
  <c r="AO44" i="35"/>
  <c r="AC44" i="35"/>
  <c r="AB44" i="35"/>
  <c r="V44" i="35"/>
  <c r="X44" i="35" s="1"/>
  <c r="T44" i="35"/>
  <c r="AO43" i="35"/>
  <c r="AC43" i="35"/>
  <c r="AB43" i="35"/>
  <c r="V43" i="35"/>
  <c r="X43" i="35" s="1"/>
  <c r="T43" i="35"/>
  <c r="AO42" i="35"/>
  <c r="AC42" i="35"/>
  <c r="AB42" i="35"/>
  <c r="V42" i="35"/>
  <c r="X42" i="35" s="1"/>
  <c r="T42" i="35"/>
  <c r="AO41" i="35"/>
  <c r="AC41" i="35"/>
  <c r="AB41" i="35"/>
  <c r="V41" i="35"/>
  <c r="X41" i="35" s="1"/>
  <c r="T41" i="35"/>
  <c r="AO40" i="35"/>
  <c r="AC40" i="35"/>
  <c r="AB40" i="35"/>
  <c r="V40" i="35"/>
  <c r="X40" i="35" s="1"/>
  <c r="T40" i="35"/>
  <c r="AO39" i="35"/>
  <c r="AC39" i="35"/>
  <c r="AB39" i="35"/>
  <c r="V39" i="35"/>
  <c r="X39" i="35" s="1"/>
  <c r="T39" i="35"/>
  <c r="AO38" i="35"/>
  <c r="AC38" i="35"/>
  <c r="AB38" i="35"/>
  <c r="V38" i="35"/>
  <c r="X38" i="35" s="1"/>
  <c r="T38" i="35"/>
  <c r="AO37" i="35"/>
  <c r="AC37" i="35"/>
  <c r="AB37" i="35"/>
  <c r="V37" i="35"/>
  <c r="X37" i="35" s="1"/>
  <c r="T37" i="35"/>
  <c r="AO36" i="35"/>
  <c r="AC36" i="35"/>
  <c r="AB36" i="35"/>
  <c r="V36" i="35"/>
  <c r="X36" i="35" s="1"/>
  <c r="T36" i="35"/>
  <c r="AO35" i="35"/>
  <c r="AC35" i="35"/>
  <c r="AB35" i="35"/>
  <c r="V35" i="35"/>
  <c r="X35" i="35" s="1"/>
  <c r="T35" i="35"/>
  <c r="AO34" i="35"/>
  <c r="AC34" i="35"/>
  <c r="AB34" i="35"/>
  <c r="V34" i="35"/>
  <c r="X34" i="35" s="1"/>
  <c r="T34" i="35"/>
  <c r="AO33" i="35"/>
  <c r="AC33" i="35"/>
  <c r="AB33" i="35"/>
  <c r="V33" i="35"/>
  <c r="X33" i="35" s="1"/>
  <c r="T33" i="35"/>
  <c r="AO32" i="35"/>
  <c r="AC32" i="35"/>
  <c r="AB32" i="35"/>
  <c r="V32" i="35"/>
  <c r="X32" i="35" s="1"/>
  <c r="T32" i="35"/>
  <c r="AO31" i="35"/>
  <c r="AC31" i="35"/>
  <c r="AB31" i="35"/>
  <c r="V31" i="35"/>
  <c r="X31" i="35" s="1"/>
  <c r="T31" i="35"/>
  <c r="AO30" i="35"/>
  <c r="AC30" i="35"/>
  <c r="AB30" i="35"/>
  <c r="V30" i="35"/>
  <c r="X30" i="35" s="1"/>
  <c r="T30" i="35"/>
  <c r="AO29" i="35"/>
  <c r="AC29" i="35"/>
  <c r="AB29" i="35"/>
  <c r="V29" i="35"/>
  <c r="X29" i="35" s="1"/>
  <c r="T29" i="35"/>
  <c r="AO28" i="35"/>
  <c r="AC28" i="35"/>
  <c r="AB28" i="35"/>
  <c r="V28" i="35"/>
  <c r="X28" i="35" s="1"/>
  <c r="T28" i="35"/>
  <c r="AO27" i="35"/>
  <c r="AC27" i="35"/>
  <c r="AB27" i="35"/>
  <c r="V27" i="35"/>
  <c r="X27" i="35" s="1"/>
  <c r="T27" i="35"/>
  <c r="AO26" i="35"/>
  <c r="AC26" i="35"/>
  <c r="AB26" i="35"/>
  <c r="V26" i="35"/>
  <c r="X26" i="35" s="1"/>
  <c r="T26" i="35"/>
  <c r="AO25" i="35"/>
  <c r="AC25" i="35"/>
  <c r="AB25" i="35"/>
  <c r="V25" i="35"/>
  <c r="X25" i="35" s="1"/>
  <c r="T25" i="35"/>
  <c r="AO24" i="35"/>
  <c r="AC24" i="35"/>
  <c r="AB24" i="35"/>
  <c r="V24" i="35"/>
  <c r="X24" i="35" s="1"/>
  <c r="T24" i="35"/>
  <c r="AO23" i="35"/>
  <c r="AC23" i="35"/>
  <c r="AB23" i="35"/>
  <c r="V23" i="35"/>
  <c r="X23" i="35" s="1"/>
  <c r="T23" i="35"/>
  <c r="AO22" i="35"/>
  <c r="AC22" i="35"/>
  <c r="AB22" i="35"/>
  <c r="V22" i="35"/>
  <c r="T22" i="35"/>
  <c r="AO21" i="35"/>
  <c r="AC21" i="35"/>
  <c r="AB21" i="35"/>
  <c r="V21" i="35"/>
  <c r="X21" i="35" s="1"/>
  <c r="T21" i="35"/>
  <c r="AO20" i="35"/>
  <c r="AC20" i="35"/>
  <c r="AB20" i="35"/>
  <c r="V20" i="35"/>
  <c r="X20" i="35" s="1"/>
  <c r="T20" i="35"/>
  <c r="AO19" i="35"/>
  <c r="AC19" i="35"/>
  <c r="AB19" i="35"/>
  <c r="V19" i="35"/>
  <c r="X19" i="35" s="1"/>
  <c r="T19" i="35"/>
  <c r="AO18" i="35"/>
  <c r="AC18" i="35"/>
  <c r="AB18" i="35"/>
  <c r="V18" i="35"/>
  <c r="X18" i="35" s="1"/>
  <c r="T18" i="35"/>
  <c r="AO17" i="35"/>
  <c r="AC17" i="35"/>
  <c r="AB17" i="35"/>
  <c r="V17" i="35"/>
  <c r="X17" i="35" s="1"/>
  <c r="T17" i="35"/>
  <c r="AO16" i="35"/>
  <c r="AC16" i="35"/>
  <c r="AB16" i="35"/>
  <c r="V16" i="35"/>
  <c r="X16" i="35" s="1"/>
  <c r="T16" i="35"/>
  <c r="AO15" i="35"/>
  <c r="AC15" i="35"/>
  <c r="AB15" i="35"/>
  <c r="V15" i="35"/>
  <c r="X15" i="35" s="1"/>
  <c r="T15" i="35"/>
  <c r="AO14" i="35"/>
  <c r="AC14" i="35"/>
  <c r="AB14" i="35"/>
  <c r="V14" i="35"/>
  <c r="X14" i="35" s="1"/>
  <c r="T14" i="35"/>
  <c r="AO13" i="35"/>
  <c r="AC13" i="35"/>
  <c r="AB13" i="35"/>
  <c r="V13" i="35"/>
  <c r="X13" i="35" s="1"/>
  <c r="T13" i="35"/>
  <c r="AO12" i="35"/>
  <c r="AC12" i="35"/>
  <c r="AB12" i="35"/>
  <c r="V12" i="35"/>
  <c r="X12" i="35" s="1"/>
  <c r="T12" i="35"/>
  <c r="AO11" i="35"/>
  <c r="AC11" i="35"/>
  <c r="AB11" i="35"/>
  <c r="V11" i="35"/>
  <c r="X11" i="35" s="1"/>
  <c r="T11" i="35"/>
  <c r="AO10" i="35"/>
  <c r="AC10" i="35"/>
  <c r="AB10" i="35"/>
  <c r="V10" i="35"/>
  <c r="X10" i="35" s="1"/>
  <c r="T10" i="35"/>
  <c r="AO9" i="35"/>
  <c r="AC9" i="35"/>
  <c r="AB9" i="35"/>
  <c r="V9" i="35"/>
  <c r="X9" i="35" s="1"/>
  <c r="T9" i="35"/>
  <c r="AO8" i="35"/>
  <c r="AC8" i="35"/>
  <c r="AB8" i="35"/>
  <c r="V8" i="35"/>
  <c r="X8" i="35" s="1"/>
  <c r="T8" i="35"/>
  <c r="AO7" i="35"/>
  <c r="AC7" i="35"/>
  <c r="AB7" i="35"/>
  <c r="V7" i="35"/>
  <c r="X7" i="35" s="1"/>
  <c r="T7" i="35"/>
  <c r="AO6" i="35"/>
  <c r="AC6" i="35"/>
  <c r="AB6" i="35"/>
  <c r="V6" i="35"/>
  <c r="X6" i="35" s="1"/>
  <c r="T6" i="35"/>
  <c r="AO5" i="35"/>
  <c r="AC5" i="35"/>
  <c r="AB5" i="35"/>
  <c r="V5" i="35"/>
  <c r="X5" i="35" s="1"/>
  <c r="T5" i="35"/>
  <c r="J5" i="35"/>
  <c r="AO4" i="35"/>
  <c r="AC4" i="35"/>
  <c r="AB4" i="35"/>
  <c r="V4" i="35"/>
  <c r="X4" i="35" s="1"/>
  <c r="T4" i="35"/>
  <c r="J4" i="35"/>
  <c r="AO3" i="35"/>
  <c r="AC3" i="35"/>
  <c r="AB3" i="35"/>
  <c r="V3" i="35"/>
  <c r="X3" i="35" s="1"/>
  <c r="T3" i="35"/>
  <c r="J3" i="35"/>
  <c r="H3" i="35"/>
  <c r="AO2" i="35"/>
  <c r="AC2" i="35"/>
  <c r="AB2" i="35"/>
  <c r="V2" i="35"/>
  <c r="T2" i="35"/>
  <c r="J2" i="35"/>
  <c r="H2" i="35"/>
  <c r="K44" i="49"/>
  <c r="H44" i="49"/>
  <c r="I44" i="49" s="1"/>
  <c r="K43" i="49"/>
  <c r="H43" i="49"/>
  <c r="I43" i="49" s="1"/>
  <c r="K42" i="49"/>
  <c r="H42" i="49"/>
  <c r="I42" i="49" s="1"/>
  <c r="K41" i="49"/>
  <c r="H41" i="49"/>
  <c r="I41" i="49" s="1"/>
  <c r="K40" i="49"/>
  <c r="H40" i="49"/>
  <c r="I40" i="49" s="1"/>
  <c r="K29" i="49"/>
  <c r="H29" i="49"/>
  <c r="I29" i="49" s="1"/>
  <c r="K28" i="49"/>
  <c r="H28" i="49"/>
  <c r="I28" i="49" s="1"/>
  <c r="K26" i="49"/>
  <c r="N26" i="49" s="1"/>
  <c r="O26" i="49" s="1"/>
  <c r="H26" i="49"/>
  <c r="I26" i="49" s="1"/>
  <c r="K24" i="49"/>
  <c r="H24" i="49"/>
  <c r="I24" i="49" s="1"/>
  <c r="K23" i="49"/>
  <c r="H23" i="49"/>
  <c r="I23" i="49" s="1"/>
  <c r="K22" i="49"/>
  <c r="H22" i="49"/>
  <c r="I22" i="49" s="1"/>
  <c r="K21" i="49"/>
  <c r="H21" i="49"/>
  <c r="I21" i="49" s="1"/>
  <c r="K20" i="49"/>
  <c r="H20" i="49"/>
  <c r="I20" i="49" s="1"/>
  <c r="K19" i="49"/>
  <c r="H19" i="49"/>
  <c r="I19" i="49" s="1"/>
  <c r="K18" i="49"/>
  <c r="H18" i="49"/>
  <c r="I18" i="49" s="1"/>
  <c r="K17" i="49"/>
  <c r="H17" i="49"/>
  <c r="I17" i="49" s="1"/>
  <c r="K16" i="49"/>
  <c r="H16" i="49"/>
  <c r="I16" i="49" s="1"/>
  <c r="K15" i="49"/>
  <c r="H15" i="49"/>
  <c r="I15" i="49" s="1"/>
  <c r="K14" i="49"/>
  <c r="H14" i="49"/>
  <c r="I14" i="49" s="1"/>
  <c r="K13" i="49"/>
  <c r="H13" i="49"/>
  <c r="I13" i="49" s="1"/>
  <c r="K12" i="49"/>
  <c r="H12" i="49"/>
  <c r="I12" i="49" s="1"/>
  <c r="K11" i="49"/>
  <c r="H11" i="49"/>
  <c r="I11" i="49" s="1"/>
  <c r="K10" i="49"/>
  <c r="H10" i="49"/>
  <c r="I10" i="49" s="1"/>
  <c r="K9" i="49"/>
  <c r="H9" i="49"/>
  <c r="I9" i="49" s="1"/>
  <c r="K8" i="49"/>
  <c r="H8" i="49"/>
  <c r="I8" i="49" s="1"/>
  <c r="K7" i="49"/>
  <c r="H7" i="49"/>
  <c r="I7" i="49" s="1"/>
  <c r="K6" i="49"/>
  <c r="H6" i="49"/>
  <c r="I6" i="49" s="1"/>
  <c r="K5" i="49"/>
  <c r="H5" i="49"/>
  <c r="I5" i="49" s="1"/>
  <c r="A22" i="15"/>
  <c r="G9" i="50"/>
  <c r="N95" i="40"/>
  <c r="P95" i="40" s="1"/>
  <c r="N94" i="40"/>
  <c r="P94" i="40" s="1"/>
  <c r="N93" i="40"/>
  <c r="P93" i="40" s="1"/>
  <c r="N92" i="40"/>
  <c r="P92" i="40" s="1"/>
  <c r="N91" i="40"/>
  <c r="P91" i="40" s="1"/>
  <c r="N90" i="40"/>
  <c r="P90" i="40" s="1"/>
  <c r="N89" i="40"/>
  <c r="P89" i="40" s="1"/>
  <c r="N88" i="40"/>
  <c r="P88" i="40" s="1"/>
  <c r="N87" i="40"/>
  <c r="P87" i="40" s="1"/>
  <c r="N86" i="40"/>
  <c r="P86" i="40" s="1"/>
  <c r="N85" i="40"/>
  <c r="P85" i="40" s="1"/>
  <c r="N84" i="40"/>
  <c r="P84" i="40" s="1"/>
  <c r="N83" i="40"/>
  <c r="P83" i="40" s="1"/>
  <c r="N82" i="40"/>
  <c r="P82" i="40" s="1"/>
  <c r="N81" i="40"/>
  <c r="P81" i="40" s="1"/>
  <c r="N80" i="40"/>
  <c r="P80" i="40" s="1"/>
  <c r="N79" i="40"/>
  <c r="P79" i="40" s="1"/>
  <c r="N78" i="40"/>
  <c r="P78" i="40" s="1"/>
  <c r="N77" i="40"/>
  <c r="P77" i="40" s="1"/>
  <c r="N76" i="40"/>
  <c r="P76" i="40" s="1"/>
  <c r="N75" i="40"/>
  <c r="P75" i="40" s="1"/>
  <c r="N74" i="40"/>
  <c r="P74" i="40" s="1"/>
  <c r="N73" i="40"/>
  <c r="P73" i="40" s="1"/>
  <c r="N72" i="40"/>
  <c r="P72" i="40" s="1"/>
  <c r="N71" i="40"/>
  <c r="P71" i="40" s="1"/>
  <c r="N70" i="40"/>
  <c r="P70" i="40" s="1"/>
  <c r="N69" i="40"/>
  <c r="P69" i="40" s="1"/>
  <c r="N68" i="40"/>
  <c r="P68" i="40" s="1"/>
  <c r="N67" i="40"/>
  <c r="P67" i="40" s="1"/>
  <c r="N66" i="40"/>
  <c r="P66" i="40" s="1"/>
  <c r="N65" i="40"/>
  <c r="P65" i="40" s="1"/>
  <c r="N64" i="40"/>
  <c r="P64" i="40" s="1"/>
  <c r="N63" i="40"/>
  <c r="P63" i="40" s="1"/>
  <c r="N62" i="40"/>
  <c r="P62" i="40" s="1"/>
  <c r="N61" i="40"/>
  <c r="P61" i="40" s="1"/>
  <c r="N60" i="40"/>
  <c r="P60" i="40" s="1"/>
  <c r="N53" i="40"/>
  <c r="N52" i="40"/>
  <c r="N51" i="40"/>
  <c r="N50" i="40"/>
  <c r="N49" i="40"/>
  <c r="N48" i="40"/>
  <c r="N47" i="40"/>
  <c r="N46" i="40"/>
  <c r="N45" i="40"/>
  <c r="N44" i="40"/>
  <c r="N43" i="40"/>
  <c r="N42" i="40"/>
  <c r="N41" i="40"/>
  <c r="N40" i="40"/>
  <c r="N39" i="40"/>
  <c r="T37" i="40"/>
  <c r="U37" i="40" s="1"/>
  <c r="N37" i="40"/>
  <c r="T36" i="40"/>
  <c r="U36" i="40" s="1"/>
  <c r="N36" i="40"/>
  <c r="T35" i="40"/>
  <c r="U35" i="40" s="1"/>
  <c r="N35" i="40"/>
  <c r="T34" i="40"/>
  <c r="U34" i="40" s="1"/>
  <c r="N34" i="40"/>
  <c r="T33" i="40"/>
  <c r="U33" i="40" s="1"/>
  <c r="N33" i="40"/>
  <c r="T32" i="40"/>
  <c r="U32" i="40" s="1"/>
  <c r="N32" i="40"/>
  <c r="T31" i="40"/>
  <c r="U31" i="40" s="1"/>
  <c r="N31" i="40"/>
  <c r="T30" i="40"/>
  <c r="U30" i="40" s="1"/>
  <c r="N30" i="40"/>
  <c r="T29" i="40"/>
  <c r="U29" i="40" s="1"/>
  <c r="N29" i="40"/>
  <c r="T28" i="40"/>
  <c r="U28" i="40" s="1"/>
  <c r="N28" i="40"/>
  <c r="T27" i="40"/>
  <c r="U27" i="40" s="1"/>
  <c r="N27" i="40"/>
  <c r="T26" i="40"/>
  <c r="U26" i="40" s="1"/>
  <c r="N26" i="40"/>
  <c r="T25" i="40"/>
  <c r="U25" i="40" s="1"/>
  <c r="N25" i="40"/>
  <c r="T24" i="40"/>
  <c r="U24" i="40" s="1"/>
  <c r="N24" i="40"/>
  <c r="T23" i="40"/>
  <c r="U23" i="40" s="1"/>
  <c r="N23" i="40"/>
  <c r="T22" i="40"/>
  <c r="U22" i="40" s="1"/>
  <c r="N22" i="40"/>
  <c r="T21" i="40"/>
  <c r="U21" i="40" s="1"/>
  <c r="N21" i="40"/>
  <c r="T20" i="40"/>
  <c r="U20" i="40" s="1"/>
  <c r="N20" i="40"/>
  <c r="T19" i="40"/>
  <c r="U19" i="40" s="1"/>
  <c r="N19" i="40"/>
  <c r="T18" i="40"/>
  <c r="U18" i="40" s="1"/>
  <c r="N18" i="40"/>
  <c r="T17" i="40"/>
  <c r="U17" i="40" s="1"/>
  <c r="N17" i="40"/>
  <c r="T16" i="40"/>
  <c r="U16" i="40" s="1"/>
  <c r="N16" i="40"/>
  <c r="T15" i="40"/>
  <c r="U15" i="40" s="1"/>
  <c r="N15" i="40"/>
  <c r="T14" i="40"/>
  <c r="U14" i="40" s="1"/>
  <c r="N14" i="40"/>
  <c r="T13" i="40"/>
  <c r="U13" i="40" s="1"/>
  <c r="N13" i="40"/>
  <c r="T12" i="40"/>
  <c r="U12" i="40" s="1"/>
  <c r="N12" i="40"/>
  <c r="T11" i="40"/>
  <c r="N11" i="40"/>
  <c r="X9" i="40"/>
  <c r="N9" i="40"/>
  <c r="X8" i="40"/>
  <c r="N8" i="40"/>
  <c r="N7" i="40"/>
  <c r="N6" i="40"/>
  <c r="N5" i="40"/>
  <c r="N4" i="40"/>
  <c r="N3" i="40"/>
  <c r="K21" i="42"/>
  <c r="K20" i="42"/>
  <c r="K19" i="42"/>
  <c r="K18" i="42"/>
  <c r="K17" i="42"/>
  <c r="K16" i="42"/>
  <c r="K15" i="42"/>
  <c r="K14" i="42"/>
  <c r="K13" i="42"/>
  <c r="K12" i="42"/>
  <c r="K11" i="42"/>
  <c r="K10" i="42"/>
  <c r="K9" i="42"/>
  <c r="K8" i="42"/>
  <c r="K7" i="42"/>
  <c r="K6" i="42"/>
  <c r="K5" i="42"/>
  <c r="K4" i="42"/>
  <c r="K2" i="42"/>
  <c r="O15" i="28"/>
  <c r="F7" i="28"/>
  <c r="F6" i="28"/>
  <c r="F5" i="28"/>
  <c r="F4" i="28"/>
  <c r="H3" i="28"/>
  <c r="F3" i="28"/>
  <c r="F356" i="9"/>
  <c r="H356" i="9" s="1"/>
  <c r="B356" i="9"/>
  <c r="F355" i="9"/>
  <c r="H355" i="9" s="1"/>
  <c r="B355" i="9"/>
  <c r="F354" i="9"/>
  <c r="H354" i="9" s="1"/>
  <c r="B354" i="9"/>
  <c r="F353" i="9"/>
  <c r="H353" i="9" s="1"/>
  <c r="B353" i="9"/>
  <c r="F352" i="9"/>
  <c r="H352" i="9" s="1"/>
  <c r="B352" i="9"/>
  <c r="F351" i="9"/>
  <c r="H351" i="9" s="1"/>
  <c r="B351" i="9"/>
  <c r="F350" i="9"/>
  <c r="H350" i="9" s="1"/>
  <c r="B350" i="9"/>
  <c r="F349" i="9"/>
  <c r="H349" i="9" s="1"/>
  <c r="B349" i="9"/>
  <c r="F348" i="9"/>
  <c r="H348" i="9" s="1"/>
  <c r="B348" i="9"/>
  <c r="F347" i="9"/>
  <c r="H347" i="9" s="1"/>
  <c r="B347" i="9"/>
  <c r="F346" i="9"/>
  <c r="H346" i="9" s="1"/>
  <c r="B346" i="9"/>
  <c r="F345" i="9"/>
  <c r="H345" i="9" s="1"/>
  <c r="B345" i="9"/>
  <c r="F344" i="9"/>
  <c r="H344" i="9" s="1"/>
  <c r="B344" i="9"/>
  <c r="F343" i="9"/>
  <c r="H343" i="9" s="1"/>
  <c r="B343" i="9"/>
  <c r="F342" i="9"/>
  <c r="H342" i="9" s="1"/>
  <c r="B342" i="9"/>
  <c r="F341" i="9"/>
  <c r="H341" i="9" s="1"/>
  <c r="B341" i="9"/>
  <c r="F340" i="9"/>
  <c r="H340" i="9" s="1"/>
  <c r="B340" i="9"/>
  <c r="F339" i="9"/>
  <c r="H339" i="9" s="1"/>
  <c r="B339" i="9"/>
  <c r="F338" i="9"/>
  <c r="H338" i="9" s="1"/>
  <c r="B338" i="9"/>
  <c r="F337" i="9"/>
  <c r="H337" i="9" s="1"/>
  <c r="B337" i="9"/>
  <c r="F336" i="9"/>
  <c r="H336" i="9" s="1"/>
  <c r="B336" i="9"/>
  <c r="F335" i="9"/>
  <c r="H335" i="9" s="1"/>
  <c r="B335" i="9"/>
  <c r="F334" i="9"/>
  <c r="H334" i="9" s="1"/>
  <c r="B334" i="9"/>
  <c r="F333" i="9"/>
  <c r="H333" i="9" s="1"/>
  <c r="B333" i="9"/>
  <c r="F332" i="9"/>
  <c r="H332" i="9" s="1"/>
  <c r="B332" i="9"/>
  <c r="F331" i="9"/>
  <c r="H331" i="9" s="1"/>
  <c r="B331" i="9"/>
  <c r="F330" i="9"/>
  <c r="H330" i="9" s="1"/>
  <c r="B330" i="9"/>
  <c r="F329" i="9"/>
  <c r="H329" i="9" s="1"/>
  <c r="B329" i="9"/>
  <c r="F328" i="9"/>
  <c r="H328" i="9" s="1"/>
  <c r="B328" i="9"/>
  <c r="F327" i="9"/>
  <c r="H327" i="9" s="1"/>
  <c r="B327" i="9"/>
  <c r="F326" i="9"/>
  <c r="H326" i="9" s="1"/>
  <c r="B326" i="9"/>
  <c r="F325" i="9"/>
  <c r="H325" i="9" s="1"/>
  <c r="B325" i="9"/>
  <c r="F324" i="9"/>
  <c r="H324" i="9" s="1"/>
  <c r="B324" i="9"/>
  <c r="F323" i="9"/>
  <c r="H323" i="9" s="1"/>
  <c r="B323" i="9"/>
  <c r="F322" i="9"/>
  <c r="H322" i="9" s="1"/>
  <c r="B322" i="9"/>
  <c r="F321" i="9"/>
  <c r="H321" i="9" s="1"/>
  <c r="B321" i="9"/>
  <c r="F320" i="9"/>
  <c r="H320" i="9" s="1"/>
  <c r="B320" i="9"/>
  <c r="F319" i="9"/>
  <c r="H319" i="9" s="1"/>
  <c r="B319" i="9"/>
  <c r="F318" i="9"/>
  <c r="H318" i="9" s="1"/>
  <c r="B318" i="9"/>
  <c r="F317" i="9"/>
  <c r="H317" i="9" s="1"/>
  <c r="B317" i="9"/>
  <c r="F316" i="9"/>
  <c r="H316" i="9" s="1"/>
  <c r="B316" i="9"/>
  <c r="F315" i="9"/>
  <c r="H315" i="9" s="1"/>
  <c r="B315" i="9"/>
  <c r="F314" i="9"/>
  <c r="H314" i="9" s="1"/>
  <c r="B314" i="9"/>
  <c r="F313" i="9"/>
  <c r="H313" i="9" s="1"/>
  <c r="B313" i="9"/>
  <c r="F312" i="9"/>
  <c r="H312" i="9" s="1"/>
  <c r="B312" i="9"/>
  <c r="F311" i="9"/>
  <c r="H311" i="9" s="1"/>
  <c r="B311" i="9"/>
  <c r="F310" i="9"/>
  <c r="H310" i="9" s="1"/>
  <c r="B310" i="9"/>
  <c r="F309" i="9"/>
  <c r="H309" i="9" s="1"/>
  <c r="B309" i="9"/>
  <c r="F308" i="9"/>
  <c r="H308" i="9" s="1"/>
  <c r="B308" i="9"/>
  <c r="F307" i="9"/>
  <c r="H307" i="9" s="1"/>
  <c r="B307" i="9"/>
  <c r="F306" i="9"/>
  <c r="H306" i="9" s="1"/>
  <c r="B306" i="9"/>
  <c r="F305" i="9"/>
  <c r="H305" i="9" s="1"/>
  <c r="B305" i="9"/>
  <c r="F304" i="9"/>
  <c r="H304" i="9" s="1"/>
  <c r="B304" i="9"/>
  <c r="F303" i="9"/>
  <c r="H303" i="9" s="1"/>
  <c r="B303" i="9"/>
  <c r="F302" i="9"/>
  <c r="H302" i="9" s="1"/>
  <c r="B302" i="9"/>
  <c r="F301" i="9"/>
  <c r="H301" i="9" s="1"/>
  <c r="B301" i="9"/>
  <c r="F300" i="9"/>
  <c r="H300" i="9" s="1"/>
  <c r="B300" i="9"/>
  <c r="F299" i="9"/>
  <c r="H299" i="9" s="1"/>
  <c r="B299" i="9"/>
  <c r="F298" i="9"/>
  <c r="H298" i="9" s="1"/>
  <c r="B298" i="9"/>
  <c r="F297" i="9"/>
  <c r="H297" i="9" s="1"/>
  <c r="B297" i="9"/>
  <c r="F296" i="9"/>
  <c r="H296" i="9" s="1"/>
  <c r="B296" i="9"/>
  <c r="F295" i="9"/>
  <c r="H295" i="9" s="1"/>
  <c r="B295" i="9"/>
  <c r="F294" i="9"/>
  <c r="H294" i="9" s="1"/>
  <c r="B294" i="9"/>
  <c r="F293" i="9"/>
  <c r="H293" i="9" s="1"/>
  <c r="B293" i="9"/>
  <c r="F292" i="9"/>
  <c r="H292" i="9" s="1"/>
  <c r="B292" i="9"/>
  <c r="F291" i="9"/>
  <c r="H291" i="9" s="1"/>
  <c r="B291" i="9"/>
  <c r="F290" i="9"/>
  <c r="H290" i="9" s="1"/>
  <c r="B290" i="9"/>
  <c r="F289" i="9"/>
  <c r="H289" i="9" s="1"/>
  <c r="B289" i="9"/>
  <c r="F288" i="9"/>
  <c r="H288" i="9" s="1"/>
  <c r="B288" i="9"/>
  <c r="F287" i="9"/>
  <c r="H287" i="9" s="1"/>
  <c r="B287" i="9"/>
  <c r="F286" i="9"/>
  <c r="H286" i="9" s="1"/>
  <c r="B286" i="9"/>
  <c r="F285" i="9"/>
  <c r="H285" i="9" s="1"/>
  <c r="B285" i="9"/>
  <c r="F284" i="9"/>
  <c r="H284" i="9" s="1"/>
  <c r="B284" i="9"/>
  <c r="F283" i="9"/>
  <c r="H283" i="9" s="1"/>
  <c r="B283" i="9"/>
  <c r="F282" i="9"/>
  <c r="H282" i="9" s="1"/>
  <c r="B282" i="9"/>
  <c r="F281" i="9"/>
  <c r="H281" i="9" s="1"/>
  <c r="B281" i="9"/>
  <c r="F280" i="9"/>
  <c r="H280" i="9" s="1"/>
  <c r="B280" i="9"/>
  <c r="F279" i="9"/>
  <c r="H279" i="9" s="1"/>
  <c r="B279" i="9"/>
  <c r="F278" i="9"/>
  <c r="H278" i="9" s="1"/>
  <c r="B278" i="9"/>
  <c r="F277" i="9"/>
  <c r="H277" i="9" s="1"/>
  <c r="B277" i="9"/>
  <c r="F276" i="9"/>
  <c r="H276" i="9" s="1"/>
  <c r="B276" i="9"/>
  <c r="F275" i="9"/>
  <c r="H275" i="9" s="1"/>
  <c r="B275" i="9"/>
  <c r="F274" i="9"/>
  <c r="H274" i="9" s="1"/>
  <c r="B274" i="9"/>
  <c r="F273" i="9"/>
  <c r="H273" i="9" s="1"/>
  <c r="B273" i="9"/>
  <c r="F272" i="9"/>
  <c r="H272" i="9" s="1"/>
  <c r="B272" i="9"/>
  <c r="F271" i="9"/>
  <c r="H271" i="9" s="1"/>
  <c r="B271" i="9"/>
  <c r="F270" i="9"/>
  <c r="H270" i="9" s="1"/>
  <c r="B270" i="9"/>
  <c r="F269" i="9"/>
  <c r="H269" i="9" s="1"/>
  <c r="B269" i="9"/>
  <c r="F268" i="9"/>
  <c r="H268" i="9" s="1"/>
  <c r="B268" i="9"/>
  <c r="F267" i="9"/>
  <c r="H267" i="9" s="1"/>
  <c r="B267" i="9"/>
  <c r="F266" i="9"/>
  <c r="H266" i="9" s="1"/>
  <c r="B266" i="9"/>
  <c r="F265" i="9"/>
  <c r="H265" i="9" s="1"/>
  <c r="B265" i="9"/>
  <c r="F264" i="9"/>
  <c r="H264" i="9" s="1"/>
  <c r="B264" i="9"/>
  <c r="F263" i="9"/>
  <c r="H263" i="9" s="1"/>
  <c r="B263" i="9"/>
  <c r="F262" i="9"/>
  <c r="H262" i="9" s="1"/>
  <c r="B262" i="9"/>
  <c r="F261" i="9"/>
  <c r="H261" i="9" s="1"/>
  <c r="B261" i="9"/>
  <c r="F260" i="9"/>
  <c r="H260" i="9" s="1"/>
  <c r="B260" i="9"/>
  <c r="F259" i="9"/>
  <c r="H259" i="9" s="1"/>
  <c r="B259" i="9"/>
  <c r="F258" i="9"/>
  <c r="H258" i="9" s="1"/>
  <c r="B258" i="9"/>
  <c r="F257" i="9"/>
  <c r="H257" i="9" s="1"/>
  <c r="B257" i="9"/>
  <c r="F256" i="9"/>
  <c r="H256" i="9" s="1"/>
  <c r="B256" i="9"/>
  <c r="F255" i="9"/>
  <c r="H255" i="9" s="1"/>
  <c r="B255" i="9"/>
  <c r="F254" i="9"/>
  <c r="H254" i="9" s="1"/>
  <c r="B254" i="9"/>
  <c r="F253" i="9"/>
  <c r="H253" i="9" s="1"/>
  <c r="B253" i="9"/>
  <c r="F252" i="9"/>
  <c r="H252" i="9" s="1"/>
  <c r="B252" i="9"/>
  <c r="F251" i="9"/>
  <c r="H251" i="9" s="1"/>
  <c r="B251" i="9"/>
  <c r="F250" i="9"/>
  <c r="H250" i="9" s="1"/>
  <c r="B250" i="9"/>
  <c r="F249" i="9"/>
  <c r="H249" i="9" s="1"/>
  <c r="B249" i="9"/>
  <c r="F248" i="9"/>
  <c r="H248" i="9" s="1"/>
  <c r="B248" i="9"/>
  <c r="F247" i="9"/>
  <c r="H247" i="9" s="1"/>
  <c r="B247" i="9"/>
  <c r="F246" i="9"/>
  <c r="H246" i="9" s="1"/>
  <c r="B246" i="9"/>
  <c r="F245" i="9"/>
  <c r="H245" i="9" s="1"/>
  <c r="B245" i="9"/>
  <c r="F244" i="9"/>
  <c r="H244" i="9" s="1"/>
  <c r="B244" i="9"/>
  <c r="F243" i="9"/>
  <c r="H243" i="9" s="1"/>
  <c r="B243" i="9"/>
  <c r="F242" i="9"/>
  <c r="H242" i="9" s="1"/>
  <c r="B242" i="9"/>
  <c r="F241" i="9"/>
  <c r="H241" i="9" s="1"/>
  <c r="B241" i="9"/>
  <c r="F240" i="9"/>
  <c r="H240" i="9" s="1"/>
  <c r="B240" i="9"/>
  <c r="F239" i="9"/>
  <c r="H239" i="9" s="1"/>
  <c r="B239" i="9"/>
  <c r="F238" i="9"/>
  <c r="H238" i="9" s="1"/>
  <c r="B238" i="9"/>
  <c r="F237" i="9"/>
  <c r="H237" i="9" s="1"/>
  <c r="B237" i="9"/>
  <c r="F236" i="9"/>
  <c r="H236" i="9" s="1"/>
  <c r="B236" i="9"/>
  <c r="F235" i="9"/>
  <c r="H235" i="9" s="1"/>
  <c r="B235" i="9"/>
  <c r="F234" i="9"/>
  <c r="H234" i="9" s="1"/>
  <c r="B234" i="9"/>
  <c r="F233" i="9"/>
  <c r="H233" i="9" s="1"/>
  <c r="B233" i="9"/>
  <c r="F232" i="9"/>
  <c r="H232" i="9" s="1"/>
  <c r="B232" i="9"/>
  <c r="F231" i="9"/>
  <c r="H231" i="9" s="1"/>
  <c r="B231" i="9"/>
  <c r="F230" i="9"/>
  <c r="H230" i="9" s="1"/>
  <c r="B230" i="9"/>
  <c r="F229" i="9"/>
  <c r="H229" i="9" s="1"/>
  <c r="B229" i="9"/>
  <c r="F228" i="9"/>
  <c r="H228" i="9" s="1"/>
  <c r="B228" i="9"/>
  <c r="F227" i="9"/>
  <c r="H227" i="9" s="1"/>
  <c r="B227" i="9"/>
  <c r="F226" i="9"/>
  <c r="H226" i="9" s="1"/>
  <c r="B226" i="9"/>
  <c r="F225" i="9"/>
  <c r="H225" i="9" s="1"/>
  <c r="B225" i="9"/>
  <c r="F224" i="9"/>
  <c r="H224" i="9" s="1"/>
  <c r="B224" i="9"/>
  <c r="F223" i="9"/>
  <c r="H223" i="9" s="1"/>
  <c r="B223" i="9"/>
  <c r="F222" i="9"/>
  <c r="H222" i="9" s="1"/>
  <c r="B222" i="9"/>
  <c r="F221" i="9"/>
  <c r="H221" i="9" s="1"/>
  <c r="B221" i="9"/>
  <c r="F220" i="9"/>
  <c r="H220" i="9" s="1"/>
  <c r="B220" i="9"/>
  <c r="F219" i="9"/>
  <c r="H219" i="9" s="1"/>
  <c r="B219" i="9"/>
  <c r="F218" i="9"/>
  <c r="H218" i="9" s="1"/>
  <c r="B218" i="9"/>
  <c r="F217" i="9"/>
  <c r="H217" i="9" s="1"/>
  <c r="B217" i="9"/>
  <c r="F216" i="9"/>
  <c r="H216" i="9" s="1"/>
  <c r="B216" i="9"/>
  <c r="F215" i="9"/>
  <c r="H215" i="9" s="1"/>
  <c r="B215" i="9"/>
  <c r="F214" i="9"/>
  <c r="H214" i="9" s="1"/>
  <c r="B214" i="9"/>
  <c r="F213" i="9"/>
  <c r="H213" i="9" s="1"/>
  <c r="B213" i="9"/>
  <c r="F212" i="9"/>
  <c r="H212" i="9" s="1"/>
  <c r="B212" i="9"/>
  <c r="F211" i="9"/>
  <c r="H211" i="9" s="1"/>
  <c r="B211" i="9"/>
  <c r="F210" i="9"/>
  <c r="H210" i="9" s="1"/>
  <c r="B210" i="9"/>
  <c r="F209" i="9"/>
  <c r="H209" i="9" s="1"/>
  <c r="B209" i="9"/>
  <c r="F208" i="9"/>
  <c r="H208" i="9" s="1"/>
  <c r="B208" i="9"/>
  <c r="F207" i="9"/>
  <c r="H207" i="9" s="1"/>
  <c r="B207" i="9"/>
  <c r="F206" i="9"/>
  <c r="H206" i="9" s="1"/>
  <c r="B206" i="9"/>
  <c r="F205" i="9"/>
  <c r="H205" i="9" s="1"/>
  <c r="B205" i="9"/>
  <c r="F204" i="9"/>
  <c r="H204" i="9" s="1"/>
  <c r="B204" i="9"/>
  <c r="F203" i="9"/>
  <c r="H203" i="9" s="1"/>
  <c r="B203" i="9"/>
  <c r="F202" i="9"/>
  <c r="H202" i="9" s="1"/>
  <c r="B202" i="9"/>
  <c r="F201" i="9"/>
  <c r="H201" i="9" s="1"/>
  <c r="B201" i="9"/>
  <c r="F200" i="9"/>
  <c r="H200" i="9" s="1"/>
  <c r="B200" i="9"/>
  <c r="F199" i="9"/>
  <c r="H199" i="9" s="1"/>
  <c r="B199" i="9"/>
  <c r="F198" i="9"/>
  <c r="H198" i="9" s="1"/>
  <c r="B198" i="9"/>
  <c r="F197" i="9"/>
  <c r="H197" i="9" s="1"/>
  <c r="B197" i="9"/>
  <c r="F196" i="9"/>
  <c r="H196" i="9" s="1"/>
  <c r="B196" i="9"/>
  <c r="F195" i="9"/>
  <c r="H195" i="9" s="1"/>
  <c r="B195" i="9"/>
  <c r="F194" i="9"/>
  <c r="H194" i="9" s="1"/>
  <c r="B194" i="9"/>
  <c r="F193" i="9"/>
  <c r="H193" i="9" s="1"/>
  <c r="B193" i="9"/>
  <c r="F192" i="9"/>
  <c r="H192" i="9" s="1"/>
  <c r="B192" i="9"/>
  <c r="F191" i="9"/>
  <c r="H191" i="9" s="1"/>
  <c r="B191" i="9"/>
  <c r="F190" i="9"/>
  <c r="H190" i="9" s="1"/>
  <c r="B190" i="9"/>
  <c r="F189" i="9"/>
  <c r="H189" i="9" s="1"/>
  <c r="B189" i="9"/>
  <c r="F188" i="9"/>
  <c r="H188" i="9" s="1"/>
  <c r="B188" i="9"/>
  <c r="F187" i="9"/>
  <c r="H187" i="9" s="1"/>
  <c r="B187" i="9"/>
  <c r="F186" i="9"/>
  <c r="H186" i="9" s="1"/>
  <c r="B186" i="9"/>
  <c r="F185" i="9"/>
  <c r="H185" i="9" s="1"/>
  <c r="B185" i="9"/>
  <c r="F184" i="9"/>
  <c r="H184" i="9" s="1"/>
  <c r="B184" i="9"/>
  <c r="F183" i="9"/>
  <c r="H183" i="9" s="1"/>
  <c r="B183" i="9"/>
  <c r="F182" i="9"/>
  <c r="H182" i="9" s="1"/>
  <c r="B182" i="9"/>
  <c r="F181" i="9"/>
  <c r="H181" i="9" s="1"/>
  <c r="B181" i="9"/>
  <c r="F180" i="9"/>
  <c r="H180" i="9" s="1"/>
  <c r="B180" i="9"/>
  <c r="F179" i="9"/>
  <c r="H179" i="9" s="1"/>
  <c r="B179" i="9"/>
  <c r="F178" i="9"/>
  <c r="H178" i="9" s="1"/>
  <c r="B178" i="9"/>
  <c r="F177" i="9"/>
  <c r="H177" i="9" s="1"/>
  <c r="B177" i="9"/>
  <c r="F176" i="9"/>
  <c r="H176" i="9" s="1"/>
  <c r="B176" i="9"/>
  <c r="F175" i="9"/>
  <c r="H175" i="9" s="1"/>
  <c r="B175" i="9"/>
  <c r="F174" i="9"/>
  <c r="H174" i="9" s="1"/>
  <c r="B174" i="9"/>
  <c r="F173" i="9"/>
  <c r="H173" i="9" s="1"/>
  <c r="B173" i="9"/>
  <c r="F172" i="9"/>
  <c r="H172" i="9" s="1"/>
  <c r="B172" i="9"/>
  <c r="F171" i="9"/>
  <c r="H171" i="9" s="1"/>
  <c r="B171" i="9"/>
  <c r="F170" i="9"/>
  <c r="H170" i="9" s="1"/>
  <c r="B170" i="9"/>
  <c r="F169" i="9"/>
  <c r="H169" i="9" s="1"/>
  <c r="B169" i="9"/>
  <c r="F168" i="9"/>
  <c r="H168" i="9" s="1"/>
  <c r="B168" i="9"/>
  <c r="F167" i="9"/>
  <c r="H167" i="9" s="1"/>
  <c r="B167" i="9"/>
  <c r="F166" i="9"/>
  <c r="H166" i="9" s="1"/>
  <c r="B166" i="9"/>
  <c r="F165" i="9"/>
  <c r="H165" i="9" s="1"/>
  <c r="B165" i="9"/>
  <c r="F164" i="9"/>
  <c r="H164" i="9" s="1"/>
  <c r="B164" i="9"/>
  <c r="F163" i="9"/>
  <c r="H163" i="9" s="1"/>
  <c r="B163" i="9"/>
  <c r="F162" i="9"/>
  <c r="H162" i="9" s="1"/>
  <c r="B162" i="9"/>
  <c r="F161" i="9"/>
  <c r="H161" i="9" s="1"/>
  <c r="B161" i="9"/>
  <c r="F160" i="9"/>
  <c r="H160" i="9" s="1"/>
  <c r="B160" i="9"/>
  <c r="F159" i="9"/>
  <c r="H159" i="9" s="1"/>
  <c r="B159" i="9"/>
  <c r="F158" i="9"/>
  <c r="H158" i="9" s="1"/>
  <c r="B158" i="9"/>
  <c r="F157" i="9"/>
  <c r="H157" i="9" s="1"/>
  <c r="B157" i="9"/>
  <c r="F156" i="9"/>
  <c r="H156" i="9" s="1"/>
  <c r="B156" i="9"/>
  <c r="F155" i="9"/>
  <c r="H155" i="9" s="1"/>
  <c r="B155" i="9"/>
  <c r="F154" i="9"/>
  <c r="H154" i="9" s="1"/>
  <c r="B154" i="9"/>
  <c r="F153" i="9"/>
  <c r="H153" i="9" s="1"/>
  <c r="B153" i="9"/>
  <c r="F152" i="9"/>
  <c r="H152" i="9" s="1"/>
  <c r="B152" i="9"/>
  <c r="F151" i="9"/>
  <c r="H151" i="9" s="1"/>
  <c r="B151" i="9"/>
  <c r="F150" i="9"/>
  <c r="H150" i="9" s="1"/>
  <c r="B150" i="9"/>
  <c r="F149" i="9"/>
  <c r="H149" i="9" s="1"/>
  <c r="B149" i="9"/>
  <c r="F148" i="9"/>
  <c r="H148" i="9" s="1"/>
  <c r="B148" i="9"/>
  <c r="F147" i="9"/>
  <c r="H147" i="9" s="1"/>
  <c r="B147" i="9"/>
  <c r="F146" i="9"/>
  <c r="H146" i="9" s="1"/>
  <c r="B146" i="9"/>
  <c r="F145" i="9"/>
  <c r="H145" i="9" s="1"/>
  <c r="B145" i="9"/>
  <c r="F144" i="9"/>
  <c r="H144" i="9" s="1"/>
  <c r="B144" i="9"/>
  <c r="F143" i="9"/>
  <c r="H143" i="9" s="1"/>
  <c r="B143" i="9"/>
  <c r="F142" i="9"/>
  <c r="H142" i="9" s="1"/>
  <c r="B142" i="9"/>
  <c r="F141" i="9"/>
  <c r="H141" i="9" s="1"/>
  <c r="B141" i="9"/>
  <c r="F140" i="9"/>
  <c r="H140" i="9" s="1"/>
  <c r="B140" i="9"/>
  <c r="F139" i="9"/>
  <c r="H139" i="9" s="1"/>
  <c r="B139" i="9"/>
  <c r="F138" i="9"/>
  <c r="H138" i="9" s="1"/>
  <c r="B138" i="9"/>
  <c r="F137" i="9"/>
  <c r="H137" i="9" s="1"/>
  <c r="B137" i="9"/>
  <c r="F136" i="9"/>
  <c r="H136" i="9" s="1"/>
  <c r="B136" i="9"/>
  <c r="F135" i="9"/>
  <c r="H135" i="9" s="1"/>
  <c r="B135" i="9"/>
  <c r="F134" i="9"/>
  <c r="H134" i="9" s="1"/>
  <c r="B134" i="9"/>
  <c r="F133" i="9"/>
  <c r="H133" i="9" s="1"/>
  <c r="B133" i="9"/>
  <c r="F132" i="9"/>
  <c r="H132" i="9" s="1"/>
  <c r="B132" i="9"/>
  <c r="F131" i="9"/>
  <c r="H131" i="9" s="1"/>
  <c r="B131" i="9"/>
  <c r="F130" i="9"/>
  <c r="H130" i="9" s="1"/>
  <c r="B130" i="9"/>
  <c r="F129" i="9"/>
  <c r="H129" i="9" s="1"/>
  <c r="B129" i="9"/>
  <c r="F128" i="9"/>
  <c r="H128" i="9" s="1"/>
  <c r="B128" i="9"/>
  <c r="F127" i="9"/>
  <c r="H127" i="9" s="1"/>
  <c r="B127" i="9"/>
  <c r="F126" i="9"/>
  <c r="H126" i="9" s="1"/>
  <c r="B126" i="9"/>
  <c r="F125" i="9"/>
  <c r="H125" i="9" s="1"/>
  <c r="B125" i="9"/>
  <c r="F124" i="9"/>
  <c r="H124" i="9" s="1"/>
  <c r="B124" i="9"/>
  <c r="F123" i="9"/>
  <c r="H123" i="9" s="1"/>
  <c r="B123" i="9"/>
  <c r="F122" i="9"/>
  <c r="H122" i="9" s="1"/>
  <c r="B122" i="9"/>
  <c r="F121" i="9"/>
  <c r="H121" i="9" s="1"/>
  <c r="B121" i="9"/>
  <c r="F120" i="9"/>
  <c r="H120" i="9" s="1"/>
  <c r="B120" i="9"/>
  <c r="F119" i="9"/>
  <c r="H119" i="9" s="1"/>
  <c r="B119" i="9"/>
  <c r="F118" i="9"/>
  <c r="H118" i="9" s="1"/>
  <c r="B118" i="9"/>
  <c r="F117" i="9"/>
  <c r="H117" i="9" s="1"/>
  <c r="B117" i="9"/>
  <c r="F116" i="9"/>
  <c r="H116" i="9" s="1"/>
  <c r="B116" i="9"/>
  <c r="F115" i="9"/>
  <c r="H115" i="9" s="1"/>
  <c r="B115" i="9"/>
  <c r="F114" i="9"/>
  <c r="H114" i="9" s="1"/>
  <c r="B114" i="9"/>
  <c r="F113" i="9"/>
  <c r="H113" i="9" s="1"/>
  <c r="B113" i="9"/>
  <c r="F112" i="9"/>
  <c r="H112" i="9" s="1"/>
  <c r="B112" i="9"/>
  <c r="F111" i="9"/>
  <c r="H111" i="9" s="1"/>
  <c r="B111" i="9"/>
  <c r="F110" i="9"/>
  <c r="H110" i="9" s="1"/>
  <c r="B110" i="9"/>
  <c r="F109" i="9"/>
  <c r="H109" i="9" s="1"/>
  <c r="B109" i="9"/>
  <c r="F108" i="9"/>
  <c r="H108" i="9" s="1"/>
  <c r="B108" i="9"/>
  <c r="F107" i="9"/>
  <c r="H107" i="9" s="1"/>
  <c r="B107" i="9"/>
  <c r="F106" i="9"/>
  <c r="H106" i="9" s="1"/>
  <c r="B106" i="9"/>
  <c r="F105" i="9"/>
  <c r="H105" i="9" s="1"/>
  <c r="B105" i="9"/>
  <c r="F104" i="9"/>
  <c r="H104" i="9" s="1"/>
  <c r="B104" i="9"/>
  <c r="F103" i="9"/>
  <c r="H103" i="9" s="1"/>
  <c r="B103" i="9"/>
  <c r="F102" i="9"/>
  <c r="H102" i="9" s="1"/>
  <c r="B102" i="9"/>
  <c r="F101" i="9"/>
  <c r="H101" i="9" s="1"/>
  <c r="B101" i="9"/>
  <c r="F100" i="9"/>
  <c r="H100" i="9" s="1"/>
  <c r="B100" i="9"/>
  <c r="F99" i="9"/>
  <c r="H99" i="9" s="1"/>
  <c r="B99" i="9"/>
  <c r="F98" i="9"/>
  <c r="H98" i="9" s="1"/>
  <c r="B98" i="9"/>
  <c r="F97" i="9"/>
  <c r="H97" i="9" s="1"/>
  <c r="B97" i="9"/>
  <c r="F96" i="9"/>
  <c r="H96" i="9" s="1"/>
  <c r="B96" i="9"/>
  <c r="F95" i="9"/>
  <c r="H95" i="9" s="1"/>
  <c r="B95" i="9"/>
  <c r="F94" i="9"/>
  <c r="H94" i="9" s="1"/>
  <c r="B94" i="9"/>
  <c r="F93" i="9"/>
  <c r="H93" i="9" s="1"/>
  <c r="B93" i="9"/>
  <c r="F92" i="9"/>
  <c r="H92" i="9" s="1"/>
  <c r="B92" i="9"/>
  <c r="F91" i="9"/>
  <c r="H91" i="9" s="1"/>
  <c r="B91" i="9"/>
  <c r="F90" i="9"/>
  <c r="H90" i="9" s="1"/>
  <c r="B90" i="9"/>
  <c r="F89" i="9"/>
  <c r="H89" i="9" s="1"/>
  <c r="B89" i="9"/>
  <c r="F88" i="9"/>
  <c r="H88" i="9" s="1"/>
  <c r="B88" i="9"/>
  <c r="F87" i="9"/>
  <c r="H87" i="9" s="1"/>
  <c r="B87" i="9"/>
  <c r="F86" i="9"/>
  <c r="H86" i="9" s="1"/>
  <c r="B86" i="9"/>
  <c r="F85" i="9"/>
  <c r="H85" i="9" s="1"/>
  <c r="B85" i="9"/>
  <c r="F84" i="9"/>
  <c r="H84" i="9" s="1"/>
  <c r="B84" i="9"/>
  <c r="F83" i="9"/>
  <c r="H83" i="9" s="1"/>
  <c r="B83" i="9"/>
  <c r="F82" i="9"/>
  <c r="H82" i="9" s="1"/>
  <c r="B82" i="9"/>
  <c r="F81" i="9"/>
  <c r="H81" i="9" s="1"/>
  <c r="B81" i="9"/>
  <c r="F80" i="9"/>
  <c r="H80" i="9" s="1"/>
  <c r="B80" i="9"/>
  <c r="F79" i="9"/>
  <c r="H79" i="9" s="1"/>
  <c r="B79" i="9"/>
  <c r="F78" i="9"/>
  <c r="H78" i="9" s="1"/>
  <c r="B78" i="9"/>
  <c r="F77" i="9"/>
  <c r="H77" i="9" s="1"/>
  <c r="B77" i="9"/>
  <c r="F76" i="9"/>
  <c r="H76" i="9" s="1"/>
  <c r="B76" i="9"/>
  <c r="F75" i="9"/>
  <c r="H75" i="9" s="1"/>
  <c r="B75" i="9"/>
  <c r="F74" i="9"/>
  <c r="H74" i="9" s="1"/>
  <c r="B74" i="9"/>
  <c r="F73" i="9"/>
  <c r="H73" i="9" s="1"/>
  <c r="B73" i="9"/>
  <c r="F72" i="9"/>
  <c r="H72" i="9" s="1"/>
  <c r="B72" i="9"/>
  <c r="F71" i="9"/>
  <c r="H71" i="9" s="1"/>
  <c r="B71" i="9"/>
  <c r="F70" i="9"/>
  <c r="H70" i="9" s="1"/>
  <c r="B70" i="9"/>
  <c r="F69" i="9"/>
  <c r="H69" i="9" s="1"/>
  <c r="B69" i="9"/>
  <c r="F68" i="9"/>
  <c r="H68" i="9" s="1"/>
  <c r="B68" i="9"/>
  <c r="F67" i="9"/>
  <c r="H67" i="9" s="1"/>
  <c r="B67" i="9"/>
  <c r="F66" i="9"/>
  <c r="H66" i="9" s="1"/>
  <c r="B66" i="9"/>
  <c r="F65" i="9"/>
  <c r="H65" i="9" s="1"/>
  <c r="B65" i="9"/>
  <c r="F64" i="9"/>
  <c r="H64" i="9" s="1"/>
  <c r="B64" i="9"/>
  <c r="F63" i="9"/>
  <c r="H63" i="9" s="1"/>
  <c r="B63" i="9"/>
  <c r="F62" i="9"/>
  <c r="H62" i="9" s="1"/>
  <c r="B62" i="9"/>
  <c r="F61" i="9"/>
  <c r="H61" i="9" s="1"/>
  <c r="B61" i="9"/>
  <c r="F60" i="9"/>
  <c r="H60" i="9" s="1"/>
  <c r="B60" i="9"/>
  <c r="F59" i="9"/>
  <c r="H59" i="9" s="1"/>
  <c r="B59" i="9"/>
  <c r="F58" i="9"/>
  <c r="H58" i="9" s="1"/>
  <c r="B58" i="9"/>
  <c r="F57" i="9"/>
  <c r="H57" i="9" s="1"/>
  <c r="B57" i="9"/>
  <c r="F56" i="9"/>
  <c r="H56" i="9" s="1"/>
  <c r="B56" i="9"/>
  <c r="F55" i="9"/>
  <c r="H55" i="9" s="1"/>
  <c r="B55" i="9"/>
  <c r="F54" i="9"/>
  <c r="H54" i="9" s="1"/>
  <c r="B54" i="9"/>
  <c r="F53" i="9"/>
  <c r="H53" i="9" s="1"/>
  <c r="B53" i="9"/>
  <c r="F52" i="9"/>
  <c r="H52" i="9" s="1"/>
  <c r="B52" i="9"/>
  <c r="F51" i="9"/>
  <c r="H51" i="9" s="1"/>
  <c r="B51" i="9"/>
  <c r="F50" i="9"/>
  <c r="H50" i="9" s="1"/>
  <c r="B50" i="9"/>
  <c r="F49" i="9"/>
  <c r="H49" i="9" s="1"/>
  <c r="B49" i="9"/>
  <c r="F48" i="9"/>
  <c r="H48" i="9" s="1"/>
  <c r="B48" i="9"/>
  <c r="F47" i="9"/>
  <c r="H47" i="9" s="1"/>
  <c r="B47" i="9"/>
  <c r="F46" i="9"/>
  <c r="H46" i="9" s="1"/>
  <c r="B46" i="9"/>
  <c r="F45" i="9"/>
  <c r="H45" i="9" s="1"/>
  <c r="B45" i="9"/>
  <c r="F44" i="9"/>
  <c r="H44" i="9" s="1"/>
  <c r="B44" i="9"/>
  <c r="F43" i="9"/>
  <c r="H43" i="9" s="1"/>
  <c r="B43" i="9"/>
  <c r="F42" i="9"/>
  <c r="H42" i="9" s="1"/>
  <c r="B42" i="9"/>
  <c r="F41" i="9"/>
  <c r="H41" i="9" s="1"/>
  <c r="B41" i="9"/>
  <c r="F40" i="9"/>
  <c r="H40" i="9" s="1"/>
  <c r="B40" i="9"/>
  <c r="F39" i="9"/>
  <c r="H39" i="9" s="1"/>
  <c r="B39" i="9"/>
  <c r="F38" i="9"/>
  <c r="H38" i="9" s="1"/>
  <c r="B38" i="9"/>
  <c r="F37" i="9"/>
  <c r="H37" i="9" s="1"/>
  <c r="B37" i="9"/>
  <c r="H36" i="9"/>
  <c r="B36" i="9"/>
  <c r="H35" i="9"/>
  <c r="B35" i="9"/>
  <c r="H34" i="9"/>
  <c r="B34" i="9"/>
  <c r="H33" i="9"/>
  <c r="B33" i="9"/>
  <c r="H32" i="9"/>
  <c r="B32" i="9"/>
  <c r="H31" i="9"/>
  <c r="B31" i="9"/>
  <c r="H30" i="9"/>
  <c r="B30" i="9"/>
  <c r="H29" i="9"/>
  <c r="B29" i="9"/>
  <c r="H28" i="9"/>
  <c r="B28" i="9"/>
  <c r="H27" i="9"/>
  <c r="B27" i="9"/>
  <c r="H26" i="9"/>
  <c r="B26" i="9"/>
  <c r="H25" i="9"/>
  <c r="B25" i="9"/>
  <c r="H24" i="9"/>
  <c r="B24" i="9"/>
  <c r="H23" i="9"/>
  <c r="H22" i="9"/>
  <c r="B22" i="9"/>
  <c r="H21" i="9"/>
  <c r="B21" i="9"/>
  <c r="H20" i="9"/>
  <c r="B20" i="9"/>
  <c r="H19" i="9"/>
  <c r="B19" i="9"/>
  <c r="H18" i="9"/>
  <c r="B18" i="9"/>
  <c r="H17" i="9"/>
  <c r="B17" i="9"/>
  <c r="H16" i="9"/>
  <c r="B16" i="9"/>
  <c r="H15" i="9"/>
  <c r="B15" i="9"/>
  <c r="H14" i="9"/>
  <c r="B14" i="9"/>
  <c r="H13" i="9"/>
  <c r="B13" i="9"/>
  <c r="H12" i="9"/>
  <c r="B12" i="9"/>
  <c r="H11" i="9"/>
  <c r="B11" i="9"/>
  <c r="H10" i="9"/>
  <c r="B10" i="9"/>
  <c r="H9" i="9"/>
  <c r="B9" i="9"/>
  <c r="H8" i="9"/>
  <c r="B8" i="9"/>
  <c r="H7" i="9"/>
  <c r="B7" i="9"/>
  <c r="H6" i="9"/>
  <c r="H5" i="9"/>
  <c r="B5" i="9"/>
  <c r="H4" i="9"/>
  <c r="B4" i="9"/>
  <c r="H3" i="9"/>
  <c r="B3" i="9"/>
  <c r="F3" i="42" l="1"/>
  <c r="E3" i="42" s="1"/>
  <c r="F5" i="42"/>
  <c r="E5" i="42" s="1"/>
  <c r="F6" i="42"/>
  <c r="E6" i="42" s="1"/>
  <c r="F8" i="42"/>
  <c r="E8" i="42" s="1"/>
  <c r="F4" i="42"/>
  <c r="E4" i="42" s="1"/>
  <c r="F7" i="42"/>
  <c r="E7" i="42" s="1"/>
  <c r="J61" i="17"/>
  <c r="M61" i="17" s="1"/>
  <c r="J60" i="17"/>
  <c r="B12" i="22"/>
  <c r="J41" i="17"/>
  <c r="J55" i="17"/>
  <c r="K55" i="17" s="1"/>
  <c r="J71" i="17"/>
  <c r="K71" i="17" s="1"/>
  <c r="J57" i="17"/>
  <c r="K57" i="17" s="1"/>
  <c r="J44" i="17"/>
  <c r="K44" i="17" s="1"/>
  <c r="J58" i="17"/>
  <c r="K58" i="17" s="1"/>
  <c r="J48" i="17"/>
  <c r="K48" i="17" s="1"/>
  <c r="J67" i="17"/>
  <c r="K67" i="17" s="1"/>
  <c r="J43" i="17"/>
  <c r="K43" i="17" s="1"/>
  <c r="J62" i="17"/>
  <c r="K62" i="17" s="1"/>
  <c r="J68" i="17"/>
  <c r="J47" i="17"/>
  <c r="K47" i="17" s="1"/>
  <c r="J63" i="17"/>
  <c r="K63" i="17" s="1"/>
  <c r="J50" i="17"/>
  <c r="K50" i="17" s="1"/>
  <c r="J66" i="17"/>
  <c r="J69" i="17"/>
  <c r="J42" i="17"/>
  <c r="J56" i="17"/>
  <c r="K56" i="17" s="1"/>
  <c r="J59" i="17"/>
  <c r="K59" i="17" s="1"/>
  <c r="J64" i="17"/>
  <c r="K64" i="17" s="1"/>
  <c r="J54" i="17"/>
  <c r="K54" i="17" s="1"/>
  <c r="J70" i="17"/>
  <c r="K70" i="17" s="1"/>
  <c r="J46" i="17"/>
  <c r="K46" i="17" s="1"/>
  <c r="J49" i="17"/>
  <c r="K49" i="17" s="1"/>
  <c r="J65" i="17"/>
  <c r="K65" i="17" s="1"/>
  <c r="J53" i="17"/>
  <c r="K53" i="17" s="1"/>
  <c r="J72" i="17"/>
  <c r="J45" i="17"/>
  <c r="K45" i="17" s="1"/>
  <c r="J51" i="17"/>
  <c r="K51" i="17" s="1"/>
  <c r="J52" i="17"/>
  <c r="K52" i="17" s="1"/>
  <c r="J14" i="17"/>
  <c r="J28" i="17"/>
  <c r="K28" i="17" s="1"/>
  <c r="J17" i="17"/>
  <c r="J31" i="17"/>
  <c r="K31" i="17" s="1"/>
  <c r="J20" i="17"/>
  <c r="K20" i="17" s="1"/>
  <c r="J34" i="17"/>
  <c r="J23" i="17"/>
  <c r="K23" i="17" s="1"/>
  <c r="J12" i="17"/>
  <c r="J26" i="17"/>
  <c r="J21" i="17"/>
  <c r="K21" i="17" s="1"/>
  <c r="J35" i="17"/>
  <c r="J33" i="17"/>
  <c r="J22" i="17"/>
  <c r="K22" i="17" s="1"/>
  <c r="J25" i="17"/>
  <c r="J15" i="17"/>
  <c r="K15" i="17" s="1"/>
  <c r="J29" i="17"/>
  <c r="J18" i="17"/>
  <c r="J32" i="17"/>
  <c r="J30" i="17"/>
  <c r="K30" i="17" s="1"/>
  <c r="J11" i="17"/>
  <c r="K11" i="17" s="1"/>
  <c r="J24" i="17"/>
  <c r="K24" i="17" s="1"/>
  <c r="J13" i="17"/>
  <c r="K13" i="17" s="1"/>
  <c r="J27" i="17"/>
  <c r="K27" i="17" s="1"/>
  <c r="J16" i="17"/>
  <c r="K16" i="17" s="1"/>
  <c r="J19" i="17"/>
  <c r="J36" i="17"/>
  <c r="J40" i="17"/>
  <c r="J6" i="17"/>
  <c r="K6" i="17" s="1"/>
  <c r="J38" i="17"/>
  <c r="J8" i="17"/>
  <c r="K8" i="17" s="1"/>
  <c r="J37" i="17"/>
  <c r="J9" i="17"/>
  <c r="J7" i="17"/>
  <c r="K7" i="17" s="1"/>
  <c r="J10" i="17"/>
  <c r="K10" i="17" s="1"/>
  <c r="J39" i="17"/>
  <c r="J5" i="17"/>
  <c r="K5" i="17" s="1"/>
  <c r="B11" i="22"/>
  <c r="B18" i="22"/>
  <c r="F18" i="22" s="1"/>
  <c r="B21" i="22"/>
  <c r="F21" i="22" s="1"/>
  <c r="B23" i="22"/>
  <c r="F23" i="22" s="1"/>
  <c r="A12" i="24"/>
  <c r="B22" i="22"/>
  <c r="F22" i="22" s="1"/>
  <c r="B16" i="22"/>
  <c r="B20" i="22"/>
  <c r="F20" i="22" s="1"/>
  <c r="B17" i="22"/>
  <c r="F17" i="22" s="1"/>
  <c r="B15" i="22"/>
  <c r="N63" i="36"/>
  <c r="E13" i="36"/>
  <c r="E4" i="19"/>
  <c r="F4" i="19" s="1"/>
  <c r="N28" i="36"/>
  <c r="E14" i="36"/>
  <c r="N61" i="36"/>
  <c r="E11" i="36"/>
  <c r="N62" i="36"/>
  <c r="E12" i="36"/>
  <c r="N24" i="36"/>
  <c r="E9" i="36"/>
  <c r="N65" i="36"/>
  <c r="E10" i="36"/>
  <c r="E16" i="22"/>
  <c r="G16" i="22"/>
  <c r="A9" i="33"/>
  <c r="A8" i="33"/>
  <c r="A10" i="33"/>
  <c r="A6" i="33"/>
  <c r="A7" i="33"/>
  <c r="F14" i="34"/>
  <c r="F26" i="25"/>
  <c r="AL9" i="23"/>
  <c r="E1" i="25"/>
  <c r="F1" i="25" s="1"/>
  <c r="E9" i="24"/>
  <c r="F9" i="24" s="1"/>
  <c r="E10" i="24"/>
  <c r="F10" i="24" s="1"/>
  <c r="E3" i="19"/>
  <c r="F3" i="19" s="1"/>
  <c r="E5" i="24"/>
  <c r="F5" i="24" s="1"/>
  <c r="E6" i="24"/>
  <c r="F6" i="24" s="1"/>
  <c r="E5" i="19"/>
  <c r="F5" i="19" s="1"/>
  <c r="N75" i="17"/>
  <c r="E3" i="24"/>
  <c r="F3" i="24" s="1"/>
  <c r="E8" i="24"/>
  <c r="F8" i="24" s="1"/>
  <c r="E11" i="24"/>
  <c r="F11" i="24" s="1"/>
  <c r="E4" i="24"/>
  <c r="F4" i="24" s="1"/>
  <c r="E7" i="24"/>
  <c r="F7" i="24" s="1"/>
  <c r="AY5" i="45"/>
  <c r="AZ5" i="45" s="1"/>
  <c r="N23" i="36"/>
  <c r="E8" i="36"/>
  <c r="N76" i="17"/>
  <c r="W30" i="12"/>
  <c r="W9" i="12"/>
  <c r="W27" i="12"/>
  <c r="W31" i="12"/>
  <c r="W10" i="12"/>
  <c r="W37" i="12"/>
  <c r="E10" i="39"/>
  <c r="AF37" i="39"/>
  <c r="R8" i="39"/>
  <c r="U8" i="39" s="1"/>
  <c r="T8" i="39"/>
  <c r="S8" i="39"/>
  <c r="T20" i="39"/>
  <c r="S20" i="39"/>
  <c r="R20" i="39"/>
  <c r="U20" i="39" s="1"/>
  <c r="S9" i="39"/>
  <c r="R9" i="39"/>
  <c r="U9" i="39" s="1"/>
  <c r="T9" i="39"/>
  <c r="T21" i="39"/>
  <c r="S21" i="39"/>
  <c r="R21" i="39"/>
  <c r="U21" i="39" s="1"/>
  <c r="T13" i="39"/>
  <c r="S13" i="39"/>
  <c r="R13" i="39"/>
  <c r="U13" i="39" s="1"/>
  <c r="T25" i="39"/>
  <c r="S25" i="39"/>
  <c r="R25" i="39"/>
  <c r="U25" i="39" s="1"/>
  <c r="E5" i="39"/>
  <c r="AF12" i="39"/>
  <c r="T12" i="39"/>
  <c r="S12" i="39"/>
  <c r="R12" i="39"/>
  <c r="U12" i="39" s="1"/>
  <c r="T24" i="39"/>
  <c r="S24" i="39"/>
  <c r="R24" i="39"/>
  <c r="U24" i="39" s="1"/>
  <c r="T2" i="39"/>
  <c r="S2" i="39"/>
  <c r="R2" i="39"/>
  <c r="U2" i="39" s="1"/>
  <c r="T14" i="39"/>
  <c r="S14" i="39"/>
  <c r="R14" i="39"/>
  <c r="U14" i="39" s="1"/>
  <c r="T26" i="39"/>
  <c r="S26" i="39"/>
  <c r="R26" i="39"/>
  <c r="U26" i="39" s="1"/>
  <c r="E3" i="39"/>
  <c r="AF2" i="39"/>
  <c r="T19" i="39"/>
  <c r="S19" i="39"/>
  <c r="R19" i="39"/>
  <c r="U19" i="39" s="1"/>
  <c r="T15" i="39"/>
  <c r="R15" i="39"/>
  <c r="U15" i="39" s="1"/>
  <c r="S15" i="39"/>
  <c r="E6" i="39"/>
  <c r="AF11" i="39"/>
  <c r="T6" i="39"/>
  <c r="S6" i="39"/>
  <c r="R6" i="39"/>
  <c r="U6" i="39" s="1"/>
  <c r="R7" i="39"/>
  <c r="T7" i="39"/>
  <c r="S7" i="39"/>
  <c r="AF13" i="39"/>
  <c r="E7" i="39"/>
  <c r="S10" i="39"/>
  <c r="R10" i="39"/>
  <c r="U10" i="39" s="1"/>
  <c r="T10" i="39"/>
  <c r="T22" i="39"/>
  <c r="S22" i="39"/>
  <c r="R22" i="39"/>
  <c r="U22" i="39" s="1"/>
  <c r="T11" i="39"/>
  <c r="S11" i="39"/>
  <c r="R11" i="39"/>
  <c r="U11" i="39" s="1"/>
  <c r="T23" i="39"/>
  <c r="S23" i="39"/>
  <c r="R23" i="39"/>
  <c r="U23" i="39" s="1"/>
  <c r="T3" i="39"/>
  <c r="S3" i="39"/>
  <c r="R3" i="39"/>
  <c r="U3" i="39" s="1"/>
  <c r="T27" i="39"/>
  <c r="S27" i="39"/>
  <c r="R27" i="39"/>
  <c r="U27" i="39" s="1"/>
  <c r="AF57" i="39"/>
  <c r="E11" i="39"/>
  <c r="T18" i="39"/>
  <c r="S18" i="39"/>
  <c r="R18" i="39"/>
  <c r="U18" i="39" s="1"/>
  <c r="T4" i="39"/>
  <c r="S4" i="39"/>
  <c r="R4" i="39"/>
  <c r="U4" i="39" s="1"/>
  <c r="T16" i="39"/>
  <c r="S16" i="39"/>
  <c r="R16" i="39"/>
  <c r="U16" i="39" s="1"/>
  <c r="AF17" i="39"/>
  <c r="E8" i="39"/>
  <c r="E4" i="39"/>
  <c r="AF4" i="39"/>
  <c r="T5" i="39"/>
  <c r="S5" i="39"/>
  <c r="R5" i="39"/>
  <c r="U5" i="39" s="1"/>
  <c r="S17" i="39"/>
  <c r="T17" i="39"/>
  <c r="R17" i="39"/>
  <c r="U17" i="39" s="1"/>
  <c r="AF30" i="39"/>
  <c r="E9" i="39"/>
  <c r="A3" i="33"/>
  <c r="A4" i="33"/>
  <c r="Z3" i="33"/>
  <c r="M19" i="33"/>
  <c r="M20" i="33"/>
  <c r="M30" i="33"/>
  <c r="N12" i="36"/>
  <c r="E5" i="36"/>
  <c r="W16" i="12"/>
  <c r="W20" i="12"/>
  <c r="W24" i="12"/>
  <c r="W38" i="12"/>
  <c r="W44" i="12"/>
  <c r="W52" i="12"/>
  <c r="W60" i="12"/>
  <c r="W68" i="12"/>
  <c r="N10" i="36"/>
  <c r="E4" i="36"/>
  <c r="F4" i="36" s="1"/>
  <c r="N43" i="36"/>
  <c r="E6" i="36"/>
  <c r="E12" i="24"/>
  <c r="F12" i="24" s="1"/>
  <c r="E13" i="24"/>
  <c r="F13" i="24" s="1"/>
  <c r="E15" i="24"/>
  <c r="F15" i="24" s="1"/>
  <c r="E14" i="24"/>
  <c r="F14" i="24" s="1"/>
  <c r="N73" i="36"/>
  <c r="E7" i="36"/>
  <c r="N30" i="36"/>
  <c r="E3" i="36"/>
  <c r="F3" i="36" s="1"/>
  <c r="A5" i="33"/>
  <c r="AE4" i="12"/>
  <c r="W13" i="12"/>
  <c r="W39" i="12"/>
  <c r="W66" i="12"/>
  <c r="W35" i="12"/>
  <c r="W47" i="12"/>
  <c r="W55" i="12"/>
  <c r="W63" i="12"/>
  <c r="W40" i="12"/>
  <c r="W56" i="12"/>
  <c r="W64" i="12"/>
  <c r="W28" i="12"/>
  <c r="W5" i="12"/>
  <c r="Z71" i="33"/>
  <c r="M9" i="33" s="1"/>
  <c r="AE5" i="12"/>
  <c r="W26" i="12"/>
  <c r="Z14" i="33"/>
  <c r="M21" i="33" s="1"/>
  <c r="Z73" i="33"/>
  <c r="M7" i="33" s="1"/>
  <c r="W14" i="12"/>
  <c r="W18" i="12"/>
  <c r="W22" i="12"/>
  <c r="W48" i="12"/>
  <c r="W36" i="12"/>
  <c r="W6" i="12"/>
  <c r="W41" i="12"/>
  <c r="W49" i="12"/>
  <c r="W57" i="12"/>
  <c r="W65" i="12"/>
  <c r="Z30" i="33"/>
  <c r="M5" i="33" s="1"/>
  <c r="Z5" i="33"/>
  <c r="M18" i="33" s="1"/>
  <c r="Z84" i="33"/>
  <c r="M35" i="33" s="1"/>
  <c r="W11" i="12"/>
  <c r="W15" i="12"/>
  <c r="W19" i="12"/>
  <c r="W23" i="12"/>
  <c r="W32" i="12"/>
  <c r="W42" i="12"/>
  <c r="W50" i="12"/>
  <c r="W58" i="12"/>
  <c r="Z87" i="33"/>
  <c r="M36" i="33" s="1"/>
  <c r="AH33" i="39"/>
  <c r="AK33" i="39" s="1"/>
  <c r="W3" i="12"/>
  <c r="W7" i="12"/>
  <c r="W43" i="12"/>
  <c r="W51" i="12"/>
  <c r="W59" i="12"/>
  <c r="W67" i="12"/>
  <c r="Z6" i="33"/>
  <c r="M16" i="33" s="1"/>
  <c r="Z86" i="33"/>
  <c r="AD86" i="33" s="1"/>
  <c r="Z7" i="33"/>
  <c r="M22" i="33" s="1"/>
  <c r="Z39" i="33"/>
  <c r="M27" i="33" s="1"/>
  <c r="Z88" i="33"/>
  <c r="M38" i="33" s="1"/>
  <c r="Z40" i="33"/>
  <c r="M28" i="33" s="1"/>
  <c r="AH34" i="39"/>
  <c r="AK34" i="39" s="1"/>
  <c r="AE3" i="12"/>
  <c r="AE7" i="12"/>
  <c r="W12" i="12"/>
  <c r="W33" i="12"/>
  <c r="Z8" i="33"/>
  <c r="M23" i="33" s="1"/>
  <c r="Z41" i="33"/>
  <c r="M29" i="33" s="1"/>
  <c r="Z42" i="33"/>
  <c r="M31" i="33" s="1"/>
  <c r="Z29" i="33"/>
  <c r="M3" i="33" s="1"/>
  <c r="Z4" i="33"/>
  <c r="M14" i="33" s="1"/>
  <c r="Z82" i="33"/>
  <c r="AD82" i="33" s="1"/>
  <c r="Z83" i="33"/>
  <c r="M32" i="33" s="1"/>
  <c r="AH31" i="39"/>
  <c r="AK31" i="39" s="1"/>
  <c r="AE6" i="12"/>
  <c r="Z85" i="33"/>
  <c r="AD85" i="33" s="1"/>
  <c r="AH32" i="39"/>
  <c r="AK32" i="39" s="1"/>
  <c r="W4" i="12"/>
  <c r="W8" i="12"/>
  <c r="W29" i="12"/>
  <c r="W45" i="12"/>
  <c r="W53" i="12"/>
  <c r="W61" i="12"/>
  <c r="W69" i="12"/>
  <c r="Z10" i="33"/>
  <c r="M25" i="33" s="1"/>
  <c r="E11" i="33" s="1"/>
  <c r="W34" i="12"/>
  <c r="Z13" i="33"/>
  <c r="M17" i="33" s="1"/>
  <c r="Z9" i="33"/>
  <c r="M24" i="33" s="1"/>
  <c r="A89" i="39"/>
  <c r="A90" i="39"/>
  <c r="A91" i="39"/>
  <c r="A92" i="39"/>
  <c r="A85" i="39"/>
  <c r="A93" i="39"/>
  <c r="A94" i="39"/>
  <c r="A95" i="39"/>
  <c r="A81" i="39"/>
  <c r="A82" i="39"/>
  <c r="A83" i="39"/>
  <c r="A84" i="39"/>
  <c r="A86" i="39"/>
  <c r="A87" i="39"/>
  <c r="A88" i="39"/>
  <c r="Z11" i="33"/>
  <c r="M26" i="33" s="1"/>
  <c r="Z27" i="33"/>
  <c r="M2" i="33" s="1"/>
  <c r="W17" i="12"/>
  <c r="W21" i="12"/>
  <c r="W25" i="12"/>
  <c r="W46" i="12"/>
  <c r="W54" i="12"/>
  <c r="W62" i="12"/>
  <c r="W70" i="12"/>
  <c r="Z74" i="33"/>
  <c r="M6" i="33" s="1"/>
  <c r="Z12" i="33"/>
  <c r="M15" i="33" s="1"/>
  <c r="BD12" i="17"/>
  <c r="BE12" i="17" s="1"/>
  <c r="BA14" i="17"/>
  <c r="BD7" i="17"/>
  <c r="BE7" i="17" s="1"/>
  <c r="BA18" i="17"/>
  <c r="BF8" i="17"/>
  <c r="BA4" i="17"/>
  <c r="X57" i="35"/>
  <c r="A6" i="35"/>
  <c r="U11" i="40"/>
  <c r="X11" i="40" s="1"/>
  <c r="Y11" i="40" s="1"/>
  <c r="BD10" i="17"/>
  <c r="BE10" i="17" s="1"/>
  <c r="BA8" i="17"/>
  <c r="BD11" i="17"/>
  <c r="BE11" i="17" s="1"/>
  <c r="BA9" i="17"/>
  <c r="H22" i="22"/>
  <c r="H21" i="22"/>
  <c r="H20" i="22"/>
  <c r="H18" i="22"/>
  <c r="H17" i="22"/>
  <c r="H23" i="22"/>
  <c r="BI4" i="17"/>
  <c r="BF16" i="17"/>
  <c r="BF14" i="17"/>
  <c r="BF15" i="17"/>
  <c r="BF13" i="17"/>
  <c r="BF9" i="17"/>
  <c r="BI6" i="17"/>
  <c r="BI5" i="17"/>
  <c r="BI3" i="17"/>
  <c r="G24" i="48"/>
  <c r="G11" i="48"/>
  <c r="G12" i="48"/>
  <c r="G6" i="48"/>
  <c r="G30" i="48"/>
  <c r="G7" i="48"/>
  <c r="G31" i="48"/>
  <c r="G8" i="48"/>
  <c r="G9" i="48"/>
  <c r="G10" i="48"/>
  <c r="G13" i="48"/>
  <c r="G14" i="48"/>
  <c r="G15" i="48"/>
  <c r="G20" i="48"/>
  <c r="G4" i="48"/>
  <c r="G28" i="48"/>
  <c r="G5" i="48"/>
  <c r="G29" i="48"/>
  <c r="G22" i="48"/>
  <c r="G23" i="48"/>
  <c r="G25" i="48"/>
  <c r="G16" i="48"/>
  <c r="G18" i="48"/>
  <c r="G21" i="48"/>
  <c r="G26" i="48"/>
  <c r="G3" i="48"/>
  <c r="G27" i="48"/>
  <c r="G17" i="48"/>
  <c r="G19" i="48"/>
  <c r="A9" i="24"/>
  <c r="A10" i="24"/>
  <c r="A11" i="24"/>
  <c r="A8" i="24"/>
  <c r="X7" i="40"/>
  <c r="Y7" i="40" s="1"/>
  <c r="C23" i="37"/>
  <c r="G23" i="37" s="1"/>
  <c r="C22" i="37"/>
  <c r="G22" i="37" s="1"/>
  <c r="C18" i="37"/>
  <c r="G18" i="37" s="1"/>
  <c r="C25" i="37"/>
  <c r="G25" i="37" s="1"/>
  <c r="C24" i="37"/>
  <c r="G24" i="37" s="1"/>
  <c r="C19" i="37"/>
  <c r="G19" i="37" s="1"/>
  <c r="C26" i="37"/>
  <c r="G26" i="37" s="1"/>
  <c r="C21" i="37"/>
  <c r="G21" i="37" s="1"/>
  <c r="C20" i="37"/>
  <c r="G20" i="37" s="1"/>
  <c r="C27" i="37"/>
  <c r="G27" i="37" s="1"/>
  <c r="G4" i="37"/>
  <c r="C3" i="37"/>
  <c r="G3" i="37" s="1"/>
  <c r="C17" i="37"/>
  <c r="G17" i="37" s="1"/>
  <c r="C16" i="37"/>
  <c r="G16" i="37" s="1"/>
  <c r="G15" i="37"/>
  <c r="G14" i="37"/>
  <c r="G12" i="37"/>
  <c r="G13" i="37"/>
  <c r="G9" i="37"/>
  <c r="G11" i="37"/>
  <c r="G8" i="37"/>
  <c r="G10" i="37"/>
  <c r="X4" i="40"/>
  <c r="Y4" i="40" s="1"/>
  <c r="X6" i="40"/>
  <c r="Y6" i="40" s="1"/>
  <c r="X3" i="40"/>
  <c r="Y3" i="40" s="1"/>
  <c r="X5" i="40"/>
  <c r="Y5" i="40" s="1"/>
  <c r="AY26" i="45"/>
  <c r="AZ26" i="45" s="1"/>
  <c r="AY27" i="45"/>
  <c r="AZ27" i="45" s="1"/>
  <c r="F11" i="28"/>
  <c r="J4" i="17"/>
  <c r="K4" i="17" s="1"/>
  <c r="J3" i="17"/>
  <c r="K3" i="17" s="1"/>
  <c r="AA5" i="38"/>
  <c r="AA33" i="38"/>
  <c r="AA26" i="38"/>
  <c r="AA30" i="38"/>
  <c r="AA36" i="38"/>
  <c r="AA37" i="38"/>
  <c r="AA12" i="38"/>
  <c r="H2" i="9"/>
  <c r="F3" i="53" s="1"/>
  <c r="AI17" i="45"/>
  <c r="AI15" i="45"/>
  <c r="AI16" i="45"/>
  <c r="AI18" i="45"/>
  <c r="AI10" i="45"/>
  <c r="AI13" i="45"/>
  <c r="AI11" i="45"/>
  <c r="AI12" i="45"/>
  <c r="AI14" i="45"/>
  <c r="AI22" i="45"/>
  <c r="AI23" i="45"/>
  <c r="AI24" i="45"/>
  <c r="AI25" i="45"/>
  <c r="AI21" i="45"/>
  <c r="AI19" i="45"/>
  <c r="AI20" i="45"/>
  <c r="N36" i="9"/>
  <c r="N35" i="9"/>
  <c r="G19" i="22"/>
  <c r="H19" i="22" s="1"/>
  <c r="BE2" i="45"/>
  <c r="K36" i="9"/>
  <c r="K35" i="9"/>
  <c r="E10" i="19"/>
  <c r="F10" i="19" s="1"/>
  <c r="B7" i="22"/>
  <c r="B6" i="22"/>
  <c r="B5" i="22"/>
  <c r="G24" i="15"/>
  <c r="K28" i="15" s="1"/>
  <c r="H6" i="35"/>
  <c r="B6" i="37"/>
  <c r="A5" i="37"/>
  <c r="E6" i="19"/>
  <c r="F6" i="19" s="1"/>
  <c r="AA29" i="38"/>
  <c r="E8" i="19"/>
  <c r="F8" i="19" s="1"/>
  <c r="AA57" i="38"/>
  <c r="AA22" i="38"/>
  <c r="AA35" i="38"/>
  <c r="AA28" i="38"/>
  <c r="E7" i="19"/>
  <c r="F7" i="19" s="1"/>
  <c r="E9" i="19"/>
  <c r="F9" i="19" s="1"/>
  <c r="AA11" i="38"/>
  <c r="AA23" i="38"/>
  <c r="AA31" i="38"/>
  <c r="C7" i="20"/>
  <c r="D7" i="20" s="1"/>
  <c r="E7" i="20" s="1"/>
  <c r="I17" i="38"/>
  <c r="G17" i="38" s="1"/>
  <c r="H17" i="38" s="1"/>
  <c r="J11" i="35"/>
  <c r="E15" i="22"/>
  <c r="G15" i="22"/>
  <c r="H8" i="35"/>
  <c r="J10" i="35"/>
  <c r="K10" i="35" s="1"/>
  <c r="H7" i="35"/>
  <c r="AT7" i="17"/>
  <c r="AT8" i="17" s="1"/>
  <c r="AT9" i="17" s="1"/>
  <c r="AT10" i="17" s="1"/>
  <c r="AT11" i="17" s="1"/>
  <c r="BH6" i="17"/>
  <c r="F33" i="17"/>
  <c r="I20" i="38"/>
  <c r="G20" i="38" s="1"/>
  <c r="H20" i="38" s="1"/>
  <c r="BD5" i="17"/>
  <c r="BE5" i="17" s="1"/>
  <c r="C5" i="20"/>
  <c r="D5" i="20" s="1"/>
  <c r="E5" i="20" s="1"/>
  <c r="BD6" i="17"/>
  <c r="BE6" i="17" s="1"/>
  <c r="C4" i="20"/>
  <c r="D4" i="20" s="1"/>
  <c r="E4" i="20" s="1"/>
  <c r="C3" i="20"/>
  <c r="D3" i="20" s="1"/>
  <c r="E3" i="20" s="1"/>
  <c r="C6" i="20"/>
  <c r="D6" i="20" s="1"/>
  <c r="E6" i="20" s="1"/>
  <c r="G14" i="22"/>
  <c r="E14" i="22"/>
  <c r="I19" i="39"/>
  <c r="I26" i="39"/>
  <c r="I24" i="39"/>
  <c r="I20" i="39"/>
  <c r="I27" i="39"/>
  <c r="F22" i="39"/>
  <c r="I17" i="39"/>
  <c r="I25" i="39"/>
  <c r="I23" i="39"/>
  <c r="F18" i="39"/>
  <c r="I16" i="39"/>
  <c r="I21" i="39"/>
  <c r="AB17" i="23"/>
  <c r="G10" i="22"/>
  <c r="G5" i="22"/>
  <c r="G9" i="22"/>
  <c r="E5" i="22"/>
  <c r="G3" i="22"/>
  <c r="G4" i="22"/>
  <c r="G6" i="22"/>
  <c r="E4" i="22"/>
  <c r="G12" i="22"/>
  <c r="E11" i="22"/>
  <c r="E7" i="22"/>
  <c r="E6" i="22"/>
  <c r="E13" i="22"/>
  <c r="G13" i="22"/>
  <c r="E8" i="22"/>
  <c r="G11" i="22"/>
  <c r="G7" i="22"/>
  <c r="G8" i="22"/>
  <c r="J7" i="35"/>
  <c r="J6" i="35"/>
  <c r="J9" i="35"/>
  <c r="K9" i="35" s="1"/>
  <c r="J8" i="35"/>
  <c r="A7" i="24"/>
  <c r="S11" i="40"/>
  <c r="S25" i="40"/>
  <c r="N38" i="22"/>
  <c r="AE28" i="45"/>
  <c r="AY21" i="17"/>
  <c r="AE24" i="45"/>
  <c r="N27" i="22"/>
  <c r="S6" i="40"/>
  <c r="S21" i="40"/>
  <c r="S35" i="40"/>
  <c r="AA42" i="38"/>
  <c r="X17" i="40"/>
  <c r="Y17" i="40" s="1"/>
  <c r="S19" i="40"/>
  <c r="AA56" i="38"/>
  <c r="S24" i="40"/>
  <c r="X33" i="40"/>
  <c r="Y33" i="40" s="1"/>
  <c r="AE33" i="45"/>
  <c r="Y103" i="39"/>
  <c r="Y104" i="39"/>
  <c r="N20" i="22"/>
  <c r="S3" i="40"/>
  <c r="S28" i="40"/>
  <c r="S32" i="40"/>
  <c r="S44" i="40"/>
  <c r="K4" i="35"/>
  <c r="N18" i="22"/>
  <c r="Y324" i="39"/>
  <c r="AE13" i="45"/>
  <c r="AA68" i="38"/>
  <c r="S14" i="40"/>
  <c r="S18" i="40"/>
  <c r="S45" i="40"/>
  <c r="S47" i="40"/>
  <c r="N32" i="22"/>
  <c r="N35" i="22"/>
  <c r="A3" i="24"/>
  <c r="Y684" i="39"/>
  <c r="F84" i="17"/>
  <c r="AY6" i="17"/>
  <c r="Y694" i="39"/>
  <c r="Y690" i="39"/>
  <c r="AA84" i="38"/>
  <c r="S36" i="40"/>
  <c r="S43" i="40"/>
  <c r="S27" i="40"/>
  <c r="S23" i="40"/>
  <c r="S37" i="40"/>
  <c r="N36" i="22"/>
  <c r="AA78" i="38"/>
  <c r="N50" i="22"/>
  <c r="Y254" i="39"/>
  <c r="N28" i="22"/>
  <c r="Y243" i="39"/>
  <c r="S52" i="40"/>
  <c r="N5" i="22"/>
  <c r="N19" i="22"/>
  <c r="F15" i="36"/>
  <c r="Y258" i="39"/>
  <c r="Y484" i="39"/>
  <c r="N43" i="22"/>
  <c r="Y702" i="39"/>
  <c r="AY3" i="17"/>
  <c r="S30" i="40"/>
  <c r="Y486" i="39"/>
  <c r="Y703" i="39"/>
  <c r="F82" i="17"/>
  <c r="N10" i="22"/>
  <c r="S17" i="40"/>
  <c r="BF11" i="17"/>
  <c r="Y86" i="39"/>
  <c r="AA64" i="38"/>
  <c r="S46" i="40"/>
  <c r="S53" i="40"/>
  <c r="F93" i="17"/>
  <c r="AY18" i="17"/>
  <c r="AA24" i="38"/>
  <c r="N15" i="22"/>
  <c r="AA21" i="38"/>
  <c r="AA7" i="38"/>
  <c r="AE25" i="45"/>
  <c r="AA70" i="38"/>
  <c r="AE11" i="45"/>
  <c r="AE32" i="45"/>
  <c r="Y63" i="39"/>
  <c r="S7" i="40"/>
  <c r="X26" i="40"/>
  <c r="Y26" i="40" s="1"/>
  <c r="S31" i="40"/>
  <c r="S42" i="40"/>
  <c r="N34" i="22"/>
  <c r="Y666" i="39"/>
  <c r="AE6" i="45"/>
  <c r="AE27" i="45"/>
  <c r="S13" i="40"/>
  <c r="B8" i="22"/>
  <c r="N30" i="22"/>
  <c r="Y320" i="39"/>
  <c r="O14" i="12"/>
  <c r="H4" i="18"/>
  <c r="H7" i="18"/>
  <c r="N8" i="22"/>
  <c r="N11" i="22"/>
  <c r="N14" i="22"/>
  <c r="N48" i="22"/>
  <c r="N52" i="22"/>
  <c r="Y462" i="39"/>
  <c r="N23" i="22"/>
  <c r="N44" i="22"/>
  <c r="Y74" i="39"/>
  <c r="Y678" i="39"/>
  <c r="AE29" i="45"/>
  <c r="S9" i="40"/>
  <c r="S33" i="40"/>
  <c r="B9" i="22"/>
  <c r="S15" i="40"/>
  <c r="K5" i="35"/>
  <c r="B3" i="22"/>
  <c r="Y709" i="39"/>
  <c r="AA27" i="38"/>
  <c r="AE9" i="45"/>
  <c r="AE16" i="45"/>
  <c r="S5" i="40"/>
  <c r="S20" i="40"/>
  <c r="S29" i="40"/>
  <c r="N9" i="22"/>
  <c r="Y681" i="39"/>
  <c r="AE31" i="45"/>
  <c r="N39" i="22"/>
  <c r="Y300" i="39"/>
  <c r="Y464" i="39"/>
  <c r="Z69" i="33"/>
  <c r="M11" i="33" s="1"/>
  <c r="Y110" i="39"/>
  <c r="Y279" i="39"/>
  <c r="AA20" i="38"/>
  <c r="AA38" i="38"/>
  <c r="H9" i="18"/>
  <c r="N3" i="22"/>
  <c r="N40" i="22"/>
  <c r="Y77" i="39"/>
  <c r="AY14" i="17"/>
  <c r="X32" i="40"/>
  <c r="Y32" i="40" s="1"/>
  <c r="X79" i="35"/>
  <c r="N45" i="22"/>
  <c r="Y302" i="39"/>
  <c r="X28" i="40"/>
  <c r="Y28" i="40" s="1"/>
  <c r="X37" i="40"/>
  <c r="Y37" i="40" s="1"/>
  <c r="Y79" i="39"/>
  <c r="Y456" i="39"/>
  <c r="F45" i="39"/>
  <c r="Y80" i="39"/>
  <c r="Y82" i="39"/>
  <c r="AA15" i="38"/>
  <c r="AA74" i="38"/>
  <c r="X77" i="35"/>
  <c r="F128" i="17"/>
  <c r="E12" i="22"/>
  <c r="N26" i="22"/>
  <c r="N33" i="22"/>
  <c r="N37" i="22"/>
  <c r="Y304" i="39"/>
  <c r="X13" i="40"/>
  <c r="Y13" i="40" s="1"/>
  <c r="S49" i="40"/>
  <c r="B10" i="22"/>
  <c r="N12" i="22"/>
  <c r="F19" i="22"/>
  <c r="AA66" i="38"/>
  <c r="I22" i="38"/>
  <c r="G22" i="38" s="1"/>
  <c r="H22" i="38" s="1"/>
  <c r="N7" i="49"/>
  <c r="N9" i="49" s="1"/>
  <c r="N7" i="22"/>
  <c r="N47" i="22"/>
  <c r="N51" i="22"/>
  <c r="Y289" i="39"/>
  <c r="S16" i="40"/>
  <c r="X29" i="40"/>
  <c r="Y29" i="40" s="1"/>
  <c r="AY13" i="17"/>
  <c r="S40" i="40"/>
  <c r="N16" i="49"/>
  <c r="S12" i="40"/>
  <c r="X25" i="40"/>
  <c r="Y25" i="40" s="1"/>
  <c r="J65" i="35"/>
  <c r="AY17" i="17"/>
  <c r="S41" i="40"/>
  <c r="S48" i="40"/>
  <c r="X2" i="35"/>
  <c r="H8" i="18"/>
  <c r="N21" i="22"/>
  <c r="Y106" i="39"/>
  <c r="Y293" i="39"/>
  <c r="Y58" i="39"/>
  <c r="Y668" i="39"/>
  <c r="Y686" i="39"/>
  <c r="N31" i="22"/>
  <c r="A4" i="24"/>
  <c r="AA46" i="38"/>
  <c r="Y295" i="39"/>
  <c r="AE19" i="45"/>
  <c r="AA8" i="38"/>
  <c r="AA50" i="38"/>
  <c r="AE20" i="45"/>
  <c r="AE21" i="45"/>
  <c r="Y92" i="39"/>
  <c r="AA54" i="38"/>
  <c r="AE14" i="45"/>
  <c r="AA80" i="38"/>
  <c r="AE34" i="45"/>
  <c r="AE15" i="45"/>
  <c r="AE22" i="45"/>
  <c r="AE35" i="45"/>
  <c r="AA52" i="38"/>
  <c r="AA6" i="38"/>
  <c r="AE4" i="45"/>
  <c r="AE30" i="45"/>
  <c r="AA14" i="38"/>
  <c r="AA40" i="38"/>
  <c r="AY10" i="17"/>
  <c r="F99" i="17"/>
  <c r="Y100" i="39"/>
  <c r="Y98" i="39"/>
  <c r="F72" i="17"/>
  <c r="AY19" i="17"/>
  <c r="H3" i="18"/>
  <c r="E10" i="22"/>
  <c r="N24" i="22"/>
  <c r="Y107" i="39"/>
  <c r="Y105" i="39"/>
  <c r="H3" i="23"/>
  <c r="N22" i="22"/>
  <c r="E9" i="22"/>
  <c r="A5" i="24"/>
  <c r="Y288" i="39"/>
  <c r="Y468" i="39"/>
  <c r="Y294" i="39"/>
  <c r="AA32" i="38"/>
  <c r="N6" i="22"/>
  <c r="I30" i="38"/>
  <c r="G30" i="38" s="1"/>
  <c r="H30" i="38" s="1"/>
  <c r="K2" i="45"/>
  <c r="K1" i="45" s="1"/>
  <c r="B4" i="22"/>
  <c r="I28" i="39"/>
  <c r="F28" i="39"/>
  <c r="I21" i="38"/>
  <c r="G21" i="38" s="1"/>
  <c r="H21" i="38" s="1"/>
  <c r="F101" i="17"/>
  <c r="N4" i="22"/>
  <c r="Z28" i="33"/>
  <c r="M4" i="33" s="1"/>
  <c r="Y311" i="39"/>
  <c r="Y310" i="39"/>
  <c r="E9" i="12"/>
  <c r="F9" i="12" s="1"/>
  <c r="E30" i="12"/>
  <c r="F30" i="12" s="1"/>
  <c r="X30" i="40"/>
  <c r="Y30" i="40" s="1"/>
  <c r="X36" i="40"/>
  <c r="Y36" i="40" s="1"/>
  <c r="K47" i="49"/>
  <c r="H5" i="35"/>
  <c r="F83" i="17"/>
  <c r="AE36" i="45"/>
  <c r="X23" i="40"/>
  <c r="Y23" i="40" s="1"/>
  <c r="N17" i="22"/>
  <c r="X16" i="40"/>
  <c r="Y16" i="40" s="1"/>
  <c r="F74" i="17"/>
  <c r="X27" i="40"/>
  <c r="Y27" i="40" s="1"/>
  <c r="S4" i="40"/>
  <c r="X14" i="40"/>
  <c r="Y14" i="40" s="1"/>
  <c r="X20" i="40"/>
  <c r="Y20" i="40" s="1"/>
  <c r="S34" i="40"/>
  <c r="BF12" i="17"/>
  <c r="N16" i="22"/>
  <c r="N25" i="22"/>
  <c r="N42" i="22"/>
  <c r="A6" i="24"/>
  <c r="Y712" i="39"/>
  <c r="Y710" i="39"/>
  <c r="AE10" i="45"/>
  <c r="AK28" i="39"/>
  <c r="AO28" i="39" s="1"/>
  <c r="Y283" i="39"/>
  <c r="Y285" i="39"/>
  <c r="X34" i="40"/>
  <c r="Y34" i="40" s="1"/>
  <c r="S8" i="40"/>
  <c r="X18" i="40"/>
  <c r="Y18" i="40" s="1"/>
  <c r="X24" i="40"/>
  <c r="Y24" i="40" s="1"/>
  <c r="S39" i="40"/>
  <c r="S50" i="40"/>
  <c r="H4" i="35"/>
  <c r="H10" i="35"/>
  <c r="F73" i="17"/>
  <c r="F98" i="17"/>
  <c r="N2" i="43"/>
  <c r="N29" i="22"/>
  <c r="Y452" i="39"/>
  <c r="Y699" i="39"/>
  <c r="Y697" i="39"/>
  <c r="AA16" i="38"/>
  <c r="E4" i="12"/>
  <c r="F4" i="12" s="1"/>
  <c r="N13" i="22"/>
  <c r="N46" i="22"/>
  <c r="N49" i="22"/>
  <c r="X31" i="40"/>
  <c r="Y31" i="40" s="1"/>
  <c r="Y8" i="40"/>
  <c r="X15" i="40"/>
  <c r="Y15" i="40" s="1"/>
  <c r="X21" i="40"/>
  <c r="Y21" i="40" s="1"/>
  <c r="K35" i="49"/>
  <c r="S22" i="40"/>
  <c r="X35" i="40"/>
  <c r="Y35" i="40" s="1"/>
  <c r="S51" i="40"/>
  <c r="BF10" i="17"/>
  <c r="F96" i="17"/>
  <c r="AA25" i="38"/>
  <c r="Z68" i="33"/>
  <c r="M10" i="33" s="1"/>
  <c r="Y91" i="39"/>
  <c r="Y237" i="39"/>
  <c r="Y442" i="39"/>
  <c r="X22" i="40"/>
  <c r="Y22" i="40" s="1"/>
  <c r="X19" i="40"/>
  <c r="Y19" i="40" s="1"/>
  <c r="H5" i="18"/>
  <c r="Y671" i="39"/>
  <c r="Y225" i="39"/>
  <c r="Y466" i="39"/>
  <c r="Y9" i="40"/>
  <c r="X12" i="40"/>
  <c r="Y12" i="40" s="1"/>
  <c r="S26" i="40"/>
  <c r="H9" i="35"/>
  <c r="BF7" i="17"/>
  <c r="Y306" i="39"/>
  <c r="Y478" i="39"/>
  <c r="Y672" i="39"/>
  <c r="AA17" i="38"/>
  <c r="E5" i="12"/>
  <c r="F5" i="12" s="1"/>
  <c r="E28" i="12"/>
  <c r="F28" i="12" s="1"/>
  <c r="Y61" i="39"/>
  <c r="AA10" i="38"/>
  <c r="AA82" i="38"/>
  <c r="E39" i="12"/>
  <c r="F39" i="12" s="1"/>
  <c r="E33" i="12"/>
  <c r="F33" i="12" s="1"/>
  <c r="AE26" i="45"/>
  <c r="E14" i="12"/>
  <c r="F14" i="12" s="1"/>
  <c r="Y307" i="39"/>
  <c r="Y459" i="39"/>
  <c r="AA19" i="38"/>
  <c r="AA44" i="38"/>
  <c r="AA72" i="38"/>
  <c r="AA86" i="38"/>
  <c r="AE12" i="45"/>
  <c r="E12" i="12"/>
  <c r="F12" i="12" s="1"/>
  <c r="AA34" i="38"/>
  <c r="AA48" i="38"/>
  <c r="AA62" i="38"/>
  <c r="AA76" i="38"/>
  <c r="E41" i="12"/>
  <c r="F41" i="12" s="1"/>
  <c r="AE7" i="45"/>
  <c r="AE17" i="45"/>
  <c r="AE23" i="45"/>
  <c r="AA58" i="38"/>
  <c r="E13" i="20"/>
  <c r="E16" i="20"/>
  <c r="E16" i="12"/>
  <c r="F16" i="12" s="1"/>
  <c r="E19" i="12"/>
  <c r="F19" i="12" s="1"/>
  <c r="AE8" i="45"/>
  <c r="AE18" i="45"/>
  <c r="AA3" i="38"/>
  <c r="E7" i="12"/>
  <c r="F7" i="12" s="1"/>
  <c r="Y282" i="39"/>
  <c r="E37" i="12"/>
  <c r="F37" i="12" s="1"/>
  <c r="X2" i="45"/>
  <c r="X1" i="45" s="1"/>
  <c r="Y41" i="39"/>
  <c r="AA9" i="38"/>
  <c r="AA60" i="38"/>
  <c r="AA88" i="38"/>
  <c r="E3" i="12"/>
  <c r="F3" i="12" s="1"/>
  <c r="E10" i="12"/>
  <c r="F10" i="12" s="1"/>
  <c r="E8" i="12"/>
  <c r="F8" i="12" s="1"/>
  <c r="AE5" i="45"/>
  <c r="Y685" i="39"/>
  <c r="Y687" i="39"/>
  <c r="K16" i="12"/>
  <c r="O16" i="12" s="1"/>
  <c r="O15" i="12"/>
  <c r="Y675" i="39"/>
  <c r="N23" i="20"/>
  <c r="O23" i="20" s="1"/>
  <c r="P23" i="20" s="1"/>
  <c r="R23" i="20" s="1"/>
  <c r="L23" i="20"/>
  <c r="N27" i="20"/>
  <c r="O27" i="20" s="1"/>
  <c r="P27" i="20" s="1"/>
  <c r="R27" i="20" s="1"/>
  <c r="L27" i="20"/>
  <c r="N29" i="20"/>
  <c r="O29" i="20" s="1"/>
  <c r="P29" i="20" s="1"/>
  <c r="R29" i="20" s="1"/>
  <c r="L29" i="20"/>
  <c r="Y669" i="39"/>
  <c r="H4" i="23"/>
  <c r="AA39" i="38"/>
  <c r="AA41" i="38"/>
  <c r="AA43" i="38"/>
  <c r="AA45" i="38"/>
  <c r="AA47" i="38"/>
  <c r="AA49" i="38"/>
  <c r="AA51" i="38"/>
  <c r="AA53" i="38"/>
  <c r="AA55" i="38"/>
  <c r="AA59" i="38"/>
  <c r="AA61" i="38"/>
  <c r="AA63" i="38"/>
  <c r="AA65" i="38"/>
  <c r="AA67" i="38"/>
  <c r="AA69" i="38"/>
  <c r="AA71" i="38"/>
  <c r="AA73" i="38"/>
  <c r="AA75" i="38"/>
  <c r="AA77" i="38"/>
  <c r="AA79" i="38"/>
  <c r="AA81" i="38"/>
  <c r="AA83" i="38"/>
  <c r="AA85" i="38"/>
  <c r="AA87" i="38"/>
  <c r="AA89" i="38"/>
  <c r="H58" i="35"/>
  <c r="Y695" i="39"/>
  <c r="H5" i="23"/>
  <c r="AA4" i="38"/>
  <c r="AA13" i="38"/>
  <c r="N24" i="20"/>
  <c r="O24" i="20" s="1"/>
  <c r="P24" i="20" s="1"/>
  <c r="R24" i="20" s="1"/>
  <c r="L24" i="20"/>
  <c r="N28" i="20"/>
  <c r="O28" i="20" s="1"/>
  <c r="P28" i="20" s="1"/>
  <c r="R28" i="20" s="1"/>
  <c r="L28" i="20"/>
  <c r="I23" i="38"/>
  <c r="G23" i="38" s="1"/>
  <c r="H23" i="38" s="1"/>
  <c r="I27" i="38"/>
  <c r="G27" i="38" s="1"/>
  <c r="H27" i="38" s="1"/>
  <c r="I31" i="38"/>
  <c r="G31" i="38" s="1"/>
  <c r="H31" i="38" s="1"/>
  <c r="E13" i="12"/>
  <c r="F13" i="12" s="1"/>
  <c r="E18" i="12"/>
  <c r="F18" i="12" s="1"/>
  <c r="E27" i="12"/>
  <c r="F27" i="12" s="1"/>
  <c r="E29" i="12"/>
  <c r="F29" i="12" s="1"/>
  <c r="E36" i="12"/>
  <c r="F36" i="12" s="1"/>
  <c r="E40" i="12"/>
  <c r="F40" i="12" s="1"/>
  <c r="N24" i="49"/>
  <c r="O24" i="49" s="1"/>
  <c r="X22" i="35"/>
  <c r="BD4" i="17"/>
  <c r="BE4" i="17" s="1"/>
  <c r="F97" i="17"/>
  <c r="F102" i="17"/>
  <c r="F126" i="17"/>
  <c r="H6" i="18"/>
  <c r="E3" i="22"/>
  <c r="N41" i="22"/>
  <c r="Z52" i="33"/>
  <c r="M12" i="33" s="1"/>
  <c r="Z56" i="33"/>
  <c r="M13" i="33" s="1"/>
  <c r="Z70" i="33"/>
  <c r="M8" i="33" s="1"/>
  <c r="Y45" i="39"/>
  <c r="Y67" i="39"/>
  <c r="Y223" i="39"/>
  <c r="Y233" i="39"/>
  <c r="Y274" i="39"/>
  <c r="Y308" i="39"/>
  <c r="A11" i="12"/>
  <c r="E11" i="12" s="1"/>
  <c r="F11" i="12" s="1"/>
  <c r="AA18" i="38"/>
  <c r="A6" i="12"/>
  <c r="E6" i="12" s="1"/>
  <c r="F6" i="12" s="1"/>
  <c r="E20" i="12"/>
  <c r="F20" i="12" s="1"/>
  <c r="E31" i="12"/>
  <c r="F31" i="12" s="1"/>
  <c r="E34" i="12"/>
  <c r="F34" i="12" s="1"/>
  <c r="E38" i="12"/>
  <c r="F38" i="12" s="1"/>
  <c r="BD3" i="17"/>
  <c r="BE3" i="17" s="1"/>
  <c r="Y677" i="39"/>
  <c r="E15" i="12"/>
  <c r="F15" i="12" s="1"/>
  <c r="E17" i="12"/>
  <c r="F17" i="12" s="1"/>
  <c r="E21" i="12"/>
  <c r="F21" i="12" s="1"/>
  <c r="E22" i="12"/>
  <c r="F22" i="12" s="1"/>
  <c r="E23" i="12"/>
  <c r="F23" i="12" s="1"/>
  <c r="E24" i="12"/>
  <c r="F24" i="12" s="1"/>
  <c r="E25" i="12"/>
  <c r="F25" i="12" s="1"/>
  <c r="E26" i="12"/>
  <c r="F26" i="12" s="1"/>
  <c r="E32" i="12"/>
  <c r="F32" i="12" s="1"/>
  <c r="E35" i="12"/>
  <c r="F35" i="12" s="1"/>
  <c r="L110" i="53" a="1"/>
  <c r="H1" i="18" l="1"/>
  <c r="K61" i="17"/>
  <c r="N61" i="17" s="1"/>
  <c r="L61" i="17"/>
  <c r="K60" i="17"/>
  <c r="L60" i="17"/>
  <c r="M60" i="17"/>
  <c r="M54" i="17"/>
  <c r="L54" i="17"/>
  <c r="L45" i="17"/>
  <c r="M45" i="17"/>
  <c r="L42" i="17"/>
  <c r="M42" i="17"/>
  <c r="N42" i="17" s="1"/>
  <c r="L67" i="17"/>
  <c r="M67" i="17"/>
  <c r="M56" i="17"/>
  <c r="L56" i="17"/>
  <c r="K72" i="17"/>
  <c r="M72" i="17"/>
  <c r="L72" i="17"/>
  <c r="M69" i="17"/>
  <c r="L69" i="17"/>
  <c r="L58" i="17"/>
  <c r="M58" i="17"/>
  <c r="L64" i="17"/>
  <c r="M64" i="17"/>
  <c r="M51" i="17"/>
  <c r="L51" i="17"/>
  <c r="L53" i="17"/>
  <c r="M53" i="17"/>
  <c r="L44" i="17"/>
  <c r="M44" i="17"/>
  <c r="L68" i="17"/>
  <c r="M68" i="17"/>
  <c r="N68" i="17" s="1"/>
  <c r="M62" i="17"/>
  <c r="L62" i="17"/>
  <c r="L43" i="17"/>
  <c r="M43" i="17"/>
  <c r="L59" i="17"/>
  <c r="M59" i="17"/>
  <c r="L66" i="17"/>
  <c r="M66" i="17"/>
  <c r="M57" i="17"/>
  <c r="L57" i="17"/>
  <c r="L65" i="17"/>
  <c r="M65" i="17"/>
  <c r="L50" i="17"/>
  <c r="M50" i="17"/>
  <c r="L52" i="17"/>
  <c r="M52" i="17"/>
  <c r="L49" i="17"/>
  <c r="M49" i="17"/>
  <c r="BK49" i="17"/>
  <c r="L71" i="17"/>
  <c r="M71" i="17"/>
  <c r="L70" i="17"/>
  <c r="M70" i="17"/>
  <c r="N70" i="17" s="1"/>
  <c r="L63" i="17"/>
  <c r="M63" i="17"/>
  <c r="L55" i="17"/>
  <c r="M55" i="17"/>
  <c r="M48" i="17"/>
  <c r="BK48" i="17"/>
  <c r="L48" i="17"/>
  <c r="M46" i="17"/>
  <c r="L46" i="17"/>
  <c r="M47" i="17"/>
  <c r="L47" i="17"/>
  <c r="L41" i="17"/>
  <c r="M41" i="17"/>
  <c r="L16" i="17"/>
  <c r="M16" i="17"/>
  <c r="M21" i="17"/>
  <c r="L21" i="17"/>
  <c r="L35" i="17"/>
  <c r="M35" i="17"/>
  <c r="L26" i="17"/>
  <c r="M26" i="17"/>
  <c r="M13" i="17"/>
  <c r="L13" i="17"/>
  <c r="L12" i="17"/>
  <c r="M12" i="17"/>
  <c r="L24" i="17"/>
  <c r="M24" i="17"/>
  <c r="L23" i="17"/>
  <c r="M23" i="17"/>
  <c r="L11" i="17"/>
  <c r="M11" i="17"/>
  <c r="N11" i="17" s="1"/>
  <c r="L34" i="17"/>
  <c r="M34" i="17"/>
  <c r="M30" i="17"/>
  <c r="N30" i="17" s="1"/>
  <c r="L30" i="17"/>
  <c r="L20" i="17"/>
  <c r="M20" i="17"/>
  <c r="L25" i="17"/>
  <c r="M25" i="17"/>
  <c r="M19" i="17"/>
  <c r="L19" i="17"/>
  <c r="L32" i="17"/>
  <c r="M32" i="17"/>
  <c r="L17" i="17"/>
  <c r="M17" i="17"/>
  <c r="L29" i="17"/>
  <c r="M29" i="17"/>
  <c r="L28" i="17"/>
  <c r="M28" i="17"/>
  <c r="L22" i="17"/>
  <c r="M22" i="17"/>
  <c r="M33" i="17"/>
  <c r="L33" i="17"/>
  <c r="L27" i="17"/>
  <c r="M27" i="17"/>
  <c r="L31" i="17"/>
  <c r="M31" i="17"/>
  <c r="L18" i="17"/>
  <c r="M18" i="17"/>
  <c r="L15" i="17"/>
  <c r="M15" i="17"/>
  <c r="L14" i="17"/>
  <c r="M14" i="17"/>
  <c r="L36" i="17"/>
  <c r="M36" i="17"/>
  <c r="L40" i="17"/>
  <c r="M40" i="17"/>
  <c r="N40" i="17" s="1"/>
  <c r="L39" i="17"/>
  <c r="M39" i="17"/>
  <c r="M10" i="17"/>
  <c r="L10" i="17"/>
  <c r="M37" i="17"/>
  <c r="L37" i="17"/>
  <c r="M7" i="17"/>
  <c r="L7" i="17"/>
  <c r="L9" i="17"/>
  <c r="M9" i="17"/>
  <c r="L8" i="17"/>
  <c r="M8" i="17"/>
  <c r="L38" i="17"/>
  <c r="M38" i="17"/>
  <c r="L6" i="17"/>
  <c r="M6" i="17"/>
  <c r="L5" i="17"/>
  <c r="M5" i="17"/>
  <c r="N5" i="17" s="1"/>
  <c r="BK5" i="17" s="1"/>
  <c r="F16" i="22"/>
  <c r="H16" i="22"/>
  <c r="AR6" i="45"/>
  <c r="E10" i="33"/>
  <c r="F10" i="33" s="1"/>
  <c r="E8" i="33"/>
  <c r="E9" i="33"/>
  <c r="F1" i="42"/>
  <c r="L100" i="53" s="1"/>
  <c r="L110" i="53"/>
  <c r="L4" i="53" s="1"/>
  <c r="AL10" i="23"/>
  <c r="E4" i="33"/>
  <c r="AD87" i="33"/>
  <c r="AD88" i="33"/>
  <c r="AD83" i="33"/>
  <c r="AD84" i="33"/>
  <c r="AO31" i="39"/>
  <c r="AM31" i="39"/>
  <c r="M34" i="33"/>
  <c r="E6" i="33" s="1"/>
  <c r="M37" i="33"/>
  <c r="M33" i="33"/>
  <c r="E7" i="33" s="1"/>
  <c r="AO33" i="39"/>
  <c r="AM33" i="39"/>
  <c r="AM32" i="39"/>
  <c r="AO32" i="39"/>
  <c r="AO34" i="39"/>
  <c r="AM34" i="39"/>
  <c r="H5" i="22"/>
  <c r="R82" i="39"/>
  <c r="R83" i="39"/>
  <c r="R84" i="39"/>
  <c r="R85" i="39"/>
  <c r="R86" i="39"/>
  <c r="R87" i="39"/>
  <c r="R95" i="39"/>
  <c r="R88" i="39"/>
  <c r="R89" i="39"/>
  <c r="R90" i="39"/>
  <c r="R91" i="39"/>
  <c r="R92" i="39"/>
  <c r="R93" i="39"/>
  <c r="R94" i="39"/>
  <c r="R96" i="39"/>
  <c r="R81" i="39"/>
  <c r="AH61" i="39"/>
  <c r="AK61" i="39" s="1"/>
  <c r="AH51" i="39"/>
  <c r="AK51" i="39" s="1"/>
  <c r="AH56" i="39"/>
  <c r="AK56" i="39" s="1"/>
  <c r="AH55" i="39"/>
  <c r="AK55" i="39" s="1"/>
  <c r="AH30" i="39"/>
  <c r="AK30" i="39" s="1"/>
  <c r="AH50" i="39"/>
  <c r="AK50" i="39" s="1"/>
  <c r="AH35" i="39"/>
  <c r="AK35" i="39" s="1"/>
  <c r="AH44" i="39"/>
  <c r="AK44" i="39" s="1"/>
  <c r="AH47" i="39"/>
  <c r="AK47" i="39" s="1"/>
  <c r="AH37" i="39"/>
  <c r="AK37" i="39" s="1"/>
  <c r="AH39" i="39"/>
  <c r="AK39" i="39" s="1"/>
  <c r="AH52" i="39"/>
  <c r="AK52" i="39" s="1"/>
  <c r="AH43" i="39"/>
  <c r="AK43" i="39" s="1"/>
  <c r="AH36" i="39"/>
  <c r="AK36" i="39" s="1"/>
  <c r="AH58" i="39"/>
  <c r="AK58" i="39" s="1"/>
  <c r="AH53" i="39"/>
  <c r="AK53" i="39" s="1"/>
  <c r="AH49" i="39"/>
  <c r="AK49" i="39" s="1"/>
  <c r="AH60" i="39"/>
  <c r="AK60" i="39" s="1"/>
  <c r="AH63" i="39"/>
  <c r="AK63" i="39" s="1"/>
  <c r="AH45" i="39"/>
  <c r="AK45" i="39" s="1"/>
  <c r="AH65" i="39"/>
  <c r="AK65" i="39" s="1"/>
  <c r="AH62" i="39"/>
  <c r="AK62" i="39" s="1"/>
  <c r="AH54" i="39"/>
  <c r="AK54" i="39" s="1"/>
  <c r="AH40" i="39"/>
  <c r="AK40" i="39" s="1"/>
  <c r="AH66" i="39"/>
  <c r="AK66" i="39" s="1"/>
  <c r="AH29" i="39"/>
  <c r="AK29" i="39" s="1"/>
  <c r="AH57" i="39"/>
  <c r="AK57" i="39" s="1"/>
  <c r="AH41" i="39"/>
  <c r="AK41" i="39" s="1"/>
  <c r="AH64" i="39"/>
  <c r="AK64" i="39" s="1"/>
  <c r="AH46" i="39"/>
  <c r="AK46" i="39" s="1"/>
  <c r="AH42" i="39"/>
  <c r="AK42" i="39" s="1"/>
  <c r="AH59" i="39"/>
  <c r="AK59" i="39" s="1"/>
  <c r="AH38" i="39"/>
  <c r="AK38" i="39" s="1"/>
  <c r="AH67" i="39"/>
  <c r="AK67" i="39" s="1"/>
  <c r="AH48" i="39"/>
  <c r="AK48" i="39" s="1"/>
  <c r="AH20" i="39"/>
  <c r="AK20" i="39" s="1"/>
  <c r="AH25" i="39"/>
  <c r="AK25" i="39" s="1"/>
  <c r="AH22" i="39"/>
  <c r="AK22" i="39" s="1"/>
  <c r="AH11" i="39"/>
  <c r="AK11" i="39" s="1"/>
  <c r="AH19" i="39"/>
  <c r="AK19" i="39" s="1"/>
  <c r="AH21" i="39"/>
  <c r="AK21" i="39" s="1"/>
  <c r="AH6" i="39"/>
  <c r="AK6" i="39" s="1"/>
  <c r="AH7" i="39"/>
  <c r="AK7" i="39" s="1"/>
  <c r="AM7" i="39" s="1"/>
  <c r="AH23" i="39"/>
  <c r="AK23" i="39" s="1"/>
  <c r="AH18" i="39"/>
  <c r="AK18" i="39" s="1"/>
  <c r="AH8" i="39"/>
  <c r="AK8" i="39" s="1"/>
  <c r="AM8" i="39" s="1"/>
  <c r="AH4" i="39"/>
  <c r="AK4" i="39" s="1"/>
  <c r="AH24" i="39"/>
  <c r="AK24" i="39" s="1"/>
  <c r="AH17" i="39"/>
  <c r="AK17" i="39" s="1"/>
  <c r="AH3" i="39"/>
  <c r="AK3" i="39" s="1"/>
  <c r="AH26" i="39"/>
  <c r="AK26" i="39" s="1"/>
  <c r="AH27" i="39"/>
  <c r="AK27" i="39" s="1"/>
  <c r="AH9" i="39"/>
  <c r="AK9" i="39" s="1"/>
  <c r="AH5" i="39"/>
  <c r="AK5" i="39" s="1"/>
  <c r="AH14" i="39"/>
  <c r="AK14" i="39" s="1"/>
  <c r="AH12" i="39"/>
  <c r="AK12" i="39" s="1"/>
  <c r="AH16" i="39"/>
  <c r="AK16" i="39" s="1"/>
  <c r="AH10" i="39"/>
  <c r="AK10" i="39" s="1"/>
  <c r="AH13" i="39"/>
  <c r="AK13" i="39" s="1"/>
  <c r="AH2" i="39"/>
  <c r="AK2" i="39" s="1"/>
  <c r="AH15" i="39"/>
  <c r="AK15" i="39" s="1"/>
  <c r="I9" i="39"/>
  <c r="I4" i="39"/>
  <c r="I11" i="39"/>
  <c r="I13" i="39"/>
  <c r="I6" i="39"/>
  <c r="I15" i="39"/>
  <c r="I8" i="39"/>
  <c r="I12" i="39"/>
  <c r="I5" i="39"/>
  <c r="I10" i="39"/>
  <c r="I3" i="39"/>
  <c r="I14" i="39"/>
  <c r="I7" i="39"/>
  <c r="H15" i="22"/>
  <c r="H8" i="22"/>
  <c r="H14" i="22"/>
  <c r="H12" i="22"/>
  <c r="H7" i="22"/>
  <c r="H11" i="22"/>
  <c r="H13" i="22"/>
  <c r="H6" i="22"/>
  <c r="H4" i="22"/>
  <c r="H3" i="22"/>
  <c r="H9" i="22"/>
  <c r="H10" i="22"/>
  <c r="Y10" i="40"/>
  <c r="G1" i="48"/>
  <c r="F12" i="33"/>
  <c r="AZ1" i="45"/>
  <c r="BB1" i="45" s="1"/>
  <c r="BB14" i="45"/>
  <c r="BB15" i="45"/>
  <c r="G5" i="37"/>
  <c r="BE18" i="17"/>
  <c r="BB4" i="45"/>
  <c r="BB36" i="45"/>
  <c r="BB22" i="45"/>
  <c r="BB8" i="45"/>
  <c r="BB21" i="45"/>
  <c r="BB7" i="45"/>
  <c r="BB35" i="45"/>
  <c r="BB34" i="45"/>
  <c r="BB20" i="45"/>
  <c r="BB6" i="45"/>
  <c r="BB19" i="45"/>
  <c r="BB5" i="45"/>
  <c r="BB18" i="45"/>
  <c r="BB17" i="45"/>
  <c r="BB33" i="45"/>
  <c r="BB32" i="45"/>
  <c r="BB31" i="45"/>
  <c r="BB30" i="45"/>
  <c r="BB29" i="45"/>
  <c r="BB28" i="45"/>
  <c r="BB27" i="45"/>
  <c r="BB13" i="45"/>
  <c r="BB12" i="45"/>
  <c r="BB26" i="45"/>
  <c r="BB25" i="45"/>
  <c r="BB11" i="45"/>
  <c r="BB10" i="45"/>
  <c r="BB23" i="45"/>
  <c r="BB9" i="45"/>
  <c r="BB16" i="45"/>
  <c r="BB24" i="45"/>
  <c r="L4" i="17"/>
  <c r="M4" i="17"/>
  <c r="M3" i="17"/>
  <c r="L3" i="17"/>
  <c r="I18" i="38"/>
  <c r="G18" i="38" s="1"/>
  <c r="H18" i="38" s="1"/>
  <c r="I15" i="38"/>
  <c r="G15" i="38" s="1"/>
  <c r="H15" i="38" s="1"/>
  <c r="I8" i="38"/>
  <c r="G8" i="38" s="1"/>
  <c r="H8" i="38" s="1"/>
  <c r="I12" i="38"/>
  <c r="G12" i="38" s="1"/>
  <c r="H12" i="38" s="1"/>
  <c r="I10" i="38"/>
  <c r="G10" i="38" s="1"/>
  <c r="H10" i="38" s="1"/>
  <c r="I7" i="38"/>
  <c r="G7" i="38" s="1"/>
  <c r="H7" i="38" s="1"/>
  <c r="I14" i="38"/>
  <c r="G14" i="38" s="1"/>
  <c r="H14" i="38" s="1"/>
  <c r="I13" i="38"/>
  <c r="G13" i="38" s="1"/>
  <c r="H13" i="38" s="1"/>
  <c r="I11" i="38"/>
  <c r="G11" i="38" s="1"/>
  <c r="H11" i="38" s="1"/>
  <c r="I6" i="38"/>
  <c r="G6" i="38" s="1"/>
  <c r="H6" i="38" s="1"/>
  <c r="I9" i="38"/>
  <c r="G9" i="38" s="1"/>
  <c r="H9" i="38" s="1"/>
  <c r="I5" i="38"/>
  <c r="G5" i="38" s="1"/>
  <c r="H5" i="38" s="1"/>
  <c r="I4" i="38"/>
  <c r="G4" i="38" s="1"/>
  <c r="H4" i="38" s="1"/>
  <c r="K24" i="53"/>
  <c r="K23" i="53"/>
  <c r="L97" i="53"/>
  <c r="N37" i="9"/>
  <c r="F12" i="36"/>
  <c r="F13" i="36"/>
  <c r="F14" i="36"/>
  <c r="F10" i="36"/>
  <c r="F11" i="36"/>
  <c r="K6" i="35"/>
  <c r="B5" i="37"/>
  <c r="B7" i="37"/>
  <c r="A7" i="37"/>
  <c r="C7" i="37" s="1"/>
  <c r="A6" i="37"/>
  <c r="F15" i="22"/>
  <c r="K7" i="35"/>
  <c r="K8" i="35"/>
  <c r="I16" i="38"/>
  <c r="G16" i="38" s="1"/>
  <c r="H16" i="38" s="1"/>
  <c r="I19" i="38"/>
  <c r="G19" i="38" s="1"/>
  <c r="H19" i="38" s="1"/>
  <c r="AT12" i="17"/>
  <c r="BH4" i="17" s="1"/>
  <c r="F14" i="22"/>
  <c r="BF5" i="17"/>
  <c r="BF6" i="17"/>
  <c r="BF4" i="17"/>
  <c r="BF3" i="17"/>
  <c r="F25" i="39"/>
  <c r="F7" i="36"/>
  <c r="F8" i="36"/>
  <c r="F19" i="39"/>
  <c r="F5" i="39"/>
  <c r="F26" i="39"/>
  <c r="F5" i="22"/>
  <c r="F10" i="39"/>
  <c r="F16" i="39"/>
  <c r="F6" i="39"/>
  <c r="F20" i="39"/>
  <c r="F23" i="39"/>
  <c r="F21" i="39"/>
  <c r="F27" i="39"/>
  <c r="F15" i="39"/>
  <c r="I18" i="39"/>
  <c r="I22" i="39"/>
  <c r="F24" i="39"/>
  <c r="F17" i="39"/>
  <c r="F12" i="39"/>
  <c r="AB20" i="23"/>
  <c r="AG12" i="23"/>
  <c r="F1" i="19"/>
  <c r="F11" i="22"/>
  <c r="F13" i="22"/>
  <c r="F6" i="22"/>
  <c r="F7" i="22"/>
  <c r="F8" i="22"/>
  <c r="F4" i="22"/>
  <c r="Y693" i="39"/>
  <c r="Y691" i="39"/>
  <c r="F8" i="39"/>
  <c r="F9" i="36"/>
  <c r="F14" i="39"/>
  <c r="F4" i="39"/>
  <c r="F9" i="22"/>
  <c r="F5" i="36"/>
  <c r="F13" i="39"/>
  <c r="Y698" i="39"/>
  <c r="F6" i="36"/>
  <c r="F11" i="39"/>
  <c r="AM28" i="39"/>
  <c r="F3" i="39"/>
  <c r="F10" i="22"/>
  <c r="F12" i="22"/>
  <c r="Y679" i="39"/>
  <c r="Y75" i="39"/>
  <c r="N53" i="22"/>
  <c r="E19" i="20"/>
  <c r="E1" i="20" s="1"/>
  <c r="H11" i="35"/>
  <c r="F9" i="39"/>
  <c r="E1" i="23"/>
  <c r="F7" i="39"/>
  <c r="Y111" i="39"/>
  <c r="Y87" i="39"/>
  <c r="Y89" i="39"/>
  <c r="Y683" i="39"/>
  <c r="Y1" i="40"/>
  <c r="O28" i="12"/>
  <c r="O1" i="12" s="1"/>
  <c r="F1" i="12"/>
  <c r="Y81" i="39"/>
  <c r="Y83" i="39"/>
  <c r="Y667" i="39"/>
  <c r="Y71" i="39"/>
  <c r="Y69" i="39"/>
  <c r="Y280" i="39"/>
  <c r="I3" i="38"/>
  <c r="G3" i="38" s="1"/>
  <c r="H3" i="38" s="1"/>
  <c r="Y286" i="39"/>
  <c r="Y284" i="39"/>
  <c r="Y706" i="39"/>
  <c r="Y704" i="39"/>
  <c r="Y292" i="39"/>
  <c r="Y290" i="39"/>
  <c r="Y101" i="39"/>
  <c r="Y99" i="39"/>
  <c r="F29" i="25"/>
  <c r="F1" i="24"/>
  <c r="Y95" i="39"/>
  <c r="Y93" i="39"/>
  <c r="R31" i="20"/>
  <c r="Y673" i="39"/>
  <c r="H4" i="28"/>
  <c r="G3" i="24"/>
  <c r="F3" i="22"/>
  <c r="AR7" i="45"/>
  <c r="Y298" i="39"/>
  <c r="Y296" i="39"/>
  <c r="L31" i="20"/>
  <c r="P1" i="9"/>
  <c r="K27" i="9"/>
  <c r="L104" i="53" a="1"/>
  <c r="L102" i="53" a="1"/>
  <c r="N60" i="17" l="1"/>
  <c r="N45" i="17"/>
  <c r="N72" i="17"/>
  <c r="N26" i="17"/>
  <c r="N41" i="17"/>
  <c r="N51" i="17"/>
  <c r="N29" i="17"/>
  <c r="N64" i="17"/>
  <c r="N66" i="17"/>
  <c r="N71" i="17"/>
  <c r="N44" i="17"/>
  <c r="N57" i="17"/>
  <c r="N46" i="17"/>
  <c r="N52" i="17"/>
  <c r="N69" i="17"/>
  <c r="N48" i="17"/>
  <c r="N59" i="17"/>
  <c r="N56" i="17"/>
  <c r="N49" i="17"/>
  <c r="N20" i="17"/>
  <c r="N55" i="17"/>
  <c r="N50" i="17"/>
  <c r="N67" i="17"/>
  <c r="N62" i="17"/>
  <c r="N43" i="17"/>
  <c r="N53" i="17"/>
  <c r="N27" i="17"/>
  <c r="N65" i="17"/>
  <c r="N58" i="17"/>
  <c r="N12" i="17"/>
  <c r="N47" i="17"/>
  <c r="N63" i="17"/>
  <c r="N54" i="17"/>
  <c r="N35" i="17"/>
  <c r="N18" i="17"/>
  <c r="N28" i="17"/>
  <c r="N22" i="17"/>
  <c r="N32" i="17"/>
  <c r="N21" i="17"/>
  <c r="N13" i="17"/>
  <c r="N17" i="17"/>
  <c r="N16" i="17"/>
  <c r="N15" i="17"/>
  <c r="N25" i="17"/>
  <c r="N31" i="17"/>
  <c r="N23" i="17"/>
  <c r="N24" i="17"/>
  <c r="N14" i="17"/>
  <c r="N33" i="17"/>
  <c r="N34" i="17"/>
  <c r="N19" i="17"/>
  <c r="N36" i="17"/>
  <c r="N39" i="17"/>
  <c r="N38" i="17"/>
  <c r="N8" i="17"/>
  <c r="N6" i="17"/>
  <c r="N10" i="17"/>
  <c r="N9" i="17"/>
  <c r="N7" i="17"/>
  <c r="N37" i="17"/>
  <c r="E5" i="33"/>
  <c r="L124" i="53"/>
  <c r="AG4" i="23"/>
  <c r="AL11" i="23"/>
  <c r="N4" i="17"/>
  <c r="BK4" i="17" s="1"/>
  <c r="F7" i="53"/>
  <c r="F6" i="53"/>
  <c r="F8" i="33"/>
  <c r="E3" i="33"/>
  <c r="AM15" i="39"/>
  <c r="AO15" i="39"/>
  <c r="AO27" i="39"/>
  <c r="AM27" i="39"/>
  <c r="AM43" i="39"/>
  <c r="AO43" i="39"/>
  <c r="AO12" i="39"/>
  <c r="AM12" i="39"/>
  <c r="AM60" i="39"/>
  <c r="AO60" i="39"/>
  <c r="AO25" i="39"/>
  <c r="AM25" i="39"/>
  <c r="AM66" i="39"/>
  <c r="AO66" i="39"/>
  <c r="AO17" i="39"/>
  <c r="AM17" i="39"/>
  <c r="AO45" i="39"/>
  <c r="AM45" i="39"/>
  <c r="AO59" i="39"/>
  <c r="AM59" i="39"/>
  <c r="AO42" i="39"/>
  <c r="AM42" i="39"/>
  <c r="AO37" i="39"/>
  <c r="AM37" i="39"/>
  <c r="AO53" i="39"/>
  <c r="AM53" i="39"/>
  <c r="AO47" i="39"/>
  <c r="AM47" i="39"/>
  <c r="AO64" i="39"/>
  <c r="AM64" i="39"/>
  <c r="AM44" i="39"/>
  <c r="AO44" i="39"/>
  <c r="AO63" i="39"/>
  <c r="AM63" i="39"/>
  <c r="AM36" i="39"/>
  <c r="AO36" i="39"/>
  <c r="AO67" i="39"/>
  <c r="AM67" i="39"/>
  <c r="AO35" i="39"/>
  <c r="AM35" i="39"/>
  <c r="AM49" i="39"/>
  <c r="AO49" i="39"/>
  <c r="AM58" i="39"/>
  <c r="AO58" i="39"/>
  <c r="AM48" i="39"/>
  <c r="AO48" i="39"/>
  <c r="AO38" i="39"/>
  <c r="AM38" i="39"/>
  <c r="AO50" i="39"/>
  <c r="AM50" i="39"/>
  <c r="AO39" i="39"/>
  <c r="AM39" i="39"/>
  <c r="AM29" i="39"/>
  <c r="AO29" i="39"/>
  <c r="AM30" i="39"/>
  <c r="AO30" i="39"/>
  <c r="AO65" i="39"/>
  <c r="AM65" i="39"/>
  <c r="AM52" i="39"/>
  <c r="AO52" i="39"/>
  <c r="AM55" i="39"/>
  <c r="AO55" i="39"/>
  <c r="AO56" i="39"/>
  <c r="AM56" i="39"/>
  <c r="AO62" i="39"/>
  <c r="AM62" i="39"/>
  <c r="AM57" i="39"/>
  <c r="AO57" i="39"/>
  <c r="AO40" i="39"/>
  <c r="AM40" i="39"/>
  <c r="AO51" i="39"/>
  <c r="AM51" i="39"/>
  <c r="AM46" i="39"/>
  <c r="AO46" i="39"/>
  <c r="AM41" i="39"/>
  <c r="AO41" i="39"/>
  <c r="AM54" i="39"/>
  <c r="AO54" i="39"/>
  <c r="AM61" i="39"/>
  <c r="AO61" i="39"/>
  <c r="AO3" i="39"/>
  <c r="AM3" i="39"/>
  <c r="AO26" i="39"/>
  <c r="AM26" i="39"/>
  <c r="AO9" i="39"/>
  <c r="AM9" i="39"/>
  <c r="AO24" i="39"/>
  <c r="AM24" i="39"/>
  <c r="AM23" i="39"/>
  <c r="AO23" i="39"/>
  <c r="AO6" i="39"/>
  <c r="AM6" i="39"/>
  <c r="AO2" i="39"/>
  <c r="AM2" i="39"/>
  <c r="AO21" i="39"/>
  <c r="AM21" i="39"/>
  <c r="AO4" i="39"/>
  <c r="AM4" i="39"/>
  <c r="AM13" i="39"/>
  <c r="AO13" i="39"/>
  <c r="AM19" i="39"/>
  <c r="AO19" i="39"/>
  <c r="AM11" i="39"/>
  <c r="AO11" i="39"/>
  <c r="AO18" i="39"/>
  <c r="AM18" i="39"/>
  <c r="AO16" i="39"/>
  <c r="AM16" i="39"/>
  <c r="AM5" i="39"/>
  <c r="AO5" i="39"/>
  <c r="AM10" i="39"/>
  <c r="AO10" i="39"/>
  <c r="AO22" i="39"/>
  <c r="AM22" i="39"/>
  <c r="AO14" i="39"/>
  <c r="AM14" i="39"/>
  <c r="AO20" i="39"/>
  <c r="AM20" i="39"/>
  <c r="AO8" i="39"/>
  <c r="AO7" i="39"/>
  <c r="L104" i="53"/>
  <c r="F14" i="53" s="1"/>
  <c r="F7" i="33"/>
  <c r="F9" i="33"/>
  <c r="F11" i="33"/>
  <c r="N3" i="17"/>
  <c r="G6" i="37"/>
  <c r="G7" i="37"/>
  <c r="L102" i="53"/>
  <c r="F1" i="22"/>
  <c r="G1" i="19"/>
  <c r="H1" i="19" s="1"/>
  <c r="I1" i="18"/>
  <c r="J1" i="18" s="1"/>
  <c r="L1" i="18" s="1" a="1"/>
  <c r="L1" i="18" s="1"/>
  <c r="H1" i="38"/>
  <c r="AT13" i="17"/>
  <c r="AT14" i="17" s="1"/>
  <c r="H30" i="39"/>
  <c r="AG13" i="23"/>
  <c r="AX2" i="23"/>
  <c r="AX3" i="23" s="1"/>
  <c r="I1" i="23"/>
  <c r="F1" i="36"/>
  <c r="F30" i="39"/>
  <c r="G1" i="39"/>
  <c r="AA1" i="40"/>
  <c r="K32" i="12"/>
  <c r="AR8" i="45"/>
  <c r="H5" i="28"/>
  <c r="N19" i="28"/>
  <c r="L111" i="53" a="1"/>
  <c r="L119" i="53" a="1"/>
  <c r="L109" i="53" a="1"/>
  <c r="L103" i="53" a="1"/>
  <c r="L122" i="53" a="1"/>
  <c r="L118" i="53" a="1"/>
  <c r="L114" i="53" a="1"/>
  <c r="L117" i="53" a="1"/>
  <c r="L112" i="53" a="1"/>
  <c r="L106" i="53" a="1"/>
  <c r="L116" i="53" a="1"/>
  <c r="AL12" i="23" l="1"/>
  <c r="L116" i="53"/>
  <c r="L10" i="53" s="1"/>
  <c r="X29" i="17"/>
  <c r="X30" i="17"/>
  <c r="L118" i="53"/>
  <c r="L12" i="53" s="1"/>
  <c r="AX5" i="23"/>
  <c r="AT15" i="17"/>
  <c r="AT16" i="17" s="1"/>
  <c r="AT17" i="17" s="1"/>
  <c r="AT18" i="17" s="1"/>
  <c r="BH3" i="17" s="1"/>
  <c r="BH5" i="17"/>
  <c r="G1" i="37"/>
  <c r="L113" i="53" s="1"/>
  <c r="F6" i="33"/>
  <c r="F5" i="33"/>
  <c r="F4" i="33"/>
  <c r="F3" i="33"/>
  <c r="L106" i="53"/>
  <c r="F16" i="53" s="1"/>
  <c r="L109" i="53"/>
  <c r="L3" i="53" s="1"/>
  <c r="L103" i="53"/>
  <c r="L114" i="53"/>
  <c r="L117" i="53"/>
  <c r="L122" i="53"/>
  <c r="L16" i="53" s="1"/>
  <c r="X21" i="17"/>
  <c r="L111" i="53"/>
  <c r="L112" i="53"/>
  <c r="L6" i="53" s="1"/>
  <c r="L119" i="53"/>
  <c r="L14" i="53" s="1"/>
  <c r="G1" i="22"/>
  <c r="G1" i="36"/>
  <c r="X20" i="17"/>
  <c r="I30" i="39"/>
  <c r="G2" i="36"/>
  <c r="P1" i="17"/>
  <c r="BL1" i="17" s="1"/>
  <c r="H6" i="28"/>
  <c r="AR9" i="45"/>
  <c r="L105" i="53" a="1"/>
  <c r="L7" i="53" l="1"/>
  <c r="L105" i="53"/>
  <c r="F15" i="53" s="1"/>
  <c r="AL13" i="23"/>
  <c r="L11" i="53"/>
  <c r="L13" i="53"/>
  <c r="L5" i="53"/>
  <c r="L8" i="53"/>
  <c r="AG5" i="23"/>
  <c r="AT19" i="17"/>
  <c r="F8" i="53"/>
  <c r="L15" i="53"/>
  <c r="F11" i="53"/>
  <c r="F10" i="53"/>
  <c r="F1" i="33"/>
  <c r="AG18" i="23"/>
  <c r="AR10" i="45"/>
  <c r="H7" i="28"/>
  <c r="L115" i="53" a="1"/>
  <c r="AG6" i="23" l="1"/>
  <c r="AG7" i="23" s="1"/>
  <c r="AL14" i="23"/>
  <c r="L17" i="53"/>
  <c r="L115" i="53"/>
  <c r="L9" i="53" s="1"/>
  <c r="H8" i="28"/>
  <c r="H9" i="28"/>
  <c r="AM11" i="45"/>
  <c r="AR11" i="45" s="1"/>
  <c r="H11" i="28" l="1"/>
  <c r="AG8" i="23"/>
  <c r="AL15" i="23"/>
  <c r="AG11" i="23"/>
  <c r="I2" i="28"/>
  <c r="F4" i="53" s="1"/>
  <c r="AM12" i="45"/>
  <c r="AR12" i="45" s="1"/>
  <c r="AG15" i="23" l="1"/>
  <c r="AG16" i="23" s="1"/>
  <c r="AL16" i="23"/>
  <c r="AG17" i="23"/>
  <c r="L98" i="53"/>
  <c r="AM13" i="45"/>
  <c r="AR13" i="45" s="1"/>
  <c r="AL17" i="23" l="1"/>
  <c r="AG19" i="23"/>
  <c r="AM14" i="45"/>
  <c r="AR14" i="45" s="1"/>
  <c r="AO10" i="23" l="1"/>
  <c r="AO3" i="23"/>
  <c r="AM4" i="23"/>
  <c r="AN4" i="23" s="1"/>
  <c r="AM3" i="23"/>
  <c r="AN3" i="23" s="1"/>
  <c r="AO4" i="23"/>
  <c r="AO17" i="23"/>
  <c r="AM5" i="23"/>
  <c r="AN5" i="23" s="1"/>
  <c r="AO6" i="23"/>
  <c r="AO7" i="23"/>
  <c r="AO9" i="23"/>
  <c r="AO8" i="23"/>
  <c r="AO11" i="23"/>
  <c r="AO14" i="23"/>
  <c r="AO13" i="23"/>
  <c r="AO15" i="23"/>
  <c r="AO16" i="23"/>
  <c r="AO12" i="23"/>
  <c r="AO5" i="23"/>
  <c r="AM13" i="23"/>
  <c r="AN13" i="23" s="1"/>
  <c r="AM11" i="23"/>
  <c r="AN11" i="23" s="1"/>
  <c r="AM16" i="23"/>
  <c r="AN16" i="23" s="1"/>
  <c r="AM15" i="23"/>
  <c r="AN15" i="23" s="1"/>
  <c r="AM8" i="23"/>
  <c r="AN8" i="23" s="1"/>
  <c r="AM14" i="23"/>
  <c r="AN14" i="23" s="1"/>
  <c r="AM10" i="23"/>
  <c r="AN10" i="23" s="1"/>
  <c r="AM6" i="23"/>
  <c r="AN6" i="23" s="1"/>
  <c r="AM7" i="23"/>
  <c r="AN7" i="23" s="1"/>
  <c r="AM12" i="23"/>
  <c r="AN12" i="23" s="1"/>
  <c r="AM9" i="23"/>
  <c r="AN9" i="23" s="1"/>
  <c r="AB24" i="23"/>
  <c r="AM17" i="23"/>
  <c r="AN17" i="23" s="1"/>
  <c r="AP4" i="23"/>
  <c r="AP3" i="23"/>
  <c r="AP5" i="23"/>
  <c r="AP6" i="23"/>
  <c r="AP16" i="23"/>
  <c r="AP15" i="23"/>
  <c r="AP7" i="23"/>
  <c r="AP9" i="23"/>
  <c r="AP10" i="23"/>
  <c r="AP8" i="23"/>
  <c r="AP11" i="23"/>
  <c r="AP14" i="23"/>
  <c r="AP13" i="23"/>
  <c r="AP17" i="23"/>
  <c r="AP12" i="23"/>
  <c r="AM15" i="45"/>
  <c r="AR15" i="45" s="1"/>
  <c r="AQ4" i="23" l="1"/>
  <c r="AQ3" i="23"/>
  <c r="AM16" i="45"/>
  <c r="AR16" i="45" s="1"/>
  <c r="AM17" i="45" l="1"/>
  <c r="AR17" i="45" s="1"/>
  <c r="AM18" i="45" l="1"/>
  <c r="AR18" i="45" s="1"/>
  <c r="AM19" i="45" l="1"/>
  <c r="AR19" i="45" s="1"/>
  <c r="AM20" i="45" l="1"/>
  <c r="AR20" i="45" s="1"/>
  <c r="AM21" i="45" l="1"/>
  <c r="AR21" i="45" s="1"/>
  <c r="AM22" i="45" l="1"/>
  <c r="AR22" i="45" s="1"/>
  <c r="AM23" i="45" l="1"/>
  <c r="AR23" i="45" s="1"/>
  <c r="AM24" i="45" l="1"/>
  <c r="AR24" i="45" s="1"/>
  <c r="AM25" i="45" l="1"/>
  <c r="AR25" i="45" s="1"/>
  <c r="AM26" i="45" l="1"/>
  <c r="AR26" i="45" s="1"/>
  <c r="AM27" i="45" l="1"/>
  <c r="AR27" i="45" s="1"/>
  <c r="AM28" i="45" l="1"/>
  <c r="AR28" i="45" s="1"/>
  <c r="AM29" i="45" l="1"/>
  <c r="AR29" i="45" s="1"/>
  <c r="AM30" i="45" l="1"/>
  <c r="AR30" i="45" s="1"/>
  <c r="AM31" i="45" l="1"/>
  <c r="AR31" i="45" s="1"/>
  <c r="AM32" i="45" l="1"/>
  <c r="AR32" i="45" s="1"/>
  <c r="AM33" i="45" l="1"/>
  <c r="AR33" i="45" s="1"/>
  <c r="AM34" i="45" l="1"/>
  <c r="AR34" i="45" s="1"/>
  <c r="AM35" i="45" l="1"/>
  <c r="AR35" i="45" s="1"/>
  <c r="AM36" i="45" l="1"/>
  <c r="AR36" i="45" s="1"/>
  <c r="AR1" i="45" s="1"/>
  <c r="F45" i="53" l="1"/>
  <c r="U74" i="26" l="1"/>
  <c r="Q74" i="26"/>
  <c r="V74" i="26"/>
  <c r="L74" i="26" a="1"/>
  <c r="L74" i="26" l="1"/>
  <c r="Y74" i="26"/>
  <c r="Z74" i="26" s="1"/>
  <c r="Q73" i="26"/>
  <c r="U73" i="26"/>
  <c r="P73" i="26"/>
  <c r="L73" i="26" a="1"/>
  <c r="L73" i="26" l="1"/>
  <c r="AD85" i="26"/>
  <c r="AD86" i="26"/>
  <c r="K110" i="26"/>
  <c r="Y73" i="26"/>
  <c r="Z73" i="26" s="1"/>
  <c r="S70" i="26" l="1"/>
  <c r="V72" i="26"/>
  <c r="Q72" i="26"/>
  <c r="Q70" i="26" s="1"/>
  <c r="Q13" i="53" s="1"/>
  <c r="U72" i="26"/>
  <c r="U70" i="26" s="1"/>
  <c r="V70" i="26" l="1"/>
  <c r="U98" i="26" s="1"/>
  <c r="AA72" i="26" a="1"/>
  <c r="AA72" i="26" s="1"/>
  <c r="U97" i="26"/>
  <c r="Q15" i="53"/>
  <c r="Q16" i="53"/>
  <c r="U96" i="26"/>
  <c r="Q14" i="53"/>
  <c r="P72" i="26"/>
  <c r="L72" i="26" a="1"/>
  <c r="L72" i="26" l="1"/>
  <c r="Y72" i="26"/>
  <c r="Z72" i="26" s="1"/>
  <c r="P70" i="26"/>
  <c r="Q17" i="53" s="1"/>
  <c r="K108" i="26" l="1"/>
  <c r="AD84" i="26"/>
  <c r="K107" i="26"/>
  <c r="AD83" i="26"/>
  <c r="K105" i="26"/>
  <c r="K106" i="26"/>
  <c r="K103" i="26"/>
  <c r="K104" i="26"/>
  <c r="K101" i="26"/>
  <c r="K102" i="26"/>
  <c r="K99" i="26"/>
  <c r="K100" i="26"/>
  <c r="K97" i="26"/>
  <c r="O97" i="26" s="1"/>
  <c r="K98" i="26"/>
  <c r="U95" i="26"/>
  <c r="S104" i="26" s="1"/>
  <c r="AD82" i="26"/>
  <c r="AD81" i="26"/>
  <c r="AD73" i="26"/>
  <c r="AD80" i="26"/>
  <c r="AD79" i="26"/>
  <c r="AD78" i="26"/>
  <c r="AD77" i="26"/>
  <c r="AD76" i="26"/>
  <c r="AC71" i="26"/>
  <c r="AD75" i="26"/>
  <c r="AD74" i="26"/>
  <c r="L107" i="53" a="1"/>
  <c r="M103" i="26" a="1"/>
  <c r="M102" i="26" a="1"/>
  <c r="M100" i="26" a="1"/>
  <c r="M101" i="26" a="1"/>
  <c r="M98" i="26" a="1"/>
  <c r="M99" i="26" a="1"/>
  <c r="O104" i="26" l="1"/>
  <c r="N104" i="26"/>
  <c r="O106" i="26"/>
  <c r="N106" i="26"/>
  <c r="O105" i="26"/>
  <c r="N105" i="26"/>
  <c r="O107" i="26"/>
  <c r="N107" i="26"/>
  <c r="O108" i="26"/>
  <c r="N108" i="26"/>
  <c r="M98" i="26"/>
  <c r="M100" i="26"/>
  <c r="M99" i="26"/>
  <c r="M102" i="26"/>
  <c r="M103" i="26"/>
  <c r="M101" i="26"/>
  <c r="N98" i="26"/>
  <c r="O98" i="26"/>
  <c r="O100" i="26"/>
  <c r="N100" i="26"/>
  <c r="O99" i="26"/>
  <c r="N99" i="26"/>
  <c r="O102" i="26"/>
  <c r="N102" i="26"/>
  <c r="N103" i="26"/>
  <c r="O103" i="26"/>
  <c r="O101" i="26"/>
  <c r="N101" i="26"/>
  <c r="L107" i="53"/>
  <c r="F17" i="53" s="1"/>
  <c r="N97" i="26"/>
  <c r="M104" i="26" a="1"/>
  <c r="M105" i="26" a="1"/>
  <c r="M108" i="26" a="1"/>
  <c r="M107" i="26" a="1"/>
  <c r="M106" i="26" a="1"/>
  <c r="M97" i="26" a="1"/>
  <c r="M107" i="26" l="1"/>
  <c r="M105" i="26"/>
  <c r="M106" i="26"/>
  <c r="M108" i="26"/>
  <c r="M104" i="26"/>
  <c r="F19" i="53"/>
  <c r="M97" i="26"/>
  <c r="AB25" i="23"/>
  <c r="AQ11" i="23" s="1"/>
  <c r="AQ7" i="23" l="1"/>
  <c r="AQ15" i="23"/>
  <c r="AQ13" i="23"/>
  <c r="AQ16" i="23"/>
  <c r="AQ10" i="23"/>
  <c r="AQ12" i="23"/>
  <c r="AQ9" i="23"/>
  <c r="AQ5" i="23"/>
  <c r="AQ6" i="23"/>
  <c r="AQ14" i="23"/>
  <c r="AQ8" i="23"/>
  <c r="AQ17" i="23"/>
  <c r="AQ1" i="23" l="1"/>
  <c r="AQ20" i="23" s="1"/>
  <c r="H24" i="56" l="1"/>
  <c r="H33" i="56"/>
  <c r="H38" i="56"/>
  <c r="H27" i="56"/>
  <c r="H28" i="56"/>
  <c r="H41" i="56"/>
  <c r="H31" i="56"/>
  <c r="H29" i="56"/>
  <c r="H42" i="56"/>
  <c r="H35" i="56"/>
  <c r="H36" i="56"/>
  <c r="A35" i="56"/>
  <c r="B35" i="56"/>
  <c r="A43" i="56"/>
  <c r="B43" i="56"/>
  <c r="H25" i="56"/>
  <c r="B39" i="56"/>
  <c r="A39" i="56"/>
  <c r="H21" i="56"/>
  <c r="H40" i="56"/>
  <c r="H23" i="56"/>
  <c r="H43" i="56"/>
  <c r="B34" i="56"/>
  <c r="A34" i="56"/>
  <c r="H39" i="56"/>
  <c r="B37" i="56"/>
  <c r="A37" i="56"/>
  <c r="H26" i="56"/>
  <c r="H34" i="56"/>
  <c r="H32" i="56"/>
  <c r="B40" i="56"/>
  <c r="A40" i="56"/>
  <c r="B38" i="56"/>
  <c r="A38" i="56"/>
  <c r="A41" i="56"/>
  <c r="B41" i="56"/>
  <c r="H30" i="56"/>
  <c r="B42" i="56"/>
  <c r="A42" i="56"/>
  <c r="B36" i="56"/>
  <c r="A36" i="56"/>
  <c r="H37" i="56"/>
  <c r="H22" i="56"/>
  <c r="E1" i="56" l="1" a="1"/>
  <c r="E1" i="56" s="1"/>
  <c r="H2" i="56"/>
  <c r="I2" i="56" s="1"/>
  <c r="H1" i="56" l="1"/>
  <c r="I1" i="56"/>
  <c r="L125" i="53"/>
  <c r="L18" i="53" s="1"/>
  <c r="J2" i="56" l="1"/>
  <c r="J1" i="56" s="1"/>
  <c r="L19" i="53"/>
  <c r="N3" i="53" a="1"/>
  <c r="N3" i="53" s="1"/>
  <c r="O19" i="53" l="1"/>
  <c r="AW32" i="29"/>
  <c r="AY32" i="29" s="1"/>
  <c r="AO32" i="29"/>
  <c r="AP32" i="29" s="1"/>
  <c r="AP3" i="29" l="1"/>
  <c r="AT2" i="29" s="1"/>
  <c r="AI11" i="29"/>
  <c r="AI14" i="29" s="1"/>
  <c r="AV32"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9FB493-05AF-4E8A-A290-82B9E432D6D1}" keepAlive="1" name="Consulta - CODIGOS Y COSTOS" description="Conexión a la consulta 'CODIGOS Y COSTOS' en el libro." type="5" refreshedVersion="8" background="1" saveData="1">
    <dbPr connection="Provider=Microsoft.Mashup.OleDb.1;Data Source=$Workbook$;Location=&quot;CODIGOS Y COSTOS&quot;;Extended Properties=&quot;&quot;" command="SELECT * FROM [CODIGOS Y COST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futureMetadata>
  <cellMetadata count="1">
    <bk>
      <rc t="1" v="0"/>
    </bk>
  </cellMetadata>
  <valueMetadata count="8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valueMetadata>
</metadata>
</file>

<file path=xl/sharedStrings.xml><?xml version="1.0" encoding="utf-8"?>
<sst xmlns="http://schemas.openxmlformats.org/spreadsheetml/2006/main" count="40779" uniqueCount="21620">
  <si>
    <t>ID</t>
  </si>
  <si>
    <t>Producto</t>
  </si>
  <si>
    <t>Numero</t>
  </si>
  <si>
    <t>Precio</t>
  </si>
  <si>
    <t>FABRICA</t>
  </si>
  <si>
    <t>CODIGO</t>
  </si>
  <si>
    <t>COSTO</t>
  </si>
  <si>
    <t>Descripción - FABRICA</t>
  </si>
  <si>
    <t>Column9</t>
  </si>
  <si>
    <t>Column10</t>
  </si>
  <si>
    <t>Column11</t>
  </si>
  <si>
    <t>Column12</t>
  </si>
  <si>
    <t>Column13</t>
  </si>
  <si>
    <t>Column14</t>
  </si>
  <si>
    <t>PLASTICOS1</t>
  </si>
  <si>
    <t>PLASTICOS</t>
  </si>
  <si>
    <t>FADER</t>
  </si>
  <si>
    <t>S-001</t>
  </si>
  <si>
    <t>Grampa tapizado R11- R18</t>
  </si>
  <si>
    <t>PLASTICOS2</t>
  </si>
  <si>
    <t>S-002</t>
  </si>
  <si>
    <t>Grampa tapizadoDuna-128-147</t>
  </si>
  <si>
    <t>PLASTICOS3</t>
  </si>
  <si>
    <t>S-050</t>
  </si>
  <si>
    <t>Tuerca autorros. FIAT-RENAULT</t>
  </si>
  <si>
    <t>PLASTICOS4</t>
  </si>
  <si>
    <t>F-994</t>
  </si>
  <si>
    <t>Fijacion consola GACELL</t>
  </si>
  <si>
    <t>PLASTICOS5</t>
  </si>
  <si>
    <t>F-978</t>
  </si>
  <si>
    <t>Fijacion OPTICA 128</t>
  </si>
  <si>
    <t>PLASTICOS6</t>
  </si>
  <si>
    <t>F-993</t>
  </si>
  <si>
    <t>Tuerca autorros. GACELL</t>
  </si>
  <si>
    <t>PLASTICOS7</t>
  </si>
  <si>
    <t>F-977</t>
  </si>
  <si>
    <t>Fijacion patente FIAT</t>
  </si>
  <si>
    <t>PLASTICOS8</t>
  </si>
  <si>
    <t>F-979</t>
  </si>
  <si>
    <t>Registro faro 125</t>
  </si>
  <si>
    <t>PLASTICOS9</t>
  </si>
  <si>
    <t>F-566</t>
  </si>
  <si>
    <t>Tuerca autorroscante FIAT</t>
  </si>
  <si>
    <t>PLASTICOS10</t>
  </si>
  <si>
    <t>F-798/80</t>
  </si>
  <si>
    <t>Fijacion capot 125</t>
  </si>
  <si>
    <t>PLASTICOS11</t>
  </si>
  <si>
    <t>S-066</t>
  </si>
  <si>
    <t>Tuerca parrilla DUNA- UNO</t>
  </si>
  <si>
    <t>PLASTICOS12</t>
  </si>
  <si>
    <t>S-067</t>
  </si>
  <si>
    <t>Tuerca autorroc. PEUGEOT</t>
  </si>
  <si>
    <t>PLASTICOS13</t>
  </si>
  <si>
    <t>S-105</t>
  </si>
  <si>
    <t>Tuerca autorros. FIAT-PEUGEOT</t>
  </si>
  <si>
    <t>PLASTICOS14</t>
  </si>
  <si>
    <t>F-740/Ve</t>
  </si>
  <si>
    <t>Tuerca autorros. FIAT</t>
  </si>
  <si>
    <t>PLASTICOS15</t>
  </si>
  <si>
    <t>F-002</t>
  </si>
  <si>
    <t>Grampa tapizadoPEUGEOT 405</t>
  </si>
  <si>
    <t>PLASTICOS16</t>
  </si>
  <si>
    <t>F-1022/N</t>
  </si>
  <si>
    <t>Grampa tapizadoR11-R18-R9</t>
  </si>
  <si>
    <t>PLASTICOS17</t>
  </si>
  <si>
    <t>F-1026</t>
  </si>
  <si>
    <t>Grampa tapizado techo 405</t>
  </si>
  <si>
    <t>PLASTICOS18</t>
  </si>
  <si>
    <t>F-005</t>
  </si>
  <si>
    <t>Grampa tapizado FIAT UNO-TIPO</t>
  </si>
  <si>
    <t>PLASTICOS19</t>
  </si>
  <si>
    <t>F-001</t>
  </si>
  <si>
    <t>Grampa tapizado GOL</t>
  </si>
  <si>
    <t>PLASTICOS20</t>
  </si>
  <si>
    <t>F-003</t>
  </si>
  <si>
    <t>Grampa tapizado FIAT UNO-DUNA</t>
  </si>
  <si>
    <t>PLASTICOS21</t>
  </si>
  <si>
    <t>Grampa tapizado FIAT128-147</t>
  </si>
  <si>
    <t>PLASTICOS22</t>
  </si>
  <si>
    <t>F-1004</t>
  </si>
  <si>
    <t>Fijacion bagueta SPAZZIO</t>
  </si>
  <si>
    <t>PLASTICOS23</t>
  </si>
  <si>
    <t>F-0013/P</t>
  </si>
  <si>
    <t>Grampa tapizado PEUGEOT 504</t>
  </si>
  <si>
    <t>PLASTICOS24</t>
  </si>
  <si>
    <t>F-0014/Bl</t>
  </si>
  <si>
    <t>Arandelas varias</t>
  </si>
  <si>
    <t>PLASTICOS25</t>
  </si>
  <si>
    <t>F-110</t>
  </si>
  <si>
    <t>Regulador parrilla FALCON</t>
  </si>
  <si>
    <t>PLASTICOS26</t>
  </si>
  <si>
    <t>F-995</t>
  </si>
  <si>
    <t>Apoya brazo PEUGEOT 504/505</t>
  </si>
  <si>
    <t>PLASTICOS27</t>
  </si>
  <si>
    <t>F-036</t>
  </si>
  <si>
    <t>Tapizado puertas PIK-UP FORD</t>
  </si>
  <si>
    <t>PLASTICOS28</t>
  </si>
  <si>
    <t>F-037</t>
  </si>
  <si>
    <t>Tapizado puertas PIK-UP CHEVR.</t>
  </si>
  <si>
    <t>PLASTICOS29</t>
  </si>
  <si>
    <t>F-030</t>
  </si>
  <si>
    <t>Grampa Tapizado Universal</t>
  </si>
  <si>
    <t>PLASTICOS30</t>
  </si>
  <si>
    <t>S-024 Gr</t>
  </si>
  <si>
    <t>Broche tapizado ESCORD-PEUGEOT</t>
  </si>
  <si>
    <t>PLASTICOS31</t>
  </si>
  <si>
    <t>F-044</t>
  </si>
  <si>
    <t>Clip tapizado SIENA Y GACELL</t>
  </si>
  <si>
    <t>PLASTICOS32</t>
  </si>
  <si>
    <t>F-1023</t>
  </si>
  <si>
    <t>Clip panel puerta R6/-R9-R12</t>
  </si>
  <si>
    <t>PLASTICOS33</t>
  </si>
  <si>
    <t>F-232</t>
  </si>
  <si>
    <t>Fijacion tapizado FIAT 128</t>
  </si>
  <si>
    <t>PLASTICOS34</t>
  </si>
  <si>
    <t>F-0012/D</t>
  </si>
  <si>
    <t>Tapizado DODGE 1500/1800</t>
  </si>
  <si>
    <t>PLASTICOS35</t>
  </si>
  <si>
    <t>F-028</t>
  </si>
  <si>
    <t>Grampa lateral puerta TAUNUS-SIERRA</t>
  </si>
  <si>
    <t>PLASTICOS36</t>
  </si>
  <si>
    <t>F-042</t>
  </si>
  <si>
    <t>Broche tapizado y baul GACELL</t>
  </si>
  <si>
    <t>PLASTICOS37</t>
  </si>
  <si>
    <t>F-997</t>
  </si>
  <si>
    <t>Clip tapizado PEUGEOT 504/505</t>
  </si>
  <si>
    <t>PLASTICOS38</t>
  </si>
  <si>
    <t>S-003</t>
  </si>
  <si>
    <t>Grampa media coliza puerta renault 18</t>
  </si>
  <si>
    <t>PLASTICOS39</t>
  </si>
  <si>
    <t>F-798</t>
  </si>
  <si>
    <t>Fijacion tapizado techo FIAT 125</t>
  </si>
  <si>
    <t>PLASTICOS40</t>
  </si>
  <si>
    <t>F-016</t>
  </si>
  <si>
    <t>Modura baul FALCON 78/82</t>
  </si>
  <si>
    <t>PLASTICOS41</t>
  </si>
  <si>
    <t>F-027</t>
  </si>
  <si>
    <t>Tapizado techo PEUGEOT 504/505</t>
  </si>
  <si>
    <t>PLASTICOS42</t>
  </si>
  <si>
    <t>S-010</t>
  </si>
  <si>
    <t>Chupete guardabarro R11-9-19</t>
  </si>
  <si>
    <t>PLASTICOS43</t>
  </si>
  <si>
    <t>S-016</t>
  </si>
  <si>
    <t>Fijacion parrilla PEUGEOT 504/505</t>
  </si>
  <si>
    <t>PLASTICOS44</t>
  </si>
  <si>
    <t>S-022</t>
  </si>
  <si>
    <t>Tapizado REGATTA-TEMPRA</t>
  </si>
  <si>
    <t>PLASTICOS45</t>
  </si>
  <si>
    <t>S-023</t>
  </si>
  <si>
    <t>Tapizado FIAT UNO-DUNA</t>
  </si>
  <si>
    <t>PLASTICOS46</t>
  </si>
  <si>
    <t>S-024</t>
  </si>
  <si>
    <t>Tapizado PEUGEOT 504</t>
  </si>
  <si>
    <t>PLASTICOS47</t>
  </si>
  <si>
    <t>S-076/A</t>
  </si>
  <si>
    <t>Tapizado puerta FIAT PALIO SIENA</t>
  </si>
  <si>
    <t>PLASTICOS48</t>
  </si>
  <si>
    <t>S-028</t>
  </si>
  <si>
    <t>Paneles de baul y puertas ESCORD</t>
  </si>
  <si>
    <t>PLASTICOS49</t>
  </si>
  <si>
    <t>S-040</t>
  </si>
  <si>
    <t>Burleterias de puertas REGATTA</t>
  </si>
  <si>
    <t>PLASTICOS50</t>
  </si>
  <si>
    <t>S-043</t>
  </si>
  <si>
    <t>Varilla capot R9-pasacables y cañerias</t>
  </si>
  <si>
    <t>PLASTICOS51</t>
  </si>
  <si>
    <t>S-045</t>
  </si>
  <si>
    <t>Varilla capotFIAT DUNA-UNO</t>
  </si>
  <si>
    <t>PLASTICOS52</t>
  </si>
  <si>
    <t>S-048</t>
  </si>
  <si>
    <t>Paneles omega mediano</t>
  </si>
  <si>
    <t>PLASTICOS53</t>
  </si>
  <si>
    <t>S-027</t>
  </si>
  <si>
    <t>Varilla capot ESCORD-FIESTA-KA-SIERRA</t>
  </si>
  <si>
    <t>PLASTICOS54</t>
  </si>
  <si>
    <t>S-068</t>
  </si>
  <si>
    <t>Varilla cerradura FIAT-PEUGEOT-405</t>
  </si>
  <si>
    <t>PLASTICOS55</t>
  </si>
  <si>
    <t>S-069</t>
  </si>
  <si>
    <t>Grampa varilla cerradura FIAT DUNA UNO</t>
  </si>
  <si>
    <t>PLASTICOS56</t>
  </si>
  <si>
    <t>S-119</t>
  </si>
  <si>
    <t>Buje insignia FIAT UNO-DUNA</t>
  </si>
  <si>
    <t>PLASTICOS57</t>
  </si>
  <si>
    <t>S-121</t>
  </si>
  <si>
    <t>Tuerca apoya brazo VOLKSWEGEN GACELL</t>
  </si>
  <si>
    <t>PLASTICOS58</t>
  </si>
  <si>
    <t>S-009</t>
  </si>
  <si>
    <t>Grampa bagueta zocalo R11</t>
  </si>
  <si>
    <t>PLASTICOS59</t>
  </si>
  <si>
    <t>S-015</t>
  </si>
  <si>
    <t>PLASTICOS60</t>
  </si>
  <si>
    <t>S-014</t>
  </si>
  <si>
    <t>Grampa bagueta zocalo R11 roja</t>
  </si>
  <si>
    <t>PLASTICOS61</t>
  </si>
  <si>
    <t>S-131</t>
  </si>
  <si>
    <t>grampa varilla cerradura FIAT 600 - PEUGEOT</t>
  </si>
  <si>
    <t>PLASTICOS62</t>
  </si>
  <si>
    <t>S-038</t>
  </si>
  <si>
    <t>Grampa tapizado Renault 21</t>
  </si>
  <si>
    <t>PLASTICOS63</t>
  </si>
  <si>
    <t>S-084</t>
  </si>
  <si>
    <t>Grampa paragolpe Ford Ka</t>
  </si>
  <si>
    <t>PLASTICOS64</t>
  </si>
  <si>
    <t>S-035</t>
  </si>
  <si>
    <t>Grampa tapizado Renault 19</t>
  </si>
  <si>
    <t>PLASTICOS65</t>
  </si>
  <si>
    <t>S-036</t>
  </si>
  <si>
    <t>Grampa tapizado Peugeot 405 larga</t>
  </si>
  <si>
    <t>PLASTICOS66</t>
  </si>
  <si>
    <t>S-079</t>
  </si>
  <si>
    <t>Grampa tapizado puerta Chevr. Corsa</t>
  </si>
  <si>
    <t>PLASTICOS67</t>
  </si>
  <si>
    <t>S-083</t>
  </si>
  <si>
    <t>Grampa tapizado Ford Ka</t>
  </si>
  <si>
    <t>PLASTICOS69</t>
  </si>
  <si>
    <t>S-047</t>
  </si>
  <si>
    <t>Grampa pasacable omega grande</t>
  </si>
  <si>
    <t>PLASTICOS70</t>
  </si>
  <si>
    <t>S-049</t>
  </si>
  <si>
    <t>Grampa pasacable omega chica</t>
  </si>
  <si>
    <t>PLASTICOS71</t>
  </si>
  <si>
    <t>S-114</t>
  </si>
  <si>
    <t>Soporte giratorio de cables de motor</t>
  </si>
  <si>
    <t>PLASTICOS72</t>
  </si>
  <si>
    <t>S-116</t>
  </si>
  <si>
    <t>Grampa pasacable de cerradura de Escord</t>
  </si>
  <si>
    <t>PLASTICOS73</t>
  </si>
  <si>
    <t>S-106</t>
  </si>
  <si>
    <t>Grampa varilla capot  SENDA - GOL -SAVERIO</t>
  </si>
  <si>
    <t>PLASTICOS74</t>
  </si>
  <si>
    <t>S-013</t>
  </si>
  <si>
    <t>Grampa pasacable de zocalos Renault 12</t>
  </si>
  <si>
    <t>PLASTICOS75</t>
  </si>
  <si>
    <t>S-108</t>
  </si>
  <si>
    <t>Grampa tapizado de GOL AB9</t>
  </si>
  <si>
    <t>PLASTICOS76</t>
  </si>
  <si>
    <t>S-110</t>
  </si>
  <si>
    <t xml:space="preserve">Grampa paneles de tapizado DUNA Y UNO </t>
  </si>
  <si>
    <t>PLASTICOS77</t>
  </si>
  <si>
    <t>S-042</t>
  </si>
  <si>
    <t>Grampa paneles laterales y baul VOLKSWAGEN</t>
  </si>
  <si>
    <t>PLASTICOS78</t>
  </si>
  <si>
    <t>F-0015</t>
  </si>
  <si>
    <t>Clip tapizado panel GOL - SENDA</t>
  </si>
  <si>
    <t>PLASTICOS79</t>
  </si>
  <si>
    <t>S-006</t>
  </si>
  <si>
    <t>Grampa tapizado Renault 18 - 11</t>
  </si>
  <si>
    <t>PLASTICOS80</t>
  </si>
  <si>
    <t>S-077</t>
  </si>
  <si>
    <t>Grampa manta capot CLIO</t>
  </si>
  <si>
    <t>PLASTICOS81</t>
  </si>
  <si>
    <t>S-052</t>
  </si>
  <si>
    <t>Grampa fijacion patente FORD-VOLKSWAGEN</t>
  </si>
  <si>
    <t>PLASTICOS82</t>
  </si>
  <si>
    <t>S-111</t>
  </si>
  <si>
    <t>Tuerca autorroscante optica ESCORD</t>
  </si>
  <si>
    <t>PLASTICOS84</t>
  </si>
  <si>
    <t>S-127</t>
  </si>
  <si>
    <t>Tuerca autorroscante FIAT - PEUGEOT</t>
  </si>
  <si>
    <t>PLASTICOS85</t>
  </si>
  <si>
    <t>S-044</t>
  </si>
  <si>
    <t>Boton estriado tapizado FORD ORION</t>
  </si>
  <si>
    <t>PLASTICOS86</t>
  </si>
  <si>
    <t>S-076/B</t>
  </si>
  <si>
    <t>Grampa tapizado puerta PALIO- SIENA buje B</t>
  </si>
  <si>
    <t>PLASTICOS87</t>
  </si>
  <si>
    <t>S-005</t>
  </si>
  <si>
    <t>Tueca apoya brazo R- 18 -  Fuego - Break</t>
  </si>
  <si>
    <t>PLASTICOS88</t>
  </si>
  <si>
    <t>S-026</t>
  </si>
  <si>
    <t>Grampa tapizado Pick-up Ford mod. Nuevo</t>
  </si>
  <si>
    <t>PLASTICOS89</t>
  </si>
  <si>
    <t>S-011</t>
  </si>
  <si>
    <t>Chupete guardabarro Renault 18</t>
  </si>
  <si>
    <t>PLASTICOS91</t>
  </si>
  <si>
    <t>S-075</t>
  </si>
  <si>
    <t>Grampa baguet lateral R 19 - RN - RT -Coupe</t>
  </si>
  <si>
    <t>PLASTICOS92</t>
  </si>
  <si>
    <t>S-070</t>
  </si>
  <si>
    <t>Grampa varilla cerradura Renault  todos</t>
  </si>
  <si>
    <t>PLASTICOS93</t>
  </si>
  <si>
    <t>S-021</t>
  </si>
  <si>
    <t>Grampa moldura techo DUNA - UNO - TIPO</t>
  </si>
  <si>
    <t>PLASTICOS94</t>
  </si>
  <si>
    <t>S-071</t>
  </si>
  <si>
    <t>Grampa varilla capot Peugeot 504</t>
  </si>
  <si>
    <t>PLASTICOS95</t>
  </si>
  <si>
    <t>S-072</t>
  </si>
  <si>
    <t>Grampa varilla capot Peugeot 205 - 306 - 406</t>
  </si>
  <si>
    <t>PLASTICOS96</t>
  </si>
  <si>
    <t>F-059</t>
  </si>
  <si>
    <t>Tope cap3,01ot Pick -up - Camion Ford</t>
  </si>
  <si>
    <t>PLASTICOS97</t>
  </si>
  <si>
    <t>S-082</t>
  </si>
  <si>
    <t>Grampa tapizado Renault Express</t>
  </si>
  <si>
    <t>PLASTICOS98</t>
  </si>
  <si>
    <t>S-037</t>
  </si>
  <si>
    <t>Grampa tapizado peugeot405 corta</t>
  </si>
  <si>
    <t>PLASTICOS99</t>
  </si>
  <si>
    <t>S-012</t>
  </si>
  <si>
    <t>Grampa manta capot DUNA - 147 gasoleros</t>
  </si>
  <si>
    <t>PLASTICOS100</t>
  </si>
  <si>
    <t>F-029</t>
  </si>
  <si>
    <t>Grampa lateral puerta Pick FORD</t>
  </si>
  <si>
    <t>PLASTICOS101</t>
  </si>
  <si>
    <t>F-799</t>
  </si>
  <si>
    <t>Boton lateral puerta 125</t>
  </si>
  <si>
    <t>PLASTICOS102</t>
  </si>
  <si>
    <t>F-200</t>
  </si>
  <si>
    <t>Abrazaderas p/ cables linea Fiat</t>
  </si>
  <si>
    <t>PLASTICOS103</t>
  </si>
  <si>
    <t>F-043</t>
  </si>
  <si>
    <t>Grampa varilla capot R19 pasacables..</t>
  </si>
  <si>
    <t>PLASTICOS104</t>
  </si>
  <si>
    <t>F-469/H</t>
  </si>
  <si>
    <t>Leva carburados holley</t>
  </si>
  <si>
    <t>PLASTICOS105</t>
  </si>
  <si>
    <t>F-999/R</t>
  </si>
  <si>
    <t>Grampa cerradura puerta Pick-up isquier.</t>
  </si>
  <si>
    <t>PLASTICOS106</t>
  </si>
  <si>
    <t>F-999/V</t>
  </si>
  <si>
    <t>Grampa cerradura puerta Pick-up derecha.</t>
  </si>
  <si>
    <t>PLASTICOS107</t>
  </si>
  <si>
    <t>F-1025</t>
  </si>
  <si>
    <t>Grampa fij. Paragolpe tras. Y delan. R9 -R11</t>
  </si>
  <si>
    <t>PLASTICOS108</t>
  </si>
  <si>
    <t>F-120/Nat</t>
  </si>
  <si>
    <t>Tornillo farol DEL y TRAS. Fiat 128</t>
  </si>
  <si>
    <t>PLASTICOS109</t>
  </si>
  <si>
    <t>Grampa tapizado Dodge 1.8 -1500-Taunus</t>
  </si>
  <si>
    <t>PLASTICOS110</t>
  </si>
  <si>
    <t>F-451</t>
  </si>
  <si>
    <t>Puntera regulador de optica Fiat 128 y 133</t>
  </si>
  <si>
    <t>PLASTICOS111</t>
  </si>
  <si>
    <t>S-104</t>
  </si>
  <si>
    <t>Grampa varilla  cerradura VOLKSWAGEN GACELL</t>
  </si>
  <si>
    <t>PLASTICOS112</t>
  </si>
  <si>
    <t>S-103</t>
  </si>
  <si>
    <t>Grampa varilla  cerradura  SENDA- GOL-SAVERIO</t>
  </si>
  <si>
    <t>PLASTICOS113</t>
  </si>
  <si>
    <t>S-199</t>
  </si>
  <si>
    <t>Grampa varilla cerradura PEUGEOT 504</t>
  </si>
  <si>
    <t>PLASTICOS114</t>
  </si>
  <si>
    <t>S-137</t>
  </si>
  <si>
    <t>Grampa varilla cerradura FORD RANGER 98`</t>
  </si>
  <si>
    <t>PLASTICOS115</t>
  </si>
  <si>
    <t>F-720</t>
  </si>
  <si>
    <t>Puntera regulacion de octica DODGE 1500-1800</t>
  </si>
  <si>
    <t>PLASTICOS116</t>
  </si>
  <si>
    <t>S-125</t>
  </si>
  <si>
    <t>Clip parrilla FIAT UNO</t>
  </si>
  <si>
    <t>PLASTICOS117</t>
  </si>
  <si>
    <t>F-1005</t>
  </si>
  <si>
    <t>Cap. Anclaje tornillo reg. FIAT DUNA</t>
  </si>
  <si>
    <t>PLASTICOS118</t>
  </si>
  <si>
    <t>F-721</t>
  </si>
  <si>
    <t>Tuerca fijacion patente DODGE 1500-1800</t>
  </si>
  <si>
    <t>PLASTICOS119</t>
  </si>
  <si>
    <t>S-123</t>
  </si>
  <si>
    <t>Grampa cierre capot PEUGEOT 505</t>
  </si>
  <si>
    <t>PLASTICOS120</t>
  </si>
  <si>
    <t>F-017</t>
  </si>
  <si>
    <t>Grampa moldura lateral FIAT 1600</t>
  </si>
  <si>
    <t>PLASTICOS121</t>
  </si>
  <si>
    <t>F-009/S</t>
  </si>
  <si>
    <t>Grampa moldura lateral FORD TAUNUS</t>
  </si>
  <si>
    <t>PLASTICOS122</t>
  </si>
  <si>
    <t>S-163</t>
  </si>
  <si>
    <t>Grampa intermedia paragolpe FORD KA</t>
  </si>
  <si>
    <t>PLASTICOS123</t>
  </si>
  <si>
    <t>F-899</t>
  </si>
  <si>
    <t>Grampa tachuela cuadrada FIAT 128</t>
  </si>
  <si>
    <t>PLASTICOS124</t>
  </si>
  <si>
    <t>S-132</t>
  </si>
  <si>
    <t>Grampa varilla cerradura FIAT- PEUGEOT verde</t>
  </si>
  <si>
    <t>PLASTICOS125</t>
  </si>
  <si>
    <t>Grampa varilla cerradura FIAT- PEUGEOT Azul</t>
  </si>
  <si>
    <t>PLASTICOS126</t>
  </si>
  <si>
    <t>S-124</t>
  </si>
  <si>
    <t>Grampa fijacion cañerias</t>
  </si>
  <si>
    <t>PLASTICOS127</t>
  </si>
  <si>
    <t>F-038</t>
  </si>
  <si>
    <t>Grampa tapizado de alfombras PEUGEOT 504</t>
  </si>
  <si>
    <t>PLASTICOS128</t>
  </si>
  <si>
    <t>S-122</t>
  </si>
  <si>
    <t>Separador de cables bujias FIAT-PEUGEOT</t>
  </si>
  <si>
    <t>PLASTICOS129</t>
  </si>
  <si>
    <t>S-189</t>
  </si>
  <si>
    <t>Levas cerradura puerta RENAULT 19-MEGANE</t>
  </si>
  <si>
    <t>PLASTICOS130</t>
  </si>
  <si>
    <t>S-173</t>
  </si>
  <si>
    <t>Levas cerradura puerta RENAULT 12 Isquierdo</t>
  </si>
  <si>
    <t>PLASTICOS131</t>
  </si>
  <si>
    <t>S-174</t>
  </si>
  <si>
    <t>Leva cerradura puerta RENAULT 12 Derecho</t>
  </si>
  <si>
    <t>PLASTICOS132</t>
  </si>
  <si>
    <t>F-235</t>
  </si>
  <si>
    <t>Grampa bagueta lateral FORD TAUNUS</t>
  </si>
  <si>
    <t>PLASTICOS133</t>
  </si>
  <si>
    <t>F-320</t>
  </si>
  <si>
    <t>Grampa de parrilla FORD TAUNUS</t>
  </si>
  <si>
    <t>PLASTICOS134</t>
  </si>
  <si>
    <t>S-188</t>
  </si>
  <si>
    <t>Leva cerradura RENAULT CLIO</t>
  </si>
  <si>
    <t>PLASTICOS135</t>
  </si>
  <si>
    <t>S-134</t>
  </si>
  <si>
    <t>Grampa media coliza PEUGEOT 505</t>
  </si>
  <si>
    <t>PLASTICOS136</t>
  </si>
  <si>
    <t>S-200</t>
  </si>
  <si>
    <t>Buje respaldo de asiento VOLKS WAGEN GOL</t>
  </si>
  <si>
    <t>PLASTICOS137</t>
  </si>
  <si>
    <t>S-115</t>
  </si>
  <si>
    <t>grampa varilla cerradura FORD ESCOR-ORION</t>
  </si>
  <si>
    <t>PLASTICOS138</t>
  </si>
  <si>
    <t>S-197</t>
  </si>
  <si>
    <t>Grampa cerradura RENAULT CHEVROLET</t>
  </si>
  <si>
    <t>PLASTICOS139</t>
  </si>
  <si>
    <t>F-1076</t>
  </si>
  <si>
    <t>Clip baguetas de puertas PEUGEOT 306-307</t>
  </si>
  <si>
    <t>PLASTICOS140</t>
  </si>
  <si>
    <t>S-198</t>
  </si>
  <si>
    <t>Grampas tapizado puertas VOLKSWAGEN AB 9</t>
  </si>
  <si>
    <t>PLASTICOS141</t>
  </si>
  <si>
    <t>F-737/A</t>
  </si>
  <si>
    <t>Clip manta capot PALIO -SIENA</t>
  </si>
  <si>
    <t>PLASTICOS142</t>
  </si>
  <si>
    <t>F-1053</t>
  </si>
  <si>
    <t>Grampa moldura zocalo PALIO-SIENA</t>
  </si>
  <si>
    <t>PLASTICOS143</t>
  </si>
  <si>
    <t>S-164</t>
  </si>
  <si>
    <t>Traba seguro manija PALIO-SIENA</t>
  </si>
  <si>
    <t>PLASTICOS144</t>
  </si>
  <si>
    <t>F-032</t>
  </si>
  <si>
    <t>grampa bagueta lateral sup. Puerta REN. 18 BREAK</t>
  </si>
  <si>
    <t>PLASTICOS145</t>
  </si>
  <si>
    <t>F-018</t>
  </si>
  <si>
    <t>Grampa moldura lateral Ranger</t>
  </si>
  <si>
    <t>PLASTICOS146</t>
  </si>
  <si>
    <t>S-146</t>
  </si>
  <si>
    <t>Grampa bagueta puerta RENAULT CLIO</t>
  </si>
  <si>
    <t>PLASTICOS147</t>
  </si>
  <si>
    <t>F-1057</t>
  </si>
  <si>
    <t>Reten seguro puerta PALIO-SIENA-PEUGEOT</t>
  </si>
  <si>
    <t>PLASTICOS148</t>
  </si>
  <si>
    <t>S-195</t>
  </si>
  <si>
    <t>Grampa tapizado VOKSWAGEN</t>
  </si>
  <si>
    <t>PLASTICOS149</t>
  </si>
  <si>
    <t>F-1077</t>
  </si>
  <si>
    <t>Clip baguetas laterales y traserasPEUGEOT-PATNER</t>
  </si>
  <si>
    <t>PLASTICOS150</t>
  </si>
  <si>
    <t>F-674/A</t>
  </si>
  <si>
    <t>Clip manta capot GOL</t>
  </si>
  <si>
    <t>PLASTICOS151</t>
  </si>
  <si>
    <t>F-1074</t>
  </si>
  <si>
    <t>Clip fijacion parrilla PEUGEOT 206-106-306</t>
  </si>
  <si>
    <t>PLASTICOS152</t>
  </si>
  <si>
    <t>F-1073</t>
  </si>
  <si>
    <t>Clip tapizado FIESTA-FOCUS-MONDEO</t>
  </si>
  <si>
    <t>PLASTICOS153</t>
  </si>
  <si>
    <t>S-167</t>
  </si>
  <si>
    <t>Grampa tapiz. Baul VOLHSWAGEN GOL AB9</t>
  </si>
  <si>
    <t>PLASTICOS154</t>
  </si>
  <si>
    <t>S-017</t>
  </si>
  <si>
    <t>Grampa fijacion paragolpe FORD SIERRA</t>
  </si>
  <si>
    <t>PLASTICOS155</t>
  </si>
  <si>
    <t>F-1056</t>
  </si>
  <si>
    <t>Clip tapizafdo baul POLO-GOL</t>
  </si>
  <si>
    <t>PLASTICOS156</t>
  </si>
  <si>
    <t>F-1078</t>
  </si>
  <si>
    <t>Fijacion Parrilla PEUGEOT 306/307</t>
  </si>
  <si>
    <t>PLASTICOS157</t>
  </si>
  <si>
    <t>F-1072</t>
  </si>
  <si>
    <t>Clip manta capot VOLKSWAGEN GOL</t>
  </si>
  <si>
    <t>PLASTICOS158</t>
  </si>
  <si>
    <t>F-1075</t>
  </si>
  <si>
    <t>Clip tapizado y pasarueda PEUGEOT-TODOS</t>
  </si>
  <si>
    <t>PLASTICOS159</t>
  </si>
  <si>
    <t>S-193</t>
  </si>
  <si>
    <t>Tope de capot lateral FIAT 147</t>
  </si>
  <si>
    <t>PLASTICOS160</t>
  </si>
  <si>
    <t>S-073</t>
  </si>
  <si>
    <t>Grampa alfombra piso baul PEUGEOT 205-206</t>
  </si>
  <si>
    <t>PLASTICOS161</t>
  </si>
  <si>
    <t>S-138</t>
  </si>
  <si>
    <t>grampa tapiz. Puerta  recho FORD TRANSIT-FOCUS</t>
  </si>
  <si>
    <t>PLASTICOS162</t>
  </si>
  <si>
    <t>S-165</t>
  </si>
  <si>
    <t>Horquilla ghuia vidrio RENAULT CLIO-MEGANE</t>
  </si>
  <si>
    <t>PLASTICOS163</t>
  </si>
  <si>
    <t>S-196</t>
  </si>
  <si>
    <t>Guia vidrios c/remache REN.-MEGANE-CLIO-KANGOO</t>
  </si>
  <si>
    <t>PLASTICOS164</t>
  </si>
  <si>
    <t>Precinto pasacable marcas varias</t>
  </si>
  <si>
    <t>PLASTICOS165</t>
  </si>
  <si>
    <t>F-880/A</t>
  </si>
  <si>
    <t>GRAMPA MOLDURA LATERAL      FORD FALCON</t>
  </si>
  <si>
    <t>PLASTICOS166</t>
  </si>
  <si>
    <t>F-076</t>
  </si>
  <si>
    <t>GRAMPA MOLDURA LATERAL FORD FAIRLANNE</t>
  </si>
  <si>
    <t>PLASTICOS167</t>
  </si>
  <si>
    <t>F-031</t>
  </si>
  <si>
    <t>GRAMPA MOLDURA LATERAL DE PUERTA FIAT 147</t>
  </si>
  <si>
    <t>PLASTICOS168</t>
  </si>
  <si>
    <t>F-992</t>
  </si>
  <si>
    <t>GRAMPA MOLDURA LATERAL PICK UP FORD 81</t>
  </si>
  <si>
    <t>PLASTICOS169</t>
  </si>
  <si>
    <t>F-318</t>
  </si>
  <si>
    <t xml:space="preserve">GRAMPA MOLDURA LATERAL PICK UP FORD </t>
  </si>
  <si>
    <t>PLASTICOS170</t>
  </si>
  <si>
    <t>F-1040</t>
  </si>
  <si>
    <t>CORREDERA ASIENTO    SENDA-GO -SAVEIRO</t>
  </si>
  <si>
    <t>PLASTICOS171</t>
  </si>
  <si>
    <t>F-1039</t>
  </si>
  <si>
    <t>CORREDERA ASIENTO  GACEL</t>
  </si>
  <si>
    <t>PLASTICOS172</t>
  </si>
  <si>
    <t>F-318/A</t>
  </si>
  <si>
    <t>GRAMPA MOLDURA LATERAL FORD FALCON    64/74</t>
  </si>
  <si>
    <t>PLASTICOS173</t>
  </si>
  <si>
    <t>F-818/A</t>
  </si>
  <si>
    <t>GRAMPA MOLDURA LATERAL FORD FALCON  73/80</t>
  </si>
  <si>
    <t>PLASTICOS174</t>
  </si>
  <si>
    <t>F-1041</t>
  </si>
  <si>
    <t>SEGURO SOPORTE DE PARAGOLPE  PEUGEOT 504/405</t>
  </si>
  <si>
    <t>PLASTICOS175</t>
  </si>
  <si>
    <t>F-5048/L</t>
  </si>
  <si>
    <t>GRAMPA MOLDURA LATERAL FORD FALCON</t>
  </si>
  <si>
    <t>PLASTICOS176</t>
  </si>
  <si>
    <t>GRAMPA TACHUELA CUADRADA FIAT 128</t>
  </si>
  <si>
    <t>PLASTICOS177</t>
  </si>
  <si>
    <t>S-033</t>
  </si>
  <si>
    <t>TUERCA CAJON FIAT-PEUGEOT Y FORD UNIVERSAL</t>
  </si>
  <si>
    <t>PLASTICOS178</t>
  </si>
  <si>
    <t>F-314</t>
  </si>
  <si>
    <t>PERILLA SEGURO DE PUERTAS FIAT 128</t>
  </si>
  <si>
    <t>PLASTICOS179</t>
  </si>
  <si>
    <t>F-315</t>
  </si>
  <si>
    <t>PERILLA SEGURO DE PUERTAS FORD TAUNUS</t>
  </si>
  <si>
    <t>PLASTICOS180</t>
  </si>
  <si>
    <t>F-316</t>
  </si>
  <si>
    <t>PERILLA SEGURO DE PUERTAS FORD FALCON</t>
  </si>
  <si>
    <t>PLASTICOS181</t>
  </si>
  <si>
    <t>F-319</t>
  </si>
  <si>
    <t>PERILLA SEGURO DE PUERTAS   PEUGEOT 504</t>
  </si>
  <si>
    <t>PLASTICOS182</t>
  </si>
  <si>
    <t>F-1034</t>
  </si>
  <si>
    <t>PERILLA SEGURO DE PUERTAS PICK UP FORD 80/86</t>
  </si>
  <si>
    <t>PLASTICOS183</t>
  </si>
  <si>
    <t>F-1035</t>
  </si>
  <si>
    <t>PERILLA SEGURO DE PUERTAS  RENAULT 9/11</t>
  </si>
  <si>
    <t>PLASTICOS184</t>
  </si>
  <si>
    <t>S-178</t>
  </si>
  <si>
    <t>PERILLA SEGURO DE PUERTAS RENAULT 11</t>
  </si>
  <si>
    <t>PLASTICOS185</t>
  </si>
  <si>
    <t>S-177</t>
  </si>
  <si>
    <t>PERILLA SEGURO DE PUERTAS RENAULT 18</t>
  </si>
  <si>
    <t>PLASTICOS186</t>
  </si>
  <si>
    <t>S-175</t>
  </si>
  <si>
    <t>PERILLA SEGURO DE PUERTAS RENAULT 12</t>
  </si>
  <si>
    <t>PLASTICOS187</t>
  </si>
  <si>
    <t>S-148</t>
  </si>
  <si>
    <t>PERILLA SEGURO DE PUERTAS FORD RANGER</t>
  </si>
  <si>
    <t>PLASTICOS188</t>
  </si>
  <si>
    <t>S-081</t>
  </si>
  <si>
    <t>PERILLA SEGURO DE PUERTAS FIAT DUNA -UNO</t>
  </si>
  <si>
    <t>PLASTICOS189</t>
  </si>
  <si>
    <t>F-317CR</t>
  </si>
  <si>
    <t xml:space="preserve">PERILLA  DE PUERTAS CROMADAS PICK UP FORD </t>
  </si>
  <si>
    <t>PLASTICOS190</t>
  </si>
  <si>
    <t>S-101</t>
  </si>
  <si>
    <t>PERILLA PUERTA VOLKSWAGEN GACEL</t>
  </si>
  <si>
    <t>PLASTICOS191</t>
  </si>
  <si>
    <t>F-1058</t>
  </si>
  <si>
    <t>GRAMPA FIJACION CABLE ANTENA FORD FOCUS</t>
  </si>
  <si>
    <t>PLASTICOS192</t>
  </si>
  <si>
    <t>F-1084</t>
  </si>
  <si>
    <t>TORNILLO FIJACION PASA RUEDA CORSA - ASTRA</t>
  </si>
  <si>
    <t>PLASTICOS193</t>
  </si>
  <si>
    <t>F-9001</t>
  </si>
  <si>
    <t>GRAMPA MOLDURA BAUL FIAT - FALCON 77/ 82</t>
  </si>
  <si>
    <t>PLASTICOS194</t>
  </si>
  <si>
    <t>S-046</t>
  </si>
  <si>
    <t>PUNTERA VARILLA DE CAPOT FIAT DUNA  - UNO</t>
  </si>
  <si>
    <t>PLASTICOS195</t>
  </si>
  <si>
    <t>S-145</t>
  </si>
  <si>
    <t>HORQUILLA GUIA DE VIDRIO CLIO - MEGANE</t>
  </si>
  <si>
    <t>PLASTICOS196</t>
  </si>
  <si>
    <t>F-572</t>
  </si>
  <si>
    <t>REGULADOR CAPOT Y BAUL  PEUGEOT 306</t>
  </si>
  <si>
    <t>PLASTICOS197</t>
  </si>
  <si>
    <t>F-1049</t>
  </si>
  <si>
    <t>REGISTRO DE CAPOT  FIAT PALIO - SIENA</t>
  </si>
  <si>
    <t>PLASTICOS198</t>
  </si>
  <si>
    <t>F-1051</t>
  </si>
  <si>
    <t>REGISTRO DE CAPOT  RENAULT MEGANE</t>
  </si>
  <si>
    <t>PLASTICOS199</t>
  </si>
  <si>
    <t>F-219/A</t>
  </si>
  <si>
    <t>REGULADOR CAPOT POLO</t>
  </si>
  <si>
    <t>PLASTICOS200</t>
  </si>
  <si>
    <t>F-514/A</t>
  </si>
  <si>
    <t>REGULADOR DE CAPOT RENAUT 19</t>
  </si>
  <si>
    <t>PLASTICOS201</t>
  </si>
  <si>
    <t>F-1090</t>
  </si>
  <si>
    <t>BROCHE PASA RUEDA INT P 306-307</t>
  </si>
  <si>
    <t>PLASTICOS202</t>
  </si>
  <si>
    <t>S-208</t>
  </si>
  <si>
    <t>GRAMPA TAPIZADO INTERNO EXPRESS R9-19 (CORTA)</t>
  </si>
  <si>
    <t>PLASTICOS203</t>
  </si>
  <si>
    <t>S-207</t>
  </si>
  <si>
    <t xml:space="preserve">GRAMPA TAPIZADO INTERNO EXPRESS R9-19 </t>
  </si>
  <si>
    <t>PLASTICOS204</t>
  </si>
  <si>
    <t>F-1067 N/G</t>
  </si>
  <si>
    <t>CLIP DE FIJACION RENAULT TRAFFIC/OTROS</t>
  </si>
  <si>
    <t>PLASTICOS205</t>
  </si>
  <si>
    <t>F-1093</t>
  </si>
  <si>
    <t>GRAMPA FIJACION PASA RUEDA MEGANE</t>
  </si>
  <si>
    <t>PLASTICOS206</t>
  </si>
  <si>
    <t>S-133</t>
  </si>
  <si>
    <t>GRAMPA TAPIZADO DE TECHO PEUGEOT 504-405</t>
  </si>
  <si>
    <t>PLASTICOS207</t>
  </si>
  <si>
    <t>S-140</t>
  </si>
  <si>
    <t>GRAMPA TAPIZADO FIAT IVECO TURBO DAILLY (NEGRA)</t>
  </si>
  <si>
    <t>PLASTICOS208</t>
  </si>
  <si>
    <t>F-1086</t>
  </si>
  <si>
    <t>MANTA CAPOT BLAZER C 10</t>
  </si>
  <si>
    <t>PLASTICOS209</t>
  </si>
  <si>
    <t>F-1062/V</t>
  </si>
  <si>
    <t>TUERCA AUTORROSCANTE FIAT PALIO/SIENA</t>
  </si>
  <si>
    <t>PLASTICOS210</t>
  </si>
  <si>
    <t>F-322</t>
  </si>
  <si>
    <t>GRAMPA FIJACION PARILLA FORD FARLAINE</t>
  </si>
  <si>
    <t>PLASTICOS211</t>
  </si>
  <si>
    <t>F-1064</t>
  </si>
  <si>
    <t>TUERCA AUTORROSCANTE MODELOS VARIOS</t>
  </si>
  <si>
    <t>PLASTICOS212</t>
  </si>
  <si>
    <t>F-1094</t>
  </si>
  <si>
    <t>GRAMPA VARILLA CAPOT R 18</t>
  </si>
  <si>
    <t>PLASTICOS213</t>
  </si>
  <si>
    <t>F-1068</t>
  </si>
  <si>
    <t>CLIP FIJACION TURBO RENAULT TRAFFIC/CLIO 2/19</t>
  </si>
  <si>
    <t>PLASTICOS214</t>
  </si>
  <si>
    <t>S-008</t>
  </si>
  <si>
    <t>GRAMPA PUNTERA DE OPTICA RENAULT 11-18</t>
  </si>
  <si>
    <t>PLASTICOS215</t>
  </si>
  <si>
    <t>S-056</t>
  </si>
  <si>
    <t>MUELA DE OPTICA TORNILLO REGULADOR FARO FORD</t>
  </si>
  <si>
    <t>PLASTICOS216</t>
  </si>
  <si>
    <t>S-183</t>
  </si>
  <si>
    <t>LEVA ACCIONAMIENTO LEVANTA VIDRIOS R11-18</t>
  </si>
  <si>
    <t>PLASTICOS217</t>
  </si>
  <si>
    <t>F-280</t>
  </si>
  <si>
    <t>BUJE SOSTEN DE PIEZA 899 FIAT 128</t>
  </si>
  <si>
    <t>PLASTICOS218</t>
  </si>
  <si>
    <t>S-212</t>
  </si>
  <si>
    <t>PUNTERA VARILLA PUERTA CLIO</t>
  </si>
  <si>
    <t>PLASTICOS219</t>
  </si>
  <si>
    <t>F-1024</t>
  </si>
  <si>
    <t>GRAMPA VIRA DE PARAGOLPE FIAT UNO Y DUNA</t>
  </si>
  <si>
    <t>PLASTICOS220</t>
  </si>
  <si>
    <t>F-1060</t>
  </si>
  <si>
    <t>GRAMPA MOLDURA DE TECHO FIAT PALIO/SIENA</t>
  </si>
  <si>
    <t>PLASTICOS221</t>
  </si>
  <si>
    <t>F-1087</t>
  </si>
  <si>
    <t>GRAMPA FIJACION MOLDURA BAJO OPTICA 206-306</t>
  </si>
  <si>
    <t>PLASTICOS222</t>
  </si>
  <si>
    <t>F-466</t>
  </si>
  <si>
    <t>GRAMPA MOLDURA TAPA DE BAUL FIAT 128/1600</t>
  </si>
  <si>
    <t>PLASTICOS223</t>
  </si>
  <si>
    <t>F-1085</t>
  </si>
  <si>
    <t>MANTA CAPOR CORSA</t>
  </si>
  <si>
    <t>PLASTICOS224</t>
  </si>
  <si>
    <t>S-004</t>
  </si>
  <si>
    <t>GRAMPA MEDIA COLIZA DE PUERTA PEUGEOT 504</t>
  </si>
  <si>
    <t>PLASTICOS225</t>
  </si>
  <si>
    <t>S-087</t>
  </si>
  <si>
    <t>PATIN MECANISMOLEVANTA VIDRIO ESCORT NUEVO</t>
  </si>
  <si>
    <t>PLASTICOS226</t>
  </si>
  <si>
    <t>S-032</t>
  </si>
  <si>
    <t>PLAQUETA DE OPTICA FIAT 147</t>
  </si>
  <si>
    <t>PLASTICOS227</t>
  </si>
  <si>
    <t>F-1091</t>
  </si>
  <si>
    <t>MOLDURA BAJO OPTICA P 306-PARTNER</t>
  </si>
  <si>
    <t>PLASTICOS228</t>
  </si>
  <si>
    <t>S-039</t>
  </si>
  <si>
    <t>PUNTERA REGULADOR OPTICA INF. Y SUP. FORD ESCORT</t>
  </si>
  <si>
    <t>PLASTICOS229</t>
  </si>
  <si>
    <t>S-214</t>
  </si>
  <si>
    <t>PIEZA REGULADOR DE EMBRAGUE R 11-9</t>
  </si>
  <si>
    <t>PLASTICOS230</t>
  </si>
  <si>
    <t>S-185</t>
  </si>
  <si>
    <t>GUIA SEGURO PUERTA RENAULT CLIO</t>
  </si>
  <si>
    <t>PLASTICOS231</t>
  </si>
  <si>
    <t>F-1092</t>
  </si>
  <si>
    <t>MOLDURA PUERTA MEGANE</t>
  </si>
  <si>
    <t>PLASTICOS232</t>
  </si>
  <si>
    <t>F-1088</t>
  </si>
  <si>
    <t>BROCHE GANCHO SIENA PALIO</t>
  </si>
  <si>
    <t>PLASTICOS233</t>
  </si>
  <si>
    <t>F-1070</t>
  </si>
  <si>
    <t>TAPON FIAT PALIO/SIENA</t>
  </si>
  <si>
    <t>PLASTICOS234</t>
  </si>
  <si>
    <t>F-1089</t>
  </si>
  <si>
    <t>TAPON DE TECHO PALIO/SIENA</t>
  </si>
  <si>
    <t>PLASTICOS235</t>
  </si>
  <si>
    <t>S-213</t>
  </si>
  <si>
    <t>TAPIZADO DE PUERTA ALFA ROMEO 154-145-146-155</t>
  </si>
  <si>
    <t>PLASTICOS236</t>
  </si>
  <si>
    <t>F-1066</t>
  </si>
  <si>
    <t>RAPON DENTADO CHICO NYLON FIAT PALIO/SIENA</t>
  </si>
  <si>
    <t>PLASTICOS237</t>
  </si>
  <si>
    <t>F-1065/R</t>
  </si>
  <si>
    <t>TAPON DENTADO GRANDE NYLON FIAT PALIO/SIENA</t>
  </si>
  <si>
    <t>PLASTICOS238</t>
  </si>
  <si>
    <t>S-186</t>
  </si>
  <si>
    <t>CLIP DE RETENCION RENAULT 11-18-MEGANE</t>
  </si>
  <si>
    <t>PLASTICOS239</t>
  </si>
  <si>
    <t>S-053</t>
  </si>
  <si>
    <t>LEVA CERRADURA BAUL FIAT 127-147 (CORTA) DUNA</t>
  </si>
  <si>
    <t>PLASTICOS240</t>
  </si>
  <si>
    <t>S-054</t>
  </si>
  <si>
    <t>LEVA CERRADURA BAUL FIAT 127-147 (LARGA)</t>
  </si>
  <si>
    <t>PLASTICOS241</t>
  </si>
  <si>
    <t>S-057</t>
  </si>
  <si>
    <t>TOPE DE CAPOT FORD ESCORT-GALAXY-SIERRA</t>
  </si>
  <si>
    <t>PLASTICOS242</t>
  </si>
  <si>
    <t>S-058</t>
  </si>
  <si>
    <t>TOPE DE CAPOT FORD FIESTA-ORION-POINTER-MONDEO-K</t>
  </si>
  <si>
    <t>PLASTICOS243</t>
  </si>
  <si>
    <t>F-1037</t>
  </si>
  <si>
    <t>ABRAZADERA DE MANGUERA REFRIGERACION R 19-21</t>
  </si>
  <si>
    <t>PLASTICOS244</t>
  </si>
  <si>
    <t>S-034</t>
  </si>
  <si>
    <t>GRAMPA PASACABLE MOTOR R 19 RN-RT/405</t>
  </si>
  <si>
    <t>PLASTICOS245</t>
  </si>
  <si>
    <t>F-1011/I</t>
  </si>
  <si>
    <t>GRAMPA EXTREMO PARAGOLPE VOLKSWAGEN 1500</t>
  </si>
  <si>
    <t>PLASTICOS246</t>
  </si>
  <si>
    <t>F-1011/D</t>
  </si>
  <si>
    <t>PLASTICOS247</t>
  </si>
  <si>
    <t>F-1128</t>
  </si>
  <si>
    <t xml:space="preserve">GRAMPA FIJACION GRILLAS FORD RENAULT </t>
  </si>
  <si>
    <t>PLASTICOS248</t>
  </si>
  <si>
    <t>F-1124</t>
  </si>
  <si>
    <t>GRAMPA FIJACION MOLDURAS RENAULT 206-306-406</t>
  </si>
  <si>
    <t>PLASTICOS249</t>
  </si>
  <si>
    <t>S-117</t>
  </si>
  <si>
    <t>GRAMPA VARILLA CERRADURA FIAT-PEUGEOT</t>
  </si>
  <si>
    <t>PLASTICOS250</t>
  </si>
  <si>
    <t>F-1116</t>
  </si>
  <si>
    <t>MANTA CAPOT PEUGEOT 306-307-407</t>
  </si>
  <si>
    <t>PLASTICOS251</t>
  </si>
  <si>
    <t>F-1114</t>
  </si>
  <si>
    <t>GRAMPA TAPIZADO ASTRA-ZAFIRA-CORSA-VECTRA</t>
  </si>
  <si>
    <t>PLASTICOS252</t>
  </si>
  <si>
    <t>F-1103</t>
  </si>
  <si>
    <t>GRMAPA TAPIZADO PUERTA CLIO-KANGOO</t>
  </si>
  <si>
    <t>PLASTICOS253</t>
  </si>
  <si>
    <t>F-1107</t>
  </si>
  <si>
    <t>GRAMPA PASARRUEDAS-TAPIZADOS CLIO LAGUNA</t>
  </si>
  <si>
    <t>PLASTICOS254</t>
  </si>
  <si>
    <t>F-1112</t>
  </si>
  <si>
    <t>FIJACION PANELES INTERIORES SAXO-XANTIA-BERLINGO</t>
  </si>
  <si>
    <t>PLASTICOS256</t>
  </si>
  <si>
    <t>S-290</t>
  </si>
  <si>
    <t>GRAMPA MOLDURA CITROEN BERLINGO-ZANTIA-XSARA</t>
  </si>
  <si>
    <t>PLASTICOS257</t>
  </si>
  <si>
    <t>F-1118</t>
  </si>
  <si>
    <t>REJILLA CAPOT COLF III</t>
  </si>
  <si>
    <t>PLASTICOS258</t>
  </si>
  <si>
    <t>F-1108</t>
  </si>
  <si>
    <t>GRAMPA FIJACION PARAGOLPER NISSAN-TOYOTA-IZUZU</t>
  </si>
  <si>
    <t>PLASTICOS259</t>
  </si>
  <si>
    <t>F-1121</t>
  </si>
  <si>
    <t>GRAMPA PASACABLES Y VARILLA CAPOT RENAULT</t>
  </si>
  <si>
    <t>PLASTICOS260</t>
  </si>
  <si>
    <t>F-1131</t>
  </si>
  <si>
    <t>GRAMPA MOLDURA TOPE PARAGOLPES FIAT PUNTO</t>
  </si>
  <si>
    <t>PLASTICOS261</t>
  </si>
  <si>
    <t>S-260</t>
  </si>
  <si>
    <t>GRAMPA GUIA DE VIDRIO FIAT 147</t>
  </si>
  <si>
    <t>PLASTICOS262</t>
  </si>
  <si>
    <t>F-1109</t>
  </si>
  <si>
    <t>GRAMPA FIJACION PARAGOLPES TOYOTA</t>
  </si>
  <si>
    <t>PLASTICOS263</t>
  </si>
  <si>
    <t>F-1113</t>
  </si>
  <si>
    <t>FIJACION PARRILLA-VARIOS FIAT HONDA TOYOTA OPEL</t>
  </si>
  <si>
    <t>PLASTICOS264</t>
  </si>
  <si>
    <t>F-1117</t>
  </si>
  <si>
    <t>TAPIZADO INT CITROEN AX-ZX-XANTIA-BERLINGO-PARTNER-106</t>
  </si>
  <si>
    <t>PLASTICOS265</t>
  </si>
  <si>
    <t>F-1122</t>
  </si>
  <si>
    <t>MANTA CAPOT FIESTA-KA-FOCUS-MONDEO</t>
  </si>
  <si>
    <t>PLASTICOS266</t>
  </si>
  <si>
    <t>F-1120</t>
  </si>
  <si>
    <t>GRAMPA TAPIZADOS ALFOMBRA RENAULT</t>
  </si>
  <si>
    <t>PLASTICOS267</t>
  </si>
  <si>
    <t>F-1129</t>
  </si>
  <si>
    <t>GRAMPA FIJACION FOCUS-MONDEO</t>
  </si>
  <si>
    <t>PLASTICOS268</t>
  </si>
  <si>
    <t>F-722</t>
  </si>
  <si>
    <t>GRAMPA REGISTRO DE FARO DODGE 1500 1.8</t>
  </si>
  <si>
    <t>PLASTICOS269</t>
  </si>
  <si>
    <t>F-1111</t>
  </si>
  <si>
    <t>PASARRUEDAS PANEL INTERIOR PEUGEOT307/CITROEN C 3</t>
  </si>
  <si>
    <t>PLASTICOS270</t>
  </si>
  <si>
    <t>F-1134</t>
  </si>
  <si>
    <t>GRAMPA FIJACION MOLDURA CLIO ´98 EN ADELANTE</t>
  </si>
  <si>
    <t>PLASTICOS271</t>
  </si>
  <si>
    <t>F-1123</t>
  </si>
  <si>
    <t>GRAMPA FIJACION MOLDURA TECHO GOLF III-TOLEDO-IBIZA</t>
  </si>
  <si>
    <t>PLASTICOS272</t>
  </si>
  <si>
    <t>F-1130</t>
  </si>
  <si>
    <t>GRAMPA MOLDURA TECHO COLF III  Y IV</t>
  </si>
  <si>
    <t>PLASTICOS273</t>
  </si>
  <si>
    <t>F-1132</t>
  </si>
  <si>
    <t>VIERTE AGUAS TECHO CLIO</t>
  </si>
  <si>
    <t>PLASTICOS274</t>
  </si>
  <si>
    <t>F-1127</t>
  </si>
  <si>
    <t>GRAMPA VARILLA CAPOT CORSA</t>
  </si>
  <si>
    <t>PLASTICOS275</t>
  </si>
  <si>
    <t>F-1110</t>
  </si>
  <si>
    <t>GRAMPA TAPIZADO PUERTAS POLO-SEAT IBIZA</t>
  </si>
  <si>
    <t>PLASTICOS276</t>
  </si>
  <si>
    <t>F-1135</t>
  </si>
  <si>
    <t>REMACHE RENAULT (TODOS)</t>
  </si>
  <si>
    <t>PLASTICOS277</t>
  </si>
  <si>
    <t>F-1119</t>
  </si>
  <si>
    <t>GRAMPA FIJACION PARAGOLPES HONDA-TOYOTA-VARIOS</t>
  </si>
  <si>
    <t>PLASTICOS278</t>
  </si>
  <si>
    <t>S-170</t>
  </si>
  <si>
    <t>LEVA CERRADURA PUERTA RENAULT 9-11-18</t>
  </si>
  <si>
    <t>PLASTICOS279</t>
  </si>
  <si>
    <t>F-1105</t>
  </si>
  <si>
    <t>GRAMPA TAPIZADO PUERTA GOLF I</t>
  </si>
  <si>
    <t>PLASTICOS280</t>
  </si>
  <si>
    <t>S-019</t>
  </si>
  <si>
    <t>TOPE DE CAPOT FIAT REGATTA (PLASTICO)</t>
  </si>
  <si>
    <t>PLASTICOS281</t>
  </si>
  <si>
    <t>F-034</t>
  </si>
  <si>
    <t>SOPORTE DE PARRILLA PEUGEOT 504</t>
  </si>
  <si>
    <t>PLASTICOS282</t>
  </si>
  <si>
    <t>F-046</t>
  </si>
  <si>
    <t>SEPARADOR DE CABLES DE BUJIAS FORD TAUNUS</t>
  </si>
  <si>
    <t>PLASTICOS283</t>
  </si>
  <si>
    <t>F-1054</t>
  </si>
  <si>
    <t>GRAMPA TAPIZADO  ESCORT-FOCUS-MONDEO</t>
  </si>
  <si>
    <t>PLASTICOS284</t>
  </si>
  <si>
    <t>F-1098</t>
  </si>
  <si>
    <t>Grampa Tapizado de puerta ( Azul ) PickUp Isuzu.</t>
  </si>
  <si>
    <t>PLASTICOS285</t>
  </si>
  <si>
    <t>F-1146</t>
  </si>
  <si>
    <t>Grampa tapizado Peugeot- C itroen Todos</t>
  </si>
  <si>
    <t>PLASTICOS286</t>
  </si>
  <si>
    <t>S-224</t>
  </si>
  <si>
    <t>GRAMPA BAGUETAS DE ZOCALOS ALFA ROMEO  145-146</t>
  </si>
  <si>
    <t>PLASTICOS287</t>
  </si>
  <si>
    <t>F-1136</t>
  </si>
  <si>
    <t xml:space="preserve">Fijación tapizado Toledo, polo y otros </t>
  </si>
  <si>
    <t>PLASTICOS288</t>
  </si>
  <si>
    <t>S-296</t>
  </si>
  <si>
    <t>GRAMPA TAPIZADOS,VOLKSWAGEN,AUDI,SEAT</t>
  </si>
  <si>
    <t>PLASTICOS289</t>
  </si>
  <si>
    <t>F-1150</t>
  </si>
  <si>
    <t>Grampa de interiores TOYOTA</t>
  </si>
  <si>
    <t>PLASTICOS290</t>
  </si>
  <si>
    <t>F-1082</t>
  </si>
  <si>
    <t>Clip tapizado Chevrolet Astra-Corsa</t>
  </si>
  <si>
    <t>PLASTICOS291</t>
  </si>
  <si>
    <t>F-1145</t>
  </si>
  <si>
    <t>Grampa Tapizados  Fiat idea-Alfa Romeo</t>
  </si>
  <si>
    <t>PLASTICOS292</t>
  </si>
  <si>
    <t>F-1147</t>
  </si>
  <si>
    <t>Grampa manta capot FIAT</t>
  </si>
  <si>
    <t>PLASTICOS293</t>
  </si>
  <si>
    <t>F-1102</t>
  </si>
  <si>
    <t>Grampa Tapizado de Puerta. Blazer-S 10-Corsa.</t>
  </si>
  <si>
    <t>PLASTICOS294</t>
  </si>
  <si>
    <t>F-1100</t>
  </si>
  <si>
    <t>Grampa Tapizado de puerta. Mercedes Benz</t>
  </si>
  <si>
    <t>PLASTICOS295</t>
  </si>
  <si>
    <t>F-1096</t>
  </si>
  <si>
    <t>Grampa manta capot Alfa Romeo-Fiat</t>
  </si>
  <si>
    <t>PLASTICOS296</t>
  </si>
  <si>
    <t>F-1081</t>
  </si>
  <si>
    <t>Clip tapizado chevrolet astra Corsa</t>
  </si>
  <si>
    <t>PLASTICOS297</t>
  </si>
  <si>
    <t>F-1083</t>
  </si>
  <si>
    <t>Clip fijación tapizado posterior Chevrolet Corsa-.Astra</t>
  </si>
  <si>
    <t>PLASTICOS298</t>
  </si>
  <si>
    <t>F-1143</t>
  </si>
  <si>
    <t xml:space="preserve">Fijac.molduras FIAT IVECO   </t>
  </si>
  <si>
    <t>PLASTICOS299</t>
  </si>
  <si>
    <t>S-297</t>
  </si>
  <si>
    <t>GRAMPA TAPIZADOS, VOLKSWAGEN FOX,SURAM.CITROEN</t>
  </si>
  <si>
    <t>PLASTICOS300</t>
  </si>
  <si>
    <t>S-295</t>
  </si>
  <si>
    <t>TOPE DE GOMA UNIVERSAL</t>
  </si>
  <si>
    <t>PLASTICOS301</t>
  </si>
  <si>
    <t>F-1141</t>
  </si>
  <si>
    <t>Fijac.mold.paragolpes trasero  Kangoo-Master</t>
  </si>
  <si>
    <t>PLASTICOS302</t>
  </si>
  <si>
    <t>F-1149</t>
  </si>
  <si>
    <t>Grampa tapizados Fiat- Alfa Romeo</t>
  </si>
  <si>
    <t>PLASTICOS303</t>
  </si>
  <si>
    <t>F-1106</t>
  </si>
  <si>
    <t>Grampa pasaruedas.     Chevrolet-Fiat.</t>
  </si>
  <si>
    <t>PLASTICOS304</t>
  </si>
  <si>
    <t>F-1063/G</t>
  </si>
  <si>
    <t>Clip de tapizado Fiat Palio / Siena</t>
  </si>
  <si>
    <t>PLASTICOS305</t>
  </si>
  <si>
    <t>S-298</t>
  </si>
  <si>
    <t>GRAMPA,BURLETES Y REJILLAS,PEUGEOT,VOLKSWAGEN,TOYOTA,HONDA</t>
  </si>
  <si>
    <t>PLASTICOS306</t>
  </si>
  <si>
    <t>F-1099</t>
  </si>
  <si>
    <t>Grampa Moldura se puerta. Renault Clio- Kangoo</t>
  </si>
  <si>
    <t>PLASTICOS307</t>
  </si>
  <si>
    <t>F-1080</t>
  </si>
  <si>
    <t xml:space="preserve">Grampa plastica cacha de  espejos Chevrolet Corsa </t>
  </si>
  <si>
    <t>PLASTICOS308</t>
  </si>
  <si>
    <t>F-058</t>
  </si>
  <si>
    <t>Grampa moldura superior Renault</t>
  </si>
  <si>
    <t>PLASTICOS309</t>
  </si>
  <si>
    <t>Grampa moldura zócalo Renault</t>
  </si>
  <si>
    <t>PLASTICOS310</t>
  </si>
  <si>
    <t>S-352</t>
  </si>
  <si>
    <t>TACO DE FIJACION RENAULT</t>
  </si>
  <si>
    <t>PLASTICOS311</t>
  </si>
  <si>
    <t>S-355</t>
  </si>
  <si>
    <t>TUERCA RAPIDA PLASTICA RENAULT</t>
  </si>
  <si>
    <t>PLASTICOS312</t>
  </si>
  <si>
    <t>S-347</t>
  </si>
  <si>
    <t>GR.TAPIZADOS RENAULT KANGOO</t>
  </si>
  <si>
    <t>PLASTICOS313</t>
  </si>
  <si>
    <t>S-136</t>
  </si>
  <si>
    <t>GRAMPA VARILLA DE CERRADURA RENAULT CLIO - MEGANE</t>
  </si>
  <si>
    <t>PLASTICOS314</t>
  </si>
  <si>
    <t>F-1126</t>
  </si>
  <si>
    <t>Tuerca rapida 7 x 7. RENAULT</t>
  </si>
  <si>
    <t>PLASTICOS315</t>
  </si>
  <si>
    <t>F-319/A</t>
  </si>
  <si>
    <t>Perilla seguro puertas PEUGEOT 504</t>
  </si>
  <si>
    <t>PLASTICOS316</t>
  </si>
  <si>
    <t>F-1059</t>
  </si>
  <si>
    <t>Clip de tapizado de puerta PEUGEOT 206-306-307</t>
  </si>
  <si>
    <t>PLASTICOS317</t>
  </si>
  <si>
    <t>F-1158</t>
  </si>
  <si>
    <t>Grampa fijacion moldura CITROEN C3-C4 PEUGEOT</t>
  </si>
  <si>
    <t>PLASTICOS318</t>
  </si>
  <si>
    <t>GRAMPA FIJACION DE PARRILLA PEUGEOT 504 - 505</t>
  </si>
  <si>
    <t>PLASTICOS319</t>
  </si>
  <si>
    <t>S-291</t>
  </si>
  <si>
    <t>GRAMPA MOLDURAS PEUGEOT 206,306,PARTNER.</t>
  </si>
  <si>
    <t>PLASTICOS320</t>
  </si>
  <si>
    <t>S-348</t>
  </si>
  <si>
    <t>GR.VARILLA CAPOT PEUGEOT  207</t>
  </si>
  <si>
    <t>PLASTICOS321</t>
  </si>
  <si>
    <t>F-1101</t>
  </si>
  <si>
    <t>Grampa manta capot. FIAT-PALIO-SIENA</t>
  </si>
  <si>
    <t>PLASTICOS322</t>
  </si>
  <si>
    <t>Remache Fiat todos</t>
  </si>
  <si>
    <t>PLASTICOS323</t>
  </si>
  <si>
    <t>S-141</t>
  </si>
  <si>
    <t>GRAMPAS TAPIZADOS FIAT IVECO Turbo Deily (Gris)</t>
  </si>
  <si>
    <t>PLASTICOS324</t>
  </si>
  <si>
    <t>TUERCA AUTORROSCANTE FIAT - PEUGEOT</t>
  </si>
  <si>
    <t>PLASTICOS325</t>
  </si>
  <si>
    <t>S-314</t>
  </si>
  <si>
    <t>TORNILLO CORTO FAROS TRAS. FIAT ( todos los colores )</t>
  </si>
  <si>
    <t>PLASTICOS326</t>
  </si>
  <si>
    <t>S-315</t>
  </si>
  <si>
    <t>TORNILLO LARGO FAROS TRAS. FIAT ( todos los colores )</t>
  </si>
  <si>
    <t>PLASTICOS327</t>
  </si>
  <si>
    <t>S-353</t>
  </si>
  <si>
    <t>TACO FIJACION FIAT</t>
  </si>
  <si>
    <t>PLASTICOS328</t>
  </si>
  <si>
    <t>F-1095</t>
  </si>
  <si>
    <t xml:space="preserve">Grampa manta capot VOLKSWAGEN </t>
  </si>
  <si>
    <t>PLASTICOS329</t>
  </si>
  <si>
    <t>Moldura de techo golf 3 y 4 VOLKSWAGEN</t>
  </si>
  <si>
    <t>PLASTICOS330</t>
  </si>
  <si>
    <t>S-051</t>
  </si>
  <si>
    <t>TOPE REGULADOR DE FARO VOLKSWAGEN SENDA</t>
  </si>
  <si>
    <t>PLASTICOS331</t>
  </si>
  <si>
    <t>S-080</t>
  </si>
  <si>
    <t>SEGURO DE PUERTA VOLKSWAGEN POLO - GOLF</t>
  </si>
  <si>
    <t>PLASTICOS332</t>
  </si>
  <si>
    <t>S-194</t>
  </si>
  <si>
    <t>PERILLA SEGURO DE  PUERTA  VOLKSWAGEN  SENDA.</t>
  </si>
  <si>
    <t>PLASTICOS333</t>
  </si>
  <si>
    <t>S-078</t>
  </si>
  <si>
    <t>LEVA CERRADURA DE PUERTA CHEVROLET CORSA</t>
  </si>
  <si>
    <t>PLASTICOS334</t>
  </si>
  <si>
    <t>F-1157</t>
  </si>
  <si>
    <t>Gr.Fijacion Faros CORSA-ASTRA</t>
  </si>
  <si>
    <t>PLASTICOS335</t>
  </si>
  <si>
    <t>S-356</t>
  </si>
  <si>
    <t>TARUGO PASARUEDA CORSA</t>
  </si>
  <si>
    <t>PLASTICOS336</t>
  </si>
  <si>
    <t>F-1115</t>
  </si>
  <si>
    <t>Grampa paragolpe. FORD FIESTA</t>
  </si>
  <si>
    <t>PLASTICOS337</t>
  </si>
  <si>
    <t>S-063</t>
  </si>
  <si>
    <t>TORNILLO REGULADOR DE FARO FORD UNIVERSAL (Chico)</t>
  </si>
  <si>
    <t>PLASTICOS338</t>
  </si>
  <si>
    <t>S-313</t>
  </si>
  <si>
    <t>GR.TAPIZADOZ FORD ECOESPORT</t>
  </si>
  <si>
    <t>PLASTICOS339</t>
  </si>
  <si>
    <t>S-062</t>
  </si>
  <si>
    <t>TORNILLO REGULADOR DE FARO FORD UNIVERSAL</t>
  </si>
  <si>
    <t>PLASTICOS340</t>
  </si>
  <si>
    <t>F-1097</t>
  </si>
  <si>
    <t>Grampa Tapizado de puerta.( Roja ). PICK UP TOYOTA</t>
  </si>
  <si>
    <t>PLASTICOS341</t>
  </si>
  <si>
    <t>F-1155</t>
  </si>
  <si>
    <t>Gr.Fijacion Paragolpes TOYOTA-NISSAN-</t>
  </si>
  <si>
    <t>PLASTICOS342</t>
  </si>
  <si>
    <t>F-1156</t>
  </si>
  <si>
    <t>Gr.pareagolpes-radiador TOYOTA-NISSAN</t>
  </si>
  <si>
    <t>PLASTICOS343</t>
  </si>
  <si>
    <t>S-041</t>
  </si>
  <si>
    <t>GRAMPA FIJACION DE BURLETERIA UNIVERSAL</t>
  </si>
  <si>
    <t>PLASTICOS344</t>
  </si>
  <si>
    <t>F-1079</t>
  </si>
  <si>
    <t>Tuerca plastica autoroscante</t>
  </si>
  <si>
    <t>PLASTICOS345</t>
  </si>
  <si>
    <t>S-126</t>
  </si>
  <si>
    <t>GRAMPA BAGUETA BAJO OPTICA PEUGEOT 405</t>
  </si>
  <si>
    <t>PLASTICOS346</t>
  </si>
  <si>
    <t>F-1163</t>
  </si>
  <si>
    <t>Grampa Burleterias Citroen,Peugeot,Renault</t>
  </si>
  <si>
    <t>PLASTICOS347</t>
  </si>
  <si>
    <t>S-358</t>
  </si>
  <si>
    <t>GRAMPA PASARRUEDA/PARRILLA COROLLA</t>
  </si>
  <si>
    <t>PLASTICOS348</t>
  </si>
  <si>
    <t>F-1148</t>
  </si>
  <si>
    <t xml:space="preserve">Grampa varilla de cerradura Renault </t>
  </si>
  <si>
    <t>PLASTICOS349</t>
  </si>
  <si>
    <t>S-359</t>
  </si>
  <si>
    <t>GRAMPA TAPIZADO VOLKSWAGEN AMAROK</t>
  </si>
  <si>
    <t>PLASTICOS350</t>
  </si>
  <si>
    <t>F-1151</t>
  </si>
  <si>
    <t>Gr.fenders guardabarroToyota Hilux  .azul</t>
  </si>
  <si>
    <t>PLASTICOS351</t>
  </si>
  <si>
    <t>F-1152</t>
  </si>
  <si>
    <t>Gr.fenders guardabarroToyota Hilux  .roja</t>
  </si>
  <si>
    <t>PLASTICOS352</t>
  </si>
  <si>
    <t>S-285</t>
  </si>
  <si>
    <t>GRAMPA CERRADURA FORD FOCUS.( blanca )</t>
  </si>
  <si>
    <t>PLASTICOS353</t>
  </si>
  <si>
    <t>S-284</t>
  </si>
  <si>
    <t>GRAMPA CERRADURA FORD FOCUS.(amarilla )</t>
  </si>
  <si>
    <t>PLASTICOS354</t>
  </si>
  <si>
    <t>S-361</t>
  </si>
  <si>
    <t>GRAMPA PLASTICA BORA-PASSAT-VENTO</t>
  </si>
  <si>
    <t>PLASTICOS355</t>
  </si>
  <si>
    <t>F-1161</t>
  </si>
  <si>
    <t>Grampa tapizado puerta Volkswagen Fox</t>
  </si>
  <si>
    <t>PLASTICOS356</t>
  </si>
  <si>
    <t>F-1164</t>
  </si>
  <si>
    <t>Tuerca plastica optica Toyota Corolla-Hylux</t>
  </si>
  <si>
    <t>PLASTICOS357</t>
  </si>
  <si>
    <t>F-1166</t>
  </si>
  <si>
    <t>Grampa Manta Capot Toyota Corolla-Hylux</t>
  </si>
  <si>
    <t>PLASTICOS358</t>
  </si>
  <si>
    <t>S-357</t>
  </si>
  <si>
    <t>GRAMPA PASARUEDAS PEUGEOT</t>
  </si>
  <si>
    <t>PLASTICOS359</t>
  </si>
  <si>
    <t>S-142</t>
  </si>
  <si>
    <t>GUIA DE VIDRIO FIAT REGATTA</t>
  </si>
  <si>
    <t>PLASTICOS360</t>
  </si>
  <si>
    <t>F-1160</t>
  </si>
  <si>
    <t>Grampa fijacion parrilla Toyota Hylux-Corolla</t>
  </si>
  <si>
    <t>PLASTICOS361</t>
  </si>
  <si>
    <t>F-1165</t>
  </si>
  <si>
    <t xml:space="preserve"> Tuerca rapidapasaruedas</t>
  </si>
  <si>
    <t>PLASTICOS362</t>
  </si>
  <si>
    <t>F-1142</t>
  </si>
  <si>
    <t>Fijac.mold.laterales Renault Kangoo-Twingo</t>
  </si>
  <si>
    <t>PLASTICOS363</t>
  </si>
  <si>
    <t>S-100</t>
  </si>
  <si>
    <t>GRAMPA TARUGO  PICK UP FORD RANGER - FORD ESCORT</t>
  </si>
  <si>
    <t>PLASTICOS364</t>
  </si>
  <si>
    <t>S-360</t>
  </si>
  <si>
    <t>SEGURO PUERTA VOLKSWAGEN GENERACION 2</t>
  </si>
  <si>
    <t>PLASTICOS365</t>
  </si>
  <si>
    <t>F-1162</t>
  </si>
  <si>
    <t>Grampa tapizado Toyota Hylux-Honda-Kia</t>
  </si>
  <si>
    <t>PLASTICOS366</t>
  </si>
  <si>
    <t>F-1159</t>
  </si>
  <si>
    <t>Grampa fijacionfenders Toyota Hylux-Corolla</t>
  </si>
  <si>
    <t>PLASTICOS367</t>
  </si>
  <si>
    <t>S-364</t>
  </si>
  <si>
    <t>PASARUEDAS CLIO,KANGOO,MEGANE,MASTER,TODOS</t>
  </si>
  <si>
    <t>PLASTICOS368</t>
  </si>
  <si>
    <t>F-1104</t>
  </si>
  <si>
    <t>Grampa Fijación caño combustible. Fiat—Todos</t>
  </si>
  <si>
    <t>PLASTICOS369</t>
  </si>
  <si>
    <t>S-211</t>
  </si>
  <si>
    <t>GR.CAÑERIAS UNIVERSAL.</t>
  </si>
  <si>
    <t>PLASTICOS370</t>
  </si>
  <si>
    <t>S-030</t>
  </si>
  <si>
    <t>ESTRELLA PLASTICA REGUL. OPTICA DODGE 1500 / 128 E</t>
  </si>
  <si>
    <t>PLASTICOS371</t>
  </si>
  <si>
    <t>S-365</t>
  </si>
  <si>
    <t>GR.BURLETERIA DE PUERTAS  CHEVROLET</t>
  </si>
  <si>
    <t>PLASTICOS372</t>
  </si>
  <si>
    <t>S-366</t>
  </si>
  <si>
    <t>GR.TAPIZADOS DE PUERTA CHEVROLET S10,AVEO,ONIX</t>
  </si>
  <si>
    <t>PLASTICOS373</t>
  </si>
  <si>
    <t>S-368</t>
  </si>
  <si>
    <t>GR.MOLDURA PASARUEDAS CHEVROLET TRACKER</t>
  </si>
  <si>
    <t>PLASTICOS374</t>
  </si>
  <si>
    <t>F-1171</t>
  </si>
  <si>
    <t>Fijacion molduras de puertas</t>
  </si>
  <si>
    <t>PLASTICOS375</t>
  </si>
  <si>
    <t>S-363</t>
  </si>
  <si>
    <t>GRAMPA PATENTES-VARIOS FORD</t>
  </si>
  <si>
    <t>PLASTICOS376</t>
  </si>
  <si>
    <t>F-1167</t>
  </si>
  <si>
    <t>Grampa Fijacion paragolpes</t>
  </si>
  <si>
    <t>PLASTICOS377</t>
  </si>
  <si>
    <t>S-367</t>
  </si>
  <si>
    <t>GR.MOLDURAS PASARUEDAS ECOESPORT NUEVA</t>
  </si>
  <si>
    <t>PLASTICOS378</t>
  </si>
  <si>
    <t>F-1170</t>
  </si>
  <si>
    <t>Fijacion fenders</t>
  </si>
  <si>
    <t>PLASTICOS379</t>
  </si>
  <si>
    <t>F-1169</t>
  </si>
  <si>
    <t>Fijacion deflector central</t>
  </si>
  <si>
    <t>PLASTICOS380</t>
  </si>
  <si>
    <t>S-375</t>
  </si>
  <si>
    <t>Grampa tapizados de Peugeot 207-307-308-407</t>
  </si>
  <si>
    <t>PLASTICOS381</t>
  </si>
  <si>
    <t>S-376</t>
  </si>
  <si>
    <t>GR. MOLDURAS FENDERS RENAULT STEPWAY</t>
  </si>
  <si>
    <t>PLASTICOS382</t>
  </si>
  <si>
    <t>F-1176</t>
  </si>
  <si>
    <t>Clip Fijacion Fender Guarda Barros</t>
  </si>
  <si>
    <t>PLASTICOS383</t>
  </si>
  <si>
    <t>F-1175</t>
  </si>
  <si>
    <t>PLASTICOS384</t>
  </si>
  <si>
    <t>S-378</t>
  </si>
  <si>
    <t>GR.TAPIZ.MOLD.FENDERS DUSTER-OROCH-AIR CROSS</t>
  </si>
  <si>
    <t>PLASTICOS385</t>
  </si>
  <si>
    <t>S-369</t>
  </si>
  <si>
    <t>GR.PANELES INTERIORES NISSAN X-TRAIL -KICKS</t>
  </si>
  <si>
    <t>PLASTICOS386</t>
  </si>
  <si>
    <t>S-373</t>
  </si>
  <si>
    <t>Grampa bagueta lateral Fiat- Peugeot</t>
  </si>
  <si>
    <t>PLASTICOS387</t>
  </si>
  <si>
    <t>F-1174</t>
  </si>
  <si>
    <t>Grampa Moldura de puerta HONDA/otros</t>
  </si>
  <si>
    <t>PLASTICOS388</t>
  </si>
  <si>
    <t>S-377</t>
  </si>
  <si>
    <t>GR.TAPIZADO DE PUERTAS FIAT CRONOS - ARGO</t>
  </si>
  <si>
    <t>PLASTICOS389</t>
  </si>
  <si>
    <t>F-1173</t>
  </si>
  <si>
    <t>Fijacion tapizado puerta Peugeot - Fiat Ducato - Fiat Siena</t>
  </si>
  <si>
    <t>PLASTICOS390</t>
  </si>
  <si>
    <t>S-370</t>
  </si>
  <si>
    <t>GR.TAPIZADOS DE PUERTA CHEVROLET TRUCKER</t>
  </si>
  <si>
    <t>PLASTICOS391</t>
  </si>
  <si>
    <t>S-372</t>
  </si>
  <si>
    <t>GR.PARAGOLPES-PASARUEDAS.TOYOTA HYLUX-SW4</t>
  </si>
  <si>
    <t>PLASTICOS392</t>
  </si>
  <si>
    <t>S-371</t>
  </si>
  <si>
    <t>Grampa Moldura Citroen, Fiat, Peugeot</t>
  </si>
  <si>
    <t>PLASTICOS393</t>
  </si>
  <si>
    <t>S-379</t>
  </si>
  <si>
    <t>GR. MUELA PLAST.CHEVROLET-PEUGEOT VARIOS</t>
  </si>
  <si>
    <t>PLASTICOS394</t>
  </si>
  <si>
    <t>S-374</t>
  </si>
  <si>
    <t>GR.TAPIZ.PUERTAS RENAULT MASTER,FLUENCE,MEGANE</t>
  </si>
  <si>
    <t>PLASTICOS395</t>
  </si>
  <si>
    <t>F-1177</t>
  </si>
  <si>
    <t>GP , FENDER, PASARRUEDA FIAT, MOBI, TORO</t>
  </si>
  <si>
    <t>PLASTICOS396</t>
  </si>
  <si>
    <t>F-1179</t>
  </si>
  <si>
    <t>TAPIZADO HONDA LARIUS</t>
  </si>
  <si>
    <t>PLASTICOS397</t>
  </si>
  <si>
    <t>F-1178</t>
  </si>
  <si>
    <t>GP, FERDER, PASARRUEDA FIAT, MOBI, TORO</t>
  </si>
  <si>
    <t>PLASTICOS398</t>
  </si>
  <si>
    <t>CLIP PRECINTO UNIVERSAL</t>
  </si>
  <si>
    <t>PLASTICOS399</t>
  </si>
  <si>
    <t>F-1153</t>
  </si>
  <si>
    <t>Gr.pasaruedas toyota hilux</t>
  </si>
  <si>
    <t>PLASTICOS400</t>
  </si>
  <si>
    <t>S-350</t>
  </si>
  <si>
    <t>LEVA CERRADURA PORTON TRASERO TRAFFIC LARGA</t>
  </si>
  <si>
    <t>PLASTICOS401</t>
  </si>
  <si>
    <t>F-1180</t>
  </si>
  <si>
    <t>Grampa pasaruedas  FORD NUEVOS</t>
  </si>
  <si>
    <t>PLASTICOS402</t>
  </si>
  <si>
    <t>S-380</t>
  </si>
  <si>
    <t> fijación paragolpes y pasaruedas toyota hilux, corrolla, etios</t>
  </si>
  <si>
    <t>RESORTES LINEA FERRETERIA1</t>
  </si>
  <si>
    <t>RESORTES LINEA FERRETERIA</t>
  </si>
  <si>
    <t>RESORTES</t>
  </si>
  <si>
    <t>0,5 x 4,5 x 30</t>
  </si>
  <si>
    <t>RESORTES LINEA FERRETERIA2</t>
  </si>
  <si>
    <t>0,5 x 6 x 50</t>
  </si>
  <si>
    <t>RESORTES LINEA FERRETERIA3</t>
  </si>
  <si>
    <t>0,6 x 7 x 30</t>
  </si>
  <si>
    <t>RESORTES LINEA FERRETERIA4</t>
  </si>
  <si>
    <t>0,6 x 8 x 50</t>
  </si>
  <si>
    <t>RESORTES LINEA FERRETERIA5</t>
  </si>
  <si>
    <t>0,8 x 6 x 50</t>
  </si>
  <si>
    <t>RESORTES LINEA FERRETERIA6</t>
  </si>
  <si>
    <t>0,8 x 8 x 50</t>
  </si>
  <si>
    <t>RESORTES LINEA FERRETERIA7</t>
  </si>
  <si>
    <t>0,8 x 10 x 50</t>
  </si>
  <si>
    <t>RESORTES LINEA FERRETERIA8</t>
  </si>
  <si>
    <t>0,8 x 10 x 100</t>
  </si>
  <si>
    <t>RESORTES LINEA FERRETERIA9</t>
  </si>
  <si>
    <t>1 x 8 x 40</t>
  </si>
  <si>
    <t>RESORTES LINEA FERRETERIA10</t>
  </si>
  <si>
    <t>1 x 8 x 100</t>
  </si>
  <si>
    <t>RESORTES LINEA FERRETERIA11</t>
  </si>
  <si>
    <t>1 x 10 x 70</t>
  </si>
  <si>
    <t>RESORTES LINEA FERRETERIA12</t>
  </si>
  <si>
    <t>1 x 10 x 120</t>
  </si>
  <si>
    <t>RESORTES LINEA FERRETERIA13</t>
  </si>
  <si>
    <t>1 x 12 x 100</t>
  </si>
  <si>
    <t>RESORTES LINEA FERRETERIA14</t>
  </si>
  <si>
    <t>1 x 12 x 150</t>
  </si>
  <si>
    <t>RESORTES LINEA FERRETERIA15</t>
  </si>
  <si>
    <t>1,25 x 8 x 100</t>
  </si>
  <si>
    <t>RESORTES LINEA FERRETERIA16</t>
  </si>
  <si>
    <t>1,25 x 10 x 100</t>
  </si>
  <si>
    <t>RESORTES LINEA FERRETERIA17</t>
  </si>
  <si>
    <t>1,25 x 12 x 150</t>
  </si>
  <si>
    <t>RESORTES LINEA FERRETERIA18</t>
  </si>
  <si>
    <t>1,5 x 10 x 100</t>
  </si>
  <si>
    <t>RESORTES LINEA FERRETERIA19</t>
  </si>
  <si>
    <t>1,5 x 12 x 100</t>
  </si>
  <si>
    <t>RESORTES LINEA FERRETERIA20</t>
  </si>
  <si>
    <t>1,5 x 14 x 100</t>
  </si>
  <si>
    <t>RESORTES LINEA FERRETERIA21</t>
  </si>
  <si>
    <t>1,5 x 16 x 150</t>
  </si>
  <si>
    <t>RESORTES LINEA FERRETERIA22</t>
  </si>
  <si>
    <t>1,75 x 12 x 100</t>
  </si>
  <si>
    <t>RESORTES LINEA FERRETERIA23</t>
  </si>
  <si>
    <t>1,75 x 14 x 100</t>
  </si>
  <si>
    <t>RESORTES LINEA FERRETERIA24</t>
  </si>
  <si>
    <t>1,75 x 16 x 100</t>
  </si>
  <si>
    <t>RESORTES LINEA FERRETERIA25</t>
  </si>
  <si>
    <t>2 x 14 x 100</t>
  </si>
  <si>
    <t>RESORTES LINEA FERRETERIA26</t>
  </si>
  <si>
    <t>2 x 16 x 150</t>
  </si>
  <si>
    <t>RESORTES LINEA FERRETERIA27</t>
  </si>
  <si>
    <t>3 x 17 x 75</t>
  </si>
  <si>
    <t>RESORTES LINEA FERRETERIA28</t>
  </si>
  <si>
    <t>2,25 x 12 x 175</t>
  </si>
  <si>
    <t>RESORTES LINEA FERRETERIA30</t>
  </si>
  <si>
    <t>0,8 x 8 x 27</t>
  </si>
  <si>
    <t>RESORTES LINEA FERRETERIA31</t>
  </si>
  <si>
    <t>1 x 7 x 22</t>
  </si>
  <si>
    <t>RESORTES LINEA FERRETERIA32</t>
  </si>
  <si>
    <t>1 x 8 x 25</t>
  </si>
  <si>
    <t>RESORTES LINEA FERRETERIA33</t>
  </si>
  <si>
    <t>1,25 x 7 x 32</t>
  </si>
  <si>
    <t>RESORTES LINEA FERRETERIA34</t>
  </si>
  <si>
    <t xml:space="preserve">1,5 x  x </t>
  </si>
  <si>
    <t>RESORTES LINEA FERRETERIA38</t>
  </si>
  <si>
    <t>1 x 5 x 5 - Torsión</t>
  </si>
  <si>
    <t>RESORTES LINEA FERRETERIA39</t>
  </si>
  <si>
    <t>1,5 x 8 x 6 - Torsión</t>
  </si>
  <si>
    <t>RESORTES LINEA FERRETERIA80</t>
  </si>
  <si>
    <t xml:space="preserve">acelerador corto x  x </t>
  </si>
  <si>
    <t>RESORTES LINEA FERRETERIA81</t>
  </si>
  <si>
    <t xml:space="preserve">acelerador largo x  x </t>
  </si>
  <si>
    <t>RESORTES LINEA FERRETERIA82</t>
  </si>
  <si>
    <t xml:space="preserve">embrague Chevrol.y FORD x  x </t>
  </si>
  <si>
    <t>RESORTES LINEA FERRETERIA83</t>
  </si>
  <si>
    <t xml:space="preserve">acelerador falcon/ F100 x  x </t>
  </si>
  <si>
    <t>RESORTES LINEA FERRETERIA84</t>
  </si>
  <si>
    <t xml:space="preserve">embrague R/12 x  x </t>
  </si>
  <si>
    <t>RESORTES LINEA FERRETERIA85</t>
  </si>
  <si>
    <t xml:space="preserve">Embrague Taunus x  x </t>
  </si>
  <si>
    <t>RESORTES LINEA FERRETERIA86</t>
  </si>
  <si>
    <t xml:space="preserve">Acelel. Ref. x  x </t>
  </si>
  <si>
    <t>RESORTES LINEA FERRETERIA87</t>
  </si>
  <si>
    <t xml:space="preserve">Embrague Univ. Corto x  x </t>
  </si>
  <si>
    <t>RESORTES LINEA FERRETERIA88</t>
  </si>
  <si>
    <t xml:space="preserve">Embrague Univ. Largo x  x </t>
  </si>
  <si>
    <t>RESORTES LINEA FERRETERIA89</t>
  </si>
  <si>
    <t xml:space="preserve">Embrague  Dodge x  x </t>
  </si>
  <si>
    <t>RESORTES LINEA FERRETERIA35</t>
  </si>
  <si>
    <t>1,25 x 14-19 x 25</t>
  </si>
  <si>
    <t>RESORTES LINEA FERRETERIA36</t>
  </si>
  <si>
    <t>1,5 x .10-18 x 35</t>
  </si>
  <si>
    <t>RESORTES LINEA FERRETERIA37</t>
  </si>
  <si>
    <t>1,5 x .14-18 x 90</t>
  </si>
  <si>
    <t>RESORTES LINEA FERRETERIA40</t>
  </si>
  <si>
    <t>0,5 x 4,5 x 50</t>
  </si>
  <si>
    <t>RESORTES LINEA FERRETERIA41</t>
  </si>
  <si>
    <t>RESORTES LINEA FERRETERIA42</t>
  </si>
  <si>
    <t>RESORTES LINEA FERRETERIA43</t>
  </si>
  <si>
    <t>0,8 x 9,5 x 16</t>
  </si>
  <si>
    <t>RESORTES LINEA FERRETERIA44</t>
  </si>
  <si>
    <t>0,8 x 9 x 50</t>
  </si>
  <si>
    <t>RESORTES LINEA FERRETERIA45</t>
  </si>
  <si>
    <t>0,8 x 11 x 50</t>
  </si>
  <si>
    <t>RESORTES LINEA FERRETERIA46</t>
  </si>
  <si>
    <t>0,8 x 13 x 70</t>
  </si>
  <si>
    <t>RESORTES LINEA FERRETERIA47</t>
  </si>
  <si>
    <t>1 x 7 x 18</t>
  </si>
  <si>
    <t>RESORTES LINEA FERRETERIA48</t>
  </si>
  <si>
    <t>1 x 8 x 50</t>
  </si>
  <si>
    <t>RESORTES LINEA FERRETERIA50</t>
  </si>
  <si>
    <t>1 x 10 x 100</t>
  </si>
  <si>
    <t>RESORTES LINEA FERRETERIA51</t>
  </si>
  <si>
    <t>1 x 12 x 50</t>
  </si>
  <si>
    <t>RESORTES LINEA FERRETERIA52</t>
  </si>
  <si>
    <t>RESORTES LINEA FERRETERIA53</t>
  </si>
  <si>
    <t>1 x 14 x 60</t>
  </si>
  <si>
    <t>RESORTES LINEA FERRETERIA55</t>
  </si>
  <si>
    <t>1,25 x 8 x 50</t>
  </si>
  <si>
    <t>RESORTES LINEA FERRETERIA56</t>
  </si>
  <si>
    <t>1,25 x 10 x 50</t>
  </si>
  <si>
    <t>RESORTES LINEA FERRETERIA57</t>
  </si>
  <si>
    <t>RESORTES LINEA FERRETERIA58</t>
  </si>
  <si>
    <t>1,25 x 14 x 130</t>
  </si>
  <si>
    <t>RESORTES LINEA FERRETERIA59</t>
  </si>
  <si>
    <t>1,5 x 12 x 50</t>
  </si>
  <si>
    <t>RESORTES LINEA FERRETERIA60</t>
  </si>
  <si>
    <t>RESORTES LINEA FERRETERIA61</t>
  </si>
  <si>
    <t>1,5 x 16 x 100</t>
  </si>
  <si>
    <t>RESORTES LINEA FERRETERIA62</t>
  </si>
  <si>
    <t>1,5 x 16 x 35</t>
  </si>
  <si>
    <t>RESORTES LINEA FERRETERIA63</t>
  </si>
  <si>
    <t>1,5 x 16 x 45</t>
  </si>
  <si>
    <t>RESORTES LINEA FERRETERIA64</t>
  </si>
  <si>
    <t>1,5 x 22 x 25</t>
  </si>
  <si>
    <t>RESORTES LINEA FERRETERIA65</t>
  </si>
  <si>
    <t>RESORTES LINEA FERRETERIA66</t>
  </si>
  <si>
    <t>1,75 x 22 x 40</t>
  </si>
  <si>
    <t>RESORTES LINEA FERRETERIA68</t>
  </si>
  <si>
    <t>2 x 16 x 100</t>
  </si>
  <si>
    <t>RESORTES LINEA FERRETERIA69</t>
  </si>
  <si>
    <t>2 x 18 x 55</t>
  </si>
  <si>
    <t>RESORTES LINEA FERRETERIA70</t>
  </si>
  <si>
    <t>2 x 30 x 100</t>
  </si>
  <si>
    <t>RESORTES LINEA FERRETERIA71</t>
  </si>
  <si>
    <t>2 x 20 x 30</t>
  </si>
  <si>
    <t>RESORTES LINEA FERRETERIA72</t>
  </si>
  <si>
    <t>2 x 25 x 35</t>
  </si>
  <si>
    <t>RESORTES LINEA FERRETERIA73</t>
  </si>
  <si>
    <t>2,5 x 15 x 30</t>
  </si>
  <si>
    <t>RESORTES LINEA FERRETERIA74</t>
  </si>
  <si>
    <t>2,5 x 23 x 30</t>
  </si>
  <si>
    <t>RESORTES LINEA FERRETERIA75</t>
  </si>
  <si>
    <t>2,5 x 35 x 25</t>
  </si>
  <si>
    <t>RESORTES LINEA FERRETERIA91</t>
  </si>
  <si>
    <t>0,5 x 3,5 x 12</t>
  </si>
  <si>
    <t>RESORTES LINEA FERRETERIA92</t>
  </si>
  <si>
    <t>0,5 x 3,5 x 16</t>
  </si>
  <si>
    <t>RESORTES LINEA FERRETERIA93</t>
  </si>
  <si>
    <t>0,5 x 3,5 x 25</t>
  </si>
  <si>
    <t>RESORTES LINEA FERRETERIA94</t>
  </si>
  <si>
    <t>0,5 x 4,5 x 9</t>
  </si>
  <si>
    <t>RESORTES LINEA FERRETERIA95</t>
  </si>
  <si>
    <t>0,5 x 4,5 x 14</t>
  </si>
  <si>
    <t>RESORTES LINEA FERRETERIA96</t>
  </si>
  <si>
    <t>0,5 x 6 x 15</t>
  </si>
  <si>
    <t>RESORTES LINEA FERRETERIA97</t>
  </si>
  <si>
    <t>0,5 x 7 x 6</t>
  </si>
  <si>
    <t>RESORTES LINEA FERRETERIA98</t>
  </si>
  <si>
    <t>0,5 x 7,5 x 20</t>
  </si>
  <si>
    <t>RESORTES LINEA FERRETERIA99</t>
  </si>
  <si>
    <t>0,8 x 7 x 15</t>
  </si>
  <si>
    <t>RESORTES LINEA FERRETERIA100</t>
  </si>
  <si>
    <t>0,8 x 13 x 25</t>
  </si>
  <si>
    <t>RESORTES LINEA FERRETERIA101</t>
  </si>
  <si>
    <t>1 x 6 x 8</t>
  </si>
  <si>
    <t>RESORTES LINEA FERRETERIA102</t>
  </si>
  <si>
    <t>1,25 x 9 x 15</t>
  </si>
  <si>
    <t>RESORTES LINEA FERRETERIA103</t>
  </si>
  <si>
    <t>1,5 x 11 x 20</t>
  </si>
  <si>
    <t>RESORTES LINEA COMPLEMENTARIA269</t>
  </si>
  <si>
    <t>RESORTES LINEA COMPLEMENTARIA</t>
  </si>
  <si>
    <t>TIJERA PODAR</t>
  </si>
  <si>
    <t>RESORTES LINEA COMPLEMENTARIA270</t>
  </si>
  <si>
    <t>0,3 x 3 x 15</t>
  </si>
  <si>
    <t>RESORTES LINEA COMPLEMENTARIA271</t>
  </si>
  <si>
    <t>0,3 x 4,5 x 22</t>
  </si>
  <si>
    <t>RESORTES LINEA COMPLEMENTARIA272</t>
  </si>
  <si>
    <t>0,3 x 4,2 x 15</t>
  </si>
  <si>
    <t>RESORTES LINEA COMPLEMENTARIA273</t>
  </si>
  <si>
    <t>0,5 x 4,5 x 80</t>
  </si>
  <si>
    <t>RESORTES LINEA COMPLEMENTARIA274</t>
  </si>
  <si>
    <t>0,5 x 6 x 60</t>
  </si>
  <si>
    <t>RESORTES LINEA COMPLEMENTARIA275</t>
  </si>
  <si>
    <t>0,8 x 8 x 100</t>
  </si>
  <si>
    <t>RESORTES LINEA COMPLEMENTARIA276</t>
  </si>
  <si>
    <t>1 x 10 x 95</t>
  </si>
  <si>
    <t>RESORTES LINEA COMPLEMENTARIA277</t>
  </si>
  <si>
    <t>1 x 10 x 144</t>
  </si>
  <si>
    <t>RESORTES LINEA COMPLEMENTARIA278</t>
  </si>
  <si>
    <t>1 x 13 x 50</t>
  </si>
  <si>
    <t>RESORTES LINEA COMPLEMENTARIA279</t>
  </si>
  <si>
    <t>1 x 13 x 95</t>
  </si>
  <si>
    <t>RESORTES LINEA COMPLEMENTARIA280</t>
  </si>
  <si>
    <t>1 x 13 x 177</t>
  </si>
  <si>
    <t>RESORTES LINEA COMPLEMENTARIA281</t>
  </si>
  <si>
    <t>1,25 x 7 x 80</t>
  </si>
  <si>
    <t>RESORTES LINEA COMPLEMENTARIA282</t>
  </si>
  <si>
    <t>1,25 x 7 x 140</t>
  </si>
  <si>
    <t>RESORTES LINEA COMPLEMENTARIA283</t>
  </si>
  <si>
    <t>1,5 x 10 x 47</t>
  </si>
  <si>
    <t>RESORTES LINEA COMPLEMENTARIA284</t>
  </si>
  <si>
    <t>1,5 x 12 x 51</t>
  </si>
  <si>
    <t>RESORTES LINEA COMPLEMENTARIA285</t>
  </si>
  <si>
    <t>1,5 x 12 x 140</t>
  </si>
  <si>
    <t>RESORTES LINEA COMPLEMENTARIA286</t>
  </si>
  <si>
    <t>1,75 x 12 x 60</t>
  </si>
  <si>
    <t>RESORTES LINEA COMPLEMENTARIA287</t>
  </si>
  <si>
    <t>1,75 x 12 x 120</t>
  </si>
  <si>
    <t>RESORTES LINEA COMPLEMENTARIA288</t>
  </si>
  <si>
    <t>3 x 17 x 56</t>
  </si>
  <si>
    <t>RESORTES LINEA COMPLEMENTARIA289</t>
  </si>
  <si>
    <t>TIJERA PODAR - Torsión</t>
  </si>
  <si>
    <t>RESORTES LINEA COMPLEMENTARIA290</t>
  </si>
  <si>
    <t>1,25 x 10 - Torsión</t>
  </si>
  <si>
    <t>RESORTES LINEA COMPLEMENTARIA291</t>
  </si>
  <si>
    <t>0,3 x 4 x 4,5 - Torsión</t>
  </si>
  <si>
    <t>RESORTES LINEA COMPLEMENTARIA292</t>
  </si>
  <si>
    <t>0,5 x 4,5 x 3 - Torsión</t>
  </si>
  <si>
    <t>RESORTES LINEA COMPLEMENTARIA293</t>
  </si>
  <si>
    <t>0,6 x 6,5 - Torsión</t>
  </si>
  <si>
    <t>RESORTES LINEA COMPLEMENTARIA294</t>
  </si>
  <si>
    <t>0,8 x 4,5 x 8 - Torsión</t>
  </si>
  <si>
    <t>RESORTES LINEA COMPLEMENTARIA295</t>
  </si>
  <si>
    <t>1 x 8 x 9 - Torsión</t>
  </si>
  <si>
    <t>RESORTES LINEA COMPLEMENTARIA296</t>
  </si>
  <si>
    <t>1,5 x 10 x 10 - Torsión</t>
  </si>
  <si>
    <t>RESORTES LINEA COMPLEMENTARIA297</t>
  </si>
  <si>
    <t>Tijeras Multiuso - Torsión</t>
  </si>
  <si>
    <t>RESORTES LINEA COMPLEMENTARIA298</t>
  </si>
  <si>
    <t>RESORTES LINEA COMPLEMENTARIA299</t>
  </si>
  <si>
    <t>1,75 - Torsión</t>
  </si>
  <si>
    <t>RESORTES LINEA COMPLEMENTARIA300</t>
  </si>
  <si>
    <t>0,3 x 4,5 x 13</t>
  </si>
  <si>
    <t>RESORTES LINEA COMPLEMENTARIA302</t>
  </si>
  <si>
    <t>0,3 x 5 x 30</t>
  </si>
  <si>
    <t>RESORTES LINEA COMPLEMENTARIA303</t>
  </si>
  <si>
    <t>0,5 x 3,5 x 45</t>
  </si>
  <si>
    <t>RESORTES LINEA COMPLEMENTARIA304</t>
  </si>
  <si>
    <t>0,5 x 6 x 35</t>
  </si>
  <si>
    <t>RESORTES LINEA COMPLEMENTARIA305</t>
  </si>
  <si>
    <t>0,5 x 5 x 15</t>
  </si>
  <si>
    <t>RESORTES LINEA COMPLEMENTARIA306</t>
  </si>
  <si>
    <t>0,5 x 6,5 x 12</t>
  </si>
  <si>
    <t>RESORTES LINEA COMPLEMENTARIA308</t>
  </si>
  <si>
    <t>0,5 x 7,5 x 32</t>
  </si>
  <si>
    <t>RESORTES LINEA COMPLEMENTARIA309</t>
  </si>
  <si>
    <t>0,5 x 6 x 45</t>
  </si>
  <si>
    <t>RESORTES LINEA COMPLEMENTARIA310</t>
  </si>
  <si>
    <t>0,5 x 9 x 14</t>
  </si>
  <si>
    <t>RESORTES LINEA COMPLEMENTARIA312</t>
  </si>
  <si>
    <t>0,5 x 10 x 28</t>
  </si>
  <si>
    <t>RESORTES LINEA COMPLEMENTARIA313</t>
  </si>
  <si>
    <t>0,6 x 6,5 x 18</t>
  </si>
  <si>
    <t>RESORTES LINEA COMPLEMENTARIA316</t>
  </si>
  <si>
    <t>0,6 x 9 x 28</t>
  </si>
  <si>
    <t>RESORTES LINEA COMPLEMENTARIA317</t>
  </si>
  <si>
    <t>0,6 x 13 x 20</t>
  </si>
  <si>
    <t>RESORTES LINEA COMPLEMENTARIA318</t>
  </si>
  <si>
    <t>0,7 x 8,5 x 10</t>
  </si>
  <si>
    <t>RESORTES LINEA COMPLEMENTARIA320</t>
  </si>
  <si>
    <t>0,8 x 5 x 15</t>
  </si>
  <si>
    <t>RESORTES LINEA COMPLEMENTARIA322</t>
  </si>
  <si>
    <t>0,8 x 5,5 x 36</t>
  </si>
  <si>
    <t>RESORTES LINEA COMPLEMENTARIA324</t>
  </si>
  <si>
    <t>0,8 x 7 x 16</t>
  </si>
  <si>
    <t>RESORTES LINEA COMPLEMENTARIA326</t>
  </si>
  <si>
    <t>0,8 x 7 x 32</t>
  </si>
  <si>
    <t>RESORTES LINEA COMPLEMENTARIA327</t>
  </si>
  <si>
    <t>0,8 x 7 x 40</t>
  </si>
  <si>
    <t>RESORTES LINEA COMPLEMENTARIA328</t>
  </si>
  <si>
    <t>0,8 x 7,5 x 15</t>
  </si>
  <si>
    <t>RESORTES LINEA COMPLEMENTARIA330</t>
  </si>
  <si>
    <t>0,8 x 7,5 x 23</t>
  </si>
  <si>
    <t>RESORTES LINEA COMPLEMENTARIA332</t>
  </si>
  <si>
    <t>0,8 x 8 x 13</t>
  </si>
  <si>
    <t>RESORTES LINEA COMPLEMENTARIA334</t>
  </si>
  <si>
    <t>0,8 x 8 x 22</t>
  </si>
  <si>
    <t>RESORTES LINEA COMPLEMENTARIA336</t>
  </si>
  <si>
    <t>0,8 x 10 x 10</t>
  </si>
  <si>
    <t>RESORTES LINEA COMPLEMENTARIA338</t>
  </si>
  <si>
    <t>0,8 x 11 x 16</t>
  </si>
  <si>
    <t>RESORTES LINEA COMPLEMENTARIA340</t>
  </si>
  <si>
    <t>0,8 x 13 x 65</t>
  </si>
  <si>
    <t>RESORTES LINEA COMPLEMENTARIA341</t>
  </si>
  <si>
    <t>0,8 x 14 x 25</t>
  </si>
  <si>
    <t>RESORTES LINEA COMPLEMENTARIA342</t>
  </si>
  <si>
    <t>RESORTES LINEA COMPLEMENTARIA343</t>
  </si>
  <si>
    <t>1 x 6 x 60</t>
  </si>
  <si>
    <t>RESORTES LINEA COMPLEMENTARIA344</t>
  </si>
  <si>
    <t>1 x 8 x 8</t>
  </si>
  <si>
    <t>RESORTES LINEA COMPLEMENTARIA346</t>
  </si>
  <si>
    <t>1 x 8 x 15</t>
  </si>
  <si>
    <t>RESORTES LINEA COMPLEMENTARIA348</t>
  </si>
  <si>
    <t>RESORTES LINEA COMPLEMENTARIA349</t>
  </si>
  <si>
    <t>1 x 11 x 50</t>
  </si>
  <si>
    <t>RESORTES LINEA COMPLEMENTARIA350</t>
  </si>
  <si>
    <t>1 x 11 x 85</t>
  </si>
  <si>
    <t>RESORTES LINEA COMPLEMENTARIA352</t>
  </si>
  <si>
    <t>1 x 15 x 20</t>
  </si>
  <si>
    <t>RESORTES LINEA COMPLEMENTARIA353</t>
  </si>
  <si>
    <t>RESORTES LINEA COMPLEMENTARIA354</t>
  </si>
  <si>
    <t>1 x 17 x 20</t>
  </si>
  <si>
    <t>RESORTES LINEA COMPLEMENTARIA355</t>
  </si>
  <si>
    <t>1 x 28 x 28</t>
  </si>
  <si>
    <t>RESORTES LINEA COMPLEMENTARIA356</t>
  </si>
  <si>
    <t>1,25 x 8 x 15</t>
  </si>
  <si>
    <t>RESORTES LINEA COMPLEMENTARIA358</t>
  </si>
  <si>
    <t>1,25 x 9,5 x 17</t>
  </si>
  <si>
    <t>RESORTES LINEA COMPLEMENTARIA360</t>
  </si>
  <si>
    <t>1,25 x 11 x 35</t>
  </si>
  <si>
    <t>RESORTES LINEA COMPLEMENTARIA362</t>
  </si>
  <si>
    <t>1,25 x 13 x 13</t>
  </si>
  <si>
    <t>RESORTES LINEA COMPLEMENTARIA364</t>
  </si>
  <si>
    <t>1,25 x 13 x 26</t>
  </si>
  <si>
    <t>RESORTES LINEA COMPLEMENTARIA365</t>
  </si>
  <si>
    <t>1,25 x 14 x 65</t>
  </si>
  <si>
    <t>RESORTES LINEA COMPLEMENTARIA366</t>
  </si>
  <si>
    <t>1,25 x 15 x 12</t>
  </si>
  <si>
    <t>RESORTES LINEA COMPLEMENTARIA367</t>
  </si>
  <si>
    <t>1,25 x 16 x 38</t>
  </si>
  <si>
    <t>RESORTES LINEA COMPLEMENTARIA368</t>
  </si>
  <si>
    <t>1,25 x 18 x 45</t>
  </si>
  <si>
    <t>RESORTES LINEA COMPLEMENTARIA370</t>
  </si>
  <si>
    <t>1,25 x 20 x 75</t>
  </si>
  <si>
    <t>RESORTES LINEA COMPLEMENTARIA371</t>
  </si>
  <si>
    <t>1,5 x 13 x 29</t>
  </si>
  <si>
    <t>RESORTES LINEA COMPLEMENTARIA372</t>
  </si>
  <si>
    <t>1,5 x 16 x 60</t>
  </si>
  <si>
    <t>RESORTES LINEA COMPLEMENTARIA374</t>
  </si>
  <si>
    <t>1,5 x 17 x 45</t>
  </si>
  <si>
    <t>RESORTES LINEA COMPLEMENTARIA375</t>
  </si>
  <si>
    <t>1,5 x 17 x 75</t>
  </si>
  <si>
    <t>RESORTES LINEA COMPLEMENTARIA376</t>
  </si>
  <si>
    <t>1,5 x 25 x 11</t>
  </si>
  <si>
    <t>RESORTES LINEA COMPLEMENTARIA377</t>
  </si>
  <si>
    <t>1,5 x 24 x 45</t>
  </si>
  <si>
    <t>RESORTES LINEA COMPLEMENTARIA378</t>
  </si>
  <si>
    <t>1,6 x 20 x 29</t>
  </si>
  <si>
    <t>RESORTES LINEA COMPLEMENTARIA380</t>
  </si>
  <si>
    <t>1,75 x 10 x 45</t>
  </si>
  <si>
    <t>RESORTES LINEA COMPLEMENTARIA381</t>
  </si>
  <si>
    <t>1,75 x 14 x 50</t>
  </si>
  <si>
    <t>RESORTES LINEA COMPLEMENTARIA382</t>
  </si>
  <si>
    <t>1,75 x 16 x 50</t>
  </si>
  <si>
    <t>RESORTES LINEA COMPLEMENTARIA383</t>
  </si>
  <si>
    <t>1,75 x 16 x 35</t>
  </si>
  <si>
    <t>RESORTES LINEA COMPLEMENTARIA384</t>
  </si>
  <si>
    <t>1,75 x 22 x 17</t>
  </si>
  <si>
    <t>RESORTES LINEA COMPLEMENTARIA385</t>
  </si>
  <si>
    <t>1,75 x 18 x 60</t>
  </si>
  <si>
    <t>RESORTES LINEA COMPLEMENTARIA386</t>
  </si>
  <si>
    <t>1,75 x 28 x 80</t>
  </si>
  <si>
    <t>RESORTES LINEA COMPLEMENTARIA387</t>
  </si>
  <si>
    <t>1,75 x 34 x 125</t>
  </si>
  <si>
    <t>RESORTES LINEA COMPLEMENTARIA388</t>
  </si>
  <si>
    <t>1,75 x 21 x 22</t>
  </si>
  <si>
    <t>RESORTES LINEA COMPLEMENTARIA389</t>
  </si>
  <si>
    <t>2,25 x 27 x 40</t>
  </si>
  <si>
    <t>RESORTES LINEA COMPLEMENTARIA393</t>
  </si>
  <si>
    <t>0,5 x 5,5 x 16 - Conicos</t>
  </si>
  <si>
    <t>RESORTES LINEA COMPLEMENTARIA394</t>
  </si>
  <si>
    <t>0,5 x 5x9 x 13 - Conicos</t>
  </si>
  <si>
    <t>RESORTES LINEA COMPLEMENTARIA395</t>
  </si>
  <si>
    <t>0,6 x 8x12 x 16 - Conicos</t>
  </si>
  <si>
    <t>RESORTES LINEA COMPLEMENTARIA396</t>
  </si>
  <si>
    <t>0,8 x 5x11 x 12 - Conicos</t>
  </si>
  <si>
    <t>RESORTES LINEA COMPLEMENTARIA397</t>
  </si>
  <si>
    <t>0,8 x 7x11 x 15 - Conicos</t>
  </si>
  <si>
    <t>RESORTES LINEA COMPLEMENTARIA398</t>
  </si>
  <si>
    <t>1 x 9x16 x 13 - Conicos</t>
  </si>
  <si>
    <t>RESORTES LINEA COMPLEMENTARIA399</t>
  </si>
  <si>
    <t>1,25 x 9x11,5 x 21 - Conicos</t>
  </si>
  <si>
    <t>RESORTES LINEA COMPLEMENTARIA400</t>
  </si>
  <si>
    <t>1,5 x 14x17 x 65 - Conicos</t>
  </si>
  <si>
    <t>RESORTES LINEA COMPLEMENTARIA401</t>
  </si>
  <si>
    <t>1,6 x 14x18 x 83 - Conicos</t>
  </si>
  <si>
    <t>RESORTES LINEA COMPLEMENTARIA402</t>
  </si>
  <si>
    <t>1,75 x 18x23 x 98 - Conicos</t>
  </si>
  <si>
    <t>RESORTES LINEA COMPLEMENTARIA403</t>
  </si>
  <si>
    <t>2 x 15x25 x 75 - Conicos</t>
  </si>
  <si>
    <t>RESORTES LINEA COMPLEMENTARIA404</t>
  </si>
  <si>
    <t>RESORTES LINEA COMPLEMENTARIA405</t>
  </si>
  <si>
    <t>2 x 23 x 60 - Conicos</t>
  </si>
  <si>
    <t>RESORTES LINEA COMPLEMENTARIA407</t>
  </si>
  <si>
    <t>1,25 x 8 x 6 - Torsión</t>
  </si>
  <si>
    <t>RESORTES LINEA COMPLEMENTARIA408</t>
  </si>
  <si>
    <t>RESORTES LINEA COMPLEMENTARIA410</t>
  </si>
  <si>
    <t>1,75 x 8 x 6 - Torsión</t>
  </si>
  <si>
    <t>RESORTES LINEA COMPLEMENTARIA411</t>
  </si>
  <si>
    <t>1,50 - Torsión</t>
  </si>
  <si>
    <t>RESORTES LINEA PESADA110</t>
  </si>
  <si>
    <t>RESORTES LINEA PESADA</t>
  </si>
  <si>
    <t>2 x 12 x 150</t>
  </si>
  <si>
    <t>RESORTES LINEA PESADA112</t>
  </si>
  <si>
    <t>2 x 18 x 130</t>
  </si>
  <si>
    <t>RESORTES LINEA PESADA114</t>
  </si>
  <si>
    <t>2 x 20 x 100</t>
  </si>
  <si>
    <t>RESORTES LINEA PESADA116</t>
  </si>
  <si>
    <t>2 x 25 x 100</t>
  </si>
  <si>
    <t>RESORTES LINEA PESADA118</t>
  </si>
  <si>
    <t>2 x 30 x 50</t>
  </si>
  <si>
    <t>RESORTES LINEA PESADA120</t>
  </si>
  <si>
    <t>RESORTES LINEA PESADA122</t>
  </si>
  <si>
    <t>2 x 34 x 42</t>
  </si>
  <si>
    <t>RESORTES LINEA PESADA124</t>
  </si>
  <si>
    <t>2,25 x 27 x 37</t>
  </si>
  <si>
    <t>RESORTES LINEA PESADA125</t>
  </si>
  <si>
    <t>2,5 x 17 x 35</t>
  </si>
  <si>
    <t>RESORTES LINEA PESADA126</t>
  </si>
  <si>
    <t>2,5 x 25 x 55</t>
  </si>
  <si>
    <t>RESORTES LINEA PESADA128</t>
  </si>
  <si>
    <t>2,5 x 33 x 50</t>
  </si>
  <si>
    <t>RESORTES LINEA PESADA130</t>
  </si>
  <si>
    <t>2,5 x 37 x 50</t>
  </si>
  <si>
    <t>RESORTES LINEA PESADA132</t>
  </si>
  <si>
    <t>2,5 x 42 x 42</t>
  </si>
  <si>
    <t>RESORTES LINEA PESADA134</t>
  </si>
  <si>
    <t>2,75 x 38 x 42</t>
  </si>
  <si>
    <t>RESORTES LINEA PESADA136</t>
  </si>
  <si>
    <t>3 x 18 x 40</t>
  </si>
  <si>
    <t>RESORTES LINEA PESADA138</t>
  </si>
  <si>
    <t>3 x 18 x 150</t>
  </si>
  <si>
    <t>RESORTES LINEA PESADA140</t>
  </si>
  <si>
    <t>3 x 25 x 150</t>
  </si>
  <si>
    <t>RESORTES LINEA PESADA145</t>
  </si>
  <si>
    <t>3 x 33 x 55</t>
  </si>
  <si>
    <t>RESORTES LINEA PESADA146</t>
  </si>
  <si>
    <t>3 x 33 x 150</t>
  </si>
  <si>
    <t>RESORTES LINEA PESADA149</t>
  </si>
  <si>
    <t>3 x 40 x 100</t>
  </si>
  <si>
    <t>RESORTES LINEA PESADA151</t>
  </si>
  <si>
    <t>3,5 x 23 x 100</t>
  </si>
  <si>
    <t>RESORTES LINEA PESADA153</t>
  </si>
  <si>
    <t>3,5 x 27 x 60</t>
  </si>
  <si>
    <t>RESORTES LINEA PESADA157</t>
  </si>
  <si>
    <t>3,5 x 40 x 37</t>
  </si>
  <si>
    <t>RESORTES LINEA PESADA161</t>
  </si>
  <si>
    <t>4 x 22 x 50</t>
  </si>
  <si>
    <t>RESORTES LINEA PESADA163</t>
  </si>
  <si>
    <t>4 x 26 x 60</t>
  </si>
  <si>
    <t>RESORTES LINEA PESADA165</t>
  </si>
  <si>
    <t>4 x 38 x 100</t>
  </si>
  <si>
    <t>RESORTES LINEA PESADA167</t>
  </si>
  <si>
    <t>5 x 35 x 140</t>
  </si>
  <si>
    <t>RESORTES LINEA PESADA169</t>
  </si>
  <si>
    <t>5 x 45 x 90</t>
  </si>
  <si>
    <t>RESORTES LINEA PESADA170</t>
  </si>
  <si>
    <t>RESORTES LINEA PESADA172</t>
  </si>
  <si>
    <t>2 x 20 x 150</t>
  </si>
  <si>
    <t>RESORTES LINEA PESADA174</t>
  </si>
  <si>
    <t>2,25 x 17 x 85</t>
  </si>
  <si>
    <t>RESORTES LINEA PESADA176</t>
  </si>
  <si>
    <t>2,5 x 20 x 150</t>
  </si>
  <si>
    <t>RESORTES LINEA PESADA178</t>
  </si>
  <si>
    <t>2,5 x 25 x 150</t>
  </si>
  <si>
    <t>RESORTES LINEA PESADA179</t>
  </si>
  <si>
    <t>2,5 x 20 x 100</t>
  </si>
  <si>
    <t>RESORTES LINEA PESADA180</t>
  </si>
  <si>
    <t>3 x 20 x 200</t>
  </si>
  <si>
    <t>RESORTES LINEA PESADA182</t>
  </si>
  <si>
    <t>3 x 25 x 142</t>
  </si>
  <si>
    <t>RESORTES LINEA PESADA184</t>
  </si>
  <si>
    <t>3 x 30 x 200</t>
  </si>
  <si>
    <t>RESORTES LINEA PESADA188</t>
  </si>
  <si>
    <t>3,5 x 25 x 130</t>
  </si>
  <si>
    <t>RESORTES LINEA PESADA190</t>
  </si>
  <si>
    <t>3,5 x 32 x 130</t>
  </si>
  <si>
    <t>RESORTES LINEA PESADA194</t>
  </si>
  <si>
    <t>4 x 32 x 156</t>
  </si>
  <si>
    <t>RESORTES LINEA PESADA196</t>
  </si>
  <si>
    <t>4,5 x 32 x 200</t>
  </si>
  <si>
    <t>RESORTES LINEA PESADA198</t>
  </si>
  <si>
    <t>5 x 39 x 200</t>
  </si>
  <si>
    <t>RESORTES LINEA AUTOMOTOR400</t>
  </si>
  <si>
    <t>RESORTES LINEA AUTOMOTOR</t>
  </si>
  <si>
    <t>ResortesGenerales</t>
  </si>
  <si>
    <t>2100</t>
  </si>
  <si>
    <t>RESORTES LINEA FIAT - RESORTE SUPERIOR P/ZAPATAS FRENO TRAS.-FIAT 1500/1600/125/MULTICARGA</t>
  </si>
  <si>
    <t>RESORTES LINEA AUTOMOTOR401</t>
  </si>
  <si>
    <t>2101</t>
  </si>
  <si>
    <t>RESORTES LINEA FIAT - RESORTE INFERIOR P/ZAPATAS FRENO TRAS.-FIAT 1500/1600/125/MULTICARGA</t>
  </si>
  <si>
    <t>RESORTES LINEA AUTOMOTOR402</t>
  </si>
  <si>
    <t>2102</t>
  </si>
  <si>
    <t>RESORTES LINEA FIAT - RESORTE SUPERIOR P/ZAPATAS FRENO - FIAT 600 TRAS./DEL.-FIAT 128 TRAS.</t>
  </si>
  <si>
    <t>RESORTES LINEA AUTOMOTOR405</t>
  </si>
  <si>
    <t>2105</t>
  </si>
  <si>
    <t>RESORTES LINEA FIAT - RESORTE P/PEDAL DE ACCION. EMBRAGUE- FIAT 600/128</t>
  </si>
  <si>
    <t>RESORTES LINEA AUTOMOTOR406</t>
  </si>
  <si>
    <t>2106</t>
  </si>
  <si>
    <t>RESORTES LINEA FIAT - RESORTE P/PALANCA DE CAJA DE VELOCIDADES FIAT 128</t>
  </si>
  <si>
    <t>RESORTES LINEA AUTOMOTOR409</t>
  </si>
  <si>
    <t>2109</t>
  </si>
  <si>
    <t>RESORTES LINEA FIAT - RESORTE P/CILINDRO MAESTRO DE FRENO. FIAT 1500/1600/125/MULTICARGA</t>
  </si>
  <si>
    <t>RESORTES LINEA AUTOMOTOR414</t>
  </si>
  <si>
    <t>2115</t>
  </si>
  <si>
    <t>RESORTES LINEA FIAT - SEGURO ANTIRRUIDO P/PAST.F/ A DISCO FIAT 1500/1600/125/MULTICARGA</t>
  </si>
  <si>
    <t>RESORTES LINEA AUTOMOTOR415</t>
  </si>
  <si>
    <t>2116</t>
  </si>
  <si>
    <t>RESORTES LINEA FIAT - SEGURO P/PERNO PASADOR PAST. F/ A DISCO FIAT 1500/1600/125/MULTICARGA</t>
  </si>
  <si>
    <t>RESORTES LINEA AUTOMOTOR420</t>
  </si>
  <si>
    <t>2121</t>
  </si>
  <si>
    <t>RESORTES LINEA FIAT - RESORTE P/COMANDO DE ACELERADOR FIAT 600/770/800/133</t>
  </si>
  <si>
    <t>RESORTES LINEA AUTOMOTOR421</t>
  </si>
  <si>
    <t>2122</t>
  </si>
  <si>
    <t>RESORTES LINEA FIAT - CLIP P/CABLE COMANDO DE FRENO - FIAT 128</t>
  </si>
  <si>
    <t>RESORTES LINEA AUTOMOTOR429</t>
  </si>
  <si>
    <t>2130</t>
  </si>
  <si>
    <t>RESORTES LINEA FIAT - RESORTE P/RETORNO DE PEDAL DE EMBRAGUE - FIAT 1600/125</t>
  </si>
  <si>
    <t>RESORTES LINEA AUTOMOTOR440</t>
  </si>
  <si>
    <t>2141</t>
  </si>
  <si>
    <t>RESORTES LINEA FIAT - RESORTE P/REGISTRO DER.-FIAT PALIO/SIENA</t>
  </si>
  <si>
    <t>RESORTES LINEA AUTOMOTOR441</t>
  </si>
  <si>
    <t>2142</t>
  </si>
  <si>
    <t>RESORTES LINEA FIAT - RESORTE P/REGISTRO IZQ.-FIAT PALIO/SIENA</t>
  </si>
  <si>
    <t>RESORTES LINEA AUTOMOTOR442</t>
  </si>
  <si>
    <t>2143</t>
  </si>
  <si>
    <t>RESORTES LINEA FIAT - RESORTE TRABA INF.-FIAT PALIO/SIENA</t>
  </si>
  <si>
    <t>RESORTES LINEA AUTOMOTOR443</t>
  </si>
  <si>
    <t>2144</t>
  </si>
  <si>
    <t>RESORTES LINEA FIAT - RESORTE TRABA SUP INF.-FIAT PALIO/SIENA</t>
  </si>
  <si>
    <t>RESORTES LINEA AUTOMOTOR460</t>
  </si>
  <si>
    <t>2202</t>
  </si>
  <si>
    <t>RESORTES LINEA FORD - RESORTE P/PEDAL DE ACCION EMBRAGUE-FORD FALCON LARGO UNIVERSAL</t>
  </si>
  <si>
    <t>RESORTES LINEA AUTOMOTOR461</t>
  </si>
  <si>
    <t>2203</t>
  </si>
  <si>
    <t>RESORTES LINEA FORD - RESORTE P/PEDAL DE ACCION EMBRAGUE-FORD FALCON CORTO UNIVERSAL</t>
  </si>
  <si>
    <t>RESORTES LINEA AUTOMOTOR462</t>
  </si>
  <si>
    <t>2207</t>
  </si>
  <si>
    <t>RESORTES LINEA FORD - RESORTE SUPERIOR P/ZAP.DE FRENO PRIMARIA DEL/TAS-FORD F100/61/61</t>
  </si>
  <si>
    <t>RESORTES LINEA AUTOMOTOR463</t>
  </si>
  <si>
    <t>2208</t>
  </si>
  <si>
    <t>RESORTES LINEA FORD - RESORTE LEVA DE REGISTRO AUTOMATICO DEL/TRAS/DER -FORD F250/F350</t>
  </si>
  <si>
    <t>RESORTES LINEA AUTOMOTOR464</t>
  </si>
  <si>
    <t>2209</t>
  </si>
  <si>
    <t>RESORTES LINEA FORD - RESORTE LEVA DE REGISTRO AUTOMATICO DEL/TRAS/IZQ -FORD F250/F350</t>
  </si>
  <si>
    <t>RESORTES LINEA AUTOMOTOR465</t>
  </si>
  <si>
    <t>2211</t>
  </si>
  <si>
    <t>RESORTES LINEA FORD - RESORTE INF.P/REG DE ZAPATA DE FRENO DEL/TRAS FORD F100/FALCON</t>
  </si>
  <si>
    <t>RESORTES LINEA AUTOMOTOR466</t>
  </si>
  <si>
    <t>2212</t>
  </si>
  <si>
    <t>RESORTES LINEA FORD - RESORTE SUPERIOR ZAPATA DE FRENO DEL/TRAS-FORD FALCON</t>
  </si>
  <si>
    <t>RESORTES LINEA AUTOMOTOR467</t>
  </si>
  <si>
    <t>2215</t>
  </si>
  <si>
    <t>RESORTES LINEA FORD - RESORTE P/COMANDO ACELERADOR-FALCON-UNIVERSAL</t>
  </si>
  <si>
    <t>RESORTES LINEA AUTOMOTOR470</t>
  </si>
  <si>
    <t>2224</t>
  </si>
  <si>
    <t>RESORTES LINEA FORD - RESORTE SUPERIOR ZAPATAS DE FRENO F100/F150-CHEVR PICK UP</t>
  </si>
  <si>
    <t>RESORTES LINEA AUTOMOTOR473</t>
  </si>
  <si>
    <t>2229</t>
  </si>
  <si>
    <t>RESORTES LINEA FORD - RESORTE ANTIR./PASTILLAS FRENO-FALCON/FARLAINE-TORINO-DODGE</t>
  </si>
  <si>
    <t>RESORTES LINEA AUTOMOTOR478</t>
  </si>
  <si>
    <t>2235</t>
  </si>
  <si>
    <t>RESORTES LINEA FORD - RESORTE COMANDO DE ACELERADOR FORD F 350 UNIVERSAL CORTO</t>
  </si>
  <si>
    <t>RESORTES LINEA AUTOMOTOR479</t>
  </si>
  <si>
    <t>2236</t>
  </si>
  <si>
    <t>RESORTES LINEA FORD - RESORTE P/COMANDO ACELERADOR-UNIVERSAL C/ENGANCHE CORTO</t>
  </si>
  <si>
    <t>RESORTES LINEA AUTOMOTOR480</t>
  </si>
  <si>
    <t>2237</t>
  </si>
  <si>
    <t>RESORTES LINEA FORD - RESORTE P/COMANDO ACELERADOR-UNIVERSALC/ENGANCHE LARGO</t>
  </si>
  <si>
    <t>RESORTES LINEA AUTOMOTOR481</t>
  </si>
  <si>
    <t>0</t>
  </si>
  <si>
    <t>RESORTES LINEA AUTOMOTOR482</t>
  </si>
  <si>
    <t>2239</t>
  </si>
  <si>
    <t>RESORTES LINEA FORD - RESORTE P/COMANDO DE ACCIONAM DE EMBRAGUE-UNIV</t>
  </si>
  <si>
    <t>RESORTES LINEA AUTOMOTOR484</t>
  </si>
  <si>
    <t>2241</t>
  </si>
  <si>
    <t>RESORTES LINEA FORD - RESORTE P/CONJ DE ANCLAJE ZAP/FRENO- FORD FARLAINE F/100</t>
  </si>
  <si>
    <t>RESORTES LINEA AUTOMOTOR485</t>
  </si>
  <si>
    <t>2242</t>
  </si>
  <si>
    <t>RESORTES LINEA FORD - CLIP P/PERNO PASADOR DE PASTILLAS DE FRENO - FORD TAUNUS</t>
  </si>
  <si>
    <t>RESORTES LINEA AUTOMOTOR487</t>
  </si>
  <si>
    <t>2244</t>
  </si>
  <si>
    <t>RESORTES LINEA FORD - RESORTE P/COMANDO DE ACELERADOR - FORD TAUNUS</t>
  </si>
  <si>
    <t>RESORTES LINEA AUTOMOTOR488</t>
  </si>
  <si>
    <t>2245</t>
  </si>
  <si>
    <t>RESORTES LINEA FORD - RESORTE INFERIOR P/ ZAPATAS DE FRENO - FORD TAUNUS</t>
  </si>
  <si>
    <t>RESORTES LINEA AUTOMOTOR491</t>
  </si>
  <si>
    <t>2249</t>
  </si>
  <si>
    <t>RESORTES LINEA FORD - RESORTE P/COMANDO DE ACELERADOR - FORD 100</t>
  </si>
  <si>
    <t>RESORTES LINEA AUTOMOTOR504</t>
  </si>
  <si>
    <t>2265</t>
  </si>
  <si>
    <t>RESORTES LINEA FORD - RESORTE INFERIOR P/ ZAPATAS DE FRENO TRAS./IZQ/DER - ESCORT</t>
  </si>
  <si>
    <t>RESORTES LINEA AUTOMOTOR505</t>
  </si>
  <si>
    <t>2266</t>
  </si>
  <si>
    <t>RESORTES LINEA FORD - RESORTE SUPERIOR P/ZAPATAS DE FRENO TRAS./DER FORD SIERRA</t>
  </si>
  <si>
    <t>RESORTES LINEA AUTOMOTOR506</t>
  </si>
  <si>
    <t>2267</t>
  </si>
  <si>
    <t>RESORTES LINEA FORD - RESORTE SUPERIOR P/ZAPATAS DE FRENO TRAS./IZQ FORD SIERRA</t>
  </si>
  <si>
    <t>RESORTES LINEA AUTOMOTOR507</t>
  </si>
  <si>
    <t>2268</t>
  </si>
  <si>
    <t>RESORTES LINEA FORD - RESORTE P/REGISTRO DE ZAPATAS DE FRENO TRAS./IZQ/DER - FORD SIERRA</t>
  </si>
  <si>
    <t>RESORTES LINEA AUTOMOTOR508</t>
  </si>
  <si>
    <t>2269</t>
  </si>
  <si>
    <t>RESORTES LINEA FORD - RESORTE INFERIOR P/ZAPATAS DE FRENO TRAS IZQ/DER - FORD SIERRA</t>
  </si>
  <si>
    <t>RESORTES LINEA AUTOMOTOR511</t>
  </si>
  <si>
    <t>2278</t>
  </si>
  <si>
    <t>RESORTES LINEA FORD - RESORTE IZQ P/LEVA - FORD FIESTA</t>
  </si>
  <si>
    <t>RESORTES LINEA AUTOMOTOR512</t>
  </si>
  <si>
    <t>2279</t>
  </si>
  <si>
    <t>RESORTES LINEA FORD - RESORTE DER P/LEVA - FORD FIESTA</t>
  </si>
  <si>
    <t>RESORTES LINEA AUTOMOTOR513</t>
  </si>
  <si>
    <t>2280</t>
  </si>
  <si>
    <t>RESORTES LINEA FORD - RESORTE INFERIOR P/ZAPATA DE FRENO - FORD FIESTA</t>
  </si>
  <si>
    <t>RESORTES LINEA AUTOMOTOR524</t>
  </si>
  <si>
    <t>22004</t>
  </si>
  <si>
    <t>RESORTES LINEA FORD - RESORTE PATIN FORD ORION-POINTER</t>
  </si>
  <si>
    <t>RESORTES LINEA AUTOMOTOR526</t>
  </si>
  <si>
    <t>22010</t>
  </si>
  <si>
    <t>RESORTES LINEA FORD - RESORTE PATIN FORD FIESTA 2003 EN ADELANTE</t>
  </si>
  <si>
    <t>RESORTES LINEA AUTOMOTOR545</t>
  </si>
  <si>
    <t>2319</t>
  </si>
  <si>
    <t>RESORTES LINEA CHEVROLET - RESORTE SUPERIOR P/ZAPATAS DE FRENO - CHEVROLET PICK UP</t>
  </si>
  <si>
    <t>RESORTES LINEA AUTOMOTOR547</t>
  </si>
  <si>
    <t>2321</t>
  </si>
  <si>
    <t>RESORTES LINEA CHEVROLET - COMANDO DE ACCION. DE EMBRAGUE - BEDFORD.  TODOS</t>
  </si>
  <si>
    <t>RESORTES LINEA AUTOMOTOR548</t>
  </si>
  <si>
    <t>2324</t>
  </si>
  <si>
    <t>RESORTES LINEA CHEVROLET - RESORTE SUPERIOR P/ZAP. FRENO SECUNDARIA TRAS CHEVROLET PICK UP</t>
  </si>
  <si>
    <t>RESORTES LINEA AUTOMOTOR550</t>
  </si>
  <si>
    <t>2336</t>
  </si>
  <si>
    <t>RESORTES LINEA CHEVROLET - RESORTETRABA SUP LARGO MONZA /VARGA</t>
  </si>
  <si>
    <t>RESORTES LINEA AUTOMOTOR555</t>
  </si>
  <si>
    <t>2332</t>
  </si>
  <si>
    <t>RESORTES LINEA CHEVROLET - RESORTE P/COMANDO DE ACELERADOR - CHEVROLET PICK UP. TODOS</t>
  </si>
  <si>
    <t>RESORTES LINEA AUTOMOTOR575</t>
  </si>
  <si>
    <t>2510</t>
  </si>
  <si>
    <t>RESORTES LINEA RENAULT - RESORTE SUPERIOR P/ZAPATAS DE FRENO TRAS- RENAULT 6/R12</t>
  </si>
  <si>
    <t>RESORTES LINEA AUTOMOTOR576</t>
  </si>
  <si>
    <t>2543</t>
  </si>
  <si>
    <t>RESORTES LINEA RENAULT - RESORTE P/PEDAL DE ACCIONAM.DE EMBRAGUE - R6/R12</t>
  </si>
  <si>
    <t>RESORTES LINEA AUTOMOTOR583</t>
  </si>
  <si>
    <t>2504</t>
  </si>
  <si>
    <t>RESORTES LINEA AUTOMOTOR584</t>
  </si>
  <si>
    <t>2511</t>
  </si>
  <si>
    <t>RESORTES LINEA RENAULT - RESORTE SUPERIOR P/ZAPATAS DE FRENO TRAS - RENAULT 18</t>
  </si>
  <si>
    <t>RESORTES LINEA AUTOMOTOR585</t>
  </si>
  <si>
    <t>2512</t>
  </si>
  <si>
    <t>RESORTES LINEA RENAULT - RESORTE INFERIOR P/ZAPATAS DE FRENO TRAS - RENAULT 18</t>
  </si>
  <si>
    <t>RESORTES LINEA AUTOMOTOR589</t>
  </si>
  <si>
    <t>2517</t>
  </si>
  <si>
    <t>RESORTES LINEA RENAULT - RES. P/CONJ. DE ANCLAJE DE Z/ DE FRENO-R12/9/11/18/21/TRAFFIC</t>
  </si>
  <si>
    <t>RESORTES LINEA AUTOMOTOR590</t>
  </si>
  <si>
    <t>2518</t>
  </si>
  <si>
    <t>RESORTES LINEA RENAULT - SEGURO P/CRAPODINA DE EMPUJE DE EMBRAGUE - RENAULT 18</t>
  </si>
  <si>
    <t>RESORTES LINEA AUTOMOTOR594</t>
  </si>
  <si>
    <t>2522</t>
  </si>
  <si>
    <t>RESORTES LINEA RENAULT - RESORTE P/GATILLO DE REG. AUTOM. DE Z/DE FRENO TRAS/IZQ - R 9/11</t>
  </si>
  <si>
    <t>RESORTES LINEA AUTOMOTOR595</t>
  </si>
  <si>
    <t>2541</t>
  </si>
  <si>
    <t>RESORTES LINEA RENAULT - RESORTE P/GATILLO DE REG. AUTOM. DE Z/DE FRENO TRAS/DER - R 9/11</t>
  </si>
  <si>
    <t>RESORTES LINEA AUTOMOTOR598</t>
  </si>
  <si>
    <t>2526</t>
  </si>
  <si>
    <t>RESORTES LINEA RENAULT - RESORTE SUPERIOR P/ZAPATA DE FRENO TRAS.IQZ Y DER. - R 9/11</t>
  </si>
  <si>
    <t>RESORTES LINEA AUTOMOTOR599</t>
  </si>
  <si>
    <t>2527</t>
  </si>
  <si>
    <t>RESORTES LINEA RENAULT - RESORTE INFERIOR P/ZAPATAS DE FRENO TRAS/IZQ/DER - R9/11</t>
  </si>
  <si>
    <t>RESORTES LINEA AUTOMOTOR600</t>
  </si>
  <si>
    <t>2528</t>
  </si>
  <si>
    <t>RESORTES LINEA RENAULT - RESORTE P/GATILLO DE REG. AUTOM. DE Z/ FRENO TRAS/IZQ-R TRAFFIC</t>
  </si>
  <si>
    <t>RESORTES LINEA AUTOMOTOR601</t>
  </si>
  <si>
    <t>2529</t>
  </si>
  <si>
    <t>RESORTES LINEA RENAULT - RESORTE P/GATILLO DE REG. AUTOM. DE Z/ FRENO TRAS/DER-R TRAFFIC</t>
  </si>
  <si>
    <t>RESORTES LINEA AUTOMOTOR606</t>
  </si>
  <si>
    <t>2534</t>
  </si>
  <si>
    <t>RESORTES LINEA RENAULT - RESORTE SUPERIOR P/Z DE FRENO TRAS IZQ/DER - RENAULT 19</t>
  </si>
  <si>
    <t>RESORTES LINEA AUTOMOTOR607</t>
  </si>
  <si>
    <t>2535</t>
  </si>
  <si>
    <t>RESORTES LINEA RENAULT - RESORTE INFERIOR P/Z DE FRENO TRAS IZQ/DER - RENAULT 19</t>
  </si>
  <si>
    <t>RESORTES LINEA AUTOMOTOR608</t>
  </si>
  <si>
    <t>2536</t>
  </si>
  <si>
    <t>RESORTES LINEA RENAULT - RESORTE P/ LEVA DE REG. AUTOM TRAS/IZQ/DER - R19</t>
  </si>
  <si>
    <t>RESORTES LINEA AUTOMOTOR609</t>
  </si>
  <si>
    <t>2537</t>
  </si>
  <si>
    <t>RESORTES LINEA RENAULT - RESORTE P/COMANDO DE ACELERADOR - R18 2000 CC.</t>
  </si>
  <si>
    <t>RESORTES LINEA AUTOMOTOR612</t>
  </si>
  <si>
    <t>RESORTES LINEA RENAULT - RESORTE P/GATILLO DE REG. AUTOM DE Z/ FRENO TRAS/IZQ -R 12/18</t>
  </si>
  <si>
    <t>RESORTES LINEA AUTOMOTOR613</t>
  </si>
  <si>
    <t>2523</t>
  </si>
  <si>
    <t>RESORTES LINEA RENAULT - RESORTE P/GATILLO DE REG. AUTOM DE Z/ FRENO TRAS/DER -R 12/18</t>
  </si>
  <si>
    <t>RESORTES LINEA AUTOMOTOR615</t>
  </si>
  <si>
    <t>RESORTES LINEA RENAULT - RESORTE P/PEDAL DE ACCIONAM. DE EMBRAGUE - R9/11</t>
  </si>
  <si>
    <t>RESORTES LINEA AUTOMOTOR631</t>
  </si>
  <si>
    <t>2559</t>
  </si>
  <si>
    <t>RESORTES LINEA RENAULT - RESORTE P/GATILLO IZQ - RENAULT TRAFFIC</t>
  </si>
  <si>
    <t>RESORTES LINEA AUTOMOTOR632</t>
  </si>
  <si>
    <t>2560</t>
  </si>
  <si>
    <t>RESORTES LINEA RENAULT - RESORTE P/GATILLO DER - RENAULT TRAFFIC</t>
  </si>
  <si>
    <t>RESORTES LINEA AUTOMOTOR633</t>
  </si>
  <si>
    <t>2561</t>
  </si>
  <si>
    <t>RESORTES LINEA RENAULT - RESORTE DE ACELERADOR - RENAULT 18-2000 CC.</t>
  </si>
  <si>
    <t>RESORTES LINEA AUTOMOTOR658</t>
  </si>
  <si>
    <t>2615</t>
  </si>
  <si>
    <t>RESORTES LINEA DODGE - RESORTE P/COMANDO DE FRENO DE MANO - DODGE 1500</t>
  </si>
  <si>
    <t>RESORTES LINEA AUTOMOTOR659</t>
  </si>
  <si>
    <t>2616</t>
  </si>
  <si>
    <t>RESORTES LINEA DODGE - RESORTE PATIN SUPERIOR - DODGE 1500</t>
  </si>
  <si>
    <t>RESORTES LINEA AUTOMOTOR660</t>
  </si>
  <si>
    <t>2617</t>
  </si>
  <si>
    <t>RESORTES LINEA DODGE - RESORTE REGISTRO PATIN INFERIOR - DODGE 1500</t>
  </si>
  <si>
    <t>RESORTES LINEA AUTOMOTOR664</t>
  </si>
  <si>
    <t>2622</t>
  </si>
  <si>
    <t>RESORTES LINEA DODGE - RESORTE P/COMANDO DE ACCIONAM DE EMBRAGUE - DODGE D100/D200/D400</t>
  </si>
  <si>
    <t>RESORTES LINEA AUTOMOTOR665</t>
  </si>
  <si>
    <t>2623</t>
  </si>
  <si>
    <t>RESORTES LINEA DODGE - RESORTE SUPERIOR P/ZAP DE FRENO TRAS - VW GACEL/CARAT/SAVEIRO/SENDA</t>
  </si>
  <si>
    <t>RESORTES LINEA AUTOMOTOR666</t>
  </si>
  <si>
    <t>2624</t>
  </si>
  <si>
    <t>RESORTES LINEA DODGE - RESORTE INFERIOR P/ZAP DE FRENO TRAS - VW GACEL/CARAT/SAVEIRO/SENDA</t>
  </si>
  <si>
    <t>RESORTES LINEA AUTOMOTOR668</t>
  </si>
  <si>
    <t>2626</t>
  </si>
  <si>
    <t>RESORTES LINEA DODGE - RTE. P/GATILLO REG. AUTOM Z/FRENO - VWGACEL/CARAT/SAVEIRO/SENDA</t>
  </si>
  <si>
    <t>RESORTES LINEA AUTOMOTOR685</t>
  </si>
  <si>
    <t>2700</t>
  </si>
  <si>
    <t>RESORTES LINEA PEUGEOT - RESORTE INF.P/ZAPATAS DE FRENO TRAS.-PEUGEOT 404/504/505</t>
  </si>
  <si>
    <t>RESORTES LINEA AUTOMOTOR686</t>
  </si>
  <si>
    <t>2701</t>
  </si>
  <si>
    <t>RESORTES LINEA PEUGEOT - RESORTE SUPERIOR P/ZAP.TRAS. PEUGEOT 404/504/505</t>
  </si>
  <si>
    <t>RESORTES LINEA AUTOMOTOR687</t>
  </si>
  <si>
    <t>2702</t>
  </si>
  <si>
    <t>RESORTES LINEA PEUGEOT - RESORTE SUP.P/ZAP. DE FRENO TRAS- PEUGEOT 404/504/505</t>
  </si>
  <si>
    <t>RESORTES LINEA AUTOMOTOR690</t>
  </si>
  <si>
    <t>2704</t>
  </si>
  <si>
    <t>RESORTES LINEA PEUGEOT - CILINDRO MAESTRO DE EMBRAGUE PEUGEOT 404/504/505</t>
  </si>
  <si>
    <t>RESORTES LINEA AUTOMOTOR698</t>
  </si>
  <si>
    <t>2713</t>
  </si>
  <si>
    <t>RESORTES LINEA PEUGEOT - RESORTE P/COMANDO DE ACELERADOR PEUGEOT 504</t>
  </si>
  <si>
    <t>RESORTES LINEA AUTOMOTOR700</t>
  </si>
  <si>
    <t>2715</t>
  </si>
  <si>
    <t>RESORTES LINEA PEUGEOT - RESORTE P/ COMANDO DE ACELERADOR PEUGEOT 404/504</t>
  </si>
  <si>
    <t>RESORTES LINEA AUTOMOTOR702</t>
  </si>
  <si>
    <t>2717</t>
  </si>
  <si>
    <t>RESORTES LINEA PEUGEOT - SEG.P/PERNO PASADOR DOBLE DE PASTILLAS F/DISCO-PEUGEOT 504 GR II/505</t>
  </si>
  <si>
    <t>RESORTES LINEA AUTOMOTOR706</t>
  </si>
  <si>
    <t>2721</t>
  </si>
  <si>
    <t>RESORTES LINEA PEUGEOT - RESORTE P/REGISTRO DE REG.AUT.DEZAP./FRENO TRAS./DER. PEUGEOT</t>
  </si>
  <si>
    <t>RESORTES LINEA AUTOMOTOR707</t>
  </si>
  <si>
    <t>2722</t>
  </si>
  <si>
    <t>RESORTES LINEA PEUGEOT - RESORTE P/REGISTRO DE REG.AUT.DEZAP./FRENO TRAS./IZQ. PEUGEOT</t>
  </si>
  <si>
    <t>RESORTES LINEA AUTOMOTOR708</t>
  </si>
  <si>
    <t>2723</t>
  </si>
  <si>
    <t>RESORTES LINEA PEUGEOT - RESORTE SUPERIOR P/ZAP.DE FRENO TRAS. PEUGEOT 504/PICK UP</t>
  </si>
  <si>
    <t>RESORTES LINEA AUTOMOTOR709</t>
  </si>
  <si>
    <t>2724</t>
  </si>
  <si>
    <t>RESORTES LINEA PEUGEOT - RESORTE INFERIOR P/ZAP.DE FRENO TRAS. PEUGEOT 504/PICK UP</t>
  </si>
  <si>
    <t>RESORTES LINEA AUTOMOTOR710</t>
  </si>
  <si>
    <t>2725</t>
  </si>
  <si>
    <t>RESORTES LINEA PEUGEOT - RESORTE P/LEVA DE ACCIONAM DE REG. AUTOMATICA TRAS PEUGEOT 504/PICK UP</t>
  </si>
  <si>
    <t>RESORTES LINEA AUTOMOTOR793</t>
  </si>
  <si>
    <t>UNIVERSALES - RESORTE DE EMBRAGUE UNIVERSAL CORTO</t>
  </si>
  <si>
    <t>RESORTES LINEA AUTOMOTOR794</t>
  </si>
  <si>
    <t>UNIVERSALES - RESORTE DE EMBRAGUE UNIVERSAL MEDIANO</t>
  </si>
  <si>
    <t>RESORTES LINEA AUTOMOTOR795</t>
  </si>
  <si>
    <t>UNIVERSALES - RESORTE ACELERADOR UNIVERSAL REFORZADO LARGO</t>
  </si>
  <si>
    <t>RESORTES LINEA AUTOMOTOR796</t>
  </si>
  <si>
    <t>UNIVERSALES - RESORTE ACELERADOR UNIVERSAL CORTO</t>
  </si>
  <si>
    <t>RESORTES LINEA AUTOMOTOR797</t>
  </si>
  <si>
    <t>UNIVERSALES - RESORTE ACELERADOR UNIVERSAL MEDIANO</t>
  </si>
  <si>
    <t>RESORTES LINEA HORNO200</t>
  </si>
  <si>
    <t>RESORTES LINEA HORNO</t>
  </si>
  <si>
    <t>LONGVIE L 4 - 1,5 mm - 15 mm - 210 mm</t>
  </si>
  <si>
    <t>RESORTES LINEA HORNO203</t>
  </si>
  <si>
    <t>SIRENA - 2 mm - 18 mm - 191 mm</t>
  </si>
  <si>
    <t>RESORTES LINEA HORNO205</t>
  </si>
  <si>
    <t>ORBIS COQUETA - 1,75 mm - 15 mm - 167 mm</t>
  </si>
  <si>
    <t>RESORTES LINEA HORNO208</t>
  </si>
  <si>
    <t>ORBIS GALA - 1,75 mm - 15 mm - 205 mm</t>
  </si>
  <si>
    <t>RESORTES LINEA HORNO210</t>
  </si>
  <si>
    <t>ORO AZUL GALAXIA - 1,5 mm - 13,3 mm - 172 mm</t>
  </si>
  <si>
    <t>RESORTES LINEA HORNO211</t>
  </si>
  <si>
    <t>ORO AZUL ULTIMO MODELO - 1,5 mm - 10,5 mm - 185 mm</t>
  </si>
  <si>
    <t>RESORTES LINEA HORNO214</t>
  </si>
  <si>
    <t>ARTHUR MARTHIN  - 1,5 mm - 10,5 mm - 333,5 mm</t>
  </si>
  <si>
    <t>RESORTES LINEA HORNO216</t>
  </si>
  <si>
    <t>ESCORIAL PATA LARGA - 1,5 mm - 14,5 mm - 262 mm</t>
  </si>
  <si>
    <t>RESORTES LINEA HORNO219</t>
  </si>
  <si>
    <t>DOMEC y SIRENA - 2 mm - 16 mm - 196 mm</t>
  </si>
  <si>
    <t>RESORTES LINEA HORNO220</t>
  </si>
  <si>
    <t>PARRILLA DOMEC - 1,25 mm - 10,5 mm - 300 mm</t>
  </si>
  <si>
    <t>RESORTES LINEA HORNO221</t>
  </si>
  <si>
    <t>TRABA BISAGRA LONGVIE</t>
  </si>
  <si>
    <t>RESORTES LINEA HORNO223</t>
  </si>
  <si>
    <t>BISAGRA ESCORIAL REGIA</t>
  </si>
  <si>
    <t>RESORTES LINEA HORNO224</t>
  </si>
  <si>
    <t>ARTUR MARTIN CORALINE - 1,25 mm - 11,5 mm - 330 mm</t>
  </si>
  <si>
    <t>RESORTES LINEA HORNO232</t>
  </si>
  <si>
    <t>VARIADO  - 1,25 mm - 11 mm - 126 mm</t>
  </si>
  <si>
    <t>RESORTES LINEA HORNO233</t>
  </si>
  <si>
    <t>VARIADO - 1,25 mm - 14 mm - 200 mm</t>
  </si>
  <si>
    <t>RESORTES LINEA HORNO234</t>
  </si>
  <si>
    <t>VARIADO - 1,5 mm - 10,5 mm - 210 mm</t>
  </si>
  <si>
    <t>RESORTES LINEA HORNO235</t>
  </si>
  <si>
    <t>VARIADO - 1,75 mm - 12 mm - 135 mm</t>
  </si>
  <si>
    <t>RESORTES LINEA HORNO236</t>
  </si>
  <si>
    <t>VARIADO - 1,6 mm - 12 mm - 310,5 mm</t>
  </si>
  <si>
    <t>RESORTES LINEA HORNO238</t>
  </si>
  <si>
    <t>VARIADO - 1,75 mm - 13 mm - 221 mm</t>
  </si>
  <si>
    <t>RESORTES LINEA HORNO239</t>
  </si>
  <si>
    <t>VARIADO - 2,5 mm - 14 mm - 380mm</t>
  </si>
  <si>
    <t>RESORTES LINEA HORNO240</t>
  </si>
  <si>
    <t>VARIADO - 1,75 mm - 14 mm - 390 mm</t>
  </si>
  <si>
    <t>RESORTES LINEA HORNO242</t>
  </si>
  <si>
    <t>VARIADO</t>
  </si>
  <si>
    <t>RESORTES LINEA HORNO243</t>
  </si>
  <si>
    <t>RESORTES LINEA HORNO245</t>
  </si>
  <si>
    <t>RESORTES ORIG RIFLE RENO Y  MAHELY  - 2,25 mm - 27 mm - 180 mm</t>
  </si>
  <si>
    <t>RESORTES LINEA HORNO246</t>
  </si>
  <si>
    <t>RESORTES ORIG RIFLE RENO Y  MAHELY  - 2,60 mm - 27 mm - 220 mm</t>
  </si>
  <si>
    <t>RESORTES LINEA HORNO247</t>
  </si>
  <si>
    <t>RESORTES ORIG RIFLE RENO Y  MAHELY 4,5 - 2,5 mm  - 17 mm - 260 mm</t>
  </si>
  <si>
    <t>RESORTES LINEA HORNO248</t>
  </si>
  <si>
    <t>RESORTES ORIG RIFLE RENO Y  MAHELY 5,5 - 3 mm - 21 mm - 370 mm</t>
  </si>
  <si>
    <t>RESORTES LINEA BULONERA800</t>
  </si>
  <si>
    <t>RESORTES LINEA BULONERA</t>
  </si>
  <si>
    <t>EXPANSION - 0,8 x 8 L.: 195 mm</t>
  </si>
  <si>
    <t>RESORTES LINEA BULONERA801</t>
  </si>
  <si>
    <t>EXPANSION - 0,8 x 10 L.: 195 mm</t>
  </si>
  <si>
    <t>RESORTES LINEA BULONERA803</t>
  </si>
  <si>
    <t>EXPANSION - 1 x 11 L.: 195 mm</t>
  </si>
  <si>
    <t>RESORTES LINEA BULONERA805</t>
  </si>
  <si>
    <t>EXPANSION - 1 x 14 L.: 195 mm</t>
  </si>
  <si>
    <t>RESORTES LINEA BULONERA807</t>
  </si>
  <si>
    <t>EXPANSION - 1,25 x 14 L.: 195 mm</t>
  </si>
  <si>
    <t>RESORTES LINEA BULONERA808</t>
  </si>
  <si>
    <t>EXPANSION - 1,25 x 16 L.: 195 mm</t>
  </si>
  <si>
    <t>RESORTES LINEA BULONERA809</t>
  </si>
  <si>
    <t>EXPANSION - 1,5 x 15 L.: 196 mm</t>
  </si>
  <si>
    <t>RESORTES LINEA BULONERA810</t>
  </si>
  <si>
    <t>EXPANSION - 1,5 x 17 L.: 195 mm</t>
  </si>
  <si>
    <t>RESORTES LINEA BULONERA812</t>
  </si>
  <si>
    <t>EXPANSION - 1,5 x 20 L.: 195 mm</t>
  </si>
  <si>
    <t>RESORTES LINEA BULONERA813</t>
  </si>
  <si>
    <t>EXPANSION - 1,75 x 14 L.: 196 mm</t>
  </si>
  <si>
    <t>RESORTES LINEA BULONERA814</t>
  </si>
  <si>
    <t>EXPANSION - 1,75 x 16 L.: 195 mm</t>
  </si>
  <si>
    <t>RESORTES LINEA BULONERA815</t>
  </si>
  <si>
    <t>EXPANSION - 1,75 x 18 L.: 195 mm</t>
  </si>
  <si>
    <t>RESORTES LINEA BULONERA816</t>
  </si>
  <si>
    <t>EXPANSION - 1,75 x 20 L.: 195 mm</t>
  </si>
  <si>
    <t>RESORTES LINEA BULONERA818</t>
  </si>
  <si>
    <t>EXPANSION - 1,75 x 24 L.: 195 mm</t>
  </si>
  <si>
    <t>RESORTES LINEA BULONERA820</t>
  </si>
  <si>
    <t>EXPANSION - 2 x 18 L.: 195 mm</t>
  </si>
  <si>
    <t>RESORTES LINEA BULONERA822</t>
  </si>
  <si>
    <t>EXPANSION - 2 x 20 L.: 195 mm</t>
  </si>
  <si>
    <t>RESORTES LINEA BULONERA824</t>
  </si>
  <si>
    <t>EXPANSION - 2 x 24 L.: 195 mm</t>
  </si>
  <si>
    <t>RESORTES LINEA BULONERA828</t>
  </si>
  <si>
    <t>EXPANSION - 2,5 x 24 L.: 195 mm</t>
  </si>
  <si>
    <t>RESORTES LINEA BULONERA840</t>
  </si>
  <si>
    <t>COMPRESION - 0,8 x 8 L.: 195 mm</t>
  </si>
  <si>
    <t>RESORTES LINEA BULONERA842</t>
  </si>
  <si>
    <t>COMPRESION - 0,8 x 10 L.: 195 mm</t>
  </si>
  <si>
    <t>RESORTES LINEA BULONERA844</t>
  </si>
  <si>
    <t>COMPRESION - 1 x 11 L.: 195 mm</t>
  </si>
  <si>
    <t>RESORTES LINEA BULONERA846</t>
  </si>
  <si>
    <t>COMPRESION - 1 x 14 L.: 195 mm</t>
  </si>
  <si>
    <t>RESORTES LINEA BULONERA847</t>
  </si>
  <si>
    <t>COMPRESION - 1,25 x 14 L.: 196 mm</t>
  </si>
  <si>
    <t>RESORTES LINEA BULONERA848</t>
  </si>
  <si>
    <t>COMPRESION - 1,25 x 16 L.: 195 mm</t>
  </si>
  <si>
    <t>RESORTES LINEA BULONERA850</t>
  </si>
  <si>
    <t>COMPRESION - 1,5 x 14 L.: 195 mm</t>
  </si>
  <si>
    <t>RESORTES LINEA BULONERA852</t>
  </si>
  <si>
    <t>COMPRESION - 1,5 x 16 L.: 195 mm</t>
  </si>
  <si>
    <t>RESORTES LINEA BULONERA854</t>
  </si>
  <si>
    <t>COMPRESION - 1,5 x 19 L.: 195 mm</t>
  </si>
  <si>
    <t>RESORTES LINEA BULONERA856</t>
  </si>
  <si>
    <t>COMPRESION - 1,5 x 22 L.: 195 mm</t>
  </si>
  <si>
    <t>RESORTES LINEA BULONERA858</t>
  </si>
  <si>
    <t>COMPRESION - 1,75 x 18 L.: 195 mm</t>
  </si>
  <si>
    <t>RESORTES LINEA BULONERA860</t>
  </si>
  <si>
    <t>COMPRESION - 1,75 x 22 L.: 195 mm</t>
  </si>
  <si>
    <t>RESORTES LINEA BULONERA862</t>
  </si>
  <si>
    <t>COMPRESION - 1,75 x 25 L.: 195 mm</t>
  </si>
  <si>
    <t>RESORTES LINEA BULONERA864</t>
  </si>
  <si>
    <t>COMPRESION - 1,75 x 28 L.: 195 mm</t>
  </si>
  <si>
    <t>RESORTES LINEA BULONERA866</t>
  </si>
  <si>
    <t>COMPRESION - 2 x 20 L.: 195 mm</t>
  </si>
  <si>
    <t>RESORTES LINEA BULONERA868</t>
  </si>
  <si>
    <t>COMPRESION - 2 x 24 L.: 195 mm</t>
  </si>
  <si>
    <t>RESORTES LINEA BULONERA870</t>
  </si>
  <si>
    <t>COMPRESION - 2 x 30 L.: 195 mm</t>
  </si>
  <si>
    <t>RESORTES LINEA BULONERA872</t>
  </si>
  <si>
    <t>COMPRESION - 2 x 35 L.: 195 mm</t>
  </si>
  <si>
    <t>SEEGER DIN 4714</t>
  </si>
  <si>
    <t>SEEGER DIN 471</t>
  </si>
  <si>
    <t>OTIA</t>
  </si>
  <si>
    <t>0403004</t>
  </si>
  <si>
    <t>D471 ANILLO SEGUR.    4 A</t>
  </si>
  <si>
    <t>SEEGER DIN 4715</t>
  </si>
  <si>
    <t>0403005</t>
  </si>
  <si>
    <t>D471 ANILLO SEGUR.    5 A</t>
  </si>
  <si>
    <t>SEEGER DIN 4716</t>
  </si>
  <si>
    <t>0403006</t>
  </si>
  <si>
    <t>D471 ANILLO SEGUR.    6 A</t>
  </si>
  <si>
    <t>SEEGER DIN 4717</t>
  </si>
  <si>
    <t>0403007</t>
  </si>
  <si>
    <t>D471 ANILLO SEGUR.    7 A</t>
  </si>
  <si>
    <t>SEEGER DIN 4718</t>
  </si>
  <si>
    <t>0403008N</t>
  </si>
  <si>
    <t>D471 ANILLO SEGUR.    8 A</t>
  </si>
  <si>
    <t>SEEGER DIN 4719</t>
  </si>
  <si>
    <t>0403009</t>
  </si>
  <si>
    <t>D471 ANILLO SEGUR.    9 A</t>
  </si>
  <si>
    <t>SEEGER DIN 47110</t>
  </si>
  <si>
    <t>0403010NH</t>
  </si>
  <si>
    <t>D471 ANILLO OTIA 10 A</t>
  </si>
  <si>
    <t>SEEGER DIN 47111</t>
  </si>
  <si>
    <t>0403011</t>
  </si>
  <si>
    <t>D471 ANILLO SEGUR.    11 A</t>
  </si>
  <si>
    <t>SEEGER DIN 47112</t>
  </si>
  <si>
    <t>0403012N</t>
  </si>
  <si>
    <t>D471 ANILLO OTIA 12 A</t>
  </si>
  <si>
    <t>SEEGER DIN 47113</t>
  </si>
  <si>
    <t>0403013</t>
  </si>
  <si>
    <t>D471 ANILLO SEGUR.   13 A</t>
  </si>
  <si>
    <t>SEEGER DIN 47114</t>
  </si>
  <si>
    <t>0403014</t>
  </si>
  <si>
    <t>D471 ANILLO SEGUR.   14 A</t>
  </si>
  <si>
    <t>SEEGER DIN 47115</t>
  </si>
  <si>
    <t>0403015NH</t>
  </si>
  <si>
    <t>D471 ANILLO OTIA 15 A</t>
  </si>
  <si>
    <t>SEEGER DIN 47116</t>
  </si>
  <si>
    <t>0403016N</t>
  </si>
  <si>
    <t>D471 ANILLO OTIA 16 A</t>
  </si>
  <si>
    <t>SEEGER DIN 47117</t>
  </si>
  <si>
    <t>0403017NH</t>
  </si>
  <si>
    <t>D471 ANILLO OTIA 17 A</t>
  </si>
  <si>
    <t>SEEGER DIN 47118</t>
  </si>
  <si>
    <t>0403018NH</t>
  </si>
  <si>
    <t>D471 ANILLO OTIA 18 A</t>
  </si>
  <si>
    <t>SEEGER DIN 47119</t>
  </si>
  <si>
    <t>0403019NH</t>
  </si>
  <si>
    <t>D471 ANILLO OTIA 19 A</t>
  </si>
  <si>
    <t>SEEGER DIN 47120</t>
  </si>
  <si>
    <t>0403020NH</t>
  </si>
  <si>
    <t>D471 ANILLO OTIA 20 A</t>
  </si>
  <si>
    <t>SEEGER DIN 47121</t>
  </si>
  <si>
    <t>0403021</t>
  </si>
  <si>
    <t>D471 ANILLO SEGUR.   21 A</t>
  </si>
  <si>
    <t>SEEGER DIN 47122</t>
  </si>
  <si>
    <t>0403022N</t>
  </si>
  <si>
    <t>D471 ANILLO OTIA 22 A</t>
  </si>
  <si>
    <t>SEEGER DIN 47123</t>
  </si>
  <si>
    <t>0403023N</t>
  </si>
  <si>
    <t>D471 ANILLO OTIA 23 A</t>
  </si>
  <si>
    <t>SEEGER DIN 47124</t>
  </si>
  <si>
    <t>0403024N</t>
  </si>
  <si>
    <t>D471 ANILLO OTIA 24 A</t>
  </si>
  <si>
    <t>SEEGER DIN 47125</t>
  </si>
  <si>
    <t>0403025NH</t>
  </si>
  <si>
    <t>D471 ANILLO OTIA 25 A</t>
  </si>
  <si>
    <t>SEEGER DIN 47126</t>
  </si>
  <si>
    <t>0403026</t>
  </si>
  <si>
    <t>D471 ANILLO SEGUR.   26 A</t>
  </si>
  <si>
    <t>SEEGER DIN 47127</t>
  </si>
  <si>
    <t>0403027</t>
  </si>
  <si>
    <t>D471 ANILLO SEGUR.   27 A</t>
  </si>
  <si>
    <t>SEEGER DIN 47128</t>
  </si>
  <si>
    <t>0403028</t>
  </si>
  <si>
    <t>D471 ANILLO SEGUR.   28 A</t>
  </si>
  <si>
    <t>SEEGER DIN 47129</t>
  </si>
  <si>
    <t>0403029</t>
  </si>
  <si>
    <t>D471 ANILLO SEGUR.   29 A</t>
  </si>
  <si>
    <t>SEEGER DIN 47130</t>
  </si>
  <si>
    <t>0403030</t>
  </si>
  <si>
    <t>D471 ANILLO SEGUR.   30 A</t>
  </si>
  <si>
    <t>SEEGER DIN 47131</t>
  </si>
  <si>
    <t>0403031</t>
  </si>
  <si>
    <t>D471 ANILLO SEGUR.   31 A</t>
  </si>
  <si>
    <t>SEEGER DIN 47132</t>
  </si>
  <si>
    <t>0403032</t>
  </si>
  <si>
    <t>D471 ANILLO SEGUR.   32 A</t>
  </si>
  <si>
    <t>SEEGER DIN 47133</t>
  </si>
  <si>
    <t>0403033</t>
  </si>
  <si>
    <t>D471 ANILLO SEGUR.   33 A</t>
  </si>
  <si>
    <t>SEEGER DIN 47134</t>
  </si>
  <si>
    <t>0403034</t>
  </si>
  <si>
    <t>D471 ANILLO SEGUR. 34 A</t>
  </si>
  <si>
    <t>SEEGER DIN 47135</t>
  </si>
  <si>
    <t>0403035</t>
  </si>
  <si>
    <t>D471 ANILLO SEGUR.  35 A</t>
  </si>
  <si>
    <t>SEEGER DIN 47136</t>
  </si>
  <si>
    <t>0403036</t>
  </si>
  <si>
    <t>D471 ANILLO SEGUR.   36 A</t>
  </si>
  <si>
    <t>SEEGER DIN 47137</t>
  </si>
  <si>
    <t>0403037</t>
  </si>
  <si>
    <t>D471 ANILLO SEGUR.   37 A</t>
  </si>
  <si>
    <t>SEEGER DIN 47138</t>
  </si>
  <si>
    <t>0403038</t>
  </si>
  <si>
    <t>D471 ANILLO SEGUR.   38 A</t>
  </si>
  <si>
    <t>SEEGER DIN 47139</t>
  </si>
  <si>
    <t>0403039</t>
  </si>
  <si>
    <t>D471 ANILLO SEGUR.   39 A</t>
  </si>
  <si>
    <t>SEEGER DIN 47140</t>
  </si>
  <si>
    <t>0403040</t>
  </si>
  <si>
    <t>D471 ANILLO SEGUR.   40 A</t>
  </si>
  <si>
    <t>SEEGER DIN 47141</t>
  </si>
  <si>
    <t>0403041</t>
  </si>
  <si>
    <t>D471 ANILLO SEGUR.   41 A</t>
  </si>
  <si>
    <t>SEEGER DIN 47142</t>
  </si>
  <si>
    <t>0403042</t>
  </si>
  <si>
    <t>D471 ANILLO SEGUR.   42 A</t>
  </si>
  <si>
    <t>SEEGER DIN 47144</t>
  </si>
  <si>
    <t>0403044</t>
  </si>
  <si>
    <t>D471 ANILLO SEGUR.   44 A</t>
  </si>
  <si>
    <t>SEEGER DIN 47145</t>
  </si>
  <si>
    <t>0403045</t>
  </si>
  <si>
    <t>D471 ANILLO SEGUR.   45 A</t>
  </si>
  <si>
    <t>SEEGER DIN 47146</t>
  </si>
  <si>
    <t>0403046</t>
  </si>
  <si>
    <t>D471 ANILLO SEGUR.   46 A</t>
  </si>
  <si>
    <t>SEEGER DIN 47147</t>
  </si>
  <si>
    <t>0403047</t>
  </si>
  <si>
    <t>D471 ANILLO SEGUR.   47 A</t>
  </si>
  <si>
    <t>SEEGER DIN 47148</t>
  </si>
  <si>
    <t>0403048</t>
  </si>
  <si>
    <t>D471 ANILLO SEGUR.   48 A</t>
  </si>
  <si>
    <t>SEEGER DIN 47150</t>
  </si>
  <si>
    <t>0403050</t>
  </si>
  <si>
    <t>D471 ANILLO SEGUR.   50 A</t>
  </si>
  <si>
    <t>SEEGER DIN 47152</t>
  </si>
  <si>
    <t>0403052</t>
  </si>
  <si>
    <t>D471 ANILLO SEGUR.   52 A</t>
  </si>
  <si>
    <t>SEEGER DIN 47154</t>
  </si>
  <si>
    <t>0403054</t>
  </si>
  <si>
    <t>D471 ANILLO SEGUR.   54 A</t>
  </si>
  <si>
    <t>SEEGER DIN 47155</t>
  </si>
  <si>
    <t>0403055</t>
  </si>
  <si>
    <t>D471 ANILLO SEGUR.   55 A</t>
  </si>
  <si>
    <t>SEEGER DIN 47156</t>
  </si>
  <si>
    <t>0403056</t>
  </si>
  <si>
    <t>D471 ANILLO SEGUR.   56 A</t>
  </si>
  <si>
    <t>SEEGER DIN 47157</t>
  </si>
  <si>
    <t>0403057</t>
  </si>
  <si>
    <t>D471 ANILLO SEGUR.   57 A</t>
  </si>
  <si>
    <t>SEEGER DIN 47158</t>
  </si>
  <si>
    <t>0403058</t>
  </si>
  <si>
    <t>D471 ANILLO SEGUR.   58 A</t>
  </si>
  <si>
    <t>SEEGER DIN 47160</t>
  </si>
  <si>
    <t>0403060</t>
  </si>
  <si>
    <t>D471 ANILLO SEGUR.   60 A</t>
  </si>
  <si>
    <t>SEEGER DIN 47162</t>
  </si>
  <si>
    <t>0403062</t>
  </si>
  <si>
    <t>D471 ANILLO SEGUR.   62 A</t>
  </si>
  <si>
    <t>SEEGER DIN 47163</t>
  </si>
  <si>
    <t>0403063</t>
  </si>
  <si>
    <t>D471 ANILLO SEGUR.   63 A</t>
  </si>
  <si>
    <t>SEEGER DIN 47165</t>
  </si>
  <si>
    <t>0403065</t>
  </si>
  <si>
    <t>D471 ANILLO SEGUR.   65 A</t>
  </si>
  <si>
    <t>SEEGER DIN 47167</t>
  </si>
  <si>
    <t>0403067</t>
  </si>
  <si>
    <t>D471 ANILLO SEGUR.   67 A</t>
  </si>
  <si>
    <t>SEEGER DIN 47168</t>
  </si>
  <si>
    <t>0403068</t>
  </si>
  <si>
    <t>D471 ANILLO SEGUR.   68 A</t>
  </si>
  <si>
    <t>SEEGER DIN 47170</t>
  </si>
  <si>
    <t>0403070</t>
  </si>
  <si>
    <t>D471 ANILLO SEGUR.   70 A</t>
  </si>
  <si>
    <t>SEEGER DIN 47175</t>
  </si>
  <si>
    <t>0403075</t>
  </si>
  <si>
    <t>D471 ANILLO SEGUR.   75 A</t>
  </si>
  <si>
    <t>SEEGER DIN 47188</t>
  </si>
  <si>
    <t>0403088</t>
  </si>
  <si>
    <t>D471 ANILLO SEGUR.   88 A</t>
  </si>
  <si>
    <t>SEEGER DIN 471105</t>
  </si>
  <si>
    <t>0403105</t>
  </si>
  <si>
    <t>D471 ANILLO SEGUR.  105 A</t>
  </si>
  <si>
    <t>SEEGER DIN 4728</t>
  </si>
  <si>
    <t>SEEGER DIN 472</t>
  </si>
  <si>
    <t>0401008</t>
  </si>
  <si>
    <t>D472 ANILLO SEGURIDAD 8 I</t>
  </si>
  <si>
    <t>SEEGER DIN 4729</t>
  </si>
  <si>
    <t>0401009</t>
  </si>
  <si>
    <t>D472 ANILLO SEGUR.   9 I</t>
  </si>
  <si>
    <t>SEEGER DIN 47210</t>
  </si>
  <si>
    <t>0401010</t>
  </si>
  <si>
    <t>D472 ANILLO SEGUR.   10 I</t>
  </si>
  <si>
    <t>SEEGER DIN 47211</t>
  </si>
  <si>
    <t>0401011</t>
  </si>
  <si>
    <t>D472 ANILLO SEGUR.   11 I</t>
  </si>
  <si>
    <t>SEEGER DIN 47212</t>
  </si>
  <si>
    <t>0401012</t>
  </si>
  <si>
    <t>D472 ANILLO SEGUR.   12 I</t>
  </si>
  <si>
    <t>SEEGER DIN 47213</t>
  </si>
  <si>
    <t>0401013NH</t>
  </si>
  <si>
    <t>D472 ANILLO OTIA 13 I</t>
  </si>
  <si>
    <t>SEEGER DIN 47214</t>
  </si>
  <si>
    <t>0401014</t>
  </si>
  <si>
    <t>D472 ANILLO SEGUR.   14 I</t>
  </si>
  <si>
    <t>SEEGER DIN 47215</t>
  </si>
  <si>
    <t>0401015</t>
  </si>
  <si>
    <t>D472 ANILLO SEGUR.   15 I</t>
  </si>
  <si>
    <t>SEEGER DIN 47216</t>
  </si>
  <si>
    <t>0401016</t>
  </si>
  <si>
    <t>D472 ANILLO SEGUR.   16 I</t>
  </si>
  <si>
    <t>SEEGER DIN 47217</t>
  </si>
  <si>
    <t>0401017</t>
  </si>
  <si>
    <t>D472 ANILLO SEGUR.   17 I</t>
  </si>
  <si>
    <t>SEEGER DIN 47218</t>
  </si>
  <si>
    <t>0401018</t>
  </si>
  <si>
    <t>D472 ANILLO SEGUR.   18 I</t>
  </si>
  <si>
    <t>SEEGER DIN 47219</t>
  </si>
  <si>
    <t>0401019</t>
  </si>
  <si>
    <t>D472 ANILLO SEGUR.   19 I</t>
  </si>
  <si>
    <t>SEEGER DIN 47220</t>
  </si>
  <si>
    <t>0401020</t>
  </si>
  <si>
    <t>D472 ANILLO SEGUR.   20 I</t>
  </si>
  <si>
    <t>SEEGER DIN 47221</t>
  </si>
  <si>
    <t>0401021</t>
  </si>
  <si>
    <t>D472 ANILLO SEGUR.   21 I</t>
  </si>
  <si>
    <t>SEEGER DIN 47222</t>
  </si>
  <si>
    <t>0401022</t>
  </si>
  <si>
    <t>D472 ANILLO SEGUR.   22 I</t>
  </si>
  <si>
    <t>SEEGER DIN 47223</t>
  </si>
  <si>
    <t>0401023N</t>
  </si>
  <si>
    <t>D472 ANILLO OTIA 23 I</t>
  </si>
  <si>
    <t>SEEGER DIN 47224</t>
  </si>
  <si>
    <t>0401024</t>
  </si>
  <si>
    <t>D472 ANILLO SEGUR.   24 I</t>
  </si>
  <si>
    <t>SEEGER DIN 47225</t>
  </si>
  <si>
    <t>0401025</t>
  </si>
  <si>
    <t>D472 ANILLO SEGUR.   25 I</t>
  </si>
  <si>
    <t>SEEGER DIN 47226</t>
  </si>
  <si>
    <t>0401026N</t>
  </si>
  <si>
    <t>D472 ANILLO OTIA 26 I</t>
  </si>
  <si>
    <t>SEEGER DIN 47227</t>
  </si>
  <si>
    <t>0401027</t>
  </si>
  <si>
    <t>D472 ANILLO SEGUR.   27 I</t>
  </si>
  <si>
    <t>SEEGER DIN 47228</t>
  </si>
  <si>
    <t>0401028</t>
  </si>
  <si>
    <t>D472 ANILLO OTIA 28 I</t>
  </si>
  <si>
    <t>SEEGER DIN 47229</t>
  </si>
  <si>
    <t>0401029</t>
  </si>
  <si>
    <t>D472 ANILLO SEGUR.   29 I</t>
  </si>
  <si>
    <t>SEEGER DIN 47230</t>
  </si>
  <si>
    <t>0401030NH</t>
  </si>
  <si>
    <t>D472 ANILLO OTIA 30 I</t>
  </si>
  <si>
    <t>SEEGER DIN 47231</t>
  </si>
  <si>
    <t>0401031</t>
  </si>
  <si>
    <t>D472 ANILLO SEGUR.   31 I</t>
  </si>
  <si>
    <t>SEEGER DIN 47232</t>
  </si>
  <si>
    <t>0401032NH</t>
  </si>
  <si>
    <t>D472 ANILLO OTIA 32 I</t>
  </si>
  <si>
    <t>SEEGER DIN 47233</t>
  </si>
  <si>
    <t>0401033</t>
  </si>
  <si>
    <t>D472 ANILLO SEGUR.   33 I</t>
  </si>
  <si>
    <t>SEEGER DIN 47234</t>
  </si>
  <si>
    <t>0401034</t>
  </si>
  <si>
    <t>D472 ANILLO SEGUR.   34 I</t>
  </si>
  <si>
    <t>SEEGER DIN 47235</t>
  </si>
  <si>
    <t>0401035NH</t>
  </si>
  <si>
    <t>D472 ANILLO SEGUR.   35 I</t>
  </si>
  <si>
    <t>SEEGER DIN 47236</t>
  </si>
  <si>
    <t>0401036</t>
  </si>
  <si>
    <t>D472 ANILLO SEGUR.   36 I</t>
  </si>
  <si>
    <t>SEEGER DIN 47237</t>
  </si>
  <si>
    <t>0401037</t>
  </si>
  <si>
    <t>D472 ANILLO SEGUR.   37 I</t>
  </si>
  <si>
    <t>SEEGER DIN 47238</t>
  </si>
  <si>
    <t>0401038</t>
  </si>
  <si>
    <t>D472 ANILLO SEGUR.   38 I</t>
  </si>
  <si>
    <t>SEEGER DIN 47239</t>
  </si>
  <si>
    <t>0401039</t>
  </si>
  <si>
    <t>D472 ANILLO SEGUR.   39 I</t>
  </si>
  <si>
    <t>SEEGER DIN 47240</t>
  </si>
  <si>
    <t>0401040</t>
  </si>
  <si>
    <t>D472 ANILLO SEGUR.   40 I</t>
  </si>
  <si>
    <t>SEEGER DIN 47241</t>
  </si>
  <si>
    <t>0401041</t>
  </si>
  <si>
    <t>D472 ANILLO SEGUR.   41 I</t>
  </si>
  <si>
    <t>SEEGER DIN 47242</t>
  </si>
  <si>
    <t>0401042</t>
  </si>
  <si>
    <t>D472 ANILLO SEGUR.   42 I</t>
  </si>
  <si>
    <t>SEEGER DIN 47243</t>
  </si>
  <si>
    <t>0401043</t>
  </si>
  <si>
    <t>D472 ANILLO SEGUR.   43 I</t>
  </si>
  <si>
    <t>SEEGER DIN 47244</t>
  </si>
  <si>
    <t>0401044</t>
  </si>
  <si>
    <t>D472 ANILLO OTIA 44 I</t>
  </si>
  <si>
    <t>SEEGER DIN 47245</t>
  </si>
  <si>
    <t>0401045</t>
  </si>
  <si>
    <t>D472 ANILLO SEGUR.   45 I</t>
  </si>
  <si>
    <t>SEEGER DIN 47246</t>
  </si>
  <si>
    <t>0401046</t>
  </si>
  <si>
    <t>D472 ANILLO SEGUR.   46 I</t>
  </si>
  <si>
    <t>SEEGER DIN 47247</t>
  </si>
  <si>
    <t>0401047</t>
  </si>
  <si>
    <t>D472 ANILLO SEGUR.   47 I</t>
  </si>
  <si>
    <t>SEEGER DIN 47248</t>
  </si>
  <si>
    <t>0401048</t>
  </si>
  <si>
    <t>D472 ANILLO SEGUR.   48 I</t>
  </si>
  <si>
    <t>SEEGER DIN 47250</t>
  </si>
  <si>
    <t>0401050</t>
  </si>
  <si>
    <t>D472 ANILLO SEGUR.   50 I</t>
  </si>
  <si>
    <t>SEEGER DIN 47251</t>
  </si>
  <si>
    <t>0401051</t>
  </si>
  <si>
    <t>D472 ANILLO SEGUR.   51 I</t>
  </si>
  <si>
    <t>SEEGER DIN 47252</t>
  </si>
  <si>
    <t>0401052</t>
  </si>
  <si>
    <t>D472 ANILLO SEGUR.   52 I</t>
  </si>
  <si>
    <t>SEEGER DIN 47253</t>
  </si>
  <si>
    <t>0401053</t>
  </si>
  <si>
    <t>D472 ANILLO SEGUR.   53 I</t>
  </si>
  <si>
    <t>SEEGER DIN 47254</t>
  </si>
  <si>
    <t>0401054</t>
  </si>
  <si>
    <t>D472 ANILLO SEGUR.   54 I</t>
  </si>
  <si>
    <t>SEEGER DIN 47255</t>
  </si>
  <si>
    <t>0401055</t>
  </si>
  <si>
    <t>D472 ANILLO SEGUR.   55 I</t>
  </si>
  <si>
    <t>SEEGER DIN 47256</t>
  </si>
  <si>
    <t>0401056</t>
  </si>
  <si>
    <t>D472 ANILLO SEGUR.   56 I</t>
  </si>
  <si>
    <t>SEEGER DIN 47257</t>
  </si>
  <si>
    <t>0401057</t>
  </si>
  <si>
    <t>D472 ANILLO SEGUR.   57 I</t>
  </si>
  <si>
    <t>SEEGER DIN 47258</t>
  </si>
  <si>
    <t>0401058</t>
  </si>
  <si>
    <t>D472 ANILLO SEGUR.   58 I</t>
  </si>
  <si>
    <t>SEEGER DIN 47260</t>
  </si>
  <si>
    <t>0401060</t>
  </si>
  <si>
    <t>D472 ANILLO SEGUR.   60 I</t>
  </si>
  <si>
    <t>SEEGER DIN 47262</t>
  </si>
  <si>
    <t>0401062</t>
  </si>
  <si>
    <t>D472 ANILLO SEGUR.   62 I</t>
  </si>
  <si>
    <t>SEEGER DIN 47263</t>
  </si>
  <si>
    <t>0401063</t>
  </si>
  <si>
    <t>D472 ANILLO SEGUR.   63 I</t>
  </si>
  <si>
    <t>SEEGER DIN 47265</t>
  </si>
  <si>
    <t>0401065</t>
  </si>
  <si>
    <t>D472 ANILLO SEGUR.   65 I</t>
  </si>
  <si>
    <t>SEEGER DIN 47267</t>
  </si>
  <si>
    <t>0401067</t>
  </si>
  <si>
    <t>D472 ANILLO SEGUR.   67 I</t>
  </si>
  <si>
    <t>SEEGER DIN 47268</t>
  </si>
  <si>
    <t>0401068</t>
  </si>
  <si>
    <t>D472 ANILLO SEGUR.   68 I</t>
  </si>
  <si>
    <t>SEEGER DIN 47270</t>
  </si>
  <si>
    <t>0401070</t>
  </si>
  <si>
    <t>D472 ANILLO SEGUR.   70 I</t>
  </si>
  <si>
    <t>SEEGER DIN 47272</t>
  </si>
  <si>
    <t>0401072</t>
  </si>
  <si>
    <t>D472 ANILLO SEGUR.   72 I</t>
  </si>
  <si>
    <t>SEEGER DIN 47275</t>
  </si>
  <si>
    <t>0401075</t>
  </si>
  <si>
    <t>D472 ANILLO SEGUR.   75 I</t>
  </si>
  <si>
    <t>SEEGER DIN 47280</t>
  </si>
  <si>
    <t>0401080</t>
  </si>
  <si>
    <t>D472 ANILLO SEGUR.   80 I</t>
  </si>
  <si>
    <t>SEEGER DIN 47282</t>
  </si>
  <si>
    <t>0401082</t>
  </si>
  <si>
    <t>D472 ANILLO SEGUR.   82 I</t>
  </si>
  <si>
    <t>SEEGER DIN 47285</t>
  </si>
  <si>
    <t>0401085</t>
  </si>
  <si>
    <t>D472 ANILLO SEGUR.   85 I</t>
  </si>
  <si>
    <t>SEEGER DIN 47289</t>
  </si>
  <si>
    <t>0401087</t>
  </si>
  <si>
    <t>D472 ANILLO SEGUR.   87/88 I</t>
  </si>
  <si>
    <t>SEEGER DIN 47295</t>
  </si>
  <si>
    <t>0401095</t>
  </si>
  <si>
    <t>D472 ANILLO SEGUR.   95 I</t>
  </si>
  <si>
    <t>SEEGER DIN 472100</t>
  </si>
  <si>
    <t>0401100</t>
  </si>
  <si>
    <t>D472 ANILLO SEGUR.  100 I</t>
  </si>
  <si>
    <t>SEEGER DIN 472105</t>
  </si>
  <si>
    <t>0401105</t>
  </si>
  <si>
    <t>D472 ANILLO SEGUR.  105 I</t>
  </si>
  <si>
    <t>ORING5</t>
  </si>
  <si>
    <t>ORING</t>
  </si>
  <si>
    <t>OVNISA</t>
  </si>
  <si>
    <t>Cuerda 1,78mm - 2,57 x 6,13</t>
  </si>
  <si>
    <t>ORING6</t>
  </si>
  <si>
    <t>Cuerda 1,78mm - 2,9 x 6,46</t>
  </si>
  <si>
    <t>ORING7</t>
  </si>
  <si>
    <t>Cuerda 1,78mm - 3,68 x 7,24</t>
  </si>
  <si>
    <t>ORING8</t>
  </si>
  <si>
    <t>Cuerda 1,78mm - 4,47 x 8,03</t>
  </si>
  <si>
    <t>ORING9</t>
  </si>
  <si>
    <t>Cuerda 1,78mm - 5,28 x 8,84</t>
  </si>
  <si>
    <t>ORING10</t>
  </si>
  <si>
    <t>Cuerda 1,78mm - 6,07 x 9,63</t>
  </si>
  <si>
    <t>ORING11</t>
  </si>
  <si>
    <t>Cuerda 1,78mm - 7,65 x 11,21</t>
  </si>
  <si>
    <t>ORING12</t>
  </si>
  <si>
    <t>Cuerda 1,78mm - 9,25 x 12,81</t>
  </si>
  <si>
    <t>ORING13</t>
  </si>
  <si>
    <t>Cuerda 1,78mm - 10,82 x 14,38</t>
  </si>
  <si>
    <t>ORING14</t>
  </si>
  <si>
    <t>Cuerda 1,78mm - 12,42 x 15,98</t>
  </si>
  <si>
    <t>ORING15</t>
  </si>
  <si>
    <t>Cuerda 1,78mm - 14 x 17,56</t>
  </si>
  <si>
    <t>ORING16</t>
  </si>
  <si>
    <t>Cuerda 1,78mm - 15,6 x 19,16</t>
  </si>
  <si>
    <t>ORING17</t>
  </si>
  <si>
    <t>Cuerda 1,78mm - 17,17 x 20,73</t>
  </si>
  <si>
    <t>ORING18</t>
  </si>
  <si>
    <t>Cuerda 1,78mm - 18,77 x 22,33</t>
  </si>
  <si>
    <t>ORING19</t>
  </si>
  <si>
    <t>Cuerda 1,78mm - 20,35 x 23,91</t>
  </si>
  <si>
    <t>ORING20</t>
  </si>
  <si>
    <t>Cuerda 1,78mm - 21,95 x 25,51</t>
  </si>
  <si>
    <t>ORING21</t>
  </si>
  <si>
    <t>Cuerda 1,78mm - 23,52 x 27,08</t>
  </si>
  <si>
    <t>ORING22</t>
  </si>
  <si>
    <t>Cuerda 1,78mm - 25,12 x 28,68</t>
  </si>
  <si>
    <t>ORING23</t>
  </si>
  <si>
    <t>Cuerda 1,78mm - 26,7 x 30,26</t>
  </si>
  <si>
    <t>ORING24</t>
  </si>
  <si>
    <t>Cuerda 1,78mm - 28,3 x 31,86</t>
  </si>
  <si>
    <t>ORING25</t>
  </si>
  <si>
    <t>Cuerda 1,78mm - 29,87 x 33,43</t>
  </si>
  <si>
    <t>ORING26</t>
  </si>
  <si>
    <t>Cuerda 1,78mm - 31,47 x 35,03</t>
  </si>
  <si>
    <t>ORING27</t>
  </si>
  <si>
    <t>Cuerda 1,78mm - 33,05 x 36,61</t>
  </si>
  <si>
    <t>ORING28</t>
  </si>
  <si>
    <t>Cuerda 1,78mm - 34,65 x 38,21</t>
  </si>
  <si>
    <t>ORING29</t>
  </si>
  <si>
    <t>Cuerda 1,78mm - 37,82 x 41,38</t>
  </si>
  <si>
    <t>ORING30</t>
  </si>
  <si>
    <t>Cuerda 1,78mm - 41 x 44,56</t>
  </si>
  <si>
    <t>ORING31</t>
  </si>
  <si>
    <t>Cuerda 1,78mm - 44,17 x 47,73</t>
  </si>
  <si>
    <t>ORING32</t>
  </si>
  <si>
    <t>Cuerda 1,78mm - 47,35 x 50,91</t>
  </si>
  <si>
    <t>ORING33</t>
  </si>
  <si>
    <t>Cuerda 1,78mm - 50,52 x 54,08</t>
  </si>
  <si>
    <t>ORING34</t>
  </si>
  <si>
    <t>Cuerda 1,78mm - 53,7 x 57,26</t>
  </si>
  <si>
    <t>ORING35</t>
  </si>
  <si>
    <t>Cuerda 1,78mm - 56,78 x 60,43</t>
  </si>
  <si>
    <t>ORING36</t>
  </si>
  <si>
    <t>Cuerda 1,78mm - 60,05 x 63,01</t>
  </si>
  <si>
    <t>ORING37</t>
  </si>
  <si>
    <t>Cuerda 1,78mm - 63,22 x 66,78</t>
  </si>
  <si>
    <t>ORING38</t>
  </si>
  <si>
    <t>Cuerda 1,78mm - 55,4 x 69,96</t>
  </si>
  <si>
    <t>ORING39</t>
  </si>
  <si>
    <t>Cuerda 1,78mm - 69,57 x 73,13</t>
  </si>
  <si>
    <t>ORING40</t>
  </si>
  <si>
    <t>Cuerda 1,78mm - 72,75 x 76,31</t>
  </si>
  <si>
    <t>ORING41</t>
  </si>
  <si>
    <t>Cuerda 1,78mm - 75,92 x 79,48</t>
  </si>
  <si>
    <t>ORING42</t>
  </si>
  <si>
    <t>Cuerda 1,78mm - 82,27 x 85,83</t>
  </si>
  <si>
    <t>ORING43</t>
  </si>
  <si>
    <t>Cuerda 1,78mm - 88,62 x 92,18</t>
  </si>
  <si>
    <t>ORING44</t>
  </si>
  <si>
    <t>Cuerda 1,78mm - 94,97 x 98,53</t>
  </si>
  <si>
    <t>ORING45</t>
  </si>
  <si>
    <t>Cuerda 1,78mm - 101,32 x 104,88</t>
  </si>
  <si>
    <t>ORING106</t>
  </si>
  <si>
    <t>Cuerda 2,62mm - 4,42 x 9,66</t>
  </si>
  <si>
    <t>ORING107</t>
  </si>
  <si>
    <t>Cuerda 2,62mm - 5,23 x 10,47</t>
  </si>
  <si>
    <t>ORING108</t>
  </si>
  <si>
    <t>Cuerda 2,62mm - 6,02 x 11,26</t>
  </si>
  <si>
    <t>ORING109</t>
  </si>
  <si>
    <t>Cuerda 2,62mm - 7,59 x 12,83</t>
  </si>
  <si>
    <t>ORING110</t>
  </si>
  <si>
    <t>Cuerda 2,62mm - 9,19 x 14,43</t>
  </si>
  <si>
    <t>ORING111</t>
  </si>
  <si>
    <t>Cuerda 2,62mm - 10,77 x 16,01</t>
  </si>
  <si>
    <t>ORING112</t>
  </si>
  <si>
    <t>Cuerda 2,62mm - 12,37 x 17,61</t>
  </si>
  <si>
    <t>ORING113</t>
  </si>
  <si>
    <t>Cuerda 2,62mm - 13,94 x 19,18</t>
  </si>
  <si>
    <t>ORING114</t>
  </si>
  <si>
    <t>Cuerda 2,62mm - 15,54 x 20,78</t>
  </si>
  <si>
    <t>ORING115</t>
  </si>
  <si>
    <t>Cuerda 2,62mm - 17,12 x 22,36</t>
  </si>
  <si>
    <t>ORING116</t>
  </si>
  <si>
    <t>Cuerda 2,62mm - 18,72 x 23,96</t>
  </si>
  <si>
    <t>ORING117</t>
  </si>
  <si>
    <t>Cuerda 2,62mm - 20,3 x 25,54</t>
  </si>
  <si>
    <t>ORING118</t>
  </si>
  <si>
    <t>Cuerda 2,62mm - 21,89 x 27,13</t>
  </si>
  <si>
    <t>ORING119</t>
  </si>
  <si>
    <t>Cuerda 2,62mm - 23,47 x 28,71</t>
  </si>
  <si>
    <t>ORING120</t>
  </si>
  <si>
    <t>Cuerda 2,62mm - 25,07 x 30,31</t>
  </si>
  <si>
    <t>ORING121</t>
  </si>
  <si>
    <t>Cuerda 2,62mm - 26,64 x 31,88</t>
  </si>
  <si>
    <t>ORING122</t>
  </si>
  <si>
    <t>Cuerda 2,62mm - 28,24 x 33,48</t>
  </si>
  <si>
    <t>ORING123</t>
  </si>
  <si>
    <t>Cuerda 2,62mm - 29,82 x 35,06</t>
  </si>
  <si>
    <t>ORING124</t>
  </si>
  <si>
    <t>Cuerda 2,62mm - 31,42 x 36,66</t>
  </si>
  <si>
    <t>ORING125</t>
  </si>
  <si>
    <t>Cuerda 2,62mm - 32,99 x 38,23</t>
  </si>
  <si>
    <t>ORING126</t>
  </si>
  <si>
    <t>Cuerda 2,62mm - 34,59 x 39,83</t>
  </si>
  <si>
    <t>ORING127</t>
  </si>
  <si>
    <t>Cuerda 2,62mm - 36,17 x 41,41</t>
  </si>
  <si>
    <t>ORING128</t>
  </si>
  <si>
    <t>Cuerda 2,62mm - 37,77 x 43,03</t>
  </si>
  <si>
    <t>ORING129</t>
  </si>
  <si>
    <t>Cuerda 2,62mm - 39,34 x 44,58</t>
  </si>
  <si>
    <t>ORING130</t>
  </si>
  <si>
    <t>Cuerda 2,62mm - 40,94 x 46,18</t>
  </si>
  <si>
    <t>ORING131</t>
  </si>
  <si>
    <t>Cuerda 2,62mm - 42,52 x 47,76</t>
  </si>
  <si>
    <t>ORING132</t>
  </si>
  <si>
    <t>Cuerda 2,62mm - 44,12 x 49,36</t>
  </si>
  <si>
    <t>ORING133</t>
  </si>
  <si>
    <t>Cuerda 2,62mm - 45,69 x 50,93</t>
  </si>
  <si>
    <t>ORING134</t>
  </si>
  <si>
    <t>Cuerda 2,62mm - 47,29 x 52,53</t>
  </si>
  <si>
    <t>ORING135</t>
  </si>
  <si>
    <t>Cuerda 2,62mm - 48,9 x 54,14</t>
  </si>
  <si>
    <t>ORING136</t>
  </si>
  <si>
    <t>Cuerda 2,62mm - 50,47 x 55,71</t>
  </si>
  <si>
    <t>ORING137</t>
  </si>
  <si>
    <t>Cuerda 2,62mm - 52,07 x 57,31</t>
  </si>
  <si>
    <t>ORING138</t>
  </si>
  <si>
    <t>Cuerda 2,62mm - 53,64 x 58,88</t>
  </si>
  <si>
    <t>ORING139</t>
  </si>
  <si>
    <t>Cuerda 2,62mm - 55,25 x 60,49</t>
  </si>
  <si>
    <t>ORING140</t>
  </si>
  <si>
    <t>Cuerda 2,62mm - 56,82 x 62,06</t>
  </si>
  <si>
    <t>ORING141</t>
  </si>
  <si>
    <t>Cuerda 2,62mm - 58,42 x 63,66</t>
  </si>
  <si>
    <t>ORING142</t>
  </si>
  <si>
    <t>Cuerda 2,62mm - 59,99 x 65,23</t>
  </si>
  <si>
    <t>ORING143</t>
  </si>
  <si>
    <t>Cuerda 2,62mm - 61,6 x 66,84</t>
  </si>
  <si>
    <t>ORING144</t>
  </si>
  <si>
    <t>Cuerda 2,62mm - 63,17 x 68,41</t>
  </si>
  <si>
    <t>ORING145</t>
  </si>
  <si>
    <t>Cuerda 2,62mm - 64,77 x 70,01</t>
  </si>
  <si>
    <t>ORING146</t>
  </si>
  <si>
    <t>Cuerda 2,62mm - 66,34 x 71,58</t>
  </si>
  <si>
    <t>ORING147</t>
  </si>
  <si>
    <t>Cuerda 2,62mm - 67,95 x 73,19</t>
  </si>
  <si>
    <t>ORING201</t>
  </si>
  <si>
    <t>Cuerda 3,53mm - 4,34 x 9,36</t>
  </si>
  <si>
    <t>ORING202</t>
  </si>
  <si>
    <t>Cuerda 3,53mm - 5,94 x 13</t>
  </si>
  <si>
    <t>ORING203</t>
  </si>
  <si>
    <t>Cuerda 3,53mm - 7,52 x 14,58</t>
  </si>
  <si>
    <t>ORING204</t>
  </si>
  <si>
    <t>Cuerda 3,53mm - 9,12 x 16,18</t>
  </si>
  <si>
    <t>ORING205</t>
  </si>
  <si>
    <t>Cuerda 3,53mm - 10,69 x 17,75</t>
  </si>
  <si>
    <t>ORING206</t>
  </si>
  <si>
    <t>Cuerda 3,53mm - 12,29 x 19,35</t>
  </si>
  <si>
    <t>ORING207</t>
  </si>
  <si>
    <t>Cuerda 3,53mm - 13,87 x 20,93</t>
  </si>
  <si>
    <t>ORING208</t>
  </si>
  <si>
    <t>Cuerda 3,53mm - 15,47 x 22,53</t>
  </si>
  <si>
    <t>ORING209</t>
  </si>
  <si>
    <t>Cuerda 3,53mm - 17,04 x 24,1</t>
  </si>
  <si>
    <t>ORING210</t>
  </si>
  <si>
    <t>Cuerda 3,53mm - 18,64 x 25,7</t>
  </si>
  <si>
    <t>ORING211</t>
  </si>
  <si>
    <t>Cuerda 3,53mm - 20,22 x 27,28</t>
  </si>
  <si>
    <t>ORING212</t>
  </si>
  <si>
    <t>Cuerda 3,53mm - 21,82 x 28,88</t>
  </si>
  <si>
    <t>ORING213</t>
  </si>
  <si>
    <t>Cuerda 3,53mm - 23,39 x 30,45</t>
  </si>
  <si>
    <t>ORING214</t>
  </si>
  <si>
    <t>Cuerda 3,53mm - 24,99 x 32,05</t>
  </si>
  <si>
    <t>ORING215</t>
  </si>
  <si>
    <t>Cuerda 3,53mm - 26,57 x 33,63</t>
  </si>
  <si>
    <t>ORING216</t>
  </si>
  <si>
    <t>Cuerda 3,53mm - 28,17 x 35,23</t>
  </si>
  <si>
    <t>ORING217</t>
  </si>
  <si>
    <t>Cuerda 3,53mm - 29,74 x 36,8</t>
  </si>
  <si>
    <t>ORING218</t>
  </si>
  <si>
    <t>Cuerda 3,53mm - 31,34 x 38,4</t>
  </si>
  <si>
    <t>ORING219</t>
  </si>
  <si>
    <t>Cuerda 3,53mm - 32,92 x 39,98</t>
  </si>
  <si>
    <t>ORING220</t>
  </si>
  <si>
    <t>Cuerda 3,53mm - 34,52 x 41,58</t>
  </si>
  <si>
    <t>ORING221</t>
  </si>
  <si>
    <t>Cuerda 3,53mm - 36,09 x 43,15</t>
  </si>
  <si>
    <t>ORING222</t>
  </si>
  <si>
    <t>Cuerda 3,53mm - 37,69 x 44,75</t>
  </si>
  <si>
    <t>ORING223</t>
  </si>
  <si>
    <t>Cuerda 3,53mm - 40,87 x 47,93</t>
  </si>
  <si>
    <t>ORING224</t>
  </si>
  <si>
    <t>Cuerda 3,53mm - 44,04 x 51,1</t>
  </si>
  <si>
    <t>ORING225</t>
  </si>
  <si>
    <t>Cuerda 3,53mm - 47,22 x 54,28</t>
  </si>
  <si>
    <t>ORING226</t>
  </si>
  <si>
    <t>Cuerda 3,53mm - 50,39 x 57,45</t>
  </si>
  <si>
    <t>ORING227</t>
  </si>
  <si>
    <t>Cuerda 3,53mm - 53,57 x 60,63</t>
  </si>
  <si>
    <t>ORING228</t>
  </si>
  <si>
    <t>Cuerda 3,53mm - 56,74 x 63,8</t>
  </si>
  <si>
    <t>ORING229</t>
  </si>
  <si>
    <t>Cuerda 3,53mm - 59,92 x 66,98</t>
  </si>
  <si>
    <t>ORING230</t>
  </si>
  <si>
    <t>Cuerda 3,53mm - 63,09 x 70,15</t>
  </si>
  <si>
    <t>ORING231</t>
  </si>
  <si>
    <t>Cuerda 3,53mm - 66,27 x 73,33</t>
  </si>
  <si>
    <t>ORING232</t>
  </si>
  <si>
    <t>Cuerda 3,53mm - 69,44 x 76,5</t>
  </si>
  <si>
    <t>ORING233</t>
  </si>
  <si>
    <t>Cuerda 3,53mm - 72,62 x 79,68</t>
  </si>
  <si>
    <t>ORING234</t>
  </si>
  <si>
    <t>Cuerda 3,53mm - 75,79 x 82,85</t>
  </si>
  <si>
    <t>ORING235</t>
  </si>
  <si>
    <t>Cuerda 3,53mm - 78,97 x 86,03</t>
  </si>
  <si>
    <t>ORING236</t>
  </si>
  <si>
    <t>Cuerda 3,53mm - 82,14 x 89,02</t>
  </si>
  <si>
    <t>ORING237</t>
  </si>
  <si>
    <t>Cuerda 3,53mm - 85,32 x 92,38</t>
  </si>
  <si>
    <t>ORING238</t>
  </si>
  <si>
    <t>Cuerda 3,53mm - 88,49 x 95,55</t>
  </si>
  <si>
    <t>ORING239</t>
  </si>
  <si>
    <t>Cuerda 3,53mm - 91,67 x 98,73</t>
  </si>
  <si>
    <t>ORING240</t>
  </si>
  <si>
    <t>Cuerda 3,53mm - 94,84 x 101,9</t>
  </si>
  <si>
    <t>ORING309</t>
  </si>
  <si>
    <t>Cuerda 3,53mm - 10,46 x 21,12</t>
  </si>
  <si>
    <t>ORING310</t>
  </si>
  <si>
    <t>Cuerda 3,53mm - 12,07 x 22,73</t>
  </si>
  <si>
    <t>ORING311</t>
  </si>
  <si>
    <t>Cuerda 3,53mm - 13,64 x 24,3</t>
  </si>
  <si>
    <t>ORING312</t>
  </si>
  <si>
    <t>Cuerda 3,53mm - 15,24 x 26,9</t>
  </si>
  <si>
    <t>ORING313</t>
  </si>
  <si>
    <t>Cuerda 3,53mm - 16,81 x 27,47</t>
  </si>
  <si>
    <t>ORING314</t>
  </si>
  <si>
    <t>Cuerda 3,53mm - 18,42 x 29,08</t>
  </si>
  <si>
    <t>ORING315</t>
  </si>
  <si>
    <t>Cuerda 3,53mm - 19,99 x 30,65</t>
  </si>
  <si>
    <t>ORING316</t>
  </si>
  <si>
    <t>Cuerda 3,53mm - 21,59 x 32,05</t>
  </si>
  <si>
    <t>ORING317</t>
  </si>
  <si>
    <t>Cuerda 3,53mm - 23,16 x 33,82</t>
  </si>
  <si>
    <t>ORING318</t>
  </si>
  <si>
    <t>Cuerda 3,53mm - 24,77 x 35,43</t>
  </si>
  <si>
    <t>ORING319</t>
  </si>
  <si>
    <t>Cuerda 3,53mm - 26,34 x 37</t>
  </si>
  <si>
    <t>ORING320</t>
  </si>
  <si>
    <t>Cuerda 3,53mm - 27,94 x 38,6</t>
  </si>
  <si>
    <t>ORING321</t>
  </si>
  <si>
    <t>Cuerda 3,53mm - 29,51 x 40,17</t>
  </si>
  <si>
    <t>ORING322</t>
  </si>
  <si>
    <t>Cuerda 3,53mm - 31,12 x 41,78</t>
  </si>
  <si>
    <t>ORING323</t>
  </si>
  <si>
    <t>Cuerda 3,53mm - 32,69 x 43,35</t>
  </si>
  <si>
    <t>ORING324</t>
  </si>
  <si>
    <t>Cuerda 3,53mm - 34,29 x 44,95</t>
  </si>
  <si>
    <t>ORING325</t>
  </si>
  <si>
    <t>Cuerda 3,53mm - 37,47 x 48,13</t>
  </si>
  <si>
    <t>ORING326</t>
  </si>
  <si>
    <t>Cuerda 3,53mm - 40,64 x 51,13</t>
  </si>
  <si>
    <t>ORING327</t>
  </si>
  <si>
    <t>Cuerda 3,53mm - 43,82 x 54,48</t>
  </si>
  <si>
    <t>ORING328</t>
  </si>
  <si>
    <t>Cuerda 3,53mm - 46,99 x 57,65</t>
  </si>
  <si>
    <t>ORING329</t>
  </si>
  <si>
    <t>Cuerda 3,53mm - 50,17 x 60,83</t>
  </si>
  <si>
    <t>ORING330</t>
  </si>
  <si>
    <t>Cuerda 3,53mm - 53,34 x 64</t>
  </si>
  <si>
    <t>ORING331</t>
  </si>
  <si>
    <t>Cuerda 3,53mm - 56,52 x 67,18</t>
  </si>
  <si>
    <t>ORING400</t>
  </si>
  <si>
    <t>Cuerda 2,62mm - Nitrilo</t>
  </si>
  <si>
    <t>ORING401</t>
  </si>
  <si>
    <t>Cuerda 3,53mm - Nitrilo</t>
  </si>
  <si>
    <t>ORING402</t>
  </si>
  <si>
    <t>Cuerda 5,30mm - Nitrilo</t>
  </si>
  <si>
    <t>INSERTOS4X6</t>
  </si>
  <si>
    <t>INSERTOS</t>
  </si>
  <si>
    <t>4X6</t>
  </si>
  <si>
    <t>INSERTOS5X7</t>
  </si>
  <si>
    <t>5X7</t>
  </si>
  <si>
    <t>INSERTOS6X8</t>
  </si>
  <si>
    <t>6X8</t>
  </si>
  <si>
    <t>INSERTOS7X10</t>
  </si>
  <si>
    <t>7X10</t>
  </si>
  <si>
    <t>INSERTOS8X1X11</t>
  </si>
  <si>
    <t>8X1X11</t>
  </si>
  <si>
    <t>INSERTOS8X11</t>
  </si>
  <si>
    <t>8X11</t>
  </si>
  <si>
    <t>INSERTOS9X12</t>
  </si>
  <si>
    <t>9X12</t>
  </si>
  <si>
    <t>INSERTOS10X1X1/2</t>
  </si>
  <si>
    <t>10X1X1/2</t>
  </si>
  <si>
    <t>INSERTOS10X1,25X1/2</t>
  </si>
  <si>
    <t>10X1,25X1/2</t>
  </si>
  <si>
    <t>INSERTOS10x1,5x1/2</t>
  </si>
  <si>
    <t>10x1,5x1/2</t>
  </si>
  <si>
    <t>INSERTOS11x14</t>
  </si>
  <si>
    <t>11x14</t>
  </si>
  <si>
    <t>INSERTOS12x1,25x16</t>
  </si>
  <si>
    <t>12x1,25x16</t>
  </si>
  <si>
    <t>INSERTOS12x1,5x16</t>
  </si>
  <si>
    <t>12x1,5x16</t>
  </si>
  <si>
    <t>INSERTOS12x1,75x16</t>
  </si>
  <si>
    <t>12x1,75x16</t>
  </si>
  <si>
    <t>INSERTOS1/4x3/8</t>
  </si>
  <si>
    <t>1/4x3/8</t>
  </si>
  <si>
    <t>INSERTOS5/16x7/16</t>
  </si>
  <si>
    <t>5/16x7/16</t>
  </si>
  <si>
    <t>INSERTOS5/16x11</t>
  </si>
  <si>
    <t>5/16x11</t>
  </si>
  <si>
    <t>INSERTOS7/16 × 14</t>
  </si>
  <si>
    <t>7/16 × 14</t>
  </si>
  <si>
    <t>INSERTOS3/8x1/2</t>
  </si>
  <si>
    <t>3/8x1/2</t>
  </si>
  <si>
    <t>INSERTOSBUJIA</t>
  </si>
  <si>
    <t>BUJIA</t>
  </si>
  <si>
    <t>INSERTOSArand. Tapa - 8x18</t>
  </si>
  <si>
    <t>Arand. Tapa - 8x18</t>
  </si>
  <si>
    <t>INSERTOSArand. Tapa - 10x20</t>
  </si>
  <si>
    <t>Arand. Tapa - 10x20</t>
  </si>
  <si>
    <t>INSERTOSArand. Tapa - 11x22</t>
  </si>
  <si>
    <t>Arand. Tapa - 11x22</t>
  </si>
  <si>
    <t>INSERTOSArand. Tapa - 12x24</t>
  </si>
  <si>
    <t>Arand. Tapa - 12x24</t>
  </si>
  <si>
    <t>INSERTOSArand. Tapa - 13x24</t>
  </si>
  <si>
    <t>Arand. Tapa - 13x24</t>
  </si>
  <si>
    <t>INSERTOSArand. Tapa - 14x26</t>
  </si>
  <si>
    <t>Arand. Tapa - 14x26</t>
  </si>
  <si>
    <t>CONEXIÓN DE CHAPA1</t>
  </si>
  <si>
    <t>CONEXIÓN DE CHAPA</t>
  </si>
  <si>
    <t>GUSTAVO</t>
  </si>
  <si>
    <t>Conector de 3 vías G.N.C. de 16 m x 16 mm</t>
  </si>
  <si>
    <t>CONEXIÓN DE CHAPA2</t>
  </si>
  <si>
    <t>Conector de 3 vías G.N.C. de 16 m x 8 mm</t>
  </si>
  <si>
    <t>CONEXIÓN DE CHAPA3</t>
  </si>
  <si>
    <t>conector de 3 vias de 13 mm x 13 mm</t>
  </si>
  <si>
    <t>CONEXIÓN DE CHAPA4</t>
  </si>
  <si>
    <t>Conector de 3 vías G.N.C. de 19 m x 8 mm</t>
  </si>
  <si>
    <t>CONEXIÓN DE CHAPA5</t>
  </si>
  <si>
    <t>conector de 3 vias de 35 mm x 19 mm</t>
  </si>
  <si>
    <t>CONEXIÓN DE CHAPA7</t>
  </si>
  <si>
    <t>conector de 3 vias de 19 mm x 16 mm</t>
  </si>
  <si>
    <t>CONEXIÓN DE CHAPA8</t>
  </si>
  <si>
    <t>conector de 3 vias de 19 mm x 13 mm</t>
  </si>
  <si>
    <t>CONEXIÓN DE CHAPA9</t>
  </si>
  <si>
    <t>conector de 3 vias de 19 mm x 19 mm</t>
  </si>
  <si>
    <t>CONEXIÓN DE CHAPA12</t>
  </si>
  <si>
    <t xml:space="preserve">conector recto con porta bulbo de 25 mm x 120 mm </t>
  </si>
  <si>
    <t>CONEXIÓN DE CHAPA13</t>
  </si>
  <si>
    <t xml:space="preserve">conector recto con porta bulbo de 29 mm x 120 mm </t>
  </si>
  <si>
    <t>CONEXIÓN DE CHAPA14</t>
  </si>
  <si>
    <t>conector recto con porta bulbo de 32 mm x 120 mm</t>
  </si>
  <si>
    <t>CONEXIÓN DE CHAPA15</t>
  </si>
  <si>
    <t>conector recto con porta bulbo de 35 mm x 120 mm</t>
  </si>
  <si>
    <t>CONEXIÓN DE CHAPA16</t>
  </si>
  <si>
    <t>conector recto con porta bulbo de 38 mm x 120 mm</t>
  </si>
  <si>
    <t>CONEXIÓN DE CHAPA17</t>
  </si>
  <si>
    <t>Conector Corsa JR</t>
  </si>
  <si>
    <t>CONEXIÓN DE CHAPA18</t>
  </si>
  <si>
    <t>conector recto con porta bulbo de 32 mm y purgador</t>
  </si>
  <si>
    <t>CONEXIÓN DE CHAPA19</t>
  </si>
  <si>
    <t>Union recta de chapa de 13 mm</t>
  </si>
  <si>
    <t>CONEXIÓN DE CHAPA20</t>
  </si>
  <si>
    <t>Union recta de chapa de 16 mm</t>
  </si>
  <si>
    <t>CONEXIÓN DE CHAPA21</t>
  </si>
  <si>
    <t>Union recta de chapa de 19 mm</t>
  </si>
  <si>
    <t>CONEXIÓN DE CHAPA22</t>
  </si>
  <si>
    <t>Union recta de chapa de 22 mm</t>
  </si>
  <si>
    <t>CONEXIÓN DE CHAPA23</t>
  </si>
  <si>
    <t>Union recta de chapa de 25 mm</t>
  </si>
  <si>
    <t>CONEXIÓN DE CHAPA24</t>
  </si>
  <si>
    <t>Union recta de chapa de 29 mm</t>
  </si>
  <si>
    <t>CONEXIÓN DE CHAPA25</t>
  </si>
  <si>
    <t>Union recta de chapa de 32 mm</t>
  </si>
  <si>
    <t>CONEXIÓN DE CHAPA26</t>
  </si>
  <si>
    <t>Union recta de chapa de 35mm</t>
  </si>
  <si>
    <t>CONEXIÓN DE CHAPA27</t>
  </si>
  <si>
    <t>Union recta de chapa de 38 mm</t>
  </si>
  <si>
    <t>CONEXIÓN DE CHAPA28</t>
  </si>
  <si>
    <t>Coneccion en U de chapa de 16 mm</t>
  </si>
  <si>
    <t>CONEXIÓN DE CHAPA29</t>
  </si>
  <si>
    <t>Coneccion en U de chapa de 19 mm</t>
  </si>
  <si>
    <t>CONEXIÓN DE CHAPA36</t>
  </si>
  <si>
    <t>Conector recto Fiat con purg de 16 mm</t>
  </si>
  <si>
    <t>CONEXIÓN DE CHAPA37</t>
  </si>
  <si>
    <t>Conector recto Fiat con purg de 19 mm</t>
  </si>
  <si>
    <t>CONEXIÓN DE CHAPA38</t>
  </si>
  <si>
    <t>conector de 3 vias de 8 mm x 8 mm</t>
  </si>
  <si>
    <t>CONEXIÓN DE CHAPA39</t>
  </si>
  <si>
    <t>conector de 3 vias de 13 mm x 8 mm</t>
  </si>
  <si>
    <t>CONEXIÓN DE CHAPA40</t>
  </si>
  <si>
    <t>conector de 3 vias de 13 mm x 10 mm</t>
  </si>
  <si>
    <t>CONEXIÓN DE CHAPA41</t>
  </si>
  <si>
    <t>conector de 3 vias de 16 mm x 10 mm</t>
  </si>
  <si>
    <t>CONEXIÓN DE CHAPA42</t>
  </si>
  <si>
    <t>conector de 3 vias de 19 mm x 10 mm</t>
  </si>
  <si>
    <t>CONEXIÓN DE CHAPA43</t>
  </si>
  <si>
    <t xml:space="preserve">Conector 3 vias 25 mm x  8 mm </t>
  </si>
  <si>
    <t>CONEXIÓN DE CHAPA44</t>
  </si>
  <si>
    <t>conector de 3 vias de 25 mm x 10 mm</t>
  </si>
  <si>
    <t>CONEXIÓN DE CHAPA45</t>
  </si>
  <si>
    <t xml:space="preserve">Conector 3 vias 28 mm x  8 mm </t>
  </si>
  <si>
    <t>CONEXIÓN DE CHAPA46</t>
  </si>
  <si>
    <t>conector de 3 vias de 32 mm x 10 mm</t>
  </si>
  <si>
    <t>CONEXIÓN DE CHAPA47</t>
  </si>
  <si>
    <t>conector de 3 vias de 32 mm x 16 mm</t>
  </si>
  <si>
    <t>CONEXIÓN DE CHAPA48</t>
  </si>
  <si>
    <t>conector de 3 vias de 32 mm x 19 mm</t>
  </si>
  <si>
    <t>CONEXIÓN DE CHAPA49</t>
  </si>
  <si>
    <t xml:space="preserve">conector de 3 vias 35 mm x 8 mm </t>
  </si>
  <si>
    <t>CONEXIÓN DE CHAPA50</t>
  </si>
  <si>
    <t>conector de 3 vias de 38 mm x 10 mm</t>
  </si>
  <si>
    <t>CONEXIÓN DE CHAPA51</t>
  </si>
  <si>
    <t>conector de 3 vias de 38 mm x 16 mm</t>
  </si>
  <si>
    <t>CONEXIÓN DE CHAPA52</t>
  </si>
  <si>
    <t>conector de 3 vias de 38 mm x 19 mm</t>
  </si>
  <si>
    <t>CONEXIÓN DE CHAPA53</t>
  </si>
  <si>
    <t xml:space="preserve">conector recto con porta bulbo de 19 mm x 100 mm </t>
  </si>
  <si>
    <t>CONEXIÓN DE CHAPA54</t>
  </si>
  <si>
    <t>CONEXIÓN DE CHAPA55</t>
  </si>
  <si>
    <t>CONEXIÓN DE CHAPA56</t>
  </si>
  <si>
    <t>CONEXIÓN DE CHAPA57</t>
  </si>
  <si>
    <t>CONEXIÓN DE CHAPA58</t>
  </si>
  <si>
    <t>Codo de chapa a 90º de 16 mm</t>
  </si>
  <si>
    <t>CONEXIÓN DE CHAPA59</t>
  </si>
  <si>
    <t>Codo de chapa a 90º de 19 mm</t>
  </si>
  <si>
    <t>CONEXIÓN DE CHAPA60</t>
  </si>
  <si>
    <t>reduccion recta de 13 mm a 8 mm</t>
  </si>
  <si>
    <t>CONEXIÓN DE CHAPA61</t>
  </si>
  <si>
    <t>reduccion recta de 16 mm a 8 mm</t>
  </si>
  <si>
    <t>CONEXIÓN DE CHAPA62</t>
  </si>
  <si>
    <t>reduccion recta de 16 mm a 10 mm</t>
  </si>
  <si>
    <t>CONEXIÓN DE CHAPA63</t>
  </si>
  <si>
    <t>reduccion recta de 19 mm a 8 mm</t>
  </si>
  <si>
    <t>CONEXIÓN DE CHAPA64</t>
  </si>
  <si>
    <t>reduccion recta de 19 mm a 10 mm</t>
  </si>
  <si>
    <t>CONEXIÓN DE CHAPA65</t>
  </si>
  <si>
    <t>reduccion recta de 19 mm a 13 mm</t>
  </si>
  <si>
    <t>CONEXIÓN DE CHAPA66</t>
  </si>
  <si>
    <t>reduccion recta de 19 mm a 16 mm</t>
  </si>
  <si>
    <t>CONEXIÓN DE CHAPA67</t>
  </si>
  <si>
    <t>reduccion recta de 25 mm a 13 mm</t>
  </si>
  <si>
    <t>CONEXIÓN DE CHAPA68</t>
  </si>
  <si>
    <t>reduccion recta de 25 mm a 16 mm</t>
  </si>
  <si>
    <t>CONEXIÓN DE CHAPA69</t>
  </si>
  <si>
    <t>reduccion recta de 32 mm a 16 mm</t>
  </si>
  <si>
    <t>CONEXIÓN DE CHAPA70</t>
  </si>
  <si>
    <t>reduccion recta de 32 mm a 19 mm</t>
  </si>
  <si>
    <t>CONEXIÓN DE CHAPA71</t>
  </si>
  <si>
    <t>Codo universal 16 mm</t>
  </si>
  <si>
    <t>CONEXIÓN DE CHAPA72</t>
  </si>
  <si>
    <t>Codo universal 19 mm</t>
  </si>
  <si>
    <t>CONEXIÓN DE CHAPA73</t>
  </si>
  <si>
    <t>Codo CHEVR CORSA CALEF 16 mm</t>
  </si>
  <si>
    <t>CONEXIÓN DE CHAPA74</t>
  </si>
  <si>
    <t>Codo CHEVR CORSA CALEF 19 mm</t>
  </si>
  <si>
    <t>CONEXIÓN DE CHAPA75</t>
  </si>
  <si>
    <t>CONEX RELOJ TEMP UNIV 16 mm</t>
  </si>
  <si>
    <t>CONEXIÓN DE CHAPA76</t>
  </si>
  <si>
    <t>CONEX RELOJ TEMP UNIV 19 mm</t>
  </si>
  <si>
    <t>CONEXIÓN DE CHAPA77</t>
  </si>
  <si>
    <t>CONEX CALEF FIAT REGGATA 16mm 3 vias</t>
  </si>
  <si>
    <t>TOPES Y TAPONES DE GOMA1</t>
  </si>
  <si>
    <t>TOPES Y TAPONES DE GOMA</t>
  </si>
  <si>
    <t>DQAUTOPARTES</t>
  </si>
  <si>
    <t>TOPE CAPOT 404 - 504</t>
  </si>
  <si>
    <t>TOPES Y TAPONES DE GOMA2</t>
  </si>
  <si>
    <t>TOPES Y TAPONES DE GOMA3</t>
  </si>
  <si>
    <t>TOPE CAPOT PATENTE404 - 504</t>
  </si>
  <si>
    <t>TOPES Y TAPONES DE GOMA4</t>
  </si>
  <si>
    <t xml:space="preserve">2103/1 </t>
  </si>
  <si>
    <t>TAPON PISO 15 mm 404-504</t>
  </si>
  <si>
    <t>TOPES Y TAPONES DE GOMA5</t>
  </si>
  <si>
    <t xml:space="preserve">2103/2 </t>
  </si>
  <si>
    <t>TAPON PISO 20 mm 404-504</t>
  </si>
  <si>
    <t>TOPES Y TAPONES DE GOMA6</t>
  </si>
  <si>
    <t xml:space="preserve">2103/3 </t>
  </si>
  <si>
    <t>TAPON PISO 32 mm 404-504</t>
  </si>
  <si>
    <t>TOPES Y TAPONES DE GOMA7</t>
  </si>
  <si>
    <t>TOPE T NAFTA Y CAPOT 504 GR</t>
  </si>
  <si>
    <t>TOPES Y TAPONES DE GOMA8</t>
  </si>
  <si>
    <t>TOPE CAPOT 206-207-307-405 PATNER-M/N-ZSARA</t>
  </si>
  <si>
    <t>TOPES Y TAPONES DE GOMA9</t>
  </si>
  <si>
    <t>ANTIVIBRADOR PARRILLA 504</t>
  </si>
  <si>
    <t>TOPES Y TAPONES DE GOMA10</t>
  </si>
  <si>
    <t>TAPON AMORTIGUADOR 504 - 44mm</t>
  </si>
  <si>
    <t>TOPES Y TAPONES DE GOMA11</t>
  </si>
  <si>
    <t>TOPE REGULADOR CAPOT 405</t>
  </si>
  <si>
    <t>TOPES Y TAPONES DE GOMA12</t>
  </si>
  <si>
    <t>TOPE PUERTA ESTANCIERA</t>
  </si>
  <si>
    <t>TOPES Y TAPONES DE GOMA13</t>
  </si>
  <si>
    <t>TOPE BAUL RENAULT 12-18</t>
  </si>
  <si>
    <t>TOPES Y TAPONES DE GOMA14</t>
  </si>
  <si>
    <t>CUBRE TORNILLO CAPOT FORD (TODOS)</t>
  </si>
  <si>
    <t>TOPES Y TAPONES DE GOMA15</t>
  </si>
  <si>
    <t>TOPE CAPOT LATERAL F-100/350/600</t>
  </si>
  <si>
    <t>TOPES Y TAPONES DE GOMA16</t>
  </si>
  <si>
    <t>CUBRE TORNILLO FORD Y BAUL FALCON</t>
  </si>
  <si>
    <t>TOPES Y TAPONES DE GOMA17</t>
  </si>
  <si>
    <t>TOPE CAPOT LATERAL FORD F-100</t>
  </si>
  <si>
    <t>TOPES Y TAPONES DE GOMA18</t>
  </si>
  <si>
    <t>TAPON PISO FORD PICK UP Y CAMION (50mm)</t>
  </si>
  <si>
    <t>TOPES Y TAPONES DE GOMA19</t>
  </si>
  <si>
    <t>TOPE PUERTA FORD FALCON ? TAUNUS</t>
  </si>
  <si>
    <t>TOPES Y TAPONES DE GOMA20</t>
  </si>
  <si>
    <t>TAPON PISO GRANDE FORD FALCON - TAUNUS (37mm) CORSA</t>
  </si>
  <si>
    <t>TOPES Y TAPONES DE GOMA21</t>
  </si>
  <si>
    <t>TAPON PISO CHICO FORD FALCON - TAUNUS (27mm)</t>
  </si>
  <si>
    <t>TOPES Y TAPONES DE GOMA22</t>
  </si>
  <si>
    <t>TOPE PUERTA FORD RANGER Y BAUL FORD ESCORT</t>
  </si>
  <si>
    <t>TOPES Y TAPONES DE GOMA23</t>
  </si>
  <si>
    <t>TOPE CAPOT LATERAL FORD ESCORT M/N</t>
  </si>
  <si>
    <t>TOPES Y TAPONES DE GOMA24</t>
  </si>
  <si>
    <t>TOPE PUERTA PICK UP</t>
  </si>
  <si>
    <t>TOPES Y TAPONES DE GOMA25</t>
  </si>
  <si>
    <t>5122/A</t>
  </si>
  <si>
    <t>TOPES Y TAPONES DE GOMA26</t>
  </si>
  <si>
    <t>TOPE PUERTA CHEV 400</t>
  </si>
  <si>
    <t>TOPES Y TAPONES DE GOMA27</t>
  </si>
  <si>
    <t>TOPE CAPOR LATERAL CHEV 400</t>
  </si>
  <si>
    <t>TOPES Y TAPONES DE GOMA28</t>
  </si>
  <si>
    <t>TOPE CAPOT LATERAL PICK UP Y BLAZER</t>
  </si>
  <si>
    <t>TOPES Y TAPONES DE GOMA29</t>
  </si>
  <si>
    <t>TOPE LATERAL CAPOT PICK UP 74" EN ADELANTE</t>
  </si>
  <si>
    <t>TOPES Y TAPONES DE GOMA30</t>
  </si>
  <si>
    <t>TOPE CAPOT LATERAL CORSA</t>
  </si>
  <si>
    <t>TOPES Y TAPONES DE GOMA31</t>
  </si>
  <si>
    <t>TOPE CAPOT LATERAL ASTRA-VECTRA-SUZUKI FUN</t>
  </si>
  <si>
    <t>TOPES Y TAPONES DE GOMA32</t>
  </si>
  <si>
    <t>TAPON PISO CHEV 400 - CHEVI (28 mm)</t>
  </si>
  <si>
    <t>TOPES Y TAPONES DE GOMA33</t>
  </si>
  <si>
    <t>TOPE CAPOT LAT POLO - POINTER</t>
  </si>
  <si>
    <t>TOPES Y TAPONES DE GOMA34</t>
  </si>
  <si>
    <t>TAPON PISO GRANDE GOL (38 mm)</t>
  </si>
  <si>
    <t>TOPES Y TAPONES DE GOMA35</t>
  </si>
  <si>
    <t>TAPON PISO CHICO POLO - POINTER (19 mm)</t>
  </si>
  <si>
    <t>TOPES Y TAPONES DE GOMA36</t>
  </si>
  <si>
    <t>TAPON PISO GRANDE POLO - POINTER 40 mm</t>
  </si>
  <si>
    <t>TOPES Y TAPONES DE GOMA37</t>
  </si>
  <si>
    <t>TOPE PUERTA DODGE 1500</t>
  </si>
  <si>
    <t>TOPES Y TAPONES DE GOMA38</t>
  </si>
  <si>
    <t>TOPE PATENTE DODGE 1500</t>
  </si>
  <si>
    <t>TOPES Y TAPONES DE GOMA39</t>
  </si>
  <si>
    <t xml:space="preserve">5061/1 </t>
  </si>
  <si>
    <t>TAPA DE NAFTA (TODOS)</t>
  </si>
  <si>
    <t>TOPES Y TAPONES DE GOMA40</t>
  </si>
  <si>
    <t>TORNILLO ALFOMBRA (TODOS)</t>
  </si>
  <si>
    <t>TOPES Y TAPONES DE GOMA41</t>
  </si>
  <si>
    <t>TOPE CAPOT DELANTERO FIAT 600</t>
  </si>
  <si>
    <t>TOPES Y TAPONES DE GOMA42</t>
  </si>
  <si>
    <t>TOPE PISO FIAT 600 (20 mm)</t>
  </si>
  <si>
    <t>TOPES Y TAPONES DE GOMA43</t>
  </si>
  <si>
    <t>TOPE CAPOT REGATTA</t>
  </si>
  <si>
    <t>TOPES Y TAPONES DE GOMA44</t>
  </si>
  <si>
    <t>TOPE TAPA MOTOR FIAT 600</t>
  </si>
  <si>
    <t>TOPES Y TAPONES DE GOMA45</t>
  </si>
  <si>
    <t>TOPE CAPOT MEDIANO FIAT 600</t>
  </si>
  <si>
    <t>TOPES Y TAPONES DE GOMA46</t>
  </si>
  <si>
    <t>TOPE PISO BAJO FIAT 600</t>
  </si>
  <si>
    <t>TOPES Y TAPONES DE GOMA47</t>
  </si>
  <si>
    <t>TOPE CAPOT FIAT 600</t>
  </si>
  <si>
    <t>TOPES Y TAPONES DE GOMA48</t>
  </si>
  <si>
    <t>TOPE CAPOT 128</t>
  </si>
  <si>
    <t>TOPES Y TAPONES DE GOMA49</t>
  </si>
  <si>
    <t>TAPON PISO 125 - 600 (30 mm)</t>
  </si>
  <si>
    <t>TOPES Y TAPONES DE GOMA50</t>
  </si>
  <si>
    <t>TAPON PISO DUNA - UNO - REGATTA</t>
  </si>
  <si>
    <t>TOPES Y TAPONES DE GOMA51</t>
  </si>
  <si>
    <t>TOPE PUERTA UNIVERSAL</t>
  </si>
  <si>
    <t>TOPES Y TAPONES DE GOMA52</t>
  </si>
  <si>
    <t>TOPES Y TAPONES DE GOMA53</t>
  </si>
  <si>
    <t>TOPES Y TAPONES DE GOMA54</t>
  </si>
  <si>
    <t>4083/1</t>
  </si>
  <si>
    <t>TOPES Y TAPONES DE GOMA55</t>
  </si>
  <si>
    <t>TOPES Y TAPONES DE GOMA56</t>
  </si>
  <si>
    <t>TOPES Y TAPONES DE GOMA57</t>
  </si>
  <si>
    <t>TOPES Y TAPONES DE GOMA58</t>
  </si>
  <si>
    <t>TOPES Y TAPONES DE GOMA59</t>
  </si>
  <si>
    <t>TOPES Y TAPONES DE GOMA60</t>
  </si>
  <si>
    <t>TOPES Y TAPONES DE GOMA61</t>
  </si>
  <si>
    <t xml:space="preserve">5097/A </t>
  </si>
  <si>
    <t>TOPES Y TAPONES DE GOMA62</t>
  </si>
  <si>
    <t xml:space="preserve">5097/B </t>
  </si>
  <si>
    <t>TOPES Y TAPONES DE GOMA63</t>
  </si>
  <si>
    <t>TOPES Y TAPONES DE GOMA64</t>
  </si>
  <si>
    <t>TOPES Y TAPONES DE GOMA65</t>
  </si>
  <si>
    <t>TOPES Y TAPONES DE GOMA66</t>
  </si>
  <si>
    <t>TAPON PISO CHICO GOL ( 20 mm)</t>
  </si>
  <si>
    <t>CONECTORES PLASTICOS MANGUERAS2</t>
  </si>
  <si>
    <t>CONECTORES PLASTICOS MANGUERAS</t>
  </si>
  <si>
    <t>JorgeManguera</t>
  </si>
  <si>
    <t>CONECTORES PLASTICOS MANGUERAS3</t>
  </si>
  <si>
    <t>CONECTORES PLASTICOS MANGUERAS4</t>
  </si>
  <si>
    <t>CONECTORES PLASTICOS MANGUERAS5</t>
  </si>
  <si>
    <t>CONECTORES PLASTICOS MANGUERAS7</t>
  </si>
  <si>
    <t>Niple plástico con reducción de         16mm   A   8 mm</t>
  </si>
  <si>
    <t>CONECTORES PLASTICOS MANGUERAS8</t>
  </si>
  <si>
    <t>Niple plástico para unir manguera de     19 mm</t>
  </si>
  <si>
    <t>CONECTORES PLASTICOS MANGUERAS9</t>
  </si>
  <si>
    <t>Niple plástico para unir manguera de16 mm</t>
  </si>
  <si>
    <t>CONECTORES PLASTICOS MANGUERAS10</t>
  </si>
  <si>
    <t>Niple plástico para unir manguera de           25 mm</t>
  </si>
  <si>
    <t>CONECTORES PLASTICOS MANGUERAS11</t>
  </si>
  <si>
    <t>Conexión para Lava Parabrisa Universal</t>
  </si>
  <si>
    <t>CONECTORES PLASTICOS MANGUERAS12</t>
  </si>
  <si>
    <t>CONECTORES PLASTICOS MANGUERAS13</t>
  </si>
  <si>
    <t>Conector 3 Vías Renault 21</t>
  </si>
  <si>
    <t>CONECTORES PLASTICOS MANGUERAS14</t>
  </si>
  <si>
    <t>Conector de agua  equipos de Gas P fino</t>
  </si>
  <si>
    <t>CONECTORES PLASTICOS MANGUERAS15</t>
  </si>
  <si>
    <t>Conector de Calefacción  R 12</t>
  </si>
  <si>
    <t>CONECTORES PLASTICOS MANGUERAS17</t>
  </si>
  <si>
    <t>Conector de Agua para equipo de Gas Pico grueso</t>
  </si>
  <si>
    <t>CONECTORES PLASTICOS MANGUERAS18</t>
  </si>
  <si>
    <t>Conector 3 Vías R 12</t>
  </si>
  <si>
    <t>CONECTORES PLASTICOS MANGUERAS19</t>
  </si>
  <si>
    <t>CONECTORES PLASTICOS MANGUERAS20</t>
  </si>
  <si>
    <t>Conector de calefacción purgador plástico de P  505</t>
  </si>
  <si>
    <t>CONECTORES PLASTICOS MANGUERAS21</t>
  </si>
  <si>
    <t>Conector de agua  equipos de Gas 19 a 8 mm Pico fino</t>
  </si>
  <si>
    <t>CONECTORES PLASTICOS MANGUERAS30</t>
  </si>
  <si>
    <t>Conector Tapa   de Válvula R 18</t>
  </si>
  <si>
    <t>CONECTORES PLASTICOS MANGUERAS31</t>
  </si>
  <si>
    <t>Conector Filtro Aire. Renault 18 Trafic, Fuego</t>
  </si>
  <si>
    <t>CONECTORES PLASTICOS MANGUERAS32</t>
  </si>
  <si>
    <t>Conector 3 Vías R 11</t>
  </si>
  <si>
    <t>CONECTORES PLASTICOS MANGUERAS37</t>
  </si>
  <si>
    <t>Conector Plástico Manguera de aire Acondicionado R 18.</t>
  </si>
  <si>
    <t>CONECTORES PLASTICOS MANGUERAS40</t>
  </si>
  <si>
    <t>Conector Recuperador de Gases R 11</t>
  </si>
  <si>
    <t>CONECTORES PLASTICOS MANGUERAS41</t>
  </si>
  <si>
    <t>Conector de Múltiple A tapa.Renault 18. M 2000</t>
  </si>
  <si>
    <t>CONECTORES PLASTICOS MANGUERAS43</t>
  </si>
  <si>
    <t>Conector Tapa de Válvula R 18. Motor:1400 – 1600</t>
  </si>
  <si>
    <t>CONECTORES PLASTICOS MANGUERAS47</t>
  </si>
  <si>
    <t>Niple plástico para unir manguera de 1/2</t>
  </si>
  <si>
    <t>CONECTORES PLASTICOS MANGUERAS49</t>
  </si>
  <si>
    <t>Conector con purgador plástico Línea  FIAT 16 mm</t>
  </si>
  <si>
    <t>CONECTORES PLASTICOS MANGUERAS53</t>
  </si>
  <si>
    <t>CONECTORES PLASTICOS MANGUERAS54</t>
  </si>
  <si>
    <t>CONECTORES PLASTICOS MANGUERAS55</t>
  </si>
  <si>
    <t>CONECTORES PLASTICOS MANGUERAS56</t>
  </si>
  <si>
    <t>CONECTORES PLASTICOS MANGUERAS57</t>
  </si>
  <si>
    <t>CASERGOM</t>
  </si>
  <si>
    <t>1237 epdm</t>
  </si>
  <si>
    <t>Tapon de goma para anular calefaccion de 19 mm</t>
  </si>
  <si>
    <t>CONECTORES PLASTICOS MANGUERAS58</t>
  </si>
  <si>
    <t>1238 epdm</t>
  </si>
  <si>
    <t>Tapon de goma para anular calefaccion de 22 mm</t>
  </si>
  <si>
    <t>CONECTORES PLASTICOS MANGUERAS59</t>
  </si>
  <si>
    <t>1490epdm</t>
  </si>
  <si>
    <t>Tapon de goma para anular calefaccion de 25 mm</t>
  </si>
  <si>
    <t>CONECTORES PLASTICOS MANGUERAS70</t>
  </si>
  <si>
    <t>CONECTORES PLASTICOS MANGUERAS71</t>
  </si>
  <si>
    <t>CONECTORES PLASTICOS MANGUERAS72</t>
  </si>
  <si>
    <t>CONECTORES PLASTICOS MANGUERAS78</t>
  </si>
  <si>
    <t>CONECTORES PLASTICOS MANGUERAS79</t>
  </si>
  <si>
    <t>CONECTORES PLASTICOS MANGUERAS80</t>
  </si>
  <si>
    <t>CONECTORES PLASTICOS MANGUERAS90</t>
  </si>
  <si>
    <t>R12 Mod. 1971 en adelante</t>
  </si>
  <si>
    <t>CONECTORES PLASTICOS MANGUERAS91</t>
  </si>
  <si>
    <t>R12 Pivote Acelerador R12</t>
  </si>
  <si>
    <t>CONECTORES PLASTICOS MANGUERAS92</t>
  </si>
  <si>
    <t>Trafic Diesel</t>
  </si>
  <si>
    <t>CONECTORES PLASTICOS MANGUERAS93</t>
  </si>
  <si>
    <t>Rotula Acelerador R9 - R11 - R12</t>
  </si>
  <si>
    <t>CONECTORES PLASTICOS MANGUERAS94</t>
  </si>
  <si>
    <t>Rotula Acelerador Pata Larga R12</t>
  </si>
  <si>
    <t>CONECTORES PLASTICOS MANGUERAS95</t>
  </si>
  <si>
    <t>Varilla Roscada 2 Punteras y Tuerca. R11 Kangoo</t>
  </si>
  <si>
    <t>TUERCAS RAPIDAS2</t>
  </si>
  <si>
    <t>TUERCAS RAPIDAS</t>
  </si>
  <si>
    <t>TOBAR</t>
  </si>
  <si>
    <t>Tuerca Reten Doble - 1/4pulg</t>
  </si>
  <si>
    <t>Reten doble  - R 1/4 - 19 mm - 25 mm</t>
  </si>
  <si>
    <t>TUERCAS RAPIDAS3</t>
  </si>
  <si>
    <t>Tuerca Reten Doble - 5/16pulg</t>
  </si>
  <si>
    <t>Reten doble  - R 5/6 - 19 mm - 25 mm</t>
  </si>
  <si>
    <t>TUERCAS RAPIDAS5</t>
  </si>
  <si>
    <t>Tuerca Reten Doble - 6mm</t>
  </si>
  <si>
    <t>Reten doble  - 6 mm - 19 mm - 25 mm</t>
  </si>
  <si>
    <t>TUERCAS RAPIDAS6</t>
  </si>
  <si>
    <t>Tuerca Reten Doble - 8mm</t>
  </si>
  <si>
    <t>Reten doble  - 8 mm - 19 mm - 25 mm</t>
  </si>
  <si>
    <t>TUERCAS RAPIDAS7</t>
  </si>
  <si>
    <t>Tuerca Reten Embutida - Larga M6mm</t>
  </si>
  <si>
    <t>Embutida Larga - 6 mm - 15 mm - 32 mm</t>
  </si>
  <si>
    <t>TUERCAS RAPIDAS8</t>
  </si>
  <si>
    <t>Tuerca Reten Embutida - Larga ¼mm</t>
  </si>
  <si>
    <t>Embutida Larga - R 1/4 - 15 mm - 32 mm</t>
  </si>
  <si>
    <t>TUERCAS RAPIDAS9 CH</t>
  </si>
  <si>
    <t>9 CH</t>
  </si>
  <si>
    <t>Tuerca Reten Embutida - Moto 5mm</t>
  </si>
  <si>
    <t>Reten embutida chica - 5 mm - 11 mm - 18 mm</t>
  </si>
  <si>
    <t>TUERCAS RAPIDAS10 CH</t>
  </si>
  <si>
    <t>10 CH</t>
  </si>
  <si>
    <t>Tuerca Reten Embutida - Moto 6mm</t>
  </si>
  <si>
    <t>Reten embutida chica - 6 mm - 11 mm - 18 mm</t>
  </si>
  <si>
    <t>TUERCAS RAPIDAS9</t>
  </si>
  <si>
    <t>Tuerca Reten Embutida - 5mm</t>
  </si>
  <si>
    <t>Reten embutida - 5 mm - 15 mm - 22 mm</t>
  </si>
  <si>
    <t>TUERCAS RAPIDAS10</t>
  </si>
  <si>
    <t>Tuerca Reten Embutida - 6mm</t>
  </si>
  <si>
    <t>Reten embutida - 6 mm - 15 mm - 22 mm</t>
  </si>
  <si>
    <t>TUERCAS RAPIDAS12</t>
  </si>
  <si>
    <t>Tuerca Jaula - 5mm a=8x8</t>
  </si>
  <si>
    <t>Tuerca cajon - 5 mm - 12 mm - 12 mm</t>
  </si>
  <si>
    <t>TUERCAS RAPIDAS13</t>
  </si>
  <si>
    <t>Tuerca Jaula - 6mm a=8x8</t>
  </si>
  <si>
    <t>Tuerca cajon - 6 mm - 12 mm - 12 mm</t>
  </si>
  <si>
    <t>TUERCAS RAPIDAS14</t>
  </si>
  <si>
    <t>Tuerca Reten para Tornillo Parker - 4</t>
  </si>
  <si>
    <t>Reten parker - Park 4 - 8 mm - 12 mm</t>
  </si>
  <si>
    <t>TUERCAS RAPIDAS15</t>
  </si>
  <si>
    <t>Tuerca Reten para Tornillo Parker - #6 automotor</t>
  </si>
  <si>
    <t>Reten parker - Park 6 - 12 mm - 19 mm</t>
  </si>
  <si>
    <t>TUERCAS RAPIDAS16</t>
  </si>
  <si>
    <t>Tuerca Reten para Tornillo Parker - 7</t>
  </si>
  <si>
    <t>Reten parker - Park 6 - 12 mm - 16 mm</t>
  </si>
  <si>
    <t>TUERCAS RAPIDAS17</t>
  </si>
  <si>
    <t>Tuerca Reten para Tornillo Parker - #8 automotor</t>
  </si>
  <si>
    <t>Reten parker - Park 8 - 12 mm - 19 mm</t>
  </si>
  <si>
    <t>TUERCAS RAPIDAS18</t>
  </si>
  <si>
    <t>Tuerca Reten para Tornillo Parker - 6</t>
  </si>
  <si>
    <t>Reten parker - Park 7 - 11 mm - 17 mm</t>
  </si>
  <si>
    <t>TUERCAS RAPIDAS19</t>
  </si>
  <si>
    <t>Reten parker - Park 8 - 11 mm - 24 mm</t>
  </si>
  <si>
    <t>TUERCAS RAPIDAS20</t>
  </si>
  <si>
    <t>Reten parker cortada - Park 8 - 11 mm - 16 mm</t>
  </si>
  <si>
    <t>TUERCAS RAPIDAS21</t>
  </si>
  <si>
    <t>Tuerca Reten para Tornillo Parker - #10 automotor</t>
  </si>
  <si>
    <t>Reten parker - Park 10 - 12 mm - 19 mm</t>
  </si>
  <si>
    <t>TUERCAS RAPIDAS22</t>
  </si>
  <si>
    <t>Tuerca Reten para Tornillo Parker - 8</t>
  </si>
  <si>
    <t>Reten parker - Park 8 - 11 mm - 17 mm</t>
  </si>
  <si>
    <t>TUERCAS RAPIDAS24</t>
  </si>
  <si>
    <t>Tuerca Reten para Tornillo Parker - 10</t>
  </si>
  <si>
    <t>Reten parker - Park 10 - 12 mm - 15 mm</t>
  </si>
  <si>
    <t>TUERCAS RAPIDAS25</t>
  </si>
  <si>
    <t>Tuerca Reten para Tornillo Parker - 12</t>
  </si>
  <si>
    <t>Reten parker - Park 12 - 12 mm - 23 mm</t>
  </si>
  <si>
    <t>TUERCAS RAPIDAS26</t>
  </si>
  <si>
    <t>Tuerca Reten para Tornillo Parker - 12 LARGA</t>
  </si>
  <si>
    <t>Reten parker - Park 12 - 14 mm - 20 mm</t>
  </si>
  <si>
    <t>TUERCAS RAPIDAS28</t>
  </si>
  <si>
    <t>Tuerca Reten para Tornillo Parker - 14</t>
  </si>
  <si>
    <t>Reten parker - Park 12 - 14 mm - 21 mm</t>
  </si>
  <si>
    <t>TUERCAS RAPIDAS32</t>
  </si>
  <si>
    <t>Aranlock 6x15</t>
  </si>
  <si>
    <t>TUERCAS RAPIDAS33</t>
  </si>
  <si>
    <t>Aranlock 7x15</t>
  </si>
  <si>
    <t>TUERCAS RAPIDAS34</t>
  </si>
  <si>
    <t>Aranlock 8x16</t>
  </si>
  <si>
    <t>TUERCAS RAPIDAS35</t>
  </si>
  <si>
    <t>Aranlock 9x18</t>
  </si>
  <si>
    <t>TUERCAS RAPIDAS36</t>
  </si>
  <si>
    <t>Aranlock 10x18</t>
  </si>
  <si>
    <t>TUERCAS RAPIDAS42</t>
  </si>
  <si>
    <t>Tuerca Tina  Inserto para Madera - W 3/16</t>
  </si>
  <si>
    <t>Tuerca inserto/madera - rosca de 3/16</t>
  </si>
  <si>
    <t>TUERCAS RAPIDAS43</t>
  </si>
  <si>
    <t>Tuerca Tina  Inserto para Madera - M 5</t>
  </si>
  <si>
    <t>Tuerca inserto/madera - rosca de 5 mm</t>
  </si>
  <si>
    <t>TUERCAS RAPIDAS44</t>
  </si>
  <si>
    <t>Tuerca Tina  Inserto para Madera - W ¼</t>
  </si>
  <si>
    <t>Tuerca inserto/madera - rosca de 1/4</t>
  </si>
  <si>
    <t>TUERCAS RAPIDAS45</t>
  </si>
  <si>
    <t>Tuerca Tina  Inserto para Madera - M 6</t>
  </si>
  <si>
    <t>Tuerca inserto/madera - rosca de 6 mm</t>
  </si>
  <si>
    <t>TUERCAS RAPIDAS46</t>
  </si>
  <si>
    <t>Tuerca Tina  Inserto para Madera - W 5/16</t>
  </si>
  <si>
    <t>Tuerca inserto/madera - rosca de 5/16 mm</t>
  </si>
  <si>
    <t>TUERCAS RAPIDAS47</t>
  </si>
  <si>
    <t>Tuerca Tina  Inserto para Madera - M 8</t>
  </si>
  <si>
    <t>Tuerca inserto/madera - rosca de 8 mm</t>
  </si>
  <si>
    <t>ARANDELAS PLANAS DE TAPAS8x18</t>
  </si>
  <si>
    <t>ARANDELAS PLANAS DE TAPAS</t>
  </si>
  <si>
    <t>8x18</t>
  </si>
  <si>
    <t>VARIOS</t>
  </si>
  <si>
    <t>ARANDELAS PLANAS DE TAPAS8x28</t>
  </si>
  <si>
    <t>8x28</t>
  </si>
  <si>
    <t>LIBRERÍA</t>
  </si>
  <si>
    <t>ARANDELAS PLANAS DE TAPAS10x20</t>
  </si>
  <si>
    <t>10x20</t>
  </si>
  <si>
    <t>ARANDELAS PLANAS DE TAPAS10x30</t>
  </si>
  <si>
    <t>10x30</t>
  </si>
  <si>
    <t>ARANDELAS PLANAS DE TAPAS10x38</t>
  </si>
  <si>
    <t>10x38</t>
  </si>
  <si>
    <t>ARANDELAS PLANAS DE TAPAS11x22</t>
  </si>
  <si>
    <t>11x22</t>
  </si>
  <si>
    <t>ARANDELAS PLANAS DE TAPAS11x32</t>
  </si>
  <si>
    <t>11x32</t>
  </si>
  <si>
    <t>ARANDELAS PLANAS DE TAPAS11x42</t>
  </si>
  <si>
    <t>11x42</t>
  </si>
  <si>
    <t>ARANDELAS PLANAS DE TAPAS12x24</t>
  </si>
  <si>
    <t>12x24</t>
  </si>
  <si>
    <t>ARANDELAS PLANAS DE TAPAS13x24</t>
  </si>
  <si>
    <t>13x24</t>
  </si>
  <si>
    <t>ARANDELAS PLANAS DE TAPAS13x34</t>
  </si>
  <si>
    <t>13x34</t>
  </si>
  <si>
    <t>ARANDELAS PLANAS DE TAPAS13x44</t>
  </si>
  <si>
    <t>13x44</t>
  </si>
  <si>
    <t>ARANDELAS PLANAS DE TAPAS14x26</t>
  </si>
  <si>
    <t>14x26</t>
  </si>
  <si>
    <t>ARANDELAS PLANAS DE TAPAS14x36</t>
  </si>
  <si>
    <t>14x36</t>
  </si>
  <si>
    <t>ARANDELAS PLANAS DE TAPAS14x46</t>
  </si>
  <si>
    <t>14x46</t>
  </si>
  <si>
    <t>ARANDELAS PLANAS DE TAPAS16x50</t>
  </si>
  <si>
    <t>16x50</t>
  </si>
  <si>
    <t>ARANDELAS PLANAS DE TAPAS16x60</t>
  </si>
  <si>
    <t>16x60</t>
  </si>
  <si>
    <t>ARANDELAS PLANAS DE TAPAS16x70</t>
  </si>
  <si>
    <t>16x70</t>
  </si>
  <si>
    <t>ARANDELAS PLANAS DE TAPAS18x50</t>
  </si>
  <si>
    <t>18x50</t>
  </si>
  <si>
    <t>ARANDELAS PLANAS DE TAPAS18x60</t>
  </si>
  <si>
    <t>18x60</t>
  </si>
  <si>
    <t>ARANDELAS PLANAS DE TAPAS18x70</t>
  </si>
  <si>
    <t>18x70</t>
  </si>
  <si>
    <t>ARANDELAS PLANAS DE TAPAS20x50</t>
  </si>
  <si>
    <t>20x50</t>
  </si>
  <si>
    <t>ARANDELAS PLANAS DE TAPAS20x60</t>
  </si>
  <si>
    <t>20x60</t>
  </si>
  <si>
    <t>ARANDELAS PLANAS DE TAPAS20x70</t>
  </si>
  <si>
    <t>20x70</t>
  </si>
  <si>
    <t>ARANDELAS PLANAS DE TAPAS22x50</t>
  </si>
  <si>
    <t>22x50</t>
  </si>
  <si>
    <t>ARANDELAS PLANAS DE TAPAS22x60</t>
  </si>
  <si>
    <t>22x60</t>
  </si>
  <si>
    <t>ARANDELAS PLANAS DE TAPAS22x70</t>
  </si>
  <si>
    <t>22x70</t>
  </si>
  <si>
    <t>ARANDELAS PLANAS DE TAPAS24x50</t>
  </si>
  <si>
    <t>24x50</t>
  </si>
  <si>
    <t>ARANDELAS PLANAS DE TAPAS24x60</t>
  </si>
  <si>
    <t>24x60</t>
  </si>
  <si>
    <t>ARANDELAS PLANAS DE TAPAS24x70</t>
  </si>
  <si>
    <t>24x70</t>
  </si>
  <si>
    <t>ARANDELAS PLANAS DE TAPAS26x50</t>
  </si>
  <si>
    <t>26x50</t>
  </si>
  <si>
    <t>ARANDELAS PLANAS DE TAPAS26x60</t>
  </si>
  <si>
    <t>26x60</t>
  </si>
  <si>
    <t>ARANDELAS PLANAS DE TAPAS26x70</t>
  </si>
  <si>
    <t>26x70</t>
  </si>
  <si>
    <t>ARANDELAS PLANAS DE TAPAS28x50</t>
  </si>
  <si>
    <t>28x50</t>
  </si>
  <si>
    <t>ARANDELAS PLANAS DE TAPAS28x60</t>
  </si>
  <si>
    <t>28x60</t>
  </si>
  <si>
    <t>ARANDELAS PLANAS DE TAPAS28x70</t>
  </si>
  <si>
    <t>28x70</t>
  </si>
  <si>
    <t>ARANDELAS PLANAS DE TAPAS30x50</t>
  </si>
  <si>
    <t>30x50</t>
  </si>
  <si>
    <t>ARANDELAS PLANAS DE TAPAS30x60</t>
  </si>
  <si>
    <t>30x60</t>
  </si>
  <si>
    <t>ARANDELAS PLANAS DE TAPAS30x70</t>
  </si>
  <si>
    <t>30x70</t>
  </si>
  <si>
    <t>ARANDELAS PLANAS DE TAPAS32x70</t>
  </si>
  <si>
    <t>32x70</t>
  </si>
  <si>
    <t>ARANDELAS PLANAS DE TAPAS34x70</t>
  </si>
  <si>
    <t>34x70</t>
  </si>
  <si>
    <t>ARANDELAS PLANAS DE TAPAS36x70</t>
  </si>
  <si>
    <t>36x70</t>
  </si>
  <si>
    <t>ARANDELAS PLANAS DE TAPAS38x70</t>
  </si>
  <si>
    <t>38x70</t>
  </si>
  <si>
    <t>ARANDELAS DE COBRE7,5 x 15 x 1,5</t>
  </si>
  <si>
    <t>ARANDELAS DE COBRE</t>
  </si>
  <si>
    <t>7,5 x 15 x 1,5</t>
  </si>
  <si>
    <t>KLOSTER</t>
  </si>
  <si>
    <t>Co7,5.15.1,5</t>
  </si>
  <si>
    <t>INYECTORES - CUMMING</t>
  </si>
  <si>
    <t>ARANDELAS DE COBRE7,5 x 15 x 2</t>
  </si>
  <si>
    <t>7,5 x 15 x 2</t>
  </si>
  <si>
    <t>Co7,5.15.2</t>
  </si>
  <si>
    <t>ARANDELAS DE COBRE7,5 x 15 x 3</t>
  </si>
  <si>
    <t>7,5 x 15 x 3</t>
  </si>
  <si>
    <t>Co7,5.15.3</t>
  </si>
  <si>
    <t xml:space="preserve">INYECTORES - </t>
  </si>
  <si>
    <t>ARANDELAS DE COBRE8 x 13 x 2,5</t>
  </si>
  <si>
    <t>8 x 13 x 2,5</t>
  </si>
  <si>
    <t>Co8.13.2,5</t>
  </si>
  <si>
    <t>INYECTORES - POLO</t>
  </si>
  <si>
    <t>ARANDELAS DE COBRE10 x 19 x 2</t>
  </si>
  <si>
    <t>10 x 19 x 2</t>
  </si>
  <si>
    <t>Co10.19.2</t>
  </si>
  <si>
    <t>INYECTORES - PERKINS Grande</t>
  </si>
  <si>
    <t>ARANDELAS DE COBRE10 x 20 x 1</t>
  </si>
  <si>
    <t>10 x 20 x 1</t>
  </si>
  <si>
    <t>Co10.20.1</t>
  </si>
  <si>
    <t>INYECTORES -  M - Benz</t>
  </si>
  <si>
    <t>ARANDELAS DE COBRE14 x 20 x 1,5</t>
  </si>
  <si>
    <t>14 x 20 x 1,5</t>
  </si>
  <si>
    <t>Co14.20.1,5</t>
  </si>
  <si>
    <t>INYECTORES - PERKINS</t>
  </si>
  <si>
    <t>ARANDELAS DE COBRE14 x 20 x 2</t>
  </si>
  <si>
    <t>14 x 20 x 2</t>
  </si>
  <si>
    <t>Co14.20.2</t>
  </si>
  <si>
    <t>INYECTORES - INDENOR</t>
  </si>
  <si>
    <t>ARANDELAS DE COBRE14,5 x 21 x 2</t>
  </si>
  <si>
    <t>14,5 x 21 x 2</t>
  </si>
  <si>
    <t>Co14,5.21.2</t>
  </si>
  <si>
    <t>INYECTORES -  R19 DIESEL</t>
  </si>
  <si>
    <t>ARANDELAS DE COBRE16 x 21 x 2</t>
  </si>
  <si>
    <t>16 x 21 x 2</t>
  </si>
  <si>
    <t>Co16.21.2</t>
  </si>
  <si>
    <t>INYECTORES - PEUGEOT 405 D</t>
  </si>
  <si>
    <t>ARANDELAS DE COBRE17 x 20 x 1,5</t>
  </si>
  <si>
    <t>17 x 20 x 1,5</t>
  </si>
  <si>
    <t>Co17.20.1,5</t>
  </si>
  <si>
    <t>INYECTORES - BERLINGO D</t>
  </si>
  <si>
    <t>ARANDELAS DE COBRE6x10</t>
  </si>
  <si>
    <t>6x10</t>
  </si>
  <si>
    <t>Co6.10</t>
  </si>
  <si>
    <t>ARANDELAS DE COBRE8x13</t>
  </si>
  <si>
    <t>8x13</t>
  </si>
  <si>
    <t>Co8.13</t>
  </si>
  <si>
    <t>ARANDELAS DE COBRE9x14</t>
  </si>
  <si>
    <t>9x14</t>
  </si>
  <si>
    <t>Co9.14</t>
  </si>
  <si>
    <t>ARANDELAS DE COBRE10x14</t>
  </si>
  <si>
    <t>10x14</t>
  </si>
  <si>
    <t>Co10.14</t>
  </si>
  <si>
    <t>ARANDELAS DE COBRE11x17</t>
  </si>
  <si>
    <t>11x17</t>
  </si>
  <si>
    <t>Co11.17</t>
  </si>
  <si>
    <t>ARANDELAS DE COBRE12x17</t>
  </si>
  <si>
    <t>12x17</t>
  </si>
  <si>
    <t>Co12.17</t>
  </si>
  <si>
    <t>ARANDELAS DE COBRE13x20</t>
  </si>
  <si>
    <t>13x20</t>
  </si>
  <si>
    <t>Co13.20</t>
  </si>
  <si>
    <t>ARANDELAS DE COBRE14x20</t>
  </si>
  <si>
    <t>14x20</t>
  </si>
  <si>
    <t>Co14.20</t>
  </si>
  <si>
    <t>ARANDELAS DE COBRE15x21</t>
  </si>
  <si>
    <t>15x21</t>
  </si>
  <si>
    <t>Co15.21</t>
  </si>
  <si>
    <t>ARANDELAS DE COBRE16x21</t>
  </si>
  <si>
    <t>16x21</t>
  </si>
  <si>
    <t>Co16.21</t>
  </si>
  <si>
    <t>ARANDELAS DE COBRE17x22</t>
  </si>
  <si>
    <t>17x22</t>
  </si>
  <si>
    <t>Co17.22</t>
  </si>
  <si>
    <t>ARANDELAS DE COBRE18x23</t>
  </si>
  <si>
    <t>18x23</t>
  </si>
  <si>
    <t>Co18.23</t>
  </si>
  <si>
    <t>ARANDELAS DE COBRE19x24</t>
  </si>
  <si>
    <t>19x24</t>
  </si>
  <si>
    <t>Co19.24</t>
  </si>
  <si>
    <t>ARANDELAS DE COBRE20x26</t>
  </si>
  <si>
    <t>20x26</t>
  </si>
  <si>
    <t>Co20.26</t>
  </si>
  <si>
    <t>ARANDELAS DE COBRE21x26</t>
  </si>
  <si>
    <t>21x26</t>
  </si>
  <si>
    <t>Co21.26</t>
  </si>
  <si>
    <t>ARANDELAS DE COBRE22x28</t>
  </si>
  <si>
    <t>22x28</t>
  </si>
  <si>
    <t>Co22.28</t>
  </si>
  <si>
    <t>ARANDELAS DE COBRE24x32</t>
  </si>
  <si>
    <t>24x32</t>
  </si>
  <si>
    <t>Co24.32</t>
  </si>
  <si>
    <t>ARANDELAS DE COBRE26x34</t>
  </si>
  <si>
    <t>26x34</t>
  </si>
  <si>
    <t>Co26.34</t>
  </si>
  <si>
    <t>ARANDELAS DE ALUMINIO1/8 3x8</t>
  </si>
  <si>
    <t>ARANDELAS DE ALUMINIO</t>
  </si>
  <si>
    <t>1/8 3x8</t>
  </si>
  <si>
    <t>Al3,5.8</t>
  </si>
  <si>
    <t>ARANDELAS DE ALUMINIO5/32 4x10</t>
  </si>
  <si>
    <t>5/32 4x10</t>
  </si>
  <si>
    <t>Al4.10</t>
  </si>
  <si>
    <t>ARANDELAS DE ALUMINIO3/16  5x12</t>
  </si>
  <si>
    <t>3/16  5x12</t>
  </si>
  <si>
    <t>Al5.12</t>
  </si>
  <si>
    <t>ARANDELAS DE ALUMINIO1/4  6,5x14</t>
  </si>
  <si>
    <t>1/4  6,5x14</t>
  </si>
  <si>
    <t>Al6,5.13</t>
  </si>
  <si>
    <t>ARANDELAS DE ALUMINIO5/16  8x16</t>
  </si>
  <si>
    <t>5/16  8x16</t>
  </si>
  <si>
    <t>Al8.20</t>
  </si>
  <si>
    <t>ARANDELAS DE ALUMINIO3/8  10x18</t>
  </si>
  <si>
    <t>3/8  10x18</t>
  </si>
  <si>
    <t>Al10.21</t>
  </si>
  <si>
    <t>ARANDELAS DE ALUMINIO1/2  13x24</t>
  </si>
  <si>
    <t>1/2  13x24</t>
  </si>
  <si>
    <t>Al13.24</t>
  </si>
  <si>
    <t>ARANDELAS DE ALUMINIO6x10</t>
  </si>
  <si>
    <t>Al6.10</t>
  </si>
  <si>
    <t>ARANDELAS DE ALUMINIO8x13</t>
  </si>
  <si>
    <t>Al8.13</t>
  </si>
  <si>
    <t>ARANDELAS DE ALUMINIO9x14</t>
  </si>
  <si>
    <t>Al9.14</t>
  </si>
  <si>
    <t>ARANDELAS DE ALUMINIO10x14</t>
  </si>
  <si>
    <t>Al10.14</t>
  </si>
  <si>
    <t>ARANDELAS DE ALUMINIO11x17</t>
  </si>
  <si>
    <t>Al11.17</t>
  </si>
  <si>
    <t>ARANDELAS DE ALUMINIO12x17</t>
  </si>
  <si>
    <t>Al12.17</t>
  </si>
  <si>
    <t>ARANDELAS DE ALUMINIO13x20</t>
  </si>
  <si>
    <t>Al13.20</t>
  </si>
  <si>
    <t>ARANDELAS DE ALUMINIO14x20</t>
  </si>
  <si>
    <t>Al14.20</t>
  </si>
  <si>
    <t>ARANDELAS DE ALUMINIO15x21</t>
  </si>
  <si>
    <t>Al15.21</t>
  </si>
  <si>
    <t>ARANDELAS DE ALUMINIO16x21</t>
  </si>
  <si>
    <t>Al16.21</t>
  </si>
  <si>
    <t>ARANDELAS DE ALUMINIO17x22</t>
  </si>
  <si>
    <t>Al17.22</t>
  </si>
  <si>
    <t>ARANDELAS DE ALUMINIO18x23</t>
  </si>
  <si>
    <t>Al18.23</t>
  </si>
  <si>
    <t>ARANDELAS DE ALUMINIO19x24</t>
  </si>
  <si>
    <t>Al19.24</t>
  </si>
  <si>
    <t>ARANDELAS DE ALUMINIO20x26</t>
  </si>
  <si>
    <t>Al20.26</t>
  </si>
  <si>
    <t>ARANDELAS DE ALUMINIO21x26</t>
  </si>
  <si>
    <t>Al21.26</t>
  </si>
  <si>
    <t>ARANDELAS DE ALUMINIO22x28</t>
  </si>
  <si>
    <t>Al22.28</t>
  </si>
  <si>
    <t>ARANDELAS DE ALUMINIO24x30</t>
  </si>
  <si>
    <t>24x30</t>
  </si>
  <si>
    <t>Al24.30</t>
  </si>
  <si>
    <t>ARANDELAS DE ALUMINIO26x34</t>
  </si>
  <si>
    <t>Al26.34</t>
  </si>
  <si>
    <t>ARANDELAS DE ALUMINIO28x36</t>
  </si>
  <si>
    <t>28x36</t>
  </si>
  <si>
    <t>Al28.36</t>
  </si>
  <si>
    <t>ARANDELAS DE ALUMINIO30x40</t>
  </si>
  <si>
    <t>30x40</t>
  </si>
  <si>
    <t>Al30.40</t>
  </si>
  <si>
    <t>ARANDELAS DE FIBRA1/8 3x8</t>
  </si>
  <si>
    <t>ARANDELAS DE FIBRA</t>
  </si>
  <si>
    <t>Fi3,5.8</t>
  </si>
  <si>
    <t>ARANDELAS DE FIBRA5/32 4x10</t>
  </si>
  <si>
    <t>Fi4.10</t>
  </si>
  <si>
    <t>ARANDELAS DE FIBRA3/16  5x12</t>
  </si>
  <si>
    <t>Fi5.12</t>
  </si>
  <si>
    <t>ARANDELAS DE FIBRA1/4  6,5x14</t>
  </si>
  <si>
    <t>Fi6,5.13</t>
  </si>
  <si>
    <t>ARANDELAS DE FIBRA5/16  8x16</t>
  </si>
  <si>
    <t>Fi8.20</t>
  </si>
  <si>
    <t>ARANDELAS DE FIBRA3/8  10x18</t>
  </si>
  <si>
    <t>Fi10.21</t>
  </si>
  <si>
    <t>ARANDELAS DE FIBRA1/2  13x24</t>
  </si>
  <si>
    <t>Fi13.24</t>
  </si>
  <si>
    <t>ARANDELAS DE FIBRA6x10</t>
  </si>
  <si>
    <t>Fi6.10</t>
  </si>
  <si>
    <t>ARANDELAS DE FIBRA7x10</t>
  </si>
  <si>
    <t>7x10</t>
  </si>
  <si>
    <t>Fi7.10</t>
  </si>
  <si>
    <t>ARANDELAS DE FIBRA8x13</t>
  </si>
  <si>
    <t>Fi8.13</t>
  </si>
  <si>
    <t>ARANDELAS DE FIBRA9x14</t>
  </si>
  <si>
    <t>Fi9.14</t>
  </si>
  <si>
    <t>ARANDELAS DE FIBRA10x14</t>
  </si>
  <si>
    <t>Fi10.14</t>
  </si>
  <si>
    <t>ARANDELAS DE FIBRA11x17</t>
  </si>
  <si>
    <t>Fi11.17</t>
  </si>
  <si>
    <t>ARANDELAS DE FIBRA12x17</t>
  </si>
  <si>
    <t>Fi12.17</t>
  </si>
  <si>
    <t>ARANDELAS DE FIBRA13x20</t>
  </si>
  <si>
    <t>Fi13.20</t>
  </si>
  <si>
    <t>ARANDELAS DE FIBRA14x20</t>
  </si>
  <si>
    <t>Fi14.20</t>
  </si>
  <si>
    <t>ARANDELAS DE FIBRA15x21</t>
  </si>
  <si>
    <t>Fi15.21</t>
  </si>
  <si>
    <t>ARANDELAS DE FIBRA16x19</t>
  </si>
  <si>
    <t>16x19</t>
  </si>
  <si>
    <t>Fi16.19</t>
  </si>
  <si>
    <t>ARANDELAS DE FIBRA16x21</t>
  </si>
  <si>
    <t>Fi16.21</t>
  </si>
  <si>
    <t>ARANDELAS DE FIBRA16x24</t>
  </si>
  <si>
    <t>16x24</t>
  </si>
  <si>
    <t>Fi16.24</t>
  </si>
  <si>
    <t>ARANDELAS DE FIBRA17x22</t>
  </si>
  <si>
    <t>Fi17.22</t>
  </si>
  <si>
    <t>ARANDELAS DE FIBRA18x23</t>
  </si>
  <si>
    <t>Fi18.23</t>
  </si>
  <si>
    <t>ARANDELAS DE FIBRA19x24</t>
  </si>
  <si>
    <t>Fi19.24</t>
  </si>
  <si>
    <t>ARANDELAS DE FIBRA20x26</t>
  </si>
  <si>
    <t>Fi20.26</t>
  </si>
  <si>
    <t>ARANDELAS DE FIBRA21x26</t>
  </si>
  <si>
    <t>Fi21.26</t>
  </si>
  <si>
    <t>ARANDELAS DE FIBRA22x28</t>
  </si>
  <si>
    <t>Fi22.28</t>
  </si>
  <si>
    <t>ARANDELAS DE FIBRA24x30</t>
  </si>
  <si>
    <t>Fi24.30</t>
  </si>
  <si>
    <t>ARANDELAS DE FIBRA26x34</t>
  </si>
  <si>
    <t>Fi26.34</t>
  </si>
  <si>
    <t>ARANDELAS DE FIBRA28x36</t>
  </si>
  <si>
    <t>Fi28.36</t>
  </si>
  <si>
    <t>ARANDELAS DE FIBRA30x40</t>
  </si>
  <si>
    <t>Fi30.40</t>
  </si>
  <si>
    <t>ARANDELAS DE FIBRA32x40</t>
  </si>
  <si>
    <t>32x40</t>
  </si>
  <si>
    <t>Fi32.40</t>
  </si>
  <si>
    <t>ARANDELAS DE POLIPROPILENO1/8 3x8</t>
  </si>
  <si>
    <t>ARANDELAS DE POLIPROPILENO</t>
  </si>
  <si>
    <t>PolPo1/8 3x8</t>
  </si>
  <si>
    <t>ARANDELAS DE POLIPROPILENO5/32 4x10</t>
  </si>
  <si>
    <t>PolPo5/32 4x10</t>
  </si>
  <si>
    <t>ARANDELAS DE POLIPROPILENO3/16  5x12</t>
  </si>
  <si>
    <t>PolPo3/16  5x12</t>
  </si>
  <si>
    <t>ARANDELAS DE POLIPROPILENO1/4  6,5x14</t>
  </si>
  <si>
    <t>PolPo1/4  6,5x14</t>
  </si>
  <si>
    <t>ARANDELAS DE POLIPROPILENO5/16  8x16</t>
  </si>
  <si>
    <t>PolPo5/16  8x16</t>
  </si>
  <si>
    <t>ARANDELAS DE POLIPROPILENO3/8  10x18</t>
  </si>
  <si>
    <t>PolPo3/8  10x18</t>
  </si>
  <si>
    <t>SUPLEMENTO 0,25x10</t>
  </si>
  <si>
    <t>SUPLEMENTO 0,2</t>
  </si>
  <si>
    <t>5x10</t>
  </si>
  <si>
    <t>MINOLI</t>
  </si>
  <si>
    <t>SUPLEMENTO 0,2 - 5x10</t>
  </si>
  <si>
    <t>SUPLEMENTO 0,25x13</t>
  </si>
  <si>
    <t>5x13</t>
  </si>
  <si>
    <t>SUPLEMENTO 0,2 - 5x13</t>
  </si>
  <si>
    <t>SUPLEMENTO 0,26x11</t>
  </si>
  <si>
    <t>6x11</t>
  </si>
  <si>
    <t>SUPLEMENTO 0,2 - 6x11</t>
  </si>
  <si>
    <t>SUPLEMENTO 0,26x14</t>
  </si>
  <si>
    <t>6x14</t>
  </si>
  <si>
    <t>SUPLEMENTO 0,2 - 6x14</t>
  </si>
  <si>
    <t>SUPLEMENTO 0,27x12</t>
  </si>
  <si>
    <t>7x12</t>
  </si>
  <si>
    <t>SUPLEMENTO 0,2 - 7x12</t>
  </si>
  <si>
    <t>SUPLEMENTO 0,27x15</t>
  </si>
  <si>
    <t>7x15</t>
  </si>
  <si>
    <t>SUPLEMENTO 0,2 - 7x15</t>
  </si>
  <si>
    <t>SUPLEMENTO 0,28x13</t>
  </si>
  <si>
    <t>SUPLEMENTO 0,2 - 8x13</t>
  </si>
  <si>
    <t>SUPLEMENTO 0,28x16</t>
  </si>
  <si>
    <t>8x16</t>
  </si>
  <si>
    <t>SUPLEMENTO 0,2 - 8x16</t>
  </si>
  <si>
    <t>SUPLEMENTO 0,29x14</t>
  </si>
  <si>
    <t>SUPLEMENTO 0,2 - 9x14</t>
  </si>
  <si>
    <t>SUPLEMENTO 0,29x17</t>
  </si>
  <si>
    <t>9x17</t>
  </si>
  <si>
    <t>SUPLEMENTO 0,2 - 9x17</t>
  </si>
  <si>
    <t>SUPLEMENTO 0,210x15</t>
  </si>
  <si>
    <t>10x15</t>
  </si>
  <si>
    <t>SUPLEMENTO 0,2 - 10x15</t>
  </si>
  <si>
    <t>SUPLEMENTO 0,210x18</t>
  </si>
  <si>
    <t>10x18</t>
  </si>
  <si>
    <t>SUPLEMENTO 0,2 - 10x18</t>
  </si>
  <si>
    <t>SUPLEMENTO 0,210x26</t>
  </si>
  <si>
    <t>10x26</t>
  </si>
  <si>
    <t>SUPLEMENTO 0,2 - 10x26</t>
  </si>
  <si>
    <t>SUPLEMENTO 0,211x16</t>
  </si>
  <si>
    <t>11x16</t>
  </si>
  <si>
    <t>SUPLEMENTO 0,2 - 11x16</t>
  </si>
  <si>
    <t>SUPLEMENTO 0,211x19</t>
  </si>
  <si>
    <t>11x19</t>
  </si>
  <si>
    <t>SUPLEMENTO 0,2 - 11x19</t>
  </si>
  <si>
    <t>SUPLEMENTO 0,211x27</t>
  </si>
  <si>
    <t>11x27</t>
  </si>
  <si>
    <t>SUPLEMENTO 0,2 - 11x27</t>
  </si>
  <si>
    <t>SUPLEMENTO 0,212x17</t>
  </si>
  <si>
    <t>SUPLEMENTO 0,2 - 12x17</t>
  </si>
  <si>
    <t>SUPLEMENTO 0,212x20</t>
  </si>
  <si>
    <t>12x20</t>
  </si>
  <si>
    <t>SUPLEMENTO 0,2 - 12x20</t>
  </si>
  <si>
    <t>SUPLEMENTO 0,212x28</t>
  </si>
  <si>
    <t>12x28</t>
  </si>
  <si>
    <t>SUPLEMENTO 0,2 - 12x28</t>
  </si>
  <si>
    <t>SUPLEMENTO 0,213x18</t>
  </si>
  <si>
    <t>13x18</t>
  </si>
  <si>
    <t>SUPLEMENTO 0,2 - 13x18</t>
  </si>
  <si>
    <t>SUPLEMENTO 0,213x21</t>
  </si>
  <si>
    <t>13x21</t>
  </si>
  <si>
    <t>SUPLEMENTO 0,2 - 13x21</t>
  </si>
  <si>
    <t>SUPLEMENTO 0,213x29</t>
  </si>
  <si>
    <t>13x29</t>
  </si>
  <si>
    <t>SUPLEMENTO 0,2 - 13x29</t>
  </si>
  <si>
    <t>SUPLEMENTO 0,214x19</t>
  </si>
  <si>
    <t>14x19</t>
  </si>
  <si>
    <t>SUPLEMENTO 0,2 - 14x19</t>
  </si>
  <si>
    <t>SUPLEMENTO 0,214x22</t>
  </si>
  <si>
    <t>14x22</t>
  </si>
  <si>
    <t>SUPLEMENTO 0,2 - 14x22</t>
  </si>
  <si>
    <t>SUPLEMENTO 0,214x30</t>
  </si>
  <si>
    <t>14x30</t>
  </si>
  <si>
    <t>SUPLEMENTO 0,2 - 14x30</t>
  </si>
  <si>
    <t>SUPLEMENTO 0,215x20</t>
  </si>
  <si>
    <t>15x20</t>
  </si>
  <si>
    <t>SUPLEMENTO 0,2 - 15x20</t>
  </si>
  <si>
    <t>SUPLEMENTO 0,215x23</t>
  </si>
  <si>
    <t>15x23</t>
  </si>
  <si>
    <t>SUPLEMENTO 0,2 - 15x23</t>
  </si>
  <si>
    <t>SUPLEMENTO 0,215x30</t>
  </si>
  <si>
    <t>15x30</t>
  </si>
  <si>
    <t>SUPLEMENTO 0,2 - 15x30</t>
  </si>
  <si>
    <t>SUPLEMENTO 0,216x21</t>
  </si>
  <si>
    <t>SUPLEMENTO 0,2 - 16x21</t>
  </si>
  <si>
    <t>SUPLEMENTO 0,216x24</t>
  </si>
  <si>
    <t>SUPLEMENTO 0,2 - 16x24</t>
  </si>
  <si>
    <t>SUPLEMENTO 0,216x32</t>
  </si>
  <si>
    <t>16x32</t>
  </si>
  <si>
    <t>SUPLEMENTO 0,2 - 16x32</t>
  </si>
  <si>
    <t>SUPLEMENTO 0,217x22</t>
  </si>
  <si>
    <t>SUPLEMENTO 0,2 - 17x22</t>
  </si>
  <si>
    <t>SUPLEMENTO 0,217x25</t>
  </si>
  <si>
    <t>17x25</t>
  </si>
  <si>
    <t>SUPLEMENTO 0,2 - 17x25</t>
  </si>
  <si>
    <t>SUPLEMENTO 0,217x33</t>
  </si>
  <si>
    <t>17x33</t>
  </si>
  <si>
    <t>SUPLEMENTO 0,2 - 17x33</t>
  </si>
  <si>
    <t>SUPLEMENTO 0,218x23</t>
  </si>
  <si>
    <t>SUPLEMENTO 0,2 - 18x23</t>
  </si>
  <si>
    <t>SUPLEMENTO 0,218x26</t>
  </si>
  <si>
    <t>18x26</t>
  </si>
  <si>
    <t>SUPLEMENTO 0,2 - 18x26</t>
  </si>
  <si>
    <t>SUPLEMENTO 0,218x34</t>
  </si>
  <si>
    <t>18x34</t>
  </si>
  <si>
    <t>SUPLEMENTO 0,2 - 18x34</t>
  </si>
  <si>
    <t>SUPLEMENTO 0,219x24</t>
  </si>
  <si>
    <t>SUPLEMENTO 0,2 - 19x24</t>
  </si>
  <si>
    <t>SUPLEMENTO 0,219x27</t>
  </si>
  <si>
    <t>19x27</t>
  </si>
  <si>
    <t>SUPLEMENTO 0,2 - 19x27</t>
  </si>
  <si>
    <t>SUPLEMENTO 0,219x35</t>
  </si>
  <si>
    <t>19x35</t>
  </si>
  <si>
    <t>SUPLEMENTO 0,2 - 19x35</t>
  </si>
  <si>
    <t>SUPLEMENTO 0,220x25</t>
  </si>
  <si>
    <t>20x25</t>
  </si>
  <si>
    <t>SUPLEMENTO 0,2 - 20x25</t>
  </si>
  <si>
    <t>SUPLEMENTO 0,220x28</t>
  </si>
  <si>
    <t>20x28</t>
  </si>
  <si>
    <t>SUPLEMENTO 0,2 - 20x28</t>
  </si>
  <si>
    <t>SUPLEMENTO 0,220x36</t>
  </si>
  <si>
    <t>20x36</t>
  </si>
  <si>
    <t>SUPLEMENTO 0,2 - 20x36</t>
  </si>
  <si>
    <t>SUPLEMENTO 0,221x26</t>
  </si>
  <si>
    <t>SUPLEMENTO 0,2 - 21x26</t>
  </si>
  <si>
    <t>SUPLEMENTO 0,221x29</t>
  </si>
  <si>
    <t>21x29</t>
  </si>
  <si>
    <t>SUPLEMENTO 0,2 - 21x29</t>
  </si>
  <si>
    <t>SUPLEMENTO 0,221x37</t>
  </si>
  <si>
    <t>21x37</t>
  </si>
  <si>
    <t>SUPLEMENTO 0,2 - 21x37</t>
  </si>
  <si>
    <t>SUPLEMENTO 0,222x27</t>
  </si>
  <si>
    <t>22x27</t>
  </si>
  <si>
    <t>SUPLEMENTO 0,2 - 22x27</t>
  </si>
  <si>
    <t>SUPLEMENTO 0,222x30</t>
  </si>
  <si>
    <t>22x30</t>
  </si>
  <si>
    <t>SUPLEMENTO 0,2 - 22x30</t>
  </si>
  <si>
    <t>SUPLEMENTO 0,222x38</t>
  </si>
  <si>
    <t>22x38</t>
  </si>
  <si>
    <t>SUPLEMENTO 0,2 - 22x38</t>
  </si>
  <si>
    <t>SUPLEMENTO 0,223x28</t>
  </si>
  <si>
    <t>23x28</t>
  </si>
  <si>
    <t>SUPLEMENTO 0,2 - 23x28</t>
  </si>
  <si>
    <t>SUPLEMENTO 0,223x31</t>
  </si>
  <si>
    <t>23x31</t>
  </si>
  <si>
    <t>SUPLEMENTO 0,2 - 23x31</t>
  </si>
  <si>
    <t>SUPLEMENTO 0,223x39</t>
  </si>
  <si>
    <t>23x39</t>
  </si>
  <si>
    <t>SUPLEMENTO 0,2 - 23x39</t>
  </si>
  <si>
    <t>SUPLEMENTO 0,224x29</t>
  </si>
  <si>
    <t>24x29</t>
  </si>
  <si>
    <t>SUPLEMENTO 0,2 - 24x29</t>
  </si>
  <si>
    <t>SUPLEMENTO 0,224x32</t>
  </si>
  <si>
    <t>SUPLEMENTO 0,2 - 24x32</t>
  </si>
  <si>
    <t>SUPLEMENTO 0,224x40</t>
  </si>
  <si>
    <t>24x40</t>
  </si>
  <si>
    <t>SUPLEMENTO 0,2 - 24x40</t>
  </si>
  <si>
    <t>SUPLEMENTO 0,225x30</t>
  </si>
  <si>
    <t>25x30</t>
  </si>
  <si>
    <t>SUPLEMENTO 0,2 - 25x30</t>
  </si>
  <si>
    <t>SUPLEMENTO 0,225x33</t>
  </si>
  <si>
    <t>25x33</t>
  </si>
  <si>
    <t>SUPLEMENTO 0,2 - 25x33</t>
  </si>
  <si>
    <t>SUPLEMENTO 0,225x41</t>
  </si>
  <si>
    <t>25x41</t>
  </si>
  <si>
    <t>SUPLEMENTO 0,2 - 25x41</t>
  </si>
  <si>
    <t>SUPLEMENTO 0,226x31</t>
  </si>
  <si>
    <t>26x31</t>
  </si>
  <si>
    <t>SUPLEMENTO 0,2 - 26x31</t>
  </si>
  <si>
    <t>SUPLEMENTO 0,226x34</t>
  </si>
  <si>
    <t>SUPLEMENTO 0,2 - 26x34</t>
  </si>
  <si>
    <t>SUPLEMENTO 0,226x42</t>
  </si>
  <si>
    <t>26x42</t>
  </si>
  <si>
    <t>SUPLEMENTO 0,2 - 26x42</t>
  </si>
  <si>
    <t>SUPLEMENTO 0,227x35</t>
  </si>
  <si>
    <t>27x35</t>
  </si>
  <si>
    <t>SUPLEMENTO 0,2 - 27x35</t>
  </si>
  <si>
    <t>SUPLEMENTO 0,227x43</t>
  </si>
  <si>
    <t>27x43</t>
  </si>
  <si>
    <t>SUPLEMENTO 0,2 - 27x43</t>
  </si>
  <si>
    <t>SUPLEMENTO 0,228x36</t>
  </si>
  <si>
    <t>SUPLEMENTO 0,2 - 28x36</t>
  </si>
  <si>
    <t>SUPLEMENTO 0,228x44</t>
  </si>
  <si>
    <t>28x44</t>
  </si>
  <si>
    <t>SUPLEMENTO 0,2 - 28x44</t>
  </si>
  <si>
    <t>SUPLEMENTO 0,229x37</t>
  </si>
  <si>
    <t>29x37</t>
  </si>
  <si>
    <t>SUPLEMENTO 0,2 - 29x37</t>
  </si>
  <si>
    <t>SUPLEMENTO 0,229x45</t>
  </si>
  <si>
    <t>29x45</t>
  </si>
  <si>
    <t>SUPLEMENTO 0,2 - 29x45</t>
  </si>
  <si>
    <t>SUPLEMENTO 0,230x35</t>
  </si>
  <si>
    <t>30x35</t>
  </si>
  <si>
    <t>SUPLEMENTO 0,2 - 30x35</t>
  </si>
  <si>
    <t>SUPLEMENTO 0,230x38</t>
  </si>
  <si>
    <t>30x38</t>
  </si>
  <si>
    <t>SUPLEMENTO 0,2 - 30x38</t>
  </si>
  <si>
    <t>SUPLEMENTO 0,230x46</t>
  </si>
  <si>
    <t>30x46</t>
  </si>
  <si>
    <t>SUPLEMENTO 0,2 - 30x46</t>
  </si>
  <si>
    <t>SUPLEMENTO 0,231x39</t>
  </si>
  <si>
    <t>31x39</t>
  </si>
  <si>
    <t>SUPLEMENTO 0,2 - 31x39</t>
  </si>
  <si>
    <t>SUPLEMENTO 0,231x47</t>
  </si>
  <si>
    <t>31x47</t>
  </si>
  <si>
    <t>SUPLEMENTO 0,2 - 31x47</t>
  </si>
  <si>
    <t>SUPLEMENTO 0,232x40</t>
  </si>
  <si>
    <t>SUPLEMENTO 0,2 - 32x40</t>
  </si>
  <si>
    <t>SUPLEMENTO 0,232x48</t>
  </si>
  <si>
    <t>32x48</t>
  </si>
  <si>
    <t>SUPLEMENTO 0,2 - 32x48</t>
  </si>
  <si>
    <t>SUPLEMENTO 0,233x41</t>
  </si>
  <si>
    <t>33x41</t>
  </si>
  <si>
    <t>SUPLEMENTO 0,2 - 33x41</t>
  </si>
  <si>
    <t>SUPLEMENTO 0,233x49</t>
  </si>
  <si>
    <t>33x49</t>
  </si>
  <si>
    <t>SUPLEMENTO 0,2 - 33x49</t>
  </si>
  <si>
    <t>SUPLEMENTO 0,234x42</t>
  </si>
  <si>
    <t>34x42</t>
  </si>
  <si>
    <t>SUPLEMENTO 0,2 - 34x42</t>
  </si>
  <si>
    <t>SUPLEMENTO 0,234x50</t>
  </si>
  <si>
    <t>34x50</t>
  </si>
  <si>
    <t>SUPLEMENTO 0,2 - 34x50</t>
  </si>
  <si>
    <t>SUPLEMENTO 0,235x43</t>
  </si>
  <si>
    <t>35x43</t>
  </si>
  <si>
    <t>SUPLEMENTO 0,2 - 35x43</t>
  </si>
  <si>
    <t>SUPLEMENTO 0,235x51</t>
  </si>
  <si>
    <t>35x51</t>
  </si>
  <si>
    <t>SUPLEMENTO 0,2 - 35x51</t>
  </si>
  <si>
    <t>SUPLEMENTO 0,236x44</t>
  </si>
  <si>
    <t>36x44</t>
  </si>
  <si>
    <t>SUPLEMENTO 0,2 - 36x44</t>
  </si>
  <si>
    <t>SUPLEMENTO 0,236x52</t>
  </si>
  <si>
    <t>36x52</t>
  </si>
  <si>
    <t>SUPLEMENTO 0,2 - 36x52</t>
  </si>
  <si>
    <t>SUPLEMENTO 0,237x45</t>
  </si>
  <si>
    <t>37x45</t>
  </si>
  <si>
    <t>SUPLEMENTO 0,2 - 37x45</t>
  </si>
  <si>
    <t>SUPLEMENTO 0,237x53</t>
  </si>
  <si>
    <t>37x53</t>
  </si>
  <si>
    <t>SUPLEMENTO 0,2 - 37x53</t>
  </si>
  <si>
    <t>SUPLEMENTO 0,238x46</t>
  </si>
  <si>
    <t>38x46</t>
  </si>
  <si>
    <t>SUPLEMENTO 0,2 - 38x46</t>
  </si>
  <si>
    <t>SUPLEMENTO 0,238x54</t>
  </si>
  <si>
    <t>38x54</t>
  </si>
  <si>
    <t>SUPLEMENTO 0,2 - 38x54</t>
  </si>
  <si>
    <t>SUPLEMENTO 0,239x47</t>
  </si>
  <si>
    <t>39x47</t>
  </si>
  <si>
    <t>SUPLEMENTO 0,2 - 39x47</t>
  </si>
  <si>
    <t>SUPLEMENTO 0,239x55</t>
  </si>
  <si>
    <t>39x55</t>
  </si>
  <si>
    <t>SUPLEMENTO 0,2 - 39x55</t>
  </si>
  <si>
    <t>SUPLEMENTO 0,240x48</t>
  </si>
  <si>
    <t>40x48</t>
  </si>
  <si>
    <t>SUPLEMENTO 0,2 - 40x48</t>
  </si>
  <si>
    <t>SUPLEMENTO 0,240x56</t>
  </si>
  <si>
    <t>40x56</t>
  </si>
  <si>
    <t>SUPLEMENTO 0,2 - 40x56</t>
  </si>
  <si>
    <t>SUPLEMENTO 0,241x49</t>
  </si>
  <si>
    <t>41x49</t>
  </si>
  <si>
    <t>SUPLEMENTO 0,2 - 41x49</t>
  </si>
  <si>
    <t>SUPLEMENTO 0,241x57</t>
  </si>
  <si>
    <t>41x57</t>
  </si>
  <si>
    <t>SUPLEMENTO 0,2 - 41x57</t>
  </si>
  <si>
    <t>SUPLEMENTO 0,242x50</t>
  </si>
  <si>
    <t>42x50</t>
  </si>
  <si>
    <t>SUPLEMENTO 0,2 - 42x50</t>
  </si>
  <si>
    <t>SUPLEMENTO 0,242x58</t>
  </si>
  <si>
    <t>42x58</t>
  </si>
  <si>
    <t>SUPLEMENTO 0,2 - 42x58</t>
  </si>
  <si>
    <t>SUPLEMENTO 0,243x59</t>
  </si>
  <si>
    <t>43x59</t>
  </si>
  <si>
    <t>SUPLEMENTO 0,2 - 43x59</t>
  </si>
  <si>
    <t>SUPLEMENTO 0,244x60</t>
  </si>
  <si>
    <t>44x60</t>
  </si>
  <si>
    <t>SUPLEMENTO 0,2 - 44x60</t>
  </si>
  <si>
    <t>SUPLEMENTO 0,245x61</t>
  </si>
  <si>
    <t>45x61</t>
  </si>
  <si>
    <t>SUPLEMENTO 0,2 - 45x61</t>
  </si>
  <si>
    <t>SUPLEMENTO 0,246x58</t>
  </si>
  <si>
    <t>46x58</t>
  </si>
  <si>
    <t>SUPLEMENTO 0,2 - 46x58</t>
  </si>
  <si>
    <t>SUPLEMENTO 0,247x59</t>
  </si>
  <si>
    <t>47x59</t>
  </si>
  <si>
    <t>SUPLEMENTO 0,2 - 47x59</t>
  </si>
  <si>
    <t>SUPLEMENTO 0,248x60</t>
  </si>
  <si>
    <t>48x60</t>
  </si>
  <si>
    <t>SUPLEMENTO 0,2 - 48x60</t>
  </si>
  <si>
    <t>SUPLEMENTO 0,249x61</t>
  </si>
  <si>
    <t>49x61</t>
  </si>
  <si>
    <t>SUPLEMENTO 0,2 - 49x61</t>
  </si>
  <si>
    <t>SUPLEMENTO 0,250x62</t>
  </si>
  <si>
    <t>50x62</t>
  </si>
  <si>
    <t>SUPLEMENTO 0,2 - 50x62</t>
  </si>
  <si>
    <t>SUPLEMENTO 0,251x63</t>
  </si>
  <si>
    <t>51x63</t>
  </si>
  <si>
    <t>SUPLEMENTO 0,2 - 51x63</t>
  </si>
  <si>
    <t>SUPLEMENTO 0,252x64</t>
  </si>
  <si>
    <t>52x64</t>
  </si>
  <si>
    <t>SUPLEMENTO 0,2 - 52x64</t>
  </si>
  <si>
    <t>SUPLEMENTO 0,253x65</t>
  </si>
  <si>
    <t>53x65</t>
  </si>
  <si>
    <t>SUPLEMENTO 0,2 - 53x65</t>
  </si>
  <si>
    <t>SUPLEMENTO 0,254x66</t>
  </si>
  <si>
    <t>54x66</t>
  </si>
  <si>
    <t>SUPLEMENTO 0,2 - 54x66</t>
  </si>
  <si>
    <t>SUPLEMENTO 0,255x67</t>
  </si>
  <si>
    <t>55x67</t>
  </si>
  <si>
    <t>SUPLEMENTO 0,2 - 55x67</t>
  </si>
  <si>
    <t>SUPLEMENTO 0,256x68</t>
  </si>
  <si>
    <t>56x68</t>
  </si>
  <si>
    <t>SUPLEMENTO 0,2 - 56x68</t>
  </si>
  <si>
    <t>SUPLEMENTO 0,257x69</t>
  </si>
  <si>
    <t>57x69</t>
  </si>
  <si>
    <t>SUPLEMENTO 0,2 - 57x69</t>
  </si>
  <si>
    <t>SUPLEMENTO 0,258x70</t>
  </si>
  <si>
    <t>58x70</t>
  </si>
  <si>
    <t>SUPLEMENTO 0,2 - 58x70</t>
  </si>
  <si>
    <t>SUPLEMENTO 0,259x71</t>
  </si>
  <si>
    <t>59x71</t>
  </si>
  <si>
    <t>SUPLEMENTO 0,2 - 59x71</t>
  </si>
  <si>
    <t>SUPLEMENTO 0,260x72</t>
  </si>
  <si>
    <t>60x72</t>
  </si>
  <si>
    <t>SUPLEMENTO 0,2 - 60x72</t>
  </si>
  <si>
    <t>SUPLEMENTO 0,261x73</t>
  </si>
  <si>
    <t>61x73</t>
  </si>
  <si>
    <t>SUPLEMENTO 0,2 - 61x73</t>
  </si>
  <si>
    <t>SUPLEMENTO 0,262x74</t>
  </si>
  <si>
    <t>62x74</t>
  </si>
  <si>
    <t>SUPLEMENTO 0,2 - 62x74</t>
  </si>
  <si>
    <t>SUPLEMENTO 0,263x75</t>
  </si>
  <si>
    <t>63x75</t>
  </si>
  <si>
    <t>SUPLEMENTO 0,2 - 63x75</t>
  </si>
  <si>
    <t>SUPLEMENTO 0,264x76</t>
  </si>
  <si>
    <t>64x76</t>
  </si>
  <si>
    <t>SUPLEMENTO 0,2 - 64x76</t>
  </si>
  <si>
    <t>SUPLEMENTO 0,265x77</t>
  </si>
  <si>
    <t>65x77</t>
  </si>
  <si>
    <t>SUPLEMENTO 0,2 - 65x77</t>
  </si>
  <si>
    <t>SUPLEMENTO 0,266x78</t>
  </si>
  <si>
    <t>66x78</t>
  </si>
  <si>
    <t>SUPLEMENTO 0,2 - 66x78</t>
  </si>
  <si>
    <t>SUPLEMENTO 0,267x79</t>
  </si>
  <si>
    <t>67x79</t>
  </si>
  <si>
    <t>SUPLEMENTO 0,2 - 67x79</t>
  </si>
  <si>
    <t>SUPLEMENTO 0,268x80</t>
  </si>
  <si>
    <t>68x80</t>
  </si>
  <si>
    <t>SUPLEMENTO 0,2 - 68x80</t>
  </si>
  <si>
    <t>SUPLEMENTO 0,269x81</t>
  </si>
  <si>
    <t>69x81</t>
  </si>
  <si>
    <t>SUPLEMENTO 0,2 - 69x81</t>
  </si>
  <si>
    <t>SUPLEMENTO 0,270x82</t>
  </si>
  <si>
    <t>70x82</t>
  </si>
  <si>
    <t>SUPLEMENTO 0,2 - 70x82</t>
  </si>
  <si>
    <t>SUPLEMENTO 0,271x83</t>
  </si>
  <si>
    <t>71x83</t>
  </si>
  <si>
    <t>SUPLEMENTO 0,2 - 71x83</t>
  </si>
  <si>
    <t>SUPLEMENTO 0,272x84</t>
  </si>
  <si>
    <t>72x84</t>
  </si>
  <si>
    <t>SUPLEMENTO 0,2 - 72x84</t>
  </si>
  <si>
    <t>SUPLEMENTO 0,273x85</t>
  </si>
  <si>
    <t>73x85</t>
  </si>
  <si>
    <t>SUPLEMENTO 0,2 - 73x85</t>
  </si>
  <si>
    <t>SUPLEMENTO 0,274x86</t>
  </si>
  <si>
    <t>74x86</t>
  </si>
  <si>
    <t>SUPLEMENTO 0,2 - 74x86</t>
  </si>
  <si>
    <t>SUPLEMENTO 0,275x87</t>
  </si>
  <si>
    <t>75x87</t>
  </si>
  <si>
    <t>SUPLEMENTO 0,2 - 75x87</t>
  </si>
  <si>
    <t>SUPLEMENTO 0,276x88</t>
  </si>
  <si>
    <t>76x88</t>
  </si>
  <si>
    <t>SUPLEMENTO 0,2 - 76x88</t>
  </si>
  <si>
    <t>SUPLEMENTO 0,277x89</t>
  </si>
  <si>
    <t>77x89</t>
  </si>
  <si>
    <t>SUPLEMENTO 0,2 - 77x89</t>
  </si>
  <si>
    <t>SUPLEMENTO 0,278x90</t>
  </si>
  <si>
    <t>78x90</t>
  </si>
  <si>
    <t>SUPLEMENTO 0,2 - 78x90</t>
  </si>
  <si>
    <t>SUPLEMENTO 0,279x91</t>
  </si>
  <si>
    <t>79x91</t>
  </si>
  <si>
    <t>SUPLEMENTO 0,2 - 79x91</t>
  </si>
  <si>
    <t>SUPLEMENTO 0,280x92</t>
  </si>
  <si>
    <t>80x92</t>
  </si>
  <si>
    <t>SUPLEMENTO 0,2 - 80x92</t>
  </si>
  <si>
    <t>SUPLEMENTO 0,281x94</t>
  </si>
  <si>
    <t>81x94</t>
  </si>
  <si>
    <t>SUPLEMENTO 0,2 - 81x94</t>
  </si>
  <si>
    <t>SUPLEMENTO 0,282x95</t>
  </si>
  <si>
    <t>82x95</t>
  </si>
  <si>
    <t>SUPLEMENTO 0,2 - 82x95</t>
  </si>
  <si>
    <t>SUPLEMENTO 0,283x96</t>
  </si>
  <si>
    <t>83x96</t>
  </si>
  <si>
    <t>SUPLEMENTO 0,2 - 83x96</t>
  </si>
  <si>
    <t>SUPLEMENTO 0,284x97</t>
  </si>
  <si>
    <t>84x97</t>
  </si>
  <si>
    <t>SUPLEMENTO 0,2 - 84x97</t>
  </si>
  <si>
    <t>SUPLEMENTO 0,285x98</t>
  </si>
  <si>
    <t>85x98</t>
  </si>
  <si>
    <t>SUPLEMENTO 0,2 - 85x98</t>
  </si>
  <si>
    <t>SUPLEMENTO 0,286x99</t>
  </si>
  <si>
    <t>86x99</t>
  </si>
  <si>
    <t>SUPLEMENTO 0,2 - 86x99</t>
  </si>
  <si>
    <t>SUPLEMENTO 0,287x100</t>
  </si>
  <si>
    <t>87x100</t>
  </si>
  <si>
    <t>SUPLEMENTO 0,2 - 87x100</t>
  </si>
  <si>
    <t>SUPLEMENTO 0,288x101</t>
  </si>
  <si>
    <t>88x101</t>
  </si>
  <si>
    <t>SUPLEMENTO 0,2 - 88x101</t>
  </si>
  <si>
    <t>SUPLEMENTO 0,289x102</t>
  </si>
  <si>
    <t>89x102</t>
  </si>
  <si>
    <t>SUPLEMENTO 0,2 - 89x102</t>
  </si>
  <si>
    <t>SUPLEMENTO 0,290x103</t>
  </si>
  <si>
    <t>90x103</t>
  </si>
  <si>
    <t>SUPLEMENTO 0,2 - 90x103</t>
  </si>
  <si>
    <t>SUPLEMENTO 0,291x104</t>
  </si>
  <si>
    <t>91x104</t>
  </si>
  <si>
    <t>SUPLEMENTO 0,2 - 91x104</t>
  </si>
  <si>
    <t>SUPLEMENTO 0,292x105</t>
  </si>
  <si>
    <t>92x105</t>
  </si>
  <si>
    <t>SUPLEMENTO 0,2 - 92x105</t>
  </si>
  <si>
    <t>SUPLEMENTO 0,293x103</t>
  </si>
  <si>
    <t>93x103</t>
  </si>
  <si>
    <t>SUPLEMENTO 0,2 - 93x103</t>
  </si>
  <si>
    <t>SUPLEMENTO 0,294x106</t>
  </si>
  <si>
    <t>94x106</t>
  </si>
  <si>
    <t>SUPLEMENTO 0,2 - 94x106</t>
  </si>
  <si>
    <t>SUPLEMENTO 0,295x107</t>
  </si>
  <si>
    <t>95x107</t>
  </si>
  <si>
    <t>SUPLEMENTO 0,2 - 95x107</t>
  </si>
  <si>
    <t>SUPLEMENTO 0,296x108</t>
  </si>
  <si>
    <t>96x108</t>
  </si>
  <si>
    <t>SUPLEMENTO 0,2 - 96x108</t>
  </si>
  <si>
    <t>SUPLEMENTO 0,297x109</t>
  </si>
  <si>
    <t>97x109</t>
  </si>
  <si>
    <t>SUPLEMENTO 0,2 - 97x109</t>
  </si>
  <si>
    <t>SUPLEMENTO 0,298x110</t>
  </si>
  <si>
    <t>98x110</t>
  </si>
  <si>
    <t>SUPLEMENTO 0,2 - 98x110</t>
  </si>
  <si>
    <t>SUPLEMENTO 0,299x111</t>
  </si>
  <si>
    <t>99x111</t>
  </si>
  <si>
    <t>SUPLEMENTO 0,2 - 99x111</t>
  </si>
  <si>
    <t>SUPLEMENTO 0,2100x111</t>
  </si>
  <si>
    <t>100x111</t>
  </si>
  <si>
    <t>SUPLEMENTO 0,2 - 100x111</t>
  </si>
  <si>
    <t>SUPLEMENTO 0,2100x112</t>
  </si>
  <si>
    <t>100x112</t>
  </si>
  <si>
    <t>SUPLEMENTO 0,2 - 100x112</t>
  </si>
  <si>
    <t>SUPLEMENTO 0,2101x113</t>
  </si>
  <si>
    <t>101x113</t>
  </si>
  <si>
    <t>SUPLEMENTO 0,2 - 101x113</t>
  </si>
  <si>
    <t>SUPLEMENTO 0,2102x114</t>
  </si>
  <si>
    <t>102x114</t>
  </si>
  <si>
    <t>SUPLEMENTO 0,2 - 102x114</t>
  </si>
  <si>
    <t>SUPLEMENTO 0,2103x114</t>
  </si>
  <si>
    <t>103x114</t>
  </si>
  <si>
    <t>SUPLEMENTO 0,2 - 103x114</t>
  </si>
  <si>
    <t>SUPLEMENTO 0,2103x115</t>
  </si>
  <si>
    <t>103x115</t>
  </si>
  <si>
    <t>SUPLEMENTO 0,2 - 103x115</t>
  </si>
  <si>
    <t>SUPLEMENTO 0,2104x114</t>
  </si>
  <si>
    <t>104x114</t>
  </si>
  <si>
    <t>SUPLEMENTO 0,2 - 104x114</t>
  </si>
  <si>
    <t>SUPLEMENTO 0,2104x116</t>
  </si>
  <si>
    <t>104x116</t>
  </si>
  <si>
    <t>SUPLEMENTO 0,2 - 104x116</t>
  </si>
  <si>
    <t>SUPLEMENTO 0,2105x117</t>
  </si>
  <si>
    <t>105x117</t>
  </si>
  <si>
    <t>SUPLEMENTO 0,2 - 105x117</t>
  </si>
  <si>
    <t>SUPLEMENTO 0,2105x118</t>
  </si>
  <si>
    <t>105x118</t>
  </si>
  <si>
    <t>SUPLEMENTO 0,2 - 105x118</t>
  </si>
  <si>
    <t>SUPLEMENTO 0,2106x118</t>
  </si>
  <si>
    <t>106x118</t>
  </si>
  <si>
    <t>SUPLEMENTO 0,2 - 106x118</t>
  </si>
  <si>
    <t>SUPLEMENTO 0,2107x118</t>
  </si>
  <si>
    <t>107x118</t>
  </si>
  <si>
    <t>SUPLEMENTO 0,2 - 107x118</t>
  </si>
  <si>
    <t>SUPLEMENTO 0,2107x119</t>
  </si>
  <si>
    <t>107x119</t>
  </si>
  <si>
    <t>SUPLEMENTO 0,2 - 107x119</t>
  </si>
  <si>
    <t>SUPLEMENTO 0,2108x120</t>
  </si>
  <si>
    <t>108x120</t>
  </si>
  <si>
    <t>SUPLEMENTO 0,2 - 108x120</t>
  </si>
  <si>
    <t>SUPLEMENTO 0,2109x121</t>
  </si>
  <si>
    <t>109x121</t>
  </si>
  <si>
    <t>SUPLEMENTO 0,2 - 109x121</t>
  </si>
  <si>
    <t>SUPLEMENTO 0,2110x121</t>
  </si>
  <si>
    <t>110x121</t>
  </si>
  <si>
    <t>SUPLEMENTO 0,2 - 110x121</t>
  </si>
  <si>
    <t>SUPLEMENTO 0,2110x124</t>
  </si>
  <si>
    <t>110x124</t>
  </si>
  <si>
    <t>SUPLEMENTO 0,2 - 110x124</t>
  </si>
  <si>
    <t>SUPLEMENTO 0,2111x124</t>
  </si>
  <si>
    <t>111x124</t>
  </si>
  <si>
    <t>SUPLEMENTO 0,2 - 111x124</t>
  </si>
  <si>
    <t>SUPLEMENTO 0,2112x124</t>
  </si>
  <si>
    <t>112x124</t>
  </si>
  <si>
    <t>SUPLEMENTO 0,2 - 112x124</t>
  </si>
  <si>
    <t>SUPLEMENTO 0,2113x127</t>
  </si>
  <si>
    <t>113x127</t>
  </si>
  <si>
    <t>SUPLEMENTO 0,2 - 113x127</t>
  </si>
  <si>
    <t>SUPLEMENTO 0,2114x127</t>
  </si>
  <si>
    <t>114x127</t>
  </si>
  <si>
    <t>SUPLEMENTO 0,2 - 114x127</t>
  </si>
  <si>
    <t>SUPLEMENTO 0,2115x127</t>
  </si>
  <si>
    <t>115x127</t>
  </si>
  <si>
    <t>SUPLEMENTO 0,2 - 115x127</t>
  </si>
  <si>
    <t>SUPLEMENTO 0,2116x130</t>
  </si>
  <si>
    <t>116x130</t>
  </si>
  <si>
    <t>SUPLEMENTO 0,2 - 116x130</t>
  </si>
  <si>
    <t>SUPLEMENTO 0,2117x130</t>
  </si>
  <si>
    <t>117x130</t>
  </si>
  <si>
    <t>SUPLEMENTO 0,2 - 117x130</t>
  </si>
  <si>
    <t>SUPLEMENTO 0,2118x130</t>
  </si>
  <si>
    <t>118x130</t>
  </si>
  <si>
    <t>SUPLEMENTO 0,2 - 118x130</t>
  </si>
  <si>
    <t>SUPLEMENTO 0,2119x133</t>
  </si>
  <si>
    <t>119x133</t>
  </si>
  <si>
    <t>SUPLEMENTO 0,2 - 119x133</t>
  </si>
  <si>
    <t>SUPLEMENTO 0,2120x133</t>
  </si>
  <si>
    <t>120x133</t>
  </si>
  <si>
    <t>SUPLEMENTO 0,2 - 120x133</t>
  </si>
  <si>
    <t>SUPLEMENTO 0,2121x133</t>
  </si>
  <si>
    <t>121x133</t>
  </si>
  <si>
    <t>SUPLEMENTO 0,2 - 121x133</t>
  </si>
  <si>
    <t>SUPLEMENTO 0,85x10</t>
  </si>
  <si>
    <t>SUPLEMENTO 0,8</t>
  </si>
  <si>
    <t>SUPLEMENTO 0,8 - 5x10</t>
  </si>
  <si>
    <t>SUPLEMENTO 0,85x13</t>
  </si>
  <si>
    <t>SUPLEMENTO 0,8 - 5x13</t>
  </si>
  <si>
    <t>SUPLEMENTO 0,86x11</t>
  </si>
  <si>
    <t>SUPLEMENTO 0,8 - 6x11</t>
  </si>
  <si>
    <t>SUPLEMENTO 0,86x14</t>
  </si>
  <si>
    <t>SUPLEMENTO 0,8 - 6x14</t>
  </si>
  <si>
    <t>SUPLEMENTO 0,87x12</t>
  </si>
  <si>
    <t>SUPLEMENTO 0,8 - 7x12</t>
  </si>
  <si>
    <t>SUPLEMENTO 0,87x15</t>
  </si>
  <si>
    <t>SUPLEMENTO 0,8 - 7x15</t>
  </si>
  <si>
    <t>SUPLEMENTO 0,88x13</t>
  </si>
  <si>
    <t>SUPLEMENTO 0,8 - 8x13</t>
  </si>
  <si>
    <t>SUPLEMENTO 0,88x16</t>
  </si>
  <si>
    <t>SUPLEMENTO 0,8 - 8x16</t>
  </si>
  <si>
    <t>SUPLEMENTO 0,89x14</t>
  </si>
  <si>
    <t>SUPLEMENTO 0,8 - 9x14</t>
  </si>
  <si>
    <t>SUPLEMENTO 0,89x17</t>
  </si>
  <si>
    <t>SUPLEMENTO 0,8 - 9x17</t>
  </si>
  <si>
    <t>SUPLEMENTO 0,810x15</t>
  </si>
  <si>
    <t>SUPLEMENTO 0,8 - 10x15</t>
  </si>
  <si>
    <t>SUPLEMENTO 0,810x18</t>
  </si>
  <si>
    <t>SUPLEMENTO 0,8 - 10x18</t>
  </si>
  <si>
    <t>SUPLEMENTO 0,810x26</t>
  </si>
  <si>
    <t>SUPLEMENTO 0,8 - 10x26</t>
  </si>
  <si>
    <t>SUPLEMENTO 0,811x16</t>
  </si>
  <si>
    <t>SUPLEMENTO 0,8 - 11x16</t>
  </si>
  <si>
    <t>SUPLEMENTO 0,811x19</t>
  </si>
  <si>
    <t>SUPLEMENTO 0,8 - 11x19</t>
  </si>
  <si>
    <t>SUPLEMENTO 0,811x27</t>
  </si>
  <si>
    <t>SUPLEMENTO 0,8 - 11x27</t>
  </si>
  <si>
    <t>SUPLEMENTO 0,812x17</t>
  </si>
  <si>
    <t>SUPLEMENTO 0,8 - 12x17</t>
  </si>
  <si>
    <t>SUPLEMENTO 0,812x20</t>
  </si>
  <si>
    <t>SUPLEMENTO 0,8 - 12x20</t>
  </si>
  <si>
    <t>SUPLEMENTO 0,812x28</t>
  </si>
  <si>
    <t>SUPLEMENTO 0,8 - 12x28</t>
  </si>
  <si>
    <t>SUPLEMENTO 0,813x18</t>
  </si>
  <si>
    <t>SUPLEMENTO 0,8 - 13x18</t>
  </si>
  <si>
    <t>SUPLEMENTO 0,813x21</t>
  </si>
  <si>
    <t>SUPLEMENTO 0,8 - 13x21</t>
  </si>
  <si>
    <t>SUPLEMENTO 0,813x29</t>
  </si>
  <si>
    <t>SUPLEMENTO 0,8 - 13x29</t>
  </si>
  <si>
    <t>SUPLEMENTO 0,814x19</t>
  </si>
  <si>
    <t>SUPLEMENTO 0,8 - 14x19</t>
  </si>
  <si>
    <t>SUPLEMENTO 0,814x22</t>
  </si>
  <si>
    <t>SUPLEMENTO 0,8 - 14x22</t>
  </si>
  <si>
    <t>SUPLEMENTO 0,814x30</t>
  </si>
  <si>
    <t>SUPLEMENTO 0,8 - 14x30</t>
  </si>
  <si>
    <t>SUPLEMENTO 0,815x20</t>
  </si>
  <si>
    <t>SUPLEMENTO 0,8 - 15x20</t>
  </si>
  <si>
    <t>SUPLEMENTO 0,815x23</t>
  </si>
  <si>
    <t>SUPLEMENTO 0,8 - 15x23</t>
  </si>
  <si>
    <t>SUPLEMENTO 0,815x30</t>
  </si>
  <si>
    <t>SUPLEMENTO 0,8 - 15x30</t>
  </si>
  <si>
    <t>SUPLEMENTO 0,816x21</t>
  </si>
  <si>
    <t>SUPLEMENTO 0,8 - 16x21</t>
  </si>
  <si>
    <t>SUPLEMENTO 0,816x24</t>
  </si>
  <si>
    <t>SUPLEMENTO 0,8 - 16x24</t>
  </si>
  <si>
    <t>SUPLEMENTO 0,816x32</t>
  </si>
  <si>
    <t>SUPLEMENTO 0,8 - 16x32</t>
  </si>
  <si>
    <t>SUPLEMENTO 0,817x22</t>
  </si>
  <si>
    <t>SUPLEMENTO 0,8 - 17x22</t>
  </si>
  <si>
    <t>SUPLEMENTO 0,817x25</t>
  </si>
  <si>
    <t>SUPLEMENTO 0,8 - 17x25</t>
  </si>
  <si>
    <t>SUPLEMENTO 0,817x33</t>
  </si>
  <si>
    <t>SUPLEMENTO 0,8 - 17x33</t>
  </si>
  <si>
    <t>SUPLEMENTO 0,818x23</t>
  </si>
  <si>
    <t>SUPLEMENTO 0,8 - 18x23</t>
  </si>
  <si>
    <t>SUPLEMENTO 0,818x26</t>
  </si>
  <si>
    <t>SUPLEMENTO 0,8 - 18x26</t>
  </si>
  <si>
    <t>SUPLEMENTO 0,818x34</t>
  </si>
  <si>
    <t>SUPLEMENTO 0,8 - 18x34</t>
  </si>
  <si>
    <t>SUPLEMENTO 0,819x24</t>
  </si>
  <si>
    <t>SUPLEMENTO 0,8 - 19x24</t>
  </si>
  <si>
    <t>SUPLEMENTO 0,819x27</t>
  </si>
  <si>
    <t>SUPLEMENTO 0,8 - 19x27</t>
  </si>
  <si>
    <t>SUPLEMENTO 0,819x35</t>
  </si>
  <si>
    <t>SUPLEMENTO 0,8 - 19x35</t>
  </si>
  <si>
    <t>SUPLEMENTO 0,820x25</t>
  </si>
  <si>
    <t>SUPLEMENTO 0,8 - 20x25</t>
  </si>
  <si>
    <t>SUPLEMENTO 0,820x28</t>
  </si>
  <si>
    <t>SUPLEMENTO 0,8 - 20x28</t>
  </si>
  <si>
    <t>SUPLEMENTO 0,820x36</t>
  </si>
  <si>
    <t>SUPLEMENTO 0,8 - 20x36</t>
  </si>
  <si>
    <t>SUPLEMENTO 0,821x29</t>
  </si>
  <si>
    <t>SUPLEMENTO 0,8 - 21x29</t>
  </si>
  <si>
    <t>SUPLEMENTO 0,821x37</t>
  </si>
  <si>
    <t>SUPLEMENTO 0,8 - 21x37</t>
  </si>
  <si>
    <t>SUPLEMENTO 0,822x30</t>
  </si>
  <si>
    <t>SUPLEMENTO 0,8 - 22x30</t>
  </si>
  <si>
    <t>SUPLEMENTO 0,822x38</t>
  </si>
  <si>
    <t>SUPLEMENTO 0,8 - 22x38</t>
  </si>
  <si>
    <t>SUPLEMENTO 0,823x31</t>
  </si>
  <si>
    <t>SUPLEMENTO 0,8 - 23x31</t>
  </si>
  <si>
    <t>SUPLEMENTO 0,823x39</t>
  </si>
  <si>
    <t>SUPLEMENTO 0,8 - 23x39</t>
  </si>
  <si>
    <t>SUPLEMENTO 0,824x32</t>
  </si>
  <si>
    <t>SUPLEMENTO 0,8 - 24x32</t>
  </si>
  <si>
    <t>SUPLEMENTO 0,824x40</t>
  </si>
  <si>
    <t>SUPLEMENTO 0,8 - 24x40</t>
  </si>
  <si>
    <t>SUPLEMENTO 0,825x33</t>
  </si>
  <si>
    <t>SUPLEMENTO 0,8 - 25x33</t>
  </si>
  <si>
    <t>SUPLEMENTO 0,825x41</t>
  </si>
  <si>
    <t>SUPLEMENTO 0,8 - 25x41</t>
  </si>
  <si>
    <t>SUPLEMENTO 0,826x34</t>
  </si>
  <si>
    <t>SUPLEMENTO 0,8 - 26x34</t>
  </si>
  <si>
    <t>SUPLEMENTO 0,826x42</t>
  </si>
  <si>
    <t>SUPLEMENTO 0,8 - 26x42</t>
  </si>
  <si>
    <t>SUPLEMENTO 0,827x35</t>
  </si>
  <si>
    <t>SUPLEMENTO 0,8 - 27x35</t>
  </si>
  <si>
    <t>SUPLEMENTO 0,827x43</t>
  </si>
  <si>
    <t>SUPLEMENTO 0,8 - 27x43</t>
  </si>
  <si>
    <t>SUPLEMENTO 0,828x36</t>
  </si>
  <si>
    <t>SUPLEMENTO 0,8 - 28x36</t>
  </si>
  <si>
    <t>SUPLEMENTO 0,828x44</t>
  </si>
  <si>
    <t>SUPLEMENTO 0,8 - 28x44</t>
  </si>
  <si>
    <t>SUPLEMENTO 0,829x37</t>
  </si>
  <si>
    <t>SUPLEMENTO 0,8 - 29x37</t>
  </si>
  <si>
    <t>SUPLEMENTO 0,829x45</t>
  </si>
  <si>
    <t>SUPLEMENTO 0,8 - 29x45</t>
  </si>
  <si>
    <t>SUPLEMENTO 0,830x38</t>
  </si>
  <si>
    <t>SUPLEMENTO 0,8 - 30x38</t>
  </si>
  <si>
    <t>SUPLEMENTO 0,830X46</t>
  </si>
  <si>
    <t>30X46</t>
  </si>
  <si>
    <t>SUPLEMENTO 0,8 - 30X46</t>
  </si>
  <si>
    <t>SUPLEMENTO 0,831x39</t>
  </si>
  <si>
    <t>SUPLEMENTO 0,8 - 31x39</t>
  </si>
  <si>
    <t>SUPLEMENTO 0,831x47</t>
  </si>
  <si>
    <t>SUPLEMENTO 0,8 - 31x47</t>
  </si>
  <si>
    <t>SUPLEMENTO 0,832x40</t>
  </si>
  <si>
    <t>SUPLEMENTO 0,8 - 32x40</t>
  </si>
  <si>
    <t>SUPLEMENTO 0,832x48</t>
  </si>
  <si>
    <t>SUPLEMENTO 0,8 - 32x48</t>
  </si>
  <si>
    <t>SUPLEMENTO 0,833x41</t>
  </si>
  <si>
    <t>SUPLEMENTO 0,8 - 33x41</t>
  </si>
  <si>
    <t>SUPLEMENTO 0,833x49</t>
  </si>
  <si>
    <t>SUPLEMENTO 0,8 - 33x49</t>
  </si>
  <si>
    <t>SUPLEMENTO 0,834x42</t>
  </si>
  <si>
    <t>SUPLEMENTO 0,8 - 34x42</t>
  </si>
  <si>
    <t>SUPLEMENTO 0,834x50</t>
  </si>
  <si>
    <t>SUPLEMENTO 0,8 - 34x50</t>
  </si>
  <si>
    <t>SUPLEMENTO 0,835x43</t>
  </si>
  <si>
    <t>SUPLEMENTO 0,8 - 35x43</t>
  </si>
  <si>
    <t>SUPLEMENTO 0,835x51</t>
  </si>
  <si>
    <t>SUPLEMENTO 0,8 - 35x51</t>
  </si>
  <si>
    <t>SUPLEMENTO 0,836x44</t>
  </si>
  <si>
    <t>SUPLEMENTO 0,8 - 36x44</t>
  </si>
  <si>
    <t>SUPLEMENTO 0,836x52</t>
  </si>
  <si>
    <t>SUPLEMENTO 0,8 - 36x52</t>
  </si>
  <si>
    <t>SUPLEMENTO 0,837x45</t>
  </si>
  <si>
    <t>SUPLEMENTO 0,8 - 37x45</t>
  </si>
  <si>
    <t>SUPLEMENTO 0,837x53</t>
  </si>
  <si>
    <t>SUPLEMENTO 0,8 - 37x53</t>
  </si>
  <si>
    <t>SUPLEMENTO 0,838x46</t>
  </si>
  <si>
    <t>SUPLEMENTO 0,8 - 38x46</t>
  </si>
  <si>
    <t>SUPLEMENTO 0,838x54</t>
  </si>
  <si>
    <t>SUPLEMENTO 0,8 - 38x54</t>
  </si>
  <si>
    <t>SUPLEMENTO 0,839x47</t>
  </si>
  <si>
    <t>SUPLEMENTO 0,8 - 39x47</t>
  </si>
  <si>
    <t>SUPLEMENTO 0,839x55</t>
  </si>
  <si>
    <t>SUPLEMENTO 0,8 - 39x55</t>
  </si>
  <si>
    <t>SUPLEMENTO 0,840x48</t>
  </si>
  <si>
    <t>SUPLEMENTO 0,8 - 40x48</t>
  </si>
  <si>
    <t>SUPLEMENTO 0,840x56</t>
  </si>
  <si>
    <t>SUPLEMENTO 0,8 - 40x56</t>
  </si>
  <si>
    <t>SUPLEMENTO 0,841x49</t>
  </si>
  <si>
    <t>SUPLEMENTO 0,8 - 41x49</t>
  </si>
  <si>
    <t>SUPLEMENTO 0,841x57</t>
  </si>
  <si>
    <t>SUPLEMENTO 0,8 - 41x57</t>
  </si>
  <si>
    <t>SUPLEMENTO 0,842x50</t>
  </si>
  <si>
    <t>SUPLEMENTO 0,8 - 42x50</t>
  </si>
  <si>
    <t>SUPLEMENTO 0,842x58</t>
  </si>
  <si>
    <t>SUPLEMENTO 0,8 - 42x58</t>
  </si>
  <si>
    <t>SUPLEMENTO 0,843x59</t>
  </si>
  <si>
    <t>SUPLEMENTO 0,8 - 43x59</t>
  </si>
  <si>
    <t>SUPLEMENTO 0,844x60</t>
  </si>
  <si>
    <t>SUPLEMENTO 0,8 - 44x60</t>
  </si>
  <si>
    <t>SUPLEMENTO 0,845x61</t>
  </si>
  <si>
    <t>SUPLEMENTO 0,8 - 45x61</t>
  </si>
  <si>
    <t>SUPLEMENTO 0,846x58</t>
  </si>
  <si>
    <t>SUPLEMENTO 0,8 - 46x58</t>
  </si>
  <si>
    <t>SUPLEMENTO 0,847x59</t>
  </si>
  <si>
    <t>SUPLEMENTO 0,8 - 47x59</t>
  </si>
  <si>
    <t>SUPLEMENTO 0,848x60</t>
  </si>
  <si>
    <t>SUPLEMENTO 0,8 - 48x60</t>
  </si>
  <si>
    <t>SUPLEMENTO 0,849x61</t>
  </si>
  <si>
    <t>SUPLEMENTO 0,8 - 49x61</t>
  </si>
  <si>
    <t>SUPLEMENTO 0,850x62</t>
  </si>
  <si>
    <t>SUPLEMENTO 0,8 - 50x62</t>
  </si>
  <si>
    <t>SUPLEMENTO 0,851x63</t>
  </si>
  <si>
    <t>SUPLEMENTO 0,8 - 51x63</t>
  </si>
  <si>
    <t>SUPLEMENTO 0,852x64</t>
  </si>
  <si>
    <t>SUPLEMENTO 0,8 - 52x64</t>
  </si>
  <si>
    <t>SUPLEMENTO 0,853x65</t>
  </si>
  <si>
    <t>SUPLEMENTO 0,8 - 53x65</t>
  </si>
  <si>
    <t>SUPLEMENTO 0,854x66</t>
  </si>
  <si>
    <t>SUPLEMENTO 0,8 - 54x66</t>
  </si>
  <si>
    <t>SUPLEMENTO 0,855x67</t>
  </si>
  <si>
    <t>SUPLEMENTO 0,8 - 55x67</t>
  </si>
  <si>
    <t>SUPLEMENTO 0,856x68</t>
  </si>
  <si>
    <t>SUPLEMENTO 0,8 - 56x68</t>
  </si>
  <si>
    <t>SUPLEMENTO 0,857x69</t>
  </si>
  <si>
    <t>SUPLEMENTO 0,8 - 57x69</t>
  </si>
  <si>
    <t>SUPLEMENTO 0,858x70</t>
  </si>
  <si>
    <t>SUPLEMENTO 0,8 - 58x70</t>
  </si>
  <si>
    <t>SUPLEMENTO 0,859x71</t>
  </si>
  <si>
    <t>SUPLEMENTO 0,8 - 59x71</t>
  </si>
  <si>
    <t>SUPLEMENTO 0,860x72</t>
  </si>
  <si>
    <t>SUPLEMENTO 0,8 - 60x72</t>
  </si>
  <si>
    <t>SUPLEMENTO 0,861x73</t>
  </si>
  <si>
    <t>SUPLEMENTO 0,8 - 61x73</t>
  </si>
  <si>
    <t>RACORD - ACOPLES - REDUCCIONES - ENTREROSCAS1</t>
  </si>
  <si>
    <t>RACORD - ACOPLES - REDUCCIONES - ENTREROSCAS</t>
  </si>
  <si>
    <t>ALNAT</t>
  </si>
  <si>
    <t>001-21</t>
  </si>
  <si>
    <t>PTA ACOPLE RAP 1/4 R M 1/4 BSPT</t>
  </si>
  <si>
    <t>RACORD - ACOPLES - REDUCCIONES - ENTREROSCAS2</t>
  </si>
  <si>
    <t>001-25</t>
  </si>
  <si>
    <t>PTA ACOPLE RAP 1/4 MANG 6 MM</t>
  </si>
  <si>
    <t>RACORD - ACOPLES - REDUCCIONES - ENTREROSCAS3</t>
  </si>
  <si>
    <t>001-26</t>
  </si>
  <si>
    <t>PTA ACOPLE RAP 1/4 MANG 8 MM</t>
  </si>
  <si>
    <t>RACORD - ACOPLES - REDUCCIONES - ENTREROSCAS4</t>
  </si>
  <si>
    <t>001-27</t>
  </si>
  <si>
    <t>PTA ACOPLE RAP 1/4 MANG 9,5 MM</t>
  </si>
  <si>
    <t>RACORD - ACOPLES - REDUCCIONES - ENTREROSCAS5</t>
  </si>
  <si>
    <t>001-28</t>
  </si>
  <si>
    <t>PTA ACOPLE RAP 1/4 MANG 12,7 MM</t>
  </si>
  <si>
    <t>RACORD - ACOPLES - REDUCCIONES - ENTREROSCAS6</t>
  </si>
  <si>
    <t>005-01</t>
  </si>
  <si>
    <t>RACORD R M 1/8 BSPT MANG 6 MM</t>
  </si>
  <si>
    <t>RACORD - ACOPLES - REDUCCIONES - ENTREROSCAS7</t>
  </si>
  <si>
    <t>005-02</t>
  </si>
  <si>
    <t>RACORD R M 1/8 BSPT MANG 8 MM</t>
  </si>
  <si>
    <t>RACORD - ACOPLES - REDUCCIONES - ENTREROSCAS8</t>
  </si>
  <si>
    <t>005-14</t>
  </si>
  <si>
    <t>RACORD R M 1/8 BSPT MANG 9.5 MM</t>
  </si>
  <si>
    <t>RACORD - ACOPLES - REDUCCIONES - ENTREROSCAS9</t>
  </si>
  <si>
    <t>005-15</t>
  </si>
  <si>
    <t>RACORD R M 1/8 BSPT MANG 12.70 MM</t>
  </si>
  <si>
    <t>RACORD - ACOPLES - REDUCCIONES - ENTREROSCAS10</t>
  </si>
  <si>
    <t>005-03</t>
  </si>
  <si>
    <t>RACORD R M 1/4 BSPT MANG 6 MM</t>
  </si>
  <si>
    <t>RACORD - ACOPLES - REDUCCIONES - ENTREROSCAS11</t>
  </si>
  <si>
    <t>005-04</t>
  </si>
  <si>
    <t>RACORD R M 1/4 BSPT MANG 8 MM</t>
  </si>
  <si>
    <t>RACORD - ACOPLES - REDUCCIONES - ENTREROSCAS12</t>
  </si>
  <si>
    <t>005-05</t>
  </si>
  <si>
    <t>RACORD R M 1/4 BSPT MANG 9.5 MM</t>
  </si>
  <si>
    <t>RACORD - ACOPLES - REDUCCIONES - ENTREROSCAS13</t>
  </si>
  <si>
    <t>005-06</t>
  </si>
  <si>
    <t>RACORD R M 1/4 BSPT MANG 12.70 MM</t>
  </si>
  <si>
    <t>RACORD - ACOPLES - REDUCCIONES - ENTREROSCAS16</t>
  </si>
  <si>
    <t>005-07</t>
  </si>
  <si>
    <t>RACORD R M 3/8 BSPT MANG 8 MM</t>
  </si>
  <si>
    <t>RACORD - ACOPLES - REDUCCIONES - ENTREROSCAS17</t>
  </si>
  <si>
    <t>005-08</t>
  </si>
  <si>
    <t>RACORD R M 3/8 BSPT MANG 9.5 MM</t>
  </si>
  <si>
    <t>RACORD - ACOPLES - REDUCCIONES - ENTREROSCAS18</t>
  </si>
  <si>
    <t>005-09</t>
  </si>
  <si>
    <t>RACORD R M 3/8 BSPT MANG 12.70 MM</t>
  </si>
  <si>
    <t>RACORD - ACOPLES - REDUCCIONES - ENTREROSCAS19</t>
  </si>
  <si>
    <t>005-12</t>
  </si>
  <si>
    <t>RACORD R M 1/2 BSPT MANG 9.5 MM</t>
  </si>
  <si>
    <t>RACORD - ACOPLES - REDUCCIONES - ENTREROSCAS20</t>
  </si>
  <si>
    <t>005-13</t>
  </si>
  <si>
    <t>RACORD R M 1/2 BSPT MANG 12.70 MM</t>
  </si>
  <si>
    <t>RACORD - ACOPLES - REDUCCIONES - ENTREROSCAS21</t>
  </si>
  <si>
    <t>005-17</t>
  </si>
  <si>
    <t>RACORD R M 1/2 BSPT MANG 16 MM</t>
  </si>
  <si>
    <t>RACORD - ACOPLES - REDUCCIONES - ENTREROSCAS22</t>
  </si>
  <si>
    <t>005-18</t>
  </si>
  <si>
    <t>RACORD R M 1/2 BSPT MANG 19 MM</t>
  </si>
  <si>
    <t>RACORD - ACOPLES - REDUCCIONES - ENTREROSCAS23</t>
  </si>
  <si>
    <t>005-20</t>
  </si>
  <si>
    <t>RACORD R M 3/4 BSPT MANG 19 MM</t>
  </si>
  <si>
    <t>RACORD - ACOPLES - REDUCCIONES - ENTREROSCAS25</t>
  </si>
  <si>
    <t>001-17</t>
  </si>
  <si>
    <t>PTA ACOPLE RAP 1/4 R H 1/4 BSP</t>
  </si>
  <si>
    <t>RACORD - ACOPLES - REDUCCIONES - ENTREROSCAS26</t>
  </si>
  <si>
    <t>004-01</t>
  </si>
  <si>
    <t>RACORD R H 1/8 BSP MANG 6 MM</t>
  </si>
  <si>
    <t>RACORD - ACOPLES - REDUCCIONES - ENTREROSCAS27</t>
  </si>
  <si>
    <t>004-02</t>
  </si>
  <si>
    <t>RACORD R H 1/8 BSP MANG 8 MM</t>
  </si>
  <si>
    <t>RACORD - ACOPLES - REDUCCIONES - ENTREROSCAS30</t>
  </si>
  <si>
    <t>004-03</t>
  </si>
  <si>
    <t>RACORD R H 1/4 BSP MANG 6 MM</t>
  </si>
  <si>
    <t>RACORD - ACOPLES - REDUCCIONES - ENTREROSCAS31</t>
  </si>
  <si>
    <t>004-04</t>
  </si>
  <si>
    <t>RACORD R H 1/4 BSP MANG 8 MM</t>
  </si>
  <si>
    <t>RACORD - ACOPLES - REDUCCIONES - ENTREROSCAS32</t>
  </si>
  <si>
    <t>004-06</t>
  </si>
  <si>
    <t>RACORD R H 1/4 BSP MANG 9.5 MM</t>
  </si>
  <si>
    <t>RACORD - ACOPLES - REDUCCIONES - ENTREROSCAS33</t>
  </si>
  <si>
    <t>004-07</t>
  </si>
  <si>
    <t>RACORD  RH 1/4 BSP MANG 12.7 MM</t>
  </si>
  <si>
    <t>RACORD - ACOPLES - REDUCCIONES - ENTREROSCAS95</t>
  </si>
  <si>
    <t>RACORD - 95</t>
  </si>
  <si>
    <t>Milimétricos 10x1,5 - M 6</t>
  </si>
  <si>
    <t>RACORD - ACOPLES - REDUCCIONES - ENTREROSCAS96</t>
  </si>
  <si>
    <t>RACORD - 96</t>
  </si>
  <si>
    <t>Milimétricos 10x1,5 - M 8</t>
  </si>
  <si>
    <t>RACORD - ACOPLES - REDUCCIONES - ENTREROSCAS97</t>
  </si>
  <si>
    <t>RACORD - 97</t>
  </si>
  <si>
    <t>Milimétricos 12x1,5 - M 6</t>
  </si>
  <si>
    <t>RACORD - ACOPLES - REDUCCIONES - ENTREROSCAS98</t>
  </si>
  <si>
    <t>RACORD - 98</t>
  </si>
  <si>
    <t>Milimétricos 12x1,5 - M 8</t>
  </si>
  <si>
    <t>RACORD - ACOPLES - REDUCCIONES - ENTREROSCAS40</t>
  </si>
  <si>
    <t>011-10</t>
  </si>
  <si>
    <t>UNION DOBLE 4 MM</t>
  </si>
  <si>
    <t>RACORD - ACOPLES - REDUCCIONES - ENTREROSCAS41</t>
  </si>
  <si>
    <t>011-01</t>
  </si>
  <si>
    <t>UNION DOBLE 6 MM</t>
  </si>
  <si>
    <t>RACORD - ACOPLES - REDUCCIONES - ENTREROSCAS42</t>
  </si>
  <si>
    <t>011-02</t>
  </si>
  <si>
    <t>UNION DOBLE 8 MM</t>
  </si>
  <si>
    <t>RACORD - ACOPLES - REDUCCIONES - ENTREROSCAS43</t>
  </si>
  <si>
    <t>011-03</t>
  </si>
  <si>
    <t>UNION DOBLE 9.5 MM</t>
  </si>
  <si>
    <t>RACORD - ACOPLES - REDUCCIONES - ENTREROSCAS44</t>
  </si>
  <si>
    <t>-</t>
  </si>
  <si>
    <t>RACORD - ACOPLES - REDUCCIONES - ENTREROSCAS45</t>
  </si>
  <si>
    <t>011-04</t>
  </si>
  <si>
    <t>UNION DOBLE 12.70 MM</t>
  </si>
  <si>
    <t>RACORD - ACOPLES - REDUCCIONES - ENTREROSCAS46</t>
  </si>
  <si>
    <t>011-05</t>
  </si>
  <si>
    <t>UNION DOBLE 16 MM</t>
  </si>
  <si>
    <t>RACORD - ACOPLES - REDUCCIONES - ENTREROSCAS47</t>
  </si>
  <si>
    <t>011-06</t>
  </si>
  <si>
    <t>UNION DOBLE 19 MM</t>
  </si>
  <si>
    <t>RACORD - ACOPLES - REDUCCIONES - ENTREROSCAS50</t>
  </si>
  <si>
    <t>019-01</t>
  </si>
  <si>
    <t>UNION TRIPLE 6 MM</t>
  </si>
  <si>
    <t>RACORD - ACOPLES - REDUCCIONES - ENTREROSCAS51</t>
  </si>
  <si>
    <t>019-02</t>
  </si>
  <si>
    <t>UNION TRIPLE 8 MM</t>
  </si>
  <si>
    <t>RACORD - ACOPLES - REDUCCIONES - ENTREROSCAS52</t>
  </si>
  <si>
    <t>019-03</t>
  </si>
  <si>
    <t>UNION TRIPLE 9.5 MM</t>
  </si>
  <si>
    <t>RACORD - ACOPLES - REDUCCIONES - ENTREROSCAS55</t>
  </si>
  <si>
    <t>008-02</t>
  </si>
  <si>
    <t>RED R M 3/8 BSPT - R M 1/4 BSPT</t>
  </si>
  <si>
    <t>RACORD - ACOPLES - REDUCCIONES - ENTREROSCAS56</t>
  </si>
  <si>
    <t>008-03</t>
  </si>
  <si>
    <t>RED R M 1/2 BSPT - R M 1/4 BSPT</t>
  </si>
  <si>
    <t>RACORD - ACOPLES - REDUCCIONES - ENTREROSCAS58</t>
  </si>
  <si>
    <t>008-04</t>
  </si>
  <si>
    <t>RED R M 1/2 BSPT - R M 3/8 BSPT</t>
  </si>
  <si>
    <t>RACORD - ACOPLES - REDUCCIONES - ENTREROSCAS62</t>
  </si>
  <si>
    <t>006-21</t>
  </si>
  <si>
    <t>REDUCCION H 1/4 BSP- M 1/8 BSPT</t>
  </si>
  <si>
    <t>RACORD - ACOPLES - REDUCCIONES - ENTREROSCAS64</t>
  </si>
  <si>
    <t>006-05</t>
  </si>
  <si>
    <t>RED RM 3/8 BSPT - RH 1/8 BSP</t>
  </si>
  <si>
    <t>RACORD - ACOPLES - REDUCCIONES - ENTREROSCAS65</t>
  </si>
  <si>
    <t>006-02</t>
  </si>
  <si>
    <t>RED RM 3/8 BSPT - RH 1/4 BSP</t>
  </si>
  <si>
    <t>RACORD - ACOPLES - REDUCCIONES - ENTREROSCAS68</t>
  </si>
  <si>
    <t>006-03</t>
  </si>
  <si>
    <t>RED RM 1/2 BSPT - RH 1/4 BSP</t>
  </si>
  <si>
    <t>RACORD - ACOPLES - REDUCCIONES - ENTREROSCAS71</t>
  </si>
  <si>
    <t>009-10</t>
  </si>
  <si>
    <t>CUPLA RED H 1/4- H 1/8 BSP</t>
  </si>
  <si>
    <t>RACORD - ACOPLES - REDUCCIONES - ENTREROSCAS74</t>
  </si>
  <si>
    <t>009-11</t>
  </si>
  <si>
    <t>CUPLA RED H 3/8- H 1/4 BSP</t>
  </si>
  <si>
    <t>RACORD - ACOPLES - REDUCCIONES - ENTREROSCAS77</t>
  </si>
  <si>
    <t>009-01</t>
  </si>
  <si>
    <t>CUPLA H-H 1/8 BSP</t>
  </si>
  <si>
    <t>RACORD - ACOPLES - REDUCCIONES - ENTREROSCAS78</t>
  </si>
  <si>
    <t>009-02</t>
  </si>
  <si>
    <t>CUPLA H-H 1/4 BSP</t>
  </si>
  <si>
    <t>RACORD - ACOPLES - REDUCCIONES - ENTREROSCAS79</t>
  </si>
  <si>
    <t>009-03</t>
  </si>
  <si>
    <t>CUPLA H-H 3/8 BSP</t>
  </si>
  <si>
    <t>RACORD - ACOPLES - REDUCCIONES - ENTREROSCAS82</t>
  </si>
  <si>
    <t>007-01</t>
  </si>
  <si>
    <t>ENTRE ROSCA M-M 1/8 BSPT</t>
  </si>
  <si>
    <t>RACORD - ACOPLES - REDUCCIONES - ENTREROSCAS83</t>
  </si>
  <si>
    <t>007-02</t>
  </si>
  <si>
    <t>ENTRE ROSCA M-M 1/4 BSPT</t>
  </si>
  <si>
    <t>RACORD - ACOPLES - REDUCCIONES - ENTREROSCAS84</t>
  </si>
  <si>
    <t>007-03</t>
  </si>
  <si>
    <t>ENTRE ROSCA M-M 3/8 BSPT</t>
  </si>
  <si>
    <t>RACORD - ACOPLES - REDUCCIONES - ENTREROSCAS90</t>
  </si>
  <si>
    <t>014-01A</t>
  </si>
  <si>
    <t>20001IC04164806Y  PICO INF NEUM COMUN P/ACOPL</t>
  </si>
  <si>
    <t>RACORD - ACOPLES - REDUCCIONES - ENTREROSCAS91</t>
  </si>
  <si>
    <t>014-01</t>
  </si>
  <si>
    <t>20001IC04164806Y PICO P/INFLAR NEUM  P/MG 8MM</t>
  </si>
  <si>
    <t>RACORD - ACOPLES - REDUCCIONES - ENTREROSCAS92</t>
  </si>
  <si>
    <t>014-09</t>
  </si>
  <si>
    <t>19001IC04103051H RACORD MICHEL P/INFLAR 6 MM</t>
  </si>
  <si>
    <t>RACORD - ACOPLES - REDUCCIONES - ENTREROSCAS93</t>
  </si>
  <si>
    <t>001-50</t>
  </si>
  <si>
    <t>ACOPLE RAP 1/4 ECON R H 1/4 BSP C/PTA</t>
  </si>
  <si>
    <t>TERMINALES30 ch</t>
  </si>
  <si>
    <t>TERMINALES</t>
  </si>
  <si>
    <t>30 ch</t>
  </si>
  <si>
    <t>METALGRAB</t>
  </si>
  <si>
    <t>1.06.1150</t>
  </si>
  <si>
    <t>OJAL DIAM 4,2     SECCION 0,8-2m²</t>
  </si>
  <si>
    <t>TERMINALES30 gr</t>
  </si>
  <si>
    <t>30 gr</t>
  </si>
  <si>
    <t>1.06.1200</t>
  </si>
  <si>
    <t>TERMINALES31 ch</t>
  </si>
  <si>
    <t>31 ch</t>
  </si>
  <si>
    <t>1.06.1190</t>
  </si>
  <si>
    <t>OJAL DIAM 5,2     SECCION 0,8-2m²</t>
  </si>
  <si>
    <t>TERMINALES31 gr</t>
  </si>
  <si>
    <t>31 gr</t>
  </si>
  <si>
    <t>1.06.1250</t>
  </si>
  <si>
    <t>TERMINALES32</t>
  </si>
  <si>
    <t>1.06.1240</t>
  </si>
  <si>
    <t>OJAL DIAM 6,5     SECCION 0,8-2m²</t>
  </si>
  <si>
    <t>TERMINALES33</t>
  </si>
  <si>
    <t>1.06.1278</t>
  </si>
  <si>
    <t>OJAL DIAM 8,5     SECCION 0,8-2,5m²</t>
  </si>
  <si>
    <t>TERMINALES34</t>
  </si>
  <si>
    <t>1.07.1410</t>
  </si>
  <si>
    <t>HORQUILLA P/TELEFONIA    SECCION 0,45-0,7m²</t>
  </si>
  <si>
    <t>TERMINALES35</t>
  </si>
  <si>
    <t>1.07.1360</t>
  </si>
  <si>
    <t>HORQUILLA DIAM 4,2     SECCION 0,8-2m²</t>
  </si>
  <si>
    <t>TERMINALES36</t>
  </si>
  <si>
    <t>1.07.1380</t>
  </si>
  <si>
    <t>HORQUILLA DIAM 5,1     SECCION 0,8-2m²</t>
  </si>
  <si>
    <t>TERMINALES37</t>
  </si>
  <si>
    <t>1.07.1370</t>
  </si>
  <si>
    <t>HORQUILLA DIAM 6,5     SECCION 0,8-2m²</t>
  </si>
  <si>
    <t>TERMINALES38</t>
  </si>
  <si>
    <t>1.02.0705</t>
  </si>
  <si>
    <t>MACHO 2,8x0,5mm     SECCION 0,8-2mm²</t>
  </si>
  <si>
    <t>TERMINALES40</t>
  </si>
  <si>
    <t>1.02.0735</t>
  </si>
  <si>
    <t>MACHO 5,0x0,5mm     SECCION 0,8-2mm²</t>
  </si>
  <si>
    <t>TERMINALES41</t>
  </si>
  <si>
    <t>1.02.0790</t>
  </si>
  <si>
    <t>MACHO 6,3x0,8mm    SECCION 1-2,5mm²</t>
  </si>
  <si>
    <t>TERMINALES42</t>
  </si>
  <si>
    <t>1.02.0830</t>
  </si>
  <si>
    <t xml:space="preserve">MACHO 6,3x0,8mm    SECCION 1-2,5mm² </t>
  </si>
  <si>
    <t>TERMINALES43</t>
  </si>
  <si>
    <t>1.01.0086</t>
  </si>
  <si>
    <t>HEMBRA 2,8x0,5mm     SECCION 0,25-0,5mm²</t>
  </si>
  <si>
    <t>TERMINALES44</t>
  </si>
  <si>
    <t>1.01.0224</t>
  </si>
  <si>
    <t>HEMBRA 4,8x0,5mm     SECCION 0,5-1mm²</t>
  </si>
  <si>
    <t>TERMINALES45</t>
  </si>
  <si>
    <t>1.01.0604</t>
  </si>
  <si>
    <t>HEMBRA 6,3x0,8mm     SECCION 0,5-1mm²</t>
  </si>
  <si>
    <t>TERMINALES46</t>
  </si>
  <si>
    <t>1.01.0608</t>
  </si>
  <si>
    <t>TERMINALES47</t>
  </si>
  <si>
    <t>1.01.0624</t>
  </si>
  <si>
    <t>HEMBRA BANDERA 6,3x0,8mm     SECCION 0,5-1mm²</t>
  </si>
  <si>
    <t>TERMINALES51</t>
  </si>
  <si>
    <t>1.04.0910</t>
  </si>
  <si>
    <t>PERNO P/FICHA DIAM 4,0     SECCION 0,5-1,5m²</t>
  </si>
  <si>
    <t>TERMINALES52</t>
  </si>
  <si>
    <t>1.05.0950</t>
  </si>
  <si>
    <t>TUBOS P/PROL. DIAM 4,0     SECCION 1-2,5m²</t>
  </si>
  <si>
    <t>TERMINALES53</t>
  </si>
  <si>
    <t>1.04.0920</t>
  </si>
  <si>
    <t>TUBOS P/PROL. DIAM 2,37     SECCION 0,3-0,8m²</t>
  </si>
  <si>
    <t>TERMINALES54</t>
  </si>
  <si>
    <t>1.05.0990</t>
  </si>
  <si>
    <t>TUBOS P/PROL. DIAM 4,57     SECCION 1-2,5m²</t>
  </si>
  <si>
    <t>TERMINALES58 ch</t>
  </si>
  <si>
    <t>58 ch</t>
  </si>
  <si>
    <t>2.40.2000</t>
  </si>
  <si>
    <t>AISLADOR HEMBRA 6,3MM</t>
  </si>
  <si>
    <t>TERMINALES58 gr</t>
  </si>
  <si>
    <t>58 gr</t>
  </si>
  <si>
    <t>2.40.2031</t>
  </si>
  <si>
    <t>AISLADOR MACHO 6,3MM</t>
  </si>
  <si>
    <t>TERMINALES59</t>
  </si>
  <si>
    <t>Aislante bandera</t>
  </si>
  <si>
    <t>TERMINALES60</t>
  </si>
  <si>
    <t>2.40.2060</t>
  </si>
  <si>
    <t>TERMINALES61</t>
  </si>
  <si>
    <t>MAXIFER</t>
  </si>
  <si>
    <t>Ojal de cobre 8,5 mm Cable: 10 - 16 mm</t>
  </si>
  <si>
    <t>TERMINALES62</t>
  </si>
  <si>
    <t>Ojal de cobre 10 mm Cable: 10 - 16 mm</t>
  </si>
  <si>
    <t>TERMINALES63</t>
  </si>
  <si>
    <t>Ojal de cobre 10 mm grande Cable: 16 - 25 mm</t>
  </si>
  <si>
    <t>TERMINALES64</t>
  </si>
  <si>
    <t>1.06.1281</t>
  </si>
  <si>
    <t>OJAL DIAM 6,5     SECCION 0,8-2,5m²</t>
  </si>
  <si>
    <t>TERMINALES65</t>
  </si>
  <si>
    <t>1.06.1340</t>
  </si>
  <si>
    <t>OJAL DIAM 6,5     SECCION 1-4m²</t>
  </si>
  <si>
    <t>TERMINALES66</t>
  </si>
  <si>
    <t>1.06.1343</t>
  </si>
  <si>
    <t>OJAL DIAM 6,5     SECCION 2-6m²</t>
  </si>
  <si>
    <t>TERMINALES67</t>
  </si>
  <si>
    <t>1.06.13430</t>
  </si>
  <si>
    <t>OJAL 18,5 DIAM 8,4     SECCION 2,5-6m²</t>
  </si>
  <si>
    <t>TERMINALES68</t>
  </si>
  <si>
    <t>1.06.13435</t>
  </si>
  <si>
    <t>OJAL 18,5 DIAM 10,5     SECCION 2,5-6m²</t>
  </si>
  <si>
    <t>TERMINALES69</t>
  </si>
  <si>
    <t>1.06.13440</t>
  </si>
  <si>
    <t>OJAL 18,5 DIAM 13     SECCION 2,5-6m²</t>
  </si>
  <si>
    <t>TERMINALES70</t>
  </si>
  <si>
    <t>1.06.13465</t>
  </si>
  <si>
    <t>OJAL 18,5 DIAM 8,4     SECCION 6-10m²</t>
  </si>
  <si>
    <t>TERMINALES71</t>
  </si>
  <si>
    <t>1.06.13470</t>
  </si>
  <si>
    <t>OJAL 18,5 DIAM 10,5     SECCION 6-10m²</t>
  </si>
  <si>
    <t>TERMINALES72</t>
  </si>
  <si>
    <t>1.06.13475</t>
  </si>
  <si>
    <t>OJAL 18,5 DIAM 13     SECCION 6-10m²</t>
  </si>
  <si>
    <t>TERMINALES73</t>
  </si>
  <si>
    <t>1.06.13480</t>
  </si>
  <si>
    <t>Ojal de 8,5x18 mm reforzado Cable: 10 - 16 mm</t>
  </si>
  <si>
    <t>TERMINALES74</t>
  </si>
  <si>
    <t>1.06.13485</t>
  </si>
  <si>
    <t>OJAL 18,5 DIAM 10,5     SECCION 10-16m²</t>
  </si>
  <si>
    <t>TERMINALES75</t>
  </si>
  <si>
    <t>1.06.13490</t>
  </si>
  <si>
    <t>OJAL 18,5 DIAM 13     SECCION 10-16m²</t>
  </si>
  <si>
    <t>TERMINALES1</t>
  </si>
  <si>
    <t>LCT</t>
  </si>
  <si>
    <t>Terminal cobre estañado ojal - Cable 2,5 - Ojal: 5/32</t>
  </si>
  <si>
    <t>TERMINALES2</t>
  </si>
  <si>
    <t>Terminal cobre estañado ojal - Cable 2,5 - Ojal: 3/16</t>
  </si>
  <si>
    <t>TERMINALES3</t>
  </si>
  <si>
    <t>Terminal cobre estañado ojal - Cable 4 - Ojal: 5/32</t>
  </si>
  <si>
    <t>TERMINALES4</t>
  </si>
  <si>
    <t>Terminal cobre estañado ojal - Cable 4 - Ojal: 3/16</t>
  </si>
  <si>
    <t>TERMINALES5</t>
  </si>
  <si>
    <t>Terminal cobre estañado ojal - Cable 6 - Ojal: 3/16</t>
  </si>
  <si>
    <t>TERMINALES6</t>
  </si>
  <si>
    <t>Terminal cobre estañado ojal - Cable 6 - Ojal: 1/4</t>
  </si>
  <si>
    <t>TERMINALES7</t>
  </si>
  <si>
    <t>Terminal cobre estañado ojal - Cable 10 - Ojal: 3/16</t>
  </si>
  <si>
    <t>TERMINALES8</t>
  </si>
  <si>
    <t>Terminal cobre estañado ojal - Cable 10 - Ojal: 1/4</t>
  </si>
  <si>
    <t>TERMINALES9</t>
  </si>
  <si>
    <t>Terminal cobre estañado ojal - Cable 10 - Ojal: 5/16</t>
  </si>
  <si>
    <t>TERMINALES10</t>
  </si>
  <si>
    <t>Terminal cobre estañado ojal - Cable 16 - Ojal: 1/4</t>
  </si>
  <si>
    <t>TERMINALES11</t>
  </si>
  <si>
    <t>Terminal cobre estañado ojal - Cable 16 - Ojal: 5/16</t>
  </si>
  <si>
    <t>TERMINALES12</t>
  </si>
  <si>
    <t>Terminal cobre estañado ojal - Cable 16 - Ojal: 3/8</t>
  </si>
  <si>
    <t>TERMINALES13</t>
  </si>
  <si>
    <t>Terminal cobre estañado ojal - Cable 25 - Ojal: 1/4</t>
  </si>
  <si>
    <t>TERMINALES14</t>
  </si>
  <si>
    <t>Terminal cobre estañado ojal - Cable 25 - Ojal: 5/16</t>
  </si>
  <si>
    <t>TERMINALES15</t>
  </si>
  <si>
    <t>Terminal cobre estañado ojal - Cable 25 - Ojal: 3/8</t>
  </si>
  <si>
    <t>TERMINALES16</t>
  </si>
  <si>
    <t>Terminal cobre estañado ojal - Cable 25 - Ojal: 1/2</t>
  </si>
  <si>
    <t>TERMINALES17</t>
  </si>
  <si>
    <t>Terminal cobre estañado ojal - Cable 35 - Ojal: 3/8</t>
  </si>
  <si>
    <t>TERMINALES18</t>
  </si>
  <si>
    <t>Terminal cobre estañado ojal - Cable 50 - Ojal: 5/16</t>
  </si>
  <si>
    <t>TERMINALES19</t>
  </si>
  <si>
    <t>Terminal cobre estañado ojal - Cable 50 - Ojal: 3/8</t>
  </si>
  <si>
    <t>TERMINALES20</t>
  </si>
  <si>
    <t>Terminal Aluminio - Cable 10 - Ojal: 5/16</t>
  </si>
  <si>
    <t>TERMINALES21</t>
  </si>
  <si>
    <t>Terminal Aluminio - Cable 16 - Ojal: 5/16</t>
  </si>
  <si>
    <t>TERMINALES22</t>
  </si>
  <si>
    <t>Terminal Aluminio - Cable 25 - Ojal: 5/16</t>
  </si>
  <si>
    <t>TERMINALES23</t>
  </si>
  <si>
    <t>Terminal Aluminio - Cable 35 - Ojal: 3/8</t>
  </si>
  <si>
    <t>TERMINALES24</t>
  </si>
  <si>
    <t>Terminal Aluminio - Cable 50 - Ojal: 3/8</t>
  </si>
  <si>
    <t>TERMINALES25</t>
  </si>
  <si>
    <t>Terminal Aluminio - Cable 70 - Ojal: 1/2</t>
  </si>
  <si>
    <t>TERMINALES93</t>
  </si>
  <si>
    <t>TERMINALES94</t>
  </si>
  <si>
    <t>TERMINALES95</t>
  </si>
  <si>
    <t>TERMINALES96</t>
  </si>
  <si>
    <t>TERMINALES80</t>
  </si>
  <si>
    <t>PREAISLADOS OJAL Ø 4 MM ROJA</t>
  </si>
  <si>
    <t>TERMINALES81</t>
  </si>
  <si>
    <t>PREAISLADOS OJAL Ø 5 MM ROJA</t>
  </si>
  <si>
    <t>TERMINALES82</t>
  </si>
  <si>
    <t>PREAISLADOS OJAL Ø 8 MM ROJA</t>
  </si>
  <si>
    <t>TERMINALES83</t>
  </si>
  <si>
    <t>TERMINALES84</t>
  </si>
  <si>
    <t>PREAISLADOS OJAL Ø 10 MM ROJA</t>
  </si>
  <si>
    <t>TERMINALES85</t>
  </si>
  <si>
    <t>PREAISLADOS HORQUILLA Ø 3 MM ROJA</t>
  </si>
  <si>
    <t>TERMINALES86</t>
  </si>
  <si>
    <t>PREAISLADOS HORQUILLA Ø 4 MM ROJA</t>
  </si>
  <si>
    <t>TERMINALES87</t>
  </si>
  <si>
    <t>PREAISLADOS HORQUILLA Ø 5 MM ROJA</t>
  </si>
  <si>
    <t>TERMINALES88</t>
  </si>
  <si>
    <t>PREAISLADOS PALA HEMBRA ROJA</t>
  </si>
  <si>
    <t>TERMINALES89</t>
  </si>
  <si>
    <t>PREAISLADOS PALA MACHO 6.3 ROJA</t>
  </si>
  <si>
    <t>TERMINALES90</t>
  </si>
  <si>
    <t>PREAISLADOS PALA HEMBRA 6.3 ROJA</t>
  </si>
  <si>
    <t>TERMINALES91</t>
  </si>
  <si>
    <t>PREAISLADOS PALA HEMBRA 2.8 ROJA</t>
  </si>
  <si>
    <t>ARANDELAS DE GOMA3 X 10</t>
  </si>
  <si>
    <t>ARANDELAS DE GOMA</t>
  </si>
  <si>
    <t>3 X 10</t>
  </si>
  <si>
    <t>ARANDELAS DE GOMA3 x 12</t>
  </si>
  <si>
    <t>3 x 12</t>
  </si>
  <si>
    <t>ARANDELAS DE GOMA3 x 20</t>
  </si>
  <si>
    <t>3 x 20</t>
  </si>
  <si>
    <t>ARANDELAS DE GOMA3,5 X 8 (1/8)</t>
  </si>
  <si>
    <t>3,5 X 8 (1/8)</t>
  </si>
  <si>
    <t>ARANDELAS DE GOMA4 X 11 (5/32)</t>
  </si>
  <si>
    <t>4 X 11 (5/32)</t>
  </si>
  <si>
    <t>ARANDELAS DE GOMA4 X 12</t>
  </si>
  <si>
    <t>4 X 12</t>
  </si>
  <si>
    <t>ARANDELAS DE GOMA4 x 16</t>
  </si>
  <si>
    <t>4 x 16</t>
  </si>
  <si>
    <t>ARANDELAS DE GOMA4 X 22</t>
  </si>
  <si>
    <t>4 X 22</t>
  </si>
  <si>
    <t>ARANDELAS DE GOMA4 x 25</t>
  </si>
  <si>
    <t>4 x 25</t>
  </si>
  <si>
    <t>ARANDELAS DE GOMA5 X 10</t>
  </si>
  <si>
    <t>5 X 10</t>
  </si>
  <si>
    <t>ARANDELAS DE GOMA5 X 13 (3/16)</t>
  </si>
  <si>
    <t>5 X 13 (3/16)</t>
  </si>
  <si>
    <t>ARANDELAS DE GOMA5 X 16</t>
  </si>
  <si>
    <t>5 X 16</t>
  </si>
  <si>
    <t>ARANDELAS DE GOMA6 X 14</t>
  </si>
  <si>
    <t>6 X 14</t>
  </si>
  <si>
    <t>ARANDELAS DE GOMA6 x 16</t>
  </si>
  <si>
    <t>6 x 16</t>
  </si>
  <si>
    <t>ARANDELAS DE GOMA6 X 18</t>
  </si>
  <si>
    <t>6 X 18</t>
  </si>
  <si>
    <t>ARANDELAS DE GOMA6 x 26</t>
  </si>
  <si>
    <t>6 x 26</t>
  </si>
  <si>
    <t>ARANDELAS DE GOMA6 5 X 12 (1/4)</t>
  </si>
  <si>
    <t>6 5 X 12 (1/4)</t>
  </si>
  <si>
    <t>ARANDELAS DE GOMA6,5 X 20 (1/4)</t>
  </si>
  <si>
    <t>6,5 X 20 (1/4)</t>
  </si>
  <si>
    <t>ARANDELAS DE GOMA7 X 13</t>
  </si>
  <si>
    <t>7 X 13</t>
  </si>
  <si>
    <t>ARANDELAS DE GOMA7 X 16</t>
  </si>
  <si>
    <t>7 X 16</t>
  </si>
  <si>
    <t>ARANDELAS DE GOMA7  X 20</t>
  </si>
  <si>
    <t>7  X 20</t>
  </si>
  <si>
    <t>ARANDELAS DE GOMA8 X 16 (5/16)</t>
  </si>
  <si>
    <t>8 X 16 (5/16)</t>
  </si>
  <si>
    <t>ARANDELAS DE GOMA8 X 20</t>
  </si>
  <si>
    <t>8 X 20</t>
  </si>
  <si>
    <t>ARANDELAS DE GOMA8 x 30</t>
  </si>
  <si>
    <t>8 x 30</t>
  </si>
  <si>
    <t>ARANDELAS DE GOMA8 x  40</t>
  </si>
  <si>
    <t>8 x  40</t>
  </si>
  <si>
    <t>ARANDELAS DE GOMA9,5 X 20 (3/8)</t>
  </si>
  <si>
    <t>9,5 X 20 (3/8)</t>
  </si>
  <si>
    <t>ARANDELAS DE GOMA10 x 18</t>
  </si>
  <si>
    <t>10 x 18</t>
  </si>
  <si>
    <t>ARANDELAS DE GOMA10 X 25</t>
  </si>
  <si>
    <t>10 X 25</t>
  </si>
  <si>
    <t>ARANDELAS DE GOMA10 x 30</t>
  </si>
  <si>
    <t>10 x 30</t>
  </si>
  <si>
    <t>ARANDELAS DE GOMA10 x 40</t>
  </si>
  <si>
    <t>10 x 40</t>
  </si>
  <si>
    <t>ARANDELAS DE GOMA10 X 46 X 2</t>
  </si>
  <si>
    <t>10 X 46 X 2</t>
  </si>
  <si>
    <t>ARANDELAS DE GOMA11,5 X 19 X 2,5 (7/16)</t>
  </si>
  <si>
    <t>11,5 X 19 X 2,5 (7/16)</t>
  </si>
  <si>
    <t>ARANDELAS DE GOMA11,5 X 26</t>
  </si>
  <si>
    <t>11,5 X 26</t>
  </si>
  <si>
    <t>ARANDELAS DE GOMA12 X 20</t>
  </si>
  <si>
    <t>12 X 20</t>
  </si>
  <si>
    <t>ARANDELAS DE GOMA12 x 40</t>
  </si>
  <si>
    <t>12 x 40</t>
  </si>
  <si>
    <t>ARANDELAS DE GOMA12 X 46 X 2</t>
  </si>
  <si>
    <t>12 X 46 X 2</t>
  </si>
  <si>
    <t>ARANDELAS DE GOMA13 X 24 (1/2)</t>
  </si>
  <si>
    <t>13 X 24 (1/2)</t>
  </si>
  <si>
    <t>ARANDELAS DE GOMA14 X 24</t>
  </si>
  <si>
    <t>14 X 24</t>
  </si>
  <si>
    <t>ARANDELAS DE GOMA14 x 36</t>
  </si>
  <si>
    <t>14 x 36</t>
  </si>
  <si>
    <t>ARANDELAS DE GOMA14 X 46 X 2</t>
  </si>
  <si>
    <t>14 X 46 X 2</t>
  </si>
  <si>
    <t>ARANDELAS DE GOMA15 X 36 X 2</t>
  </si>
  <si>
    <t>15 X 36 X 2</t>
  </si>
  <si>
    <t>ARANDELAS DE GOMA16 X 36 X 2</t>
  </si>
  <si>
    <t>16 X 36 X 2</t>
  </si>
  <si>
    <t>ARANDELAS DE GOMA16 x 46</t>
  </si>
  <si>
    <t>16 x 46</t>
  </si>
  <si>
    <t>16 x 40</t>
  </si>
  <si>
    <t>ARANDELAS DE GOMA17 X 24 X 2</t>
  </si>
  <si>
    <t>17 X 24 X 2</t>
  </si>
  <si>
    <t>ARANDELAS DE GOMA18 x 40</t>
  </si>
  <si>
    <t>18 x 40</t>
  </si>
  <si>
    <t>ARANDELAS DE GOMA18 X 46 X 2</t>
  </si>
  <si>
    <t>18 X 46 X 2</t>
  </si>
  <si>
    <t>ARANDELAS DE GOMA20 X 40 X 2</t>
  </si>
  <si>
    <t>20 X 40 X 2</t>
  </si>
  <si>
    <t>ARANDELAS DE GOMA20 x 46</t>
  </si>
  <si>
    <t>20 x 46</t>
  </si>
  <si>
    <t>ARANDELAS DE GOMA22 x 46</t>
  </si>
  <si>
    <t>22 x 46</t>
  </si>
  <si>
    <t>ARANDELAS DE GOMA25 x 46</t>
  </si>
  <si>
    <t>25 x 46</t>
  </si>
  <si>
    <t>ARANDELAS DE GOMA26 X 46 X 2</t>
  </si>
  <si>
    <t>26 X 46 X 2</t>
  </si>
  <si>
    <t>ARANDELAS DE GOMA28 X 46 X 2</t>
  </si>
  <si>
    <t>28 X 46 X 2</t>
  </si>
  <si>
    <t>ARANDELAS DE GOMA30 x 46</t>
  </si>
  <si>
    <t>30 x 46</t>
  </si>
  <si>
    <t>ARANDELAS DE GOMA1/4 x 1'' TOPE</t>
  </si>
  <si>
    <t>1/4 x 1'' TOPE</t>
  </si>
  <si>
    <t>2 mm</t>
  </si>
  <si>
    <t>ARANDELAS DE GOMA5/16 x 1,5'' TOPE</t>
  </si>
  <si>
    <t>5/16 x 1,5'' TOPE</t>
  </si>
  <si>
    <t>ARANDELAS DE GOMA3/8 x 1'' TOPE</t>
  </si>
  <si>
    <t>3/8 x 1'' TOPE</t>
  </si>
  <si>
    <t>ARANDELAS DE GOMA53</t>
  </si>
  <si>
    <t>Tapon de goma para anular calefaccion de 8 mm</t>
  </si>
  <si>
    <t>ARANDELAS DE GOMA54</t>
  </si>
  <si>
    <t>Tapon de goma para anular calefaccion de 10 mm</t>
  </si>
  <si>
    <t>ARANDELAS DE GOMA55</t>
  </si>
  <si>
    <t>Tapon de goma para anular calefaccion de 13 mm</t>
  </si>
  <si>
    <t>ARANDELAS DE GOMA56</t>
  </si>
  <si>
    <t>Tapon de goma para anular calefaccion de 16 mm</t>
  </si>
  <si>
    <t>ARANDELAS DE GOMA57</t>
  </si>
  <si>
    <t>ARANDELAS DE GOMA58</t>
  </si>
  <si>
    <t>ARANDELAS DE GOMA59</t>
  </si>
  <si>
    <t>ARANDELAS DE GOMA LINEA PESADA8 x 60 (5/16) 2,5</t>
  </si>
  <si>
    <t>ARANDELAS DE GOMA LINEA PESADA</t>
  </si>
  <si>
    <t>8 x 60 (5/16) 2,5</t>
  </si>
  <si>
    <t>8 x 60 (5/16)</t>
  </si>
  <si>
    <t>LINEA FINA DE 2,5 mm</t>
  </si>
  <si>
    <t>ARANDELAS DE GOMA LINEA PESADA10 x 60 (3/8) 2,5</t>
  </si>
  <si>
    <t>10 x 60 (3/8) 2,5</t>
  </si>
  <si>
    <t>10 x 60 (3/8)</t>
  </si>
  <si>
    <t>ARANDELAS DE GOMA LINEA PESADA11,5 x 60 (7/16) 2,5</t>
  </si>
  <si>
    <t>11,5 x 60 (7/16) 2,5</t>
  </si>
  <si>
    <t>11,5 x 60 (7/16)</t>
  </si>
  <si>
    <t>ARANDELAS DE GOMA LINEA PESADA13 x 60 (1/2) 2,5</t>
  </si>
  <si>
    <t>13 x 60 (1/2) 2,5</t>
  </si>
  <si>
    <t>13 x 60 (1/2)</t>
  </si>
  <si>
    <t>ARANDELAS DE GOMA LINEA PESADA16 x 60 (5/8) 2,5</t>
  </si>
  <si>
    <t>16 x 60 (5/8) 2,5</t>
  </si>
  <si>
    <t>14 x 60 (9/16)</t>
  </si>
  <si>
    <t>ARANDELAS DE GOMA LINEA PESADA18 x 60 2,5</t>
  </si>
  <si>
    <t>18 x 60 2,5</t>
  </si>
  <si>
    <t>16 x 60 (5/8)</t>
  </si>
  <si>
    <t>ARANDELAS DE GOMA LINEA PESADA20 x 60 (3/4) 2,5</t>
  </si>
  <si>
    <t>20 x 60 (3/4) 2,5</t>
  </si>
  <si>
    <t>18 x 60</t>
  </si>
  <si>
    <t>ARANDELAS DE GOMA LINEA PESADA22 x 60 (7/8) 2,5</t>
  </si>
  <si>
    <t>22 x 60 (7/8) 2,5</t>
  </si>
  <si>
    <t>20 x 60 (3/4)</t>
  </si>
  <si>
    <t>ARANDELAS DE GOMA LINEA PESADA24 x 60 2,5</t>
  </si>
  <si>
    <t>24 x 60 2,5</t>
  </si>
  <si>
    <t>22 x 60 (7/8)</t>
  </si>
  <si>
    <t>ARANDELAS DE GOMA LINEA PESADA26 x 60 (1") 2,5</t>
  </si>
  <si>
    <t>26 x 60 (1") 2,5</t>
  </si>
  <si>
    <t>24 x 60</t>
  </si>
  <si>
    <t>ARANDELAS DE GOMA LINEA PESADA30 x 60 ( 1" 1/4) 2,5</t>
  </si>
  <si>
    <t>30 x 60 ( 1" 1/4) 2,5</t>
  </si>
  <si>
    <t>26 x 60 (1")</t>
  </si>
  <si>
    <t>ARANDELAS DE GOMA LINEA PESADA(1/4) 4</t>
  </si>
  <si>
    <t>(1/4) 4</t>
  </si>
  <si>
    <t>30 x 60 ( 1" 1/4)</t>
  </si>
  <si>
    <t>LINEA GRUESA DE 4 mm</t>
  </si>
  <si>
    <t>ARANDELAS DE GOMA LINEA PESADA(5/16) 4</t>
  </si>
  <si>
    <t>(5/16) 4</t>
  </si>
  <si>
    <t>CIEGA D 60 mm</t>
  </si>
  <si>
    <t>ARANDELAS DE GOMA LINEA PESADA(3/8) 4</t>
  </si>
  <si>
    <t>(3/8) 4</t>
  </si>
  <si>
    <t>6,5 x 22 (1/4)</t>
  </si>
  <si>
    <t>ARANDELAS DE GOMA LINEA PESADA(7/16) 4</t>
  </si>
  <si>
    <t>(7/16) 4</t>
  </si>
  <si>
    <t>8 x24 (5/16)</t>
  </si>
  <si>
    <t>ARANDELAS DE GOMA LINEA PESADA(1/2) 4</t>
  </si>
  <si>
    <t>(1/2) 4</t>
  </si>
  <si>
    <t>ARANDELAS DE GOMA LINEA PESADA8 x 60 (5/16) 4</t>
  </si>
  <si>
    <t>8 x 60 (5/16) 4</t>
  </si>
  <si>
    <t>10 x 26 (3/8)</t>
  </si>
  <si>
    <t>ARANDELAS DE GOMA LINEA PESADA10 x 60 (3/8) 4</t>
  </si>
  <si>
    <t>10 x 60 (3/8) 4</t>
  </si>
  <si>
    <t>ARANDELAS DE GOMA LINEA PESADA11,5 x 60 (7/16) 4</t>
  </si>
  <si>
    <t>11,5 x 60 (7/16) 4</t>
  </si>
  <si>
    <t>11,5 x 28 (7/16)</t>
  </si>
  <si>
    <t>ARANDELAS DE GOMA LINEA PESADA14 x 60 (9/16) 4</t>
  </si>
  <si>
    <t>14 x 60 (9/16) 4</t>
  </si>
  <si>
    <t>ARANDELAS DE GOMA LINEA PESADA16 x 60 (5/8) 4</t>
  </si>
  <si>
    <t>16 x 60 (5/8) 4</t>
  </si>
  <si>
    <t>13 x 30 (1/2)</t>
  </si>
  <si>
    <t>ARANDELAS DE GOMA LINEA PESADA18 x 60 4</t>
  </si>
  <si>
    <t>18 x 60 4</t>
  </si>
  <si>
    <t>ARANDELAS DE GOMA LINEA PESADA20 x 60 (3/4) 4</t>
  </si>
  <si>
    <t>20 x 60 (3/4) 4</t>
  </si>
  <si>
    <t>ARANDELAS DE GOMA LINEA PESADA22 x 60 (7/8) 4</t>
  </si>
  <si>
    <t>22 x 60 (7/8) 4</t>
  </si>
  <si>
    <t>ARANDELAS DE GOMA LINEA PESADA24 x 60 4</t>
  </si>
  <si>
    <t>24 x 60 4</t>
  </si>
  <si>
    <t>ARANDELAS DE GOMA LINEA PESADA26 x 60 (1") 4</t>
  </si>
  <si>
    <t>26 x 60 (1") 4</t>
  </si>
  <si>
    <t>ARANDELAS DE GOMA LINEA PESADA28 x 60 ( 1" 1/8) 4</t>
  </si>
  <si>
    <t>28 x 60 ( 1" 1/8) 4</t>
  </si>
  <si>
    <t>ARANDELAS DE GOMA LINEA PESADA30 x 60 ( 1" 1/4) 4</t>
  </si>
  <si>
    <t>30 x 60 ( 1" 1/4) 4</t>
  </si>
  <si>
    <t>CHAVETASR 1,5 X 30</t>
  </si>
  <si>
    <t>CHAVETAS</t>
  </si>
  <si>
    <t>R 1,5 X 30</t>
  </si>
  <si>
    <t>Tipo R 1,5 X 30</t>
  </si>
  <si>
    <t>CHAVETASR 2 X 50</t>
  </si>
  <si>
    <t>R 2 X 50</t>
  </si>
  <si>
    <t>Tipo R 2 X 50</t>
  </si>
  <si>
    <t>CHAVETASR 2,5 X 50</t>
  </si>
  <si>
    <t>R 2,5 X 50</t>
  </si>
  <si>
    <t>Tipo R 2,5 X 50</t>
  </si>
  <si>
    <t>CHAVETASR 3 X 60</t>
  </si>
  <si>
    <t>R 3 X 60</t>
  </si>
  <si>
    <t>Tipo R 3 X 60</t>
  </si>
  <si>
    <t>CHAVETASR 3 X 90</t>
  </si>
  <si>
    <t>R 3 X 90</t>
  </si>
  <si>
    <t>Tipo R 3 X 90</t>
  </si>
  <si>
    <t>CHAVETASR 3,5 X 60</t>
  </si>
  <si>
    <t>R 3,5 X 60</t>
  </si>
  <si>
    <t>CHAVETASR 3,5 X 90</t>
  </si>
  <si>
    <t>R 3,5 X 90</t>
  </si>
  <si>
    <t>Tipo R 3,5 X 90</t>
  </si>
  <si>
    <t>CHAVETASR 4 X 100</t>
  </si>
  <si>
    <t>R 4 X 100</t>
  </si>
  <si>
    <t>Tipo R 4 X 100</t>
  </si>
  <si>
    <t>CHAVETASR 4,5 X 100</t>
  </si>
  <si>
    <t>R 4,5 X 100</t>
  </si>
  <si>
    <t>Tipo R 4,5 X 100</t>
  </si>
  <si>
    <t>CHAVETASR 5 X 100</t>
  </si>
  <si>
    <t>R 5 X 100</t>
  </si>
  <si>
    <t>Tipo R 5 X 100</t>
  </si>
  <si>
    <t>CHAVETASR 6 X 130</t>
  </si>
  <si>
    <t>R 6 X 130</t>
  </si>
  <si>
    <t>Tipo R 6 X 130</t>
  </si>
  <si>
    <t>CHAVETASR 7 x 170</t>
  </si>
  <si>
    <t>R 7 x 170</t>
  </si>
  <si>
    <t>Tipo R 7 x 170</t>
  </si>
  <si>
    <t>CHAVETASR 8 x 180</t>
  </si>
  <si>
    <t>R 8 x 180</t>
  </si>
  <si>
    <t>Tipo R 8 x 180</t>
  </si>
  <si>
    <t>CHAVETASALF 2,5 X 80</t>
  </si>
  <si>
    <t>ALF 2,5 X 80</t>
  </si>
  <si>
    <t>Tipo ALF 2,5 X 80</t>
  </si>
  <si>
    <t>CHAVETASALF 2,5 X 130</t>
  </si>
  <si>
    <t>ALF 2,5 X 130</t>
  </si>
  <si>
    <t>Tipo ALF 2,5 X 130</t>
  </si>
  <si>
    <t>CHAVETASALF 3 X 110</t>
  </si>
  <si>
    <t>ALF 3 X 110</t>
  </si>
  <si>
    <t>Tipo ALF 3 X 110</t>
  </si>
  <si>
    <t>CHAVETASALF 3,5 X 120</t>
  </si>
  <si>
    <t>ALF 3,5 X 120</t>
  </si>
  <si>
    <t>Tipo ALF 3,5 X 120</t>
  </si>
  <si>
    <t>CHAVETASALF 3,5 X 150</t>
  </si>
  <si>
    <t>ALF 3,5 X 150</t>
  </si>
  <si>
    <t>Tipo ALF 3,5 X 150</t>
  </si>
  <si>
    <t>CHAVETASALF 4 X 130</t>
  </si>
  <si>
    <t>ALF 4 X 130</t>
  </si>
  <si>
    <t>Tipo ALF 4 X 130</t>
  </si>
  <si>
    <t>CHAVETASALF 4,5 X 130</t>
  </si>
  <si>
    <t>ALF 4,5 X 130</t>
  </si>
  <si>
    <t>Tipo ALF 4,5 X 130</t>
  </si>
  <si>
    <t>CHAVETASALF 5 X 120</t>
  </si>
  <si>
    <t>ALF 5 X 120</t>
  </si>
  <si>
    <t>Tipo ALF 5 X 120</t>
  </si>
  <si>
    <t>CHAVETASALF 5 X 200</t>
  </si>
  <si>
    <t>ALF 5 X 200</t>
  </si>
  <si>
    <t>Tipo ALF 5 X 200</t>
  </si>
  <si>
    <t>CHAVETASALF 6 X 200</t>
  </si>
  <si>
    <t>ALF 6 X 200</t>
  </si>
  <si>
    <t>Tipo ALF 6 X 200</t>
  </si>
  <si>
    <t>CHAVETASALF 7 X 175</t>
  </si>
  <si>
    <t>ALF 7 X 175</t>
  </si>
  <si>
    <t>CHAVETASALF 8 x 220</t>
  </si>
  <si>
    <t>ALF 8 x 220</t>
  </si>
  <si>
    <t>CHAVETASTRG 4 X 90</t>
  </si>
  <si>
    <t>TRG 4 X 90</t>
  </si>
  <si>
    <t>TRF 4 X 90</t>
  </si>
  <si>
    <t>Tipo TRG 4 X 90</t>
  </si>
  <si>
    <t>CHAVETASTRG 4,5 X 90</t>
  </si>
  <si>
    <t>TRG 4,5 X 90</t>
  </si>
  <si>
    <t>TRF 4,5 X 90</t>
  </si>
  <si>
    <t>Tipo TRG 4,5 X 90</t>
  </si>
  <si>
    <t>CHAVETASTRG 5 X 90</t>
  </si>
  <si>
    <t>TRG 5 X 90</t>
  </si>
  <si>
    <t>TRF 5 X 90</t>
  </si>
  <si>
    <t>Tipo TRG 5 X 90</t>
  </si>
  <si>
    <t>CHAVETASTRF 4 X 90</t>
  </si>
  <si>
    <t>Tipo TRF 4 X 90</t>
  </si>
  <si>
    <t>CHAVETASTRF 4,5 X 90</t>
  </si>
  <si>
    <t>Tipo TRF 4,5 X 90</t>
  </si>
  <si>
    <t>CHAVETASTRF 5 X 90</t>
  </si>
  <si>
    <t>Tipo TRF 5 X 90</t>
  </si>
  <si>
    <t>GANCHOS - CHAVETASGancho - 3x55 AC</t>
  </si>
  <si>
    <t>GANCHOS - CHAVETAS</t>
  </si>
  <si>
    <t>Gancho - 3x55 AC</t>
  </si>
  <si>
    <t>3 mm - ABIERTA CORTA - 20 mm - 55 mm</t>
  </si>
  <si>
    <t>GANCHOS - CHAVETASGancho - 3x80 AL</t>
  </si>
  <si>
    <t>Gancho - 3x80 AL</t>
  </si>
  <si>
    <t>3 mm - ABIERTA LARGA - 20 mm - 80 mm</t>
  </si>
  <si>
    <t>GANCHOS - CHAVETASGancho - 3,5x55 AC</t>
  </si>
  <si>
    <t>Gancho - 3,5x55 AC</t>
  </si>
  <si>
    <t>3,5 mm - ABIERTA C - 20 mm - 55 mm</t>
  </si>
  <si>
    <t>GANCHOS - CHAVETASGancho - 3,5x80 AL</t>
  </si>
  <si>
    <t>Gancho - 3,5x80 AL</t>
  </si>
  <si>
    <t>3,5 mm - ABIERTA L - 20 mm - 80 mm</t>
  </si>
  <si>
    <t>GANCHOS - CHAVETASGancho - 4x55 AC</t>
  </si>
  <si>
    <t>Gancho - 4x55 AC</t>
  </si>
  <si>
    <t>4 mm - ABIERTA C - 25 mm - 55 mm</t>
  </si>
  <si>
    <t>GANCHOS - CHAVETASGancho - 4x80 AL</t>
  </si>
  <si>
    <t>Gancho - 4x80 AL</t>
  </si>
  <si>
    <t>4 mm - ABIERTA L - 25 mm - 80 mm</t>
  </si>
  <si>
    <t>GANCHOS - CHAVETASGancho - 5x65 AC</t>
  </si>
  <si>
    <t>Gancho - 5x65 AC</t>
  </si>
  <si>
    <t>5 mm - ABIERTA C - 25 mm - 65 mm</t>
  </si>
  <si>
    <t>GANCHOS - CHAVETASGancho - 5x100 C</t>
  </si>
  <si>
    <t>Gancho - 5x100 C</t>
  </si>
  <si>
    <t>5 mm - CERRADA - 25 mm - 100 mm</t>
  </si>
  <si>
    <t>GANCHOS - CHAVETASGancho - 5x100 A</t>
  </si>
  <si>
    <t>Gancho - 5x100 A</t>
  </si>
  <si>
    <t>5 mm - ABIERTA - 32 mm - 100 mm</t>
  </si>
  <si>
    <t>GANCHOS - CHAVETASGancho - 6x95 A</t>
  </si>
  <si>
    <t>Gancho - 6x95 A</t>
  </si>
  <si>
    <t>6 mm - ABIERTA - 25 mm - 95 mm</t>
  </si>
  <si>
    <t>GANCHOS - CHAVETASGancho - 6x95 C</t>
  </si>
  <si>
    <t>Gancho - 6x95 C</t>
  </si>
  <si>
    <t>6 mm - CERRADA - 25 mm - 95 mm</t>
  </si>
  <si>
    <t>GANCHOS - CHAVETASGancho - 6x100 A</t>
  </si>
  <si>
    <t>Gancho - 6x100 A</t>
  </si>
  <si>
    <t>6 mm - ABIERTA - 32 mm - 100 mm</t>
  </si>
  <si>
    <t>GANCHOS - CHAVETASGancho - 8x110 A</t>
  </si>
  <si>
    <t>Gancho - 8x110 A</t>
  </si>
  <si>
    <t xml:space="preserve">8 mm - ABIERTA - 32 mm - </t>
  </si>
  <si>
    <t>GANCHOS - CHAVETASGancho - 8x90 C</t>
  </si>
  <si>
    <t>Gancho - 8x90 C</t>
  </si>
  <si>
    <t xml:space="preserve">8 mm - CERRADA/SOLD - 32 mm - </t>
  </si>
  <si>
    <t>GANCHOS - CHAVETASGancho - M1</t>
  </si>
  <si>
    <t>Gancho - M1</t>
  </si>
  <si>
    <t>GANCHOS - CHAVETASGancho - M2</t>
  </si>
  <si>
    <t>Gancho - M2</t>
  </si>
  <si>
    <t>GANCHOS - CHAVETASChav-TRB 2,5x50</t>
  </si>
  <si>
    <t>Chav-TRB 2,5x50</t>
  </si>
  <si>
    <t>GANCHOS - CHAVETASChav-TRB 3x95</t>
  </si>
  <si>
    <t>Chav-TRB 3x95</t>
  </si>
  <si>
    <t>Chaveta Traba 3x95</t>
  </si>
  <si>
    <t>GANCHOS - CHAVETASChav-TRB 3,5x95</t>
  </si>
  <si>
    <t>Chav-TRB 3,5x95</t>
  </si>
  <si>
    <t>Chaveta Traba 3,5x95</t>
  </si>
  <si>
    <t>GANCHOS - CHAVETASChav-R 4x120</t>
  </si>
  <si>
    <t>Chav-R 4x120</t>
  </si>
  <si>
    <t>Chaveta "R" 4x120</t>
  </si>
  <si>
    <t>GANCHOS - CHAVETASChav-R 4,5x120</t>
  </si>
  <si>
    <t>Chav-R 4,5x120</t>
  </si>
  <si>
    <t>Chaveta "R" 4,5x120</t>
  </si>
  <si>
    <t>GANCHOS - CHAVETASChav-R 5x120</t>
  </si>
  <si>
    <t>Chav-R 5x120</t>
  </si>
  <si>
    <t>Chaveta "R" 5x120</t>
  </si>
  <si>
    <t>GANCHOS - CHAVETASChav-ALF 4x150</t>
  </si>
  <si>
    <t>Chav-ALF 4x150</t>
  </si>
  <si>
    <t>Chaveta Alfiler 4x150</t>
  </si>
  <si>
    <t>GANCHOS - CHAVETASChav-ALF 4,5x150</t>
  </si>
  <si>
    <t>Chav-ALF 4,5x150</t>
  </si>
  <si>
    <t>Chaveta Alfiler  4,5x150</t>
  </si>
  <si>
    <t>GANCHOS - CHAVETASChav-ALF 5x150</t>
  </si>
  <si>
    <t>Chav-ALF 5x150</t>
  </si>
  <si>
    <t>Chaveta Alfiler  5x150</t>
  </si>
  <si>
    <t>CARBONES1 -  27 x 12 x 6</t>
  </si>
  <si>
    <t>CARBONES</t>
  </si>
  <si>
    <t>1 -  27 x 12 x 6</t>
  </si>
  <si>
    <t>JORGE.CARBON</t>
  </si>
  <si>
    <t>Pulidoras DOVER 500</t>
  </si>
  <si>
    <t>CARBONES2 -  27 x 9 x 6</t>
  </si>
  <si>
    <t>2 -  27 x 9 x 6</t>
  </si>
  <si>
    <t>Pulidoras DOVER LP</t>
  </si>
  <si>
    <t>CARBONES3 -  18 x 5 x 8</t>
  </si>
  <si>
    <t>3 -  18 x 5 x 8</t>
  </si>
  <si>
    <t>TALADRO BOSH 1106</t>
  </si>
  <si>
    <t>CARBONES4 -  22 x 16 x 6,3</t>
  </si>
  <si>
    <t>4 -  22 x 16 x 6,3</t>
  </si>
  <si>
    <t>AMOLADORA BOSCH 1361/62</t>
  </si>
  <si>
    <t>CARBONES5 -  17 x 15 x 7</t>
  </si>
  <si>
    <t>5 -  17 x 15 x 7</t>
  </si>
  <si>
    <t>HITACHI SENSITIVA</t>
  </si>
  <si>
    <t>CARBONES8 -  17 x 11 x 7</t>
  </si>
  <si>
    <t>8 -  17 x 11 x 7</t>
  </si>
  <si>
    <t>HITACHI PULIDORA 100</t>
  </si>
  <si>
    <t>CARBONES9 -  22 x 16 x 6,3</t>
  </si>
  <si>
    <t>9 -  22 x 16 x 6,3</t>
  </si>
  <si>
    <t>AMOLADORA BOSCH 1331 6 Y 7"</t>
  </si>
  <si>
    <t>CARBONES12 -  14 x 5 x 5</t>
  </si>
  <si>
    <t>12 -  14 x 5 x 5</t>
  </si>
  <si>
    <t>TALADRO BLACK Y DECKER</t>
  </si>
  <si>
    <t>CARBONES13 -  16 x 6 x 6</t>
  </si>
  <si>
    <t>13 -  16 x 6 x 6</t>
  </si>
  <si>
    <t>TALADRO BLACK Y DECKER, MARTINS</t>
  </si>
  <si>
    <t>CARBONES15 - 16 x 7,5 x 6,5</t>
  </si>
  <si>
    <t>15 - 16 x 7,5 x 6,5</t>
  </si>
  <si>
    <t>TALADRO HITACHI VIP</t>
  </si>
  <si>
    <t>CARBONES16 -  17 x 6 x 6</t>
  </si>
  <si>
    <t>16 -  17 x 6 x 6</t>
  </si>
  <si>
    <t xml:space="preserve">LIJAD/ PUL/ BORD  MARTINS, </t>
  </si>
  <si>
    <t>CARBONES17 -  17 x 13 x 7</t>
  </si>
  <si>
    <t>17 -  17 x 13 x 7</t>
  </si>
  <si>
    <t>AMOLADORA HITACHI / SENST</t>
  </si>
  <si>
    <t>CARBONES18 -  18 x 6 x 9</t>
  </si>
  <si>
    <t>18 -  18 x 6 x 9</t>
  </si>
  <si>
    <t>BLACK DECKER TAL Y CIRCULAR</t>
  </si>
  <si>
    <t>CARBONES19 -  18 x 6 x 6</t>
  </si>
  <si>
    <t>19 -  18 x 6 x 6</t>
  </si>
  <si>
    <t>TALADRO DOWEN PAGGIO</t>
  </si>
  <si>
    <t>CARBONES20 -  18 x 17 x 7</t>
  </si>
  <si>
    <t>20 -  18 x 17 x 7</t>
  </si>
  <si>
    <t>AMOL JEPSON, VERSA, GLAD</t>
  </si>
  <si>
    <t>CARBONES21 -  22 x 9 x 6</t>
  </si>
  <si>
    <t>21 -  22 x 9 x 6</t>
  </si>
  <si>
    <t>AMOL DOWEN PAGGIO</t>
  </si>
  <si>
    <t>CARBONES22 -  14 x 9,5 x 5</t>
  </si>
  <si>
    <t>22 -  14 x 9,5 x 5</t>
  </si>
  <si>
    <t>MOTO SIERRA DECKER/ METBO</t>
  </si>
  <si>
    <t>CARBONES24 -  15 x 7 x 6</t>
  </si>
  <si>
    <t>24 -  15 x 7 x 6</t>
  </si>
  <si>
    <t>AMOL ROCKWEL</t>
  </si>
  <si>
    <t>CARBONES38 -  30 x 9 x 6</t>
  </si>
  <si>
    <t>38 -  30 x 9 x 6</t>
  </si>
  <si>
    <t>PULID YELMO</t>
  </si>
  <si>
    <t>CARBONES39 -  22 x 14 x 6</t>
  </si>
  <si>
    <t>39 -  22 x 14 x 6</t>
  </si>
  <si>
    <t>AMOLAD DOWEN 7" STAYER</t>
  </si>
  <si>
    <t>CARBONES41 -  18 x 8 x 5</t>
  </si>
  <si>
    <t>41 -  18 x 8 x 5</t>
  </si>
  <si>
    <t>AMOLD BOSH</t>
  </si>
  <si>
    <t>CARBONES42 -  17 x 8 x 6</t>
  </si>
  <si>
    <t>42 -  17 x 8 x 6</t>
  </si>
  <si>
    <t>AMOLD BLACK DECKER</t>
  </si>
  <si>
    <t>CARBONES43 -  13 x 8 x 5</t>
  </si>
  <si>
    <t>43 -  13 x 8 x 5</t>
  </si>
  <si>
    <t>AMOLS IMPORT</t>
  </si>
  <si>
    <t>CARBONES44 -  10 x 8 x 5</t>
  </si>
  <si>
    <t>44 -  10 x 8 x 5</t>
  </si>
  <si>
    <t>AMOLD BLACK DECKER 4,5" GAMMA</t>
  </si>
  <si>
    <t>CARBONES47 - 15 x 9 x 6,3</t>
  </si>
  <si>
    <t>47 - 15 x 9 x 6,3</t>
  </si>
  <si>
    <t>AMOL BLACK DECKER PS 432/412</t>
  </si>
  <si>
    <t>CARBONES48 -  6 x 10 x 20</t>
  </si>
  <si>
    <t>48 -  6 x 10 x 20</t>
  </si>
  <si>
    <t>CARBONES50 - 20 x 6 x 6</t>
  </si>
  <si>
    <t>50 - 20 x 6 x 6</t>
  </si>
  <si>
    <t>AM. 4 ½ “  BOSH</t>
  </si>
  <si>
    <t>CARBONES53 - 12 x 7,8 x 4,8</t>
  </si>
  <si>
    <t>53 - 12 x 7,8 x 4,8</t>
  </si>
  <si>
    <t>Amolad 4 1/2 Black &amp; decker</t>
  </si>
  <si>
    <t>CARBONES54 - 6 x 8 x 15</t>
  </si>
  <si>
    <t>54 - 6 x 8 x 15</t>
  </si>
  <si>
    <t>AMOL BLACK DECKER PS 900</t>
  </si>
  <si>
    <t>CARBONES55 - 5 x 8 x 14</t>
  </si>
  <si>
    <t>55 - 5 x 8 x 14</t>
  </si>
  <si>
    <t>TALADRO BOSCH / BLACK</t>
  </si>
  <si>
    <t>CARBONES62 - 6 x 10 x 14</t>
  </si>
  <si>
    <t>62 - 6 x 10 x 14</t>
  </si>
  <si>
    <t>AMOL DOWEN / 7" POWERTOL</t>
  </si>
  <si>
    <t>CARBONES70 - 14 x 7 x 6</t>
  </si>
  <si>
    <t>70 - 14 x 7 x 6</t>
  </si>
  <si>
    <t>AMOLADORA DE WALT</t>
  </si>
  <si>
    <t>CARBONES81 - 15 x 4,5 x 4,5</t>
  </si>
  <si>
    <t>81 - 15 x 4,5 x 4,5</t>
  </si>
  <si>
    <t>SINGER</t>
  </si>
  <si>
    <t>CARBONES82 - 18 x 8 x 6</t>
  </si>
  <si>
    <t>82 - 18 x 8 x 6</t>
  </si>
  <si>
    <t>BORD SCHEFER</t>
  </si>
  <si>
    <t>CARBONES89 - 19 x 18 x 7</t>
  </si>
  <si>
    <t>89 - 19 x 18 x 7</t>
  </si>
  <si>
    <t>AMOL MAKITA / SENSIT 350</t>
  </si>
  <si>
    <t>CARBONES94 - 14 x 10 x 6</t>
  </si>
  <si>
    <t>94 - 14 x 10 x 6</t>
  </si>
  <si>
    <t>AMOL DE WALT 474</t>
  </si>
  <si>
    <t>CARBONES105 - 16 x 11 x 6</t>
  </si>
  <si>
    <t>105 - 16 x 11 x 6</t>
  </si>
  <si>
    <t xml:space="preserve">AMOL MAKITA  </t>
  </si>
  <si>
    <t>CARBONES107 - 14 x 8 x 5</t>
  </si>
  <si>
    <t>107 - 14 x 8 x 5</t>
  </si>
  <si>
    <t>AMOL DE WALT 4,5</t>
  </si>
  <si>
    <t>CARBONES108 - 18 x 8 x 6</t>
  </si>
  <si>
    <t>108 - 18 x 8 x 6</t>
  </si>
  <si>
    <t>CARBONES109 - 13,7 x 7 x 6</t>
  </si>
  <si>
    <t>109 - 13,7 x 7 x 6</t>
  </si>
  <si>
    <t xml:space="preserve">Taladro DE WALT 10 mm, cable largo </t>
  </si>
  <si>
    <t>CARBONESExhibidor</t>
  </si>
  <si>
    <t>Exhibidor</t>
  </si>
  <si>
    <t>KIT RIFLE5/2 máster Potenciado + Pistón + Arandela</t>
  </si>
  <si>
    <t>KIT RIFLE</t>
  </si>
  <si>
    <t>5/2 máster Potenciado + Pistón + Arandela</t>
  </si>
  <si>
    <t>MAHELy RENO E IMPORTADO</t>
  </si>
  <si>
    <t>KIT RIFLEMáster Potenciado Coop + Pistón + Arandela</t>
  </si>
  <si>
    <t>Máster Potenciado Coop + Pistón + Arandela</t>
  </si>
  <si>
    <t>KIT RIFLEJunior + Pistón + Arandela</t>
  </si>
  <si>
    <t>Junior + Pistón + Arandela</t>
  </si>
  <si>
    <t>ESPINAS ELASTICAS2 x 12</t>
  </si>
  <si>
    <t>ESPINAS ELASTICAS</t>
  </si>
  <si>
    <t>2 x 12</t>
  </si>
  <si>
    <t>01012-12</t>
  </si>
  <si>
    <t>EN28752 ESPINA ELAST. 2x12</t>
  </si>
  <si>
    <t>ESPINAS ELASTICAS2 x 16</t>
  </si>
  <si>
    <t>2 x 16</t>
  </si>
  <si>
    <t>01012-16</t>
  </si>
  <si>
    <t>EN28752 ESPINA ELAST. 2x16</t>
  </si>
  <si>
    <t>ESPINAS ELASTICAS2 x 20</t>
  </si>
  <si>
    <t>2 x 20</t>
  </si>
  <si>
    <t>01012-20</t>
  </si>
  <si>
    <t>EN28752 ESPINA ELAST. 2x20</t>
  </si>
  <si>
    <t>ESPINAS ELASTICAS2,5 x 14</t>
  </si>
  <si>
    <t>2,5 x 14</t>
  </si>
  <si>
    <t>01012.5-14</t>
  </si>
  <si>
    <t>EN28752 ESPINA ELAST.2,5x14</t>
  </si>
  <si>
    <t>ESPINAS ELASTICAS2,5 x 16</t>
  </si>
  <si>
    <t>2,5 x 16</t>
  </si>
  <si>
    <t>01012.5-16</t>
  </si>
  <si>
    <t>EN28752 ESPINA ELAST. 2,5x16</t>
  </si>
  <si>
    <t xml:space="preserve">ESPINAS ELASTICAS2,5 x 26 </t>
  </si>
  <si>
    <t xml:space="preserve">2,5 x 26 </t>
  </si>
  <si>
    <t>01012.5-26</t>
  </si>
  <si>
    <t>EN28752 ESPINA ELAST. 2,5x26</t>
  </si>
  <si>
    <t>ESPINAS ELASTICAS2,5 x 30</t>
  </si>
  <si>
    <t>2,5 x 30</t>
  </si>
  <si>
    <t>01012.5-30</t>
  </si>
  <si>
    <t>EN28752 ESPINA ELAST.2,5x30</t>
  </si>
  <si>
    <t>ESPINAS ELASTICAS3 x 14</t>
  </si>
  <si>
    <t>3 x 14</t>
  </si>
  <si>
    <t>01013-14</t>
  </si>
  <si>
    <t>EN28752 ESPINA ELAST. 3x14</t>
  </si>
  <si>
    <t>ESPINAS ELASTICAS3 x 16</t>
  </si>
  <si>
    <t>3 x 16</t>
  </si>
  <si>
    <t>01013-18</t>
  </si>
  <si>
    <t>EN28752 ESPINA ELAST. 3x16</t>
  </si>
  <si>
    <t>ESPINAS ELASTICAS3 x 20</t>
  </si>
  <si>
    <t>01013-20</t>
  </si>
  <si>
    <t>EN28752 ESPINA ELAST. 3x20</t>
  </si>
  <si>
    <t>ESPINAS ELASTICAS3 x 26</t>
  </si>
  <si>
    <t>3 x 26</t>
  </si>
  <si>
    <t>01013-26</t>
  </si>
  <si>
    <t>EN28752 ESPINA ELAST. 3x26</t>
  </si>
  <si>
    <t>ESPINAS ELASTICAS3 x 30</t>
  </si>
  <si>
    <t>3 x 30</t>
  </si>
  <si>
    <t>01013-30</t>
  </si>
  <si>
    <t>EN28752 ESPINA ELAST. 3x30</t>
  </si>
  <si>
    <t>ESPINAS ELASTICAS3 x 36</t>
  </si>
  <si>
    <t>3 x 36</t>
  </si>
  <si>
    <t>01013-36</t>
  </si>
  <si>
    <t>EN28752 ESPINA ELAST. 3x36</t>
  </si>
  <si>
    <t>ESPINAS ELASTICAS3 x 40</t>
  </si>
  <si>
    <t>3 x 40</t>
  </si>
  <si>
    <t>01013-40</t>
  </si>
  <si>
    <t>EN28752 ESPINA ELAST. 3x40</t>
  </si>
  <si>
    <t>ESPINAS ELASTICAS3 x 45</t>
  </si>
  <si>
    <t>3 x 45</t>
  </si>
  <si>
    <t>01013-45</t>
  </si>
  <si>
    <t>EN28752 ESPINA ELAST. 3x45</t>
  </si>
  <si>
    <t>ESPINAS ELASTICAS3 x 50</t>
  </si>
  <si>
    <t>3 x 50</t>
  </si>
  <si>
    <t>01013-50</t>
  </si>
  <si>
    <t>EN28752 ESPINA ELAST. 3x50</t>
  </si>
  <si>
    <t>ESPINAS ELASTICAS3,5 x 20</t>
  </si>
  <si>
    <t>3,5 x 20</t>
  </si>
  <si>
    <t>01013.5-20H</t>
  </si>
  <si>
    <t>EN28752 ESPINA ELAST. 3,5x20</t>
  </si>
  <si>
    <t>ESPINAS ELASTICAS3,5 x 30</t>
  </si>
  <si>
    <t>3,5 x 30</t>
  </si>
  <si>
    <t>01013.5-30</t>
  </si>
  <si>
    <t>EN28752 ESPINA ELAST. 3,5x30</t>
  </si>
  <si>
    <t>ESPINAS ELASTICAS3,5 x 40</t>
  </si>
  <si>
    <t>3,5 x 40</t>
  </si>
  <si>
    <t>01013.5-40</t>
  </si>
  <si>
    <t>EN28752 ESPINA ELAST. 3,5x40</t>
  </si>
  <si>
    <t>ESPINAS ELASTICAS3,5 x 50</t>
  </si>
  <si>
    <t>3,5 x 50</t>
  </si>
  <si>
    <t>01013.5-50</t>
  </si>
  <si>
    <t>EN28752 ESPINA ELAST. 3,5x50</t>
  </si>
  <si>
    <t>ESPINAS ELASTICAS4 x 20</t>
  </si>
  <si>
    <t>4 x 20</t>
  </si>
  <si>
    <t>01014-20</t>
  </si>
  <si>
    <t>EN28752 ESPINA ELAST. 4x20</t>
  </si>
  <si>
    <t>ESPINAS ELASTICAS4 x 26</t>
  </si>
  <si>
    <t>4 x 26</t>
  </si>
  <si>
    <t>01014-26</t>
  </si>
  <si>
    <t>EN28752 ESPINA ELAST. 4x26</t>
  </si>
  <si>
    <t>ESPINAS ELASTICAS4 x 30</t>
  </si>
  <si>
    <t>4 x 30</t>
  </si>
  <si>
    <t>01014-30</t>
  </si>
  <si>
    <t>EN28752 ESPINA ELAST. 4x30</t>
  </si>
  <si>
    <t>ESPINAS ELASTICAS4 x 40</t>
  </si>
  <si>
    <t>4 x 40</t>
  </si>
  <si>
    <t>01014-40H</t>
  </si>
  <si>
    <t>EN28752 ESPINA ELAST. 4x40</t>
  </si>
  <si>
    <t>ESPINAS ELASTICAS4 x 50</t>
  </si>
  <si>
    <t>4 x 50</t>
  </si>
  <si>
    <t>01014-50</t>
  </si>
  <si>
    <t>EN28752 ESPINA ELAST. 4x50</t>
  </si>
  <si>
    <t>ESPINAS ELASTICAS4,5 x 20</t>
  </si>
  <si>
    <t>4,5 x 20</t>
  </si>
  <si>
    <t>01014.5-20</t>
  </si>
  <si>
    <t>EN28752 ESPINA ELAST. 4,5x20</t>
  </si>
  <si>
    <t>ESPINAS ELASTICAS4,5 x 30</t>
  </si>
  <si>
    <t>4,5 x 30</t>
  </si>
  <si>
    <t>01014.5-30</t>
  </si>
  <si>
    <t>EN28752 ESPINA ELAST. 4,5x30</t>
  </si>
  <si>
    <t>ESPINAS ELASTICAS4,5 x 40</t>
  </si>
  <si>
    <t>4,5 x 40</t>
  </si>
  <si>
    <t>01014.5-40</t>
  </si>
  <si>
    <t>EN28752 ESPINA ELAST. 4,5x40</t>
  </si>
  <si>
    <t>ESPINAS ELASTICAS4,5 x 50</t>
  </si>
  <si>
    <t>4,5 x 50</t>
  </si>
  <si>
    <t>01014.5-50</t>
  </si>
  <si>
    <t>EN28752 ESPINA ELAST. 4,5x50</t>
  </si>
  <si>
    <t>ESPINAS ELASTICAS5 x 24</t>
  </si>
  <si>
    <t>5 x 24</t>
  </si>
  <si>
    <t>01015-24</t>
  </si>
  <si>
    <t>EN28752 ESPINA ELAST. 5x24</t>
  </si>
  <si>
    <t>ESPINAS ELASTICAS5 x 30</t>
  </si>
  <si>
    <t>5 x 30</t>
  </si>
  <si>
    <t>01015-30</t>
  </si>
  <si>
    <t>EN28752 ESPINA ELAST. 5x30</t>
  </si>
  <si>
    <t>ESPINAS ELASTICAS5 x 40</t>
  </si>
  <si>
    <t>5 x 40</t>
  </si>
  <si>
    <t>01015-40</t>
  </si>
  <si>
    <t>EN28752 ESPINA ELAST. 5x40</t>
  </si>
  <si>
    <t>ESPINAS ELASTICAS5 x 50</t>
  </si>
  <si>
    <t>5 x 50</t>
  </si>
  <si>
    <t>01015-50</t>
  </si>
  <si>
    <t>EN28752 ESPINA ELAST. 5x50</t>
  </si>
  <si>
    <t>ESPINAS ELASTICAS5 x 60</t>
  </si>
  <si>
    <t>5 x 60</t>
  </si>
  <si>
    <t>01015-60</t>
  </si>
  <si>
    <t>EN28752 ESPINA ELAST. 5x60</t>
  </si>
  <si>
    <t>ESPINAS ELASTICAS5 X 70</t>
  </si>
  <si>
    <t>5 X 70</t>
  </si>
  <si>
    <t>01015-70</t>
  </si>
  <si>
    <t>EN28752 ESPINA ELAST. 5x70</t>
  </si>
  <si>
    <t>ESPINAS ELASTICAS5X 80</t>
  </si>
  <si>
    <t>5X 80</t>
  </si>
  <si>
    <t>01015-80</t>
  </si>
  <si>
    <t>EN28752 ESPINA ELAST. 5x80</t>
  </si>
  <si>
    <t>ESPINAS ELASTICAS6 x 30</t>
  </si>
  <si>
    <t>6 x 30</t>
  </si>
  <si>
    <t>01016-30</t>
  </si>
  <si>
    <t>EN28752 ESPINA ELAST. 6x30</t>
  </si>
  <si>
    <t>ESPINAS ELASTICAS6 x 40</t>
  </si>
  <si>
    <t>6 x 40</t>
  </si>
  <si>
    <t>01016-40</t>
  </si>
  <si>
    <t>EN28752 ESPINA ELAST. 6x40</t>
  </si>
  <si>
    <t>ESPINAS ELASTICAS6 x 50</t>
  </si>
  <si>
    <t>6 x 50</t>
  </si>
  <si>
    <t>01016-50H</t>
  </si>
  <si>
    <t>EN28752 ESPINA ELAST. 6x50</t>
  </si>
  <si>
    <t>ESPINAS ELASTICAS6 x 60</t>
  </si>
  <si>
    <t>6 x 60</t>
  </si>
  <si>
    <t>01016-60</t>
  </si>
  <si>
    <t>EN28752 ESPINA ELAST. 6x60</t>
  </si>
  <si>
    <t>ESPINAS ELASTICAS6 x 70</t>
  </si>
  <si>
    <t>6 x 70</t>
  </si>
  <si>
    <t>01016-70</t>
  </si>
  <si>
    <t>EN28752 ESPINA ELAST. 6x70</t>
  </si>
  <si>
    <t>ESPINAS ELASTICAS6 x 80</t>
  </si>
  <si>
    <t>6 x 80</t>
  </si>
  <si>
    <t>01016-80</t>
  </si>
  <si>
    <t>EN28752 ESPINA ELAST. 6x80</t>
  </si>
  <si>
    <t>ESPINAS ELASTICAS7 x 40</t>
  </si>
  <si>
    <t>7 x 40</t>
  </si>
  <si>
    <t>01017-40</t>
  </si>
  <si>
    <t>EN28752 ESPINA ELAST. 7x40</t>
  </si>
  <si>
    <t>ESPINAS ELASTICAS7 x 50</t>
  </si>
  <si>
    <t>7 x 50</t>
  </si>
  <si>
    <t>01017-50</t>
  </si>
  <si>
    <t>EN28752 ESPINA ELAST. 7x50</t>
  </si>
  <si>
    <t>ESPINAS ELASTICAS7 x 60</t>
  </si>
  <si>
    <t>7 x 60</t>
  </si>
  <si>
    <t>01017-60</t>
  </si>
  <si>
    <t>EN28752 ESPINA ELAST. 7x60</t>
  </si>
  <si>
    <t>ESPINAS ELASTICAS8 x 40</t>
  </si>
  <si>
    <t>8 x 40</t>
  </si>
  <si>
    <t>01018-40</t>
  </si>
  <si>
    <t>EN28752 ESPINA ELAST. 8x40</t>
  </si>
  <si>
    <t>ESPINAS ELASTICAS8 x 50</t>
  </si>
  <si>
    <t>8 x 50</t>
  </si>
  <si>
    <t>01018-50H</t>
  </si>
  <si>
    <t>EN28752 ESPINA ELAST. 8x50</t>
  </si>
  <si>
    <t>ESPINAS ELASTICAS8 x 60</t>
  </si>
  <si>
    <t>8 x 60</t>
  </si>
  <si>
    <t>01018-60</t>
  </si>
  <si>
    <t>EN28752 ESPINA ELAST. 8x60</t>
  </si>
  <si>
    <t>ESPINAS ELASTICAS8 x 70</t>
  </si>
  <si>
    <t>8 x 70</t>
  </si>
  <si>
    <t>01018-70</t>
  </si>
  <si>
    <t>EN28752 ESPINA ELAST. 8x70</t>
  </si>
  <si>
    <t>ESPINAS ELASTICAS8 x 80</t>
  </si>
  <si>
    <t>8 x 80</t>
  </si>
  <si>
    <t>01018-80</t>
  </si>
  <si>
    <t>EN28752 ESPINA ELAST. 8x80</t>
  </si>
  <si>
    <t>ESPINAS ELASTICAS8 x 100</t>
  </si>
  <si>
    <t>8 x 100</t>
  </si>
  <si>
    <t>01018-100</t>
  </si>
  <si>
    <t>EN28752 ESPINA ELAST. 8x100</t>
  </si>
  <si>
    <t>ESPINAS ELASTICAS10 x 50</t>
  </si>
  <si>
    <t>10 x 50</t>
  </si>
  <si>
    <t>010110-50</t>
  </si>
  <si>
    <t>EN28752 ESPINA ELAST. 10x50</t>
  </si>
  <si>
    <t>ESPINAS ELASTICAS10 x 60</t>
  </si>
  <si>
    <t>10 x 60</t>
  </si>
  <si>
    <t>010110-60</t>
  </si>
  <si>
    <t>EN28752 ESPINA ELAST. 10x60</t>
  </si>
  <si>
    <t>ESPINAS ELASTICAS10 x 70</t>
  </si>
  <si>
    <t>10 x 70</t>
  </si>
  <si>
    <t>010110-70</t>
  </si>
  <si>
    <t>EN28752 ESPINA ELAST. 10x70</t>
  </si>
  <si>
    <t>ESPINAS ELASTICAS10 x 80</t>
  </si>
  <si>
    <t>10 x 80</t>
  </si>
  <si>
    <t>010110-80</t>
  </si>
  <si>
    <t>EN28752 ESPINA ELAST. 10x80</t>
  </si>
  <si>
    <t>TARUGOS ESTRIADOS5 x 25</t>
  </si>
  <si>
    <t>TARUGOS ESTRIADOS</t>
  </si>
  <si>
    <t>5 x 25</t>
  </si>
  <si>
    <t>TUDANCA</t>
  </si>
  <si>
    <t>TARUGOS ESTRIADOS5 x 30</t>
  </si>
  <si>
    <t>5 X 30</t>
  </si>
  <si>
    <t>TARUGOS ESTRIADOS5 x 35</t>
  </si>
  <si>
    <t>5 x 35</t>
  </si>
  <si>
    <t>TARUGOS ESTRIADOS5 x 40</t>
  </si>
  <si>
    <t xml:space="preserve">TARUGOS ESTRIADOS5 x 45 </t>
  </si>
  <si>
    <t xml:space="preserve">5 x 45 </t>
  </si>
  <si>
    <t>TARUGOS ESTRIADOS5 x 50</t>
  </si>
  <si>
    <t>TARUGOS ESTRIADOS6 x 25</t>
  </si>
  <si>
    <t>6 x 25</t>
  </si>
  <si>
    <t>6 X 25</t>
  </si>
  <si>
    <t>TARUGOS ESTRIADOS6 x 30</t>
  </si>
  <si>
    <t>6 X 30</t>
  </si>
  <si>
    <t>TARUGOS ESTRIADOS6 x 35</t>
  </si>
  <si>
    <t>6 x 35</t>
  </si>
  <si>
    <t>6 X 35</t>
  </si>
  <si>
    <t>TARUGOS ESTRIADOS6 x 40</t>
  </si>
  <si>
    <t>6 X 40</t>
  </si>
  <si>
    <t>TARUGOS ESTRIADOS6 x 45</t>
  </si>
  <si>
    <t>6 x 45</t>
  </si>
  <si>
    <t>TARUGOS ESTRIADOS6 x 50</t>
  </si>
  <si>
    <t>6 X 50</t>
  </si>
  <si>
    <t>TARUGOS ESTRIADOS8 x 25</t>
  </si>
  <si>
    <t>8 x 25</t>
  </si>
  <si>
    <t>8 X 25</t>
  </si>
  <si>
    <t>TARUGOS ESTRIADOS8 x 30</t>
  </si>
  <si>
    <t>8 X 30</t>
  </si>
  <si>
    <t>TARUGOS ESTRIADOS8 x 35</t>
  </si>
  <si>
    <t>8 x 35</t>
  </si>
  <si>
    <t>8 X 35</t>
  </si>
  <si>
    <t>TARUGOS ESTRIADOS8 x 40</t>
  </si>
  <si>
    <t>8 X 40</t>
  </si>
  <si>
    <t>TARUGOS ESTRIADOS8 x 45</t>
  </si>
  <si>
    <t>8 x 45</t>
  </si>
  <si>
    <t>TARUGOS ESTRIADOS8 x 50</t>
  </si>
  <si>
    <t>8 X 50</t>
  </si>
  <si>
    <t>TARUGOS ESTRIADOS10 x 25</t>
  </si>
  <si>
    <t>10 x 25</t>
  </si>
  <si>
    <t>TARUGOS ESTRIADOS10 x 30</t>
  </si>
  <si>
    <t>10 X 30</t>
  </si>
  <si>
    <t>TARUGOS ESTRIADOS10 x 35</t>
  </si>
  <si>
    <t>10 x 35</t>
  </si>
  <si>
    <t>TARUGOS ESTRIADOS10 x 40</t>
  </si>
  <si>
    <t>10 X 40</t>
  </si>
  <si>
    <t>TARUGOS ESTRIADOS10 x 45</t>
  </si>
  <si>
    <t>10 x 45</t>
  </si>
  <si>
    <t>TARUGOS ESTRIADOS10 x 50</t>
  </si>
  <si>
    <t>10 X 50</t>
  </si>
  <si>
    <t>TARUGOS ESTRIADOS12 x 30</t>
  </si>
  <si>
    <t>12 x 30</t>
  </si>
  <si>
    <t>TARUGOS ESTRIADOS12 x 40</t>
  </si>
  <si>
    <t>TARUGOS ESTRIADOS12 x 50</t>
  </si>
  <si>
    <t>12 x 50</t>
  </si>
  <si>
    <t>12 X 50</t>
  </si>
  <si>
    <t>TARUGOS ESTRIADOS12 x 60</t>
  </si>
  <si>
    <t>12 x 60</t>
  </si>
  <si>
    <t>TARUGOS ESTRIADOSVarilla Ø4</t>
  </si>
  <si>
    <t>Varilla Ø4</t>
  </si>
  <si>
    <t>Varilla Estriada 4mm</t>
  </si>
  <si>
    <t>TARUGOS ESTRIADOSVarilla Ø6</t>
  </si>
  <si>
    <t>Varilla Ø6</t>
  </si>
  <si>
    <t>Varilla 6mm</t>
  </si>
  <si>
    <t>Varilla Estriada 6mm</t>
  </si>
  <si>
    <t>TARUGOS ESTRIADOSVarilla Ø8</t>
  </si>
  <si>
    <t>Varilla Ø8</t>
  </si>
  <si>
    <t>Varilla 8mm</t>
  </si>
  <si>
    <t>Varilla Estriada 8mm</t>
  </si>
  <si>
    <t>TARUGOS ESTRIADOSVarilla Ø10</t>
  </si>
  <si>
    <t>Varilla Ø10</t>
  </si>
  <si>
    <t>Varilla 10mm</t>
  </si>
  <si>
    <t>Varilla Estriada 10mm</t>
  </si>
  <si>
    <t>TARUGOS ESTRIADOSVarilla Ø12</t>
  </si>
  <si>
    <t>Varilla Ø12</t>
  </si>
  <si>
    <t>Varilla Guatambu/Lijado 12mm</t>
  </si>
  <si>
    <t>RETENES SEGURIDAD1,2</t>
  </si>
  <si>
    <t>RETENES SEGURIDAD</t>
  </si>
  <si>
    <t>04281.2</t>
  </si>
  <si>
    <t>D6799 RETEN SEGUR. 1,2 RS</t>
  </si>
  <si>
    <t>RETENES SEGURIDAD1,5</t>
  </si>
  <si>
    <t>04201.5</t>
  </si>
  <si>
    <t>D6799 RETEN SEGUR. 1,5 RS</t>
  </si>
  <si>
    <t>RETENES SEGURIDAD1,9</t>
  </si>
  <si>
    <t>04201.9</t>
  </si>
  <si>
    <t>D6799 RETEN SEGUR. 1,9 RS</t>
  </si>
  <si>
    <t>RETENES SEGURIDAD2,3</t>
  </si>
  <si>
    <t>04202.3</t>
  </si>
  <si>
    <t>D6799 RETEN SEGUR. 2,3 RS</t>
  </si>
  <si>
    <t>RETENES SEGURIDAD3,2</t>
  </si>
  <si>
    <t>04203.2</t>
  </si>
  <si>
    <t>D6799 RETEN SEGUR. 3,2 RS</t>
  </si>
  <si>
    <t>RETENES SEGURIDAD4</t>
  </si>
  <si>
    <t>04204H</t>
  </si>
  <si>
    <t>D6799 RETEN SEGUR.   4 RS</t>
  </si>
  <si>
    <t>RETENES SEGURIDAD5</t>
  </si>
  <si>
    <t>04205</t>
  </si>
  <si>
    <t>D6799 RETEN SEGUR.   5 RS</t>
  </si>
  <si>
    <t>RETENES SEGURIDAD6</t>
  </si>
  <si>
    <t>04206H</t>
  </si>
  <si>
    <t>D6799 RETEN SEGUR.   6 RS</t>
  </si>
  <si>
    <t>RETENES SEGURIDAD7</t>
  </si>
  <si>
    <t>04207H</t>
  </si>
  <si>
    <t>D6799 RETEN SEGUR.   7 RS</t>
  </si>
  <si>
    <t>RETENES SEGURIDAD8</t>
  </si>
  <si>
    <t>04208H</t>
  </si>
  <si>
    <t>D6799 RETEN SEGUR.   8 RS</t>
  </si>
  <si>
    <t>RETENES SEGURIDAD9</t>
  </si>
  <si>
    <t>04209H</t>
  </si>
  <si>
    <t>D6799 RETEN SEGUR.   9 RS</t>
  </si>
  <si>
    <t>RETENES SEGURIDAD10</t>
  </si>
  <si>
    <t>042010</t>
  </si>
  <si>
    <t>D6799 RETEN SEGUR.  10 RS</t>
  </si>
  <si>
    <t>RETENES SEGURIDAD12</t>
  </si>
  <si>
    <t>042012</t>
  </si>
  <si>
    <t>D6799 RETEN SEGUR.  12 RS</t>
  </si>
  <si>
    <t>RETENES SEGURIDAD15</t>
  </si>
  <si>
    <t>042015</t>
  </si>
  <si>
    <t>D6799 RETEN SEGUR.  15 RS</t>
  </si>
  <si>
    <t>RETENES SEGURIDAD19</t>
  </si>
  <si>
    <t>042019</t>
  </si>
  <si>
    <t>D6799 RETEN SEGUR.  19 RS</t>
  </si>
  <si>
    <t>ARANLOCK3 X 11.3</t>
  </si>
  <si>
    <t>ARANLOCK</t>
  </si>
  <si>
    <t>3 X 11.3</t>
  </si>
  <si>
    <t>07503-11.3H</t>
  </si>
  <si>
    <t>ARANLOCK       3x11,3x0,2</t>
  </si>
  <si>
    <t>ARANLOCK4 X 11.3</t>
  </si>
  <si>
    <t>4 X 11.3</t>
  </si>
  <si>
    <t>07504-11.3H</t>
  </si>
  <si>
    <t>ARANLOCK       4x11,3x0,2</t>
  </si>
  <si>
    <t>ARANLOCK5 X 11.3</t>
  </si>
  <si>
    <t>5 X 11.3</t>
  </si>
  <si>
    <t>07505-11.3H</t>
  </si>
  <si>
    <t>ARANLOCK       5x11,3x0,2</t>
  </si>
  <si>
    <t>ARANLOCK6 X 15</t>
  </si>
  <si>
    <t>6 X 15</t>
  </si>
  <si>
    <t>07506-15H</t>
  </si>
  <si>
    <t>ARANLOCK         6x15x0,3</t>
  </si>
  <si>
    <t>ARANLOCK7 X 15</t>
  </si>
  <si>
    <t>7 X 15</t>
  </si>
  <si>
    <t>07507-15</t>
  </si>
  <si>
    <t>ARANLOCK         7x15x0,3</t>
  </si>
  <si>
    <t>ARANLOCK8 X 15</t>
  </si>
  <si>
    <t>8 X 15</t>
  </si>
  <si>
    <t>07508-15</t>
  </si>
  <si>
    <t>ARANLOCK         8x15x0,3</t>
  </si>
  <si>
    <t>ARANLOCK9 X 18</t>
  </si>
  <si>
    <t>9 X 18</t>
  </si>
  <si>
    <t>07509-18</t>
  </si>
  <si>
    <t>ARANLOCK         9x18x0,3</t>
  </si>
  <si>
    <t>ARANLOCK10 X 18</t>
  </si>
  <si>
    <t>10 X 18</t>
  </si>
  <si>
    <t>075010-18</t>
  </si>
  <si>
    <t>ARANLOCK        10x18x0,3</t>
  </si>
  <si>
    <t>ARANLOCK11 X 21</t>
  </si>
  <si>
    <t>11 X 21</t>
  </si>
  <si>
    <t>075011-21H</t>
  </si>
  <si>
    <t>ARANLOCK        11x21x0,3</t>
  </si>
  <si>
    <t>ARANLOCK12 X 21</t>
  </si>
  <si>
    <t>12 X 21</t>
  </si>
  <si>
    <t>075012-21H</t>
  </si>
  <si>
    <t>ARANLOCK        12x21x0,3</t>
  </si>
  <si>
    <t>ARANLOCK9,5</t>
  </si>
  <si>
    <t>07509.5-18H</t>
  </si>
  <si>
    <t>ARANLOCK       9,5x18x0,3</t>
  </si>
  <si>
    <t>ARANLOCK10</t>
  </si>
  <si>
    <t>075010-21</t>
  </si>
  <si>
    <t>ARANLOCK        10x21x0,3</t>
  </si>
  <si>
    <t>ARANLOCK12</t>
  </si>
  <si>
    <t>ESPARRAGOS DE ACERO6 x 25</t>
  </si>
  <si>
    <t>ESPARRAGOS DE ACERO</t>
  </si>
  <si>
    <t>BAIGORRIA</t>
  </si>
  <si>
    <t>B-01-014</t>
  </si>
  <si>
    <t>ESP. 6 X 25 (Minimo 300)</t>
  </si>
  <si>
    <t>ESPARRAGOS DE ACERO6 x 30</t>
  </si>
  <si>
    <t>B-01-016</t>
  </si>
  <si>
    <t>ESP 6 X 30 (Minimo 200)</t>
  </si>
  <si>
    <t>ESPARRAGOS DE ACERO6 x 35</t>
  </si>
  <si>
    <t>B-01-018</t>
  </si>
  <si>
    <t>ESP. 6 X 35 (Minimo 200)</t>
  </si>
  <si>
    <t>ESPARRAGOS DE ACERO6 x 40</t>
  </si>
  <si>
    <t>B-01-020</t>
  </si>
  <si>
    <t>ESP. 6 X 40 (Minimo 200)</t>
  </si>
  <si>
    <t>ESPARRAGOS DE ACERO6 x 45</t>
  </si>
  <si>
    <t>B-01-022</t>
  </si>
  <si>
    <t>ESP. 6 X 45 (Minimo 200)</t>
  </si>
  <si>
    <t>ESPARRAGOS DE ACERO6 x 50</t>
  </si>
  <si>
    <t>B-01-024</t>
  </si>
  <si>
    <t>ESP. 6 X 50 (Minimo 100)</t>
  </si>
  <si>
    <t>ESPARRAGOS DE ACERO6 x 60</t>
  </si>
  <si>
    <t>B-01-028</t>
  </si>
  <si>
    <t>ESP. 6 X 60 (Minimo 100)</t>
  </si>
  <si>
    <t>ESPARRAGOS DE ACERO6 x 70</t>
  </si>
  <si>
    <t>B-01-032</t>
  </si>
  <si>
    <t>ESP. 6 X 70 (Minimo 100)</t>
  </si>
  <si>
    <t>ESPARRAGOS DE ACERO6 x 80</t>
  </si>
  <si>
    <t>B-01-034</t>
  </si>
  <si>
    <t>ESP. 6 X 80 (Minimo 100)</t>
  </si>
  <si>
    <t>ESPARRAGOS DE ACERO6 x 90</t>
  </si>
  <si>
    <t>6 x 90</t>
  </si>
  <si>
    <t>B-01-036</t>
  </si>
  <si>
    <t>ESP. 6 X 90 (Minimo 100)</t>
  </si>
  <si>
    <t>ESPARRAGOS DE ACERO6 x 100</t>
  </si>
  <si>
    <t>6 x 100</t>
  </si>
  <si>
    <t>B-01-038</t>
  </si>
  <si>
    <t>ESP. 6 X 100 (Minimo 100)</t>
  </si>
  <si>
    <t>ESPARRAGOS DE ACERO7 x 35</t>
  </si>
  <si>
    <t>7 x 35</t>
  </si>
  <si>
    <t>B-01-048</t>
  </si>
  <si>
    <t>ESP. 7 X 35 (Minimo 300)</t>
  </si>
  <si>
    <t>ESPARRAGOS DE ACERO7 x 40</t>
  </si>
  <si>
    <t>B-01-050</t>
  </si>
  <si>
    <t>ESP. 7 X 40 (Minimo 200)</t>
  </si>
  <si>
    <t>ESPARRAGOS DE ACERO7 x 50</t>
  </si>
  <si>
    <t>B-01-054</t>
  </si>
  <si>
    <t>ESP. 7 X 50 (Minimo 200)</t>
  </si>
  <si>
    <t>ESPARRAGOS DE ACERO7 x 60</t>
  </si>
  <si>
    <t>B-01-058</t>
  </si>
  <si>
    <t>ESP. 7 X 60 (Minimo 100)</t>
  </si>
  <si>
    <t>ESPARRAGOS DE ACERO7 x 70</t>
  </si>
  <si>
    <t>7 x 70</t>
  </si>
  <si>
    <t>B-01-062</t>
  </si>
  <si>
    <t>ESP. 7 X 70 (Minimo 100)</t>
  </si>
  <si>
    <t>ESPARRAGOS DE ACERO7 x 80</t>
  </si>
  <si>
    <t>7 x 80</t>
  </si>
  <si>
    <t>B-01-064</t>
  </si>
  <si>
    <t>ESP. 7 X 80 (Minimo 100)</t>
  </si>
  <si>
    <t>ESPARRAGOS DE ACERO8 x 30</t>
  </si>
  <si>
    <t>B-01-078</t>
  </si>
  <si>
    <t>ESP. 8 X 30 (Minimo 300)</t>
  </si>
  <si>
    <t>ESPARRAGOS DE ACERO8 x 35</t>
  </si>
  <si>
    <t>B-01-080</t>
  </si>
  <si>
    <t>ESP. 8 X 35 (Minimo 300)</t>
  </si>
  <si>
    <t>ESPARRAGOS DE ACERO8 x 40</t>
  </si>
  <si>
    <t>B-01-082</t>
  </si>
  <si>
    <t>ESP. 8 X 40 (Minimo 200)</t>
  </si>
  <si>
    <t>ESPARRAGOS DE ACERO8 x 45</t>
  </si>
  <si>
    <t>B-01-084</t>
  </si>
  <si>
    <t>ESP. 8 X 45 (Minimo 200)</t>
  </si>
  <si>
    <t>ESPARRAGOS DE ACERO8 x 50</t>
  </si>
  <si>
    <t>B-01-086</t>
  </si>
  <si>
    <t>ESP. 8 X 50 (Minimo 200)</t>
  </si>
  <si>
    <t>ESPARRAGOS DE ACERO8 x 60</t>
  </si>
  <si>
    <t>B-01-090</t>
  </si>
  <si>
    <t>ESP. 8 X 60 (Minimo 100)</t>
  </si>
  <si>
    <t>ESPARRAGOS DE ACERO8 x 70</t>
  </si>
  <si>
    <t>B-01-094</t>
  </si>
  <si>
    <t>ESP. 8 X 70 (Minimo 100)</t>
  </si>
  <si>
    <t>ESPARRAGOS DE ACERO8 x 80</t>
  </si>
  <si>
    <t>B-01-098</t>
  </si>
  <si>
    <t>ESP. 8 X 80 (Minimo 100)</t>
  </si>
  <si>
    <t>ESPARRAGOS DE ACERO8 x 90</t>
  </si>
  <si>
    <t>8 x 90</t>
  </si>
  <si>
    <t>B-01-102</t>
  </si>
  <si>
    <t>ESP. 8 X 90 (Minimo 100)</t>
  </si>
  <si>
    <t>ESPARRAGOS DE ACERO8 x 100</t>
  </si>
  <si>
    <t>B-01-106</t>
  </si>
  <si>
    <t>ESP. 8 X 100 (Minimo 100)</t>
  </si>
  <si>
    <t>ESPARRAGOS DE ACERO10x1,25 x 45</t>
  </si>
  <si>
    <t>10x1,25 x 45</t>
  </si>
  <si>
    <t>B-01-126</t>
  </si>
  <si>
    <t>ESP. 10 X 45 P 1,25 (Minimo 200)</t>
  </si>
  <si>
    <t>ESPARRAGOS DE ACERO10x1,25 x 50</t>
  </si>
  <si>
    <t>10x1,25 x 50</t>
  </si>
  <si>
    <t>B-01-128</t>
  </si>
  <si>
    <t>ESP. 10 X 50 P 1,25 (Minimo 100)</t>
  </si>
  <si>
    <t>ESPARRAGOS DE ACERO10x1,25 x 60</t>
  </si>
  <si>
    <t>10x1,25 x 60</t>
  </si>
  <si>
    <t>B-01-132</t>
  </si>
  <si>
    <t>ESP. 10 X 60 P 1,25 (Minimo 100)</t>
  </si>
  <si>
    <t>ESPARRAGOS DE ACERO10x1,25 x 70</t>
  </si>
  <si>
    <t>10x1,25 x 70</t>
  </si>
  <si>
    <t>B-01-136</t>
  </si>
  <si>
    <t>ESP. 10 X 70 P 1,25 (Minimo 100)</t>
  </si>
  <si>
    <t>ESPARRAGOS DE ACERO10x1,25 x 30</t>
  </si>
  <si>
    <t>10x1,25 x 30</t>
  </si>
  <si>
    <t>B-01-120</t>
  </si>
  <si>
    <t>ESP. 10 X 30 P 1,25 (Minimo 200)</t>
  </si>
  <si>
    <t>ESPARRAGOS DE ACERO10X1,5 X 30</t>
  </si>
  <si>
    <t>10X1,5 X 30</t>
  </si>
  <si>
    <t>B-01-154</t>
  </si>
  <si>
    <t>ESP. 10 X 30 P 1,50 (Minimo 200)</t>
  </si>
  <si>
    <t>ESPARRAGOS DE ACERO10x1,5 x 40 (escape)</t>
  </si>
  <si>
    <t>10x1,5 x 40 (escape)</t>
  </si>
  <si>
    <t>B-01-158</t>
  </si>
  <si>
    <t>ESP. 10 X 40 P 1,50 (Minimo 200)</t>
  </si>
  <si>
    <t>ESPARRAGOS DE ACERO10X1,5 X 45</t>
  </si>
  <si>
    <t>10X1,5 X 45</t>
  </si>
  <si>
    <t>B-01-160</t>
  </si>
  <si>
    <t>ESP. 10 X 45 P 1,50  ESCAPE PEUGEOT (Minimo 200)</t>
  </si>
  <si>
    <t>ESPARRAGOS DE ACERO10x1,5 x 50</t>
  </si>
  <si>
    <t>10x1,5 x 50</t>
  </si>
  <si>
    <t>B-01-162</t>
  </si>
  <si>
    <t>ESP. 10 X 50 P 1,50 (Minimo 100)</t>
  </si>
  <si>
    <t>ESPARRAGOS DE ACERO10x1,5 x 60</t>
  </si>
  <si>
    <t>10x1,5 x 60</t>
  </si>
  <si>
    <t>B-01-166</t>
  </si>
  <si>
    <t>ESP. 10 X 60 P 1,50 (Minimo 100)</t>
  </si>
  <si>
    <t>ESPARRAGOS DE ACERO10x1,5 x 70</t>
  </si>
  <si>
    <t>10x1,5 x 70</t>
  </si>
  <si>
    <t>B-01-170</t>
  </si>
  <si>
    <t>ESP. 10 X 70 P 1,50 (Minimo 100)</t>
  </si>
  <si>
    <t>ESPARRAGOS DE ACERO10x1,5 x 80</t>
  </si>
  <si>
    <t>10x1,5 x 80</t>
  </si>
  <si>
    <t>B-01-174</t>
  </si>
  <si>
    <t>ESP. 10 X 80 P 1,50 (Minimo 100)</t>
  </si>
  <si>
    <t>ESPARRAGOS DE ACERO7 x 8 x 40   combinados</t>
  </si>
  <si>
    <t>7 x 8 x 40   combinados</t>
  </si>
  <si>
    <t>B-06-022</t>
  </si>
  <si>
    <t>ESP. 7 X 8 X 40 (Minimo 300)</t>
  </si>
  <si>
    <t>ESPARRAGOS DE ACERO7 x 8 x 50</t>
  </si>
  <si>
    <t>7 x 8 x 50</t>
  </si>
  <si>
    <t>B-06-022 B</t>
  </si>
  <si>
    <t>ESP. 7 X 8 X 50 (Minimo 100)</t>
  </si>
  <si>
    <t>ESPARRAGOS DE ACERO7 x 8 x 60</t>
  </si>
  <si>
    <t>7 x 8 x 60</t>
  </si>
  <si>
    <t>B-06-022 D</t>
  </si>
  <si>
    <t>ESP. 7 X 8 X 60 (Minimo 100)</t>
  </si>
  <si>
    <t>ESPARRAGOS DE ACERO8 x 9 x 40</t>
  </si>
  <si>
    <t>8 x 9 x 40</t>
  </si>
  <si>
    <t>B-06-044</t>
  </si>
  <si>
    <t>ESP. 8 X 9 X 40 (Minimo 200)</t>
  </si>
  <si>
    <t>ESPARRAGOS DE ACERO8 x 9 x 50</t>
  </si>
  <si>
    <t>8 x 9 x 50</t>
  </si>
  <si>
    <t>B-06-046</t>
  </si>
  <si>
    <t>ESP. 8 X 9 X 50 (Minimo 100)</t>
  </si>
  <si>
    <t>ESPARRAGOS DE ACERO8 x 9 x 60</t>
  </si>
  <si>
    <t>8 x 9 x 60</t>
  </si>
  <si>
    <t>B-06-047</t>
  </si>
  <si>
    <t>ESP. 8 X 9 X 60 (Minimo 100)</t>
  </si>
  <si>
    <t xml:space="preserve">ESPARRAGOS DE ACERO3/8 X 45 NF-NF ESCAP </t>
  </si>
  <si>
    <t xml:space="preserve">3/8 X 45 NF-NF ESCAP </t>
  </si>
  <si>
    <t>A-03-012</t>
  </si>
  <si>
    <t>ESP. 3/8 X 40 NF-NF ESCAP (Minimo 100)</t>
  </si>
  <si>
    <t>ESPARRAGOS DE ACERO3/8 X 50 NF-NF Escap y palier</t>
  </si>
  <si>
    <t>3/8 X 50 NF-NF Escap y palier</t>
  </si>
  <si>
    <t>A-03-013</t>
  </si>
  <si>
    <t>ESP. 3/8 X 50 NF-NF ESCAP (Minimo 200)</t>
  </si>
  <si>
    <t>ESPARRAGOS DE ACERO7/16 X 48</t>
  </si>
  <si>
    <t>7/16 X 48</t>
  </si>
  <si>
    <t>A-04-022</t>
  </si>
  <si>
    <t>ESP. 7/16 X 48 NC-NF CHEV (Minimo 100)</t>
  </si>
  <si>
    <t>ESPARRAGOS DE ACERO7/16 X 2"</t>
  </si>
  <si>
    <t>7/16 X 2"</t>
  </si>
  <si>
    <t>A-04-024</t>
  </si>
  <si>
    <t>ESP. 7/16 X 2" NC NF CHEV (Minimo 200)</t>
  </si>
  <si>
    <t>ESPARRAGOS DE ACEROESP. 1/2 X 55 W-NF</t>
  </si>
  <si>
    <t>ESP. 1/2 X 55 W-NF</t>
  </si>
  <si>
    <t xml:space="preserve">ESPARRAGOS DE ACEROESP. 5/16 X 1.3/8 (34.9) </t>
  </si>
  <si>
    <t xml:space="preserve">ESP. 5/16 X 1.3/8 (34.9) </t>
  </si>
  <si>
    <t>ESPARRAGOS DE ACERO3/8 X 60</t>
  </si>
  <si>
    <t>3/8 X 60</t>
  </si>
  <si>
    <t>ESPARRAGOS DE ACERO8 X 10 X 45</t>
  </si>
  <si>
    <t>8 X 10 X 45</t>
  </si>
  <si>
    <t>ESPARRAGOS DE ACERO3/8 x 2"</t>
  </si>
  <si>
    <t>3/8 x 2"</t>
  </si>
  <si>
    <t>ESPARRAGOS DE ACERO5 x 60</t>
  </si>
  <si>
    <t>ESPARRAGOS DE ACERO8 x 9 x 80</t>
  </si>
  <si>
    <t>8 x 9 x 80</t>
  </si>
  <si>
    <t>ESPARRAGOS DE ACERO8 x 10 x 50</t>
  </si>
  <si>
    <t>8 x 10 x 50</t>
  </si>
  <si>
    <t>PASACABLES DE GOMA1</t>
  </si>
  <si>
    <t>PASACABLES DE GOMA</t>
  </si>
  <si>
    <t>14 x 9 x 5</t>
  </si>
  <si>
    <t>PASACABLES DE GOMA2</t>
  </si>
  <si>
    <t>1167 N</t>
  </si>
  <si>
    <t>9 x 4 x 3,5</t>
  </si>
  <si>
    <t>PASACABLES DE GOMA3</t>
  </si>
  <si>
    <t>1076 B</t>
  </si>
  <si>
    <t>14 x 10,5 x 7</t>
  </si>
  <si>
    <t>PASACABLES DE GOMA4</t>
  </si>
  <si>
    <t>11 x 6 x 5</t>
  </si>
  <si>
    <t>PASACABLES DE GOMA5</t>
  </si>
  <si>
    <t>17 x 11 x 9</t>
  </si>
  <si>
    <t>PASACABLES DE GOMA6</t>
  </si>
  <si>
    <t>1153 N</t>
  </si>
  <si>
    <t>17 x 11 x 12</t>
  </si>
  <si>
    <t>PASACABLES DE GOMA7</t>
  </si>
  <si>
    <t>1076 N</t>
  </si>
  <si>
    <t>14 x 10 x 8</t>
  </si>
  <si>
    <t>PASACABLES DE GOMA8</t>
  </si>
  <si>
    <t>16 x 11 x 12</t>
  </si>
  <si>
    <t>PASACABLES DE GOMA9</t>
  </si>
  <si>
    <t>17 x 11 x 10</t>
  </si>
  <si>
    <t>PASACABLES DE GOMA10</t>
  </si>
  <si>
    <t>1079 N</t>
  </si>
  <si>
    <t>17 x 10 x 7,5</t>
  </si>
  <si>
    <t>PASACABLES DE GOMA11</t>
  </si>
  <si>
    <t>17 x 12 x 9</t>
  </si>
  <si>
    <t>PASACABLES DE GOMA12</t>
  </si>
  <si>
    <t>27 x 20 x 15</t>
  </si>
  <si>
    <t>PASACABLES DE GOMA13</t>
  </si>
  <si>
    <t>25 x 14 x 8</t>
  </si>
  <si>
    <t>PASACABLES DE GOMA14</t>
  </si>
  <si>
    <t>22 x 15 x 14</t>
  </si>
  <si>
    <t>PASACABLES DE GOMA15</t>
  </si>
  <si>
    <t>22,8 x 17 x 14</t>
  </si>
  <si>
    <t>PASACABLES DE GOMA16</t>
  </si>
  <si>
    <t>21 x 16 x 14</t>
  </si>
  <si>
    <t>PASACABLES DE GOMA17</t>
  </si>
  <si>
    <t>20 x 5 x 10</t>
  </si>
  <si>
    <t>PASACABLES DE GOMA18</t>
  </si>
  <si>
    <t>24 x 12,5 x 9,5</t>
  </si>
  <si>
    <t>PASACABLES DE GOMA19</t>
  </si>
  <si>
    <t>PASACABLES DE GOMA20</t>
  </si>
  <si>
    <t>19 x 17 x 14</t>
  </si>
  <si>
    <t>PASACABLES DE GOMA21</t>
  </si>
  <si>
    <t>28 x 10 x 11</t>
  </si>
  <si>
    <t>PASACABLES DE GOMA22</t>
  </si>
  <si>
    <t>14 x 10 x 7</t>
  </si>
  <si>
    <t>PASACABLES DE GOMA23</t>
  </si>
  <si>
    <t>25 x 18 x 14</t>
  </si>
  <si>
    <t>PASACABLES DE GOMA24</t>
  </si>
  <si>
    <t>Puntera garrafa 17 x 6 x 9</t>
  </si>
  <si>
    <t>PASACABLES DE GOMA25</t>
  </si>
  <si>
    <t>PUNT GARRAF</t>
  </si>
  <si>
    <t>PASACABLES DE GOMA26</t>
  </si>
  <si>
    <t>Puntera garrafa  18 x 6 x 12</t>
  </si>
  <si>
    <t>PASACABLES DE GOMA27</t>
  </si>
  <si>
    <t>tapon garraf  17 x 5 x 12</t>
  </si>
  <si>
    <t>TORNILLOS ALLEN7x10</t>
  </si>
  <si>
    <t>TORNILLOS ALLEN</t>
  </si>
  <si>
    <t>TORNILLOS ALLEN7x15</t>
  </si>
  <si>
    <t>TORNILLOS ALLEN7x20</t>
  </si>
  <si>
    <t>7x20</t>
  </si>
  <si>
    <t>TORNILLOS ALLEN7x25</t>
  </si>
  <si>
    <t>7x25</t>
  </si>
  <si>
    <t>TORNILLOS ALLEN7x30</t>
  </si>
  <si>
    <t>7x30</t>
  </si>
  <si>
    <t>TORNILLOS ALLEN7x35</t>
  </si>
  <si>
    <t>7x35</t>
  </si>
  <si>
    <t>TORNILLOS ALLEN7x40</t>
  </si>
  <si>
    <t>7x40</t>
  </si>
  <si>
    <t xml:space="preserve">BULON DE RUEDAB. RDA.TOYOTA 12X46X1.50 EST.14.3 MM </t>
  </si>
  <si>
    <t>BULON DE RUEDA</t>
  </si>
  <si>
    <t xml:space="preserve">B. RDA.TOYOTA 12X46X1.50 EST.14.3 MM </t>
  </si>
  <si>
    <t>BULON DE RUEDAB. RDA TOYOTA ESPECIAL 12X55X1.5 EST.14.3</t>
  </si>
  <si>
    <t>B. RDA TOYOTA ESPECIAL 12X55X1.5 EST.14.3</t>
  </si>
  <si>
    <t>BULON DE RUEDAB. RDA. M.BEN SPRINTER 14X55</t>
  </si>
  <si>
    <t>B. RDA. M.BEN SPRINTER 14X55</t>
  </si>
  <si>
    <t>BULON DE RUEDAB.RDA 14X57X1.5 TRAS MB COMPLETO</t>
  </si>
  <si>
    <t>B.RDA 14X57X1.5 TRAS MB COMPLETO</t>
  </si>
  <si>
    <t>BULON DE RUEDAB.RDA 18X64X1.5 TRAS MB COMPLETO</t>
  </si>
  <si>
    <t>B.RDA 18X64X1.5 TRAS MB COMPLETO</t>
  </si>
  <si>
    <t>BULON DE RUEDAB. RDA. CHEV. CORSA 12 X 27 P1,50</t>
  </si>
  <si>
    <t>B. RDA. CHEV. CORSA 12 X 27 P1,50</t>
  </si>
  <si>
    <t>BULON DE RUEDAB. RDA. CHEV CORSA 12 X 35 P1.5 EX17</t>
  </si>
  <si>
    <t>B. RDA. CHEV CORSA 12 X 35 P1.5 EX17</t>
  </si>
  <si>
    <t>BULON DE RUEDAB. RDA. GACEL/SENDA 12 X 31 P1.50</t>
  </si>
  <si>
    <t>B. RDA. GACEL/SENDA 12 X 31 P1.50</t>
  </si>
  <si>
    <t>BULON DE RUEDAB. RDA. GACEL/SENDA 12 X 36 P1,50</t>
  </si>
  <si>
    <t>B. RDA. GACEL/SENDA 12 X 36 P1,50</t>
  </si>
  <si>
    <t>BULON DE RUEDAB. RDA. IAVA CTO C/ALTA 5° 12X39 P1.25</t>
  </si>
  <si>
    <t>B. RDA. IAVA CTO C/ALTA 5° 12X39 P1.25</t>
  </si>
  <si>
    <t>BULON DE RUEDAB. RDA. F-100 M.NVO. F/A DISCO 1/2X46 NF</t>
  </si>
  <si>
    <t>B. RDA. F-100 M.NVO. F/A DISCO 1/2X46 NF</t>
  </si>
  <si>
    <t>BULON DE RUEDAB. RDA. SIERRA ORION-FIESTA-FOCUS 12X39 P1.50</t>
  </si>
  <si>
    <t>B. RDA. SIERRA ORION-FIESTA-FOCUS 12X39 P1.50</t>
  </si>
  <si>
    <t>BULON DE RUEDAB. RDA. F-350 5/8X63 TRA.DER.C/CORT</t>
  </si>
  <si>
    <t>B. RDA. F-350 5/8X63 TRA.DER.C/CORT</t>
  </si>
  <si>
    <t>BULON DE RUEDAB. RDA. F-350 5/8X63 TRA.IZQ.C/CORT</t>
  </si>
  <si>
    <t>B. RDA. F-350 5/8X63 TRA.IZQ.C/CORT</t>
  </si>
  <si>
    <t>BULON DE RUEDAB. RDA. F-3500 5/8X76 TRAS.DER.</t>
  </si>
  <si>
    <t>B. RDA. F-3500 5/8X76 TRAS.DER.</t>
  </si>
  <si>
    <t>BULON DE RUEDAB. RDA. F-3500 5/8X76 TRAS.IZQ.</t>
  </si>
  <si>
    <t>B. RDA. F-3500 5/8X76 TRAS.IZQ.</t>
  </si>
  <si>
    <t>BULON DE RUEDAB. RDA AGRICOLA 9/16 X 1 1/2 NF CONICO</t>
  </si>
  <si>
    <t>B. RDA AGRICOLA 9/16 X 1 1/2 NF CONICO</t>
  </si>
  <si>
    <t>BULON DE RUEDAB. RDA. PEUG 405 12 X 48 EX19 P1.25</t>
  </si>
  <si>
    <t>B. RDA. PEUG 405 12 X 48 EX19 P1.25</t>
  </si>
  <si>
    <t>ESPARRAGOS DE ACERO12 X 53 PAL. M. BEN P. 1,75-1,50</t>
  </si>
  <si>
    <t>12 X 53 PAL. M. BEN P. 1,75-1,50</t>
  </si>
  <si>
    <t>ESPARRAGOS DE ACERO12 X 9/16X 55 PAL REF. P. 1,50</t>
  </si>
  <si>
    <t>12 X 9/16X 55 PAL REF. P. 1,50</t>
  </si>
  <si>
    <t>CHAVETAS PARTIDAS1,5 x 20</t>
  </si>
  <si>
    <t>CHAVETAS PARTIDAS</t>
  </si>
  <si>
    <t>1,5 x 20</t>
  </si>
  <si>
    <t>KAZ</t>
  </si>
  <si>
    <t>1,5x20</t>
  </si>
  <si>
    <t>CHAVETAS PARTIDAS1,5 x 25</t>
  </si>
  <si>
    <t>1,5 x 25</t>
  </si>
  <si>
    <t>1,5x25</t>
  </si>
  <si>
    <t>CHAVETAS PARTIDAS1,5 x 30</t>
  </si>
  <si>
    <t>1,5 x 30</t>
  </si>
  <si>
    <t>1,5x30</t>
  </si>
  <si>
    <t>CHAVETAS PARTIDAS2 x 20</t>
  </si>
  <si>
    <t>2x20</t>
  </si>
  <si>
    <t>CHAVETAS PARTIDAS2 x 25</t>
  </si>
  <si>
    <t>2 x 25</t>
  </si>
  <si>
    <t>2x25</t>
  </si>
  <si>
    <t>CHAVETAS PARTIDAS2 x 30</t>
  </si>
  <si>
    <t>2 x 30</t>
  </si>
  <si>
    <t>2x30</t>
  </si>
  <si>
    <t>CHAVETAS PARTIDAS2 x 40</t>
  </si>
  <si>
    <t>2 x 40</t>
  </si>
  <si>
    <t>2x40</t>
  </si>
  <si>
    <t>CHAVETAS PARTIDAS2 x 50</t>
  </si>
  <si>
    <t>2 x 50</t>
  </si>
  <si>
    <t>2x50</t>
  </si>
  <si>
    <t>CHAVETAS PARTIDAS2,5 x 25</t>
  </si>
  <si>
    <t>2,5 x 25</t>
  </si>
  <si>
    <t>2,5x25</t>
  </si>
  <si>
    <t>CHAVETAS PARTIDAS2,5 x 30</t>
  </si>
  <si>
    <t>2,5x30</t>
  </si>
  <si>
    <t>CHAVETAS PARTIDAS2,5 x 40</t>
  </si>
  <si>
    <t>2,5 x 40</t>
  </si>
  <si>
    <t>2,5x40</t>
  </si>
  <si>
    <t>CHAVETAS PARTIDAS2,5 x 50</t>
  </si>
  <si>
    <t>2,5 x 50</t>
  </si>
  <si>
    <t>2,5x50</t>
  </si>
  <si>
    <t>CHAVETAS PARTIDAS3 x 25</t>
  </si>
  <si>
    <t>3 x 25</t>
  </si>
  <si>
    <t>3x25</t>
  </si>
  <si>
    <t>CHAVETAS PARTIDAS3 x 30</t>
  </si>
  <si>
    <t>3x30</t>
  </si>
  <si>
    <t>CHAVETAS PARTIDAS3 x 40</t>
  </si>
  <si>
    <t>3x40</t>
  </si>
  <si>
    <t>CHAVETAS PARTIDAS3 x 50</t>
  </si>
  <si>
    <t>3x50</t>
  </si>
  <si>
    <t>CHAVETAS PARTIDAS3 x 70</t>
  </si>
  <si>
    <t>3 x 70</t>
  </si>
  <si>
    <t>3x70</t>
  </si>
  <si>
    <t>CHAVETAS PARTIDAS3,5 x 30</t>
  </si>
  <si>
    <t>3,5x30</t>
  </si>
  <si>
    <t>CHAVETAS PARTIDAS3,5 x 40</t>
  </si>
  <si>
    <t>3,5x40</t>
  </si>
  <si>
    <t>CHAVETAS PARTIDAS3,5 x 50</t>
  </si>
  <si>
    <t>3,5x50</t>
  </si>
  <si>
    <t>CHAVETAS PARTIDAS3,5 x 70</t>
  </si>
  <si>
    <t>3,5 x 70</t>
  </si>
  <si>
    <t>3,5x70</t>
  </si>
  <si>
    <t>CHAVETAS PARTIDAS4 x 30</t>
  </si>
  <si>
    <t>4x30</t>
  </si>
  <si>
    <t>CHAVETAS PARTIDAS4 x 40</t>
  </si>
  <si>
    <t>4x40</t>
  </si>
  <si>
    <t>CHAVETAS PARTIDAS4 x 50</t>
  </si>
  <si>
    <t>4x50</t>
  </si>
  <si>
    <t>CHAVETAS PARTIDAS4 x 60</t>
  </si>
  <si>
    <t>4 x 60</t>
  </si>
  <si>
    <t>4x60</t>
  </si>
  <si>
    <t>CHAVETAS PARTIDAS4 x 70</t>
  </si>
  <si>
    <t>4 x 70</t>
  </si>
  <si>
    <t>4x70</t>
  </si>
  <si>
    <t>CHAVETAS PARTIDAS4,5 x 40</t>
  </si>
  <si>
    <t>4,5x40</t>
  </si>
  <si>
    <t>CHAVETAS PARTIDAS4,5 x 50</t>
  </si>
  <si>
    <t>4,5x50</t>
  </si>
  <si>
    <t>CHAVETAS PARTIDAS4,5 x 60</t>
  </si>
  <si>
    <t>4,5 x 60</t>
  </si>
  <si>
    <t>4,5x60</t>
  </si>
  <si>
    <t>CHAVETAS PARTIDAS5 x 35</t>
  </si>
  <si>
    <t>5x35</t>
  </si>
  <si>
    <t>CHAVETAS PARTIDAS5 x 40</t>
  </si>
  <si>
    <t>5x40</t>
  </si>
  <si>
    <t>CHAVETAS PARTIDAS5 x 50</t>
  </si>
  <si>
    <t>5x50</t>
  </si>
  <si>
    <t>CHAVETAS PARTIDAS5 x 60</t>
  </si>
  <si>
    <t>5x60</t>
  </si>
  <si>
    <t>CHAVETAS PARTIDAS5 x 70</t>
  </si>
  <si>
    <t>5 x 70</t>
  </si>
  <si>
    <t>5x70</t>
  </si>
  <si>
    <t>CHAVETAS PARTIDAS3,5 x 60</t>
  </si>
  <si>
    <t>3,5 x 60</t>
  </si>
  <si>
    <t>CHAVETAS PARTIDAS6 x 70</t>
  </si>
  <si>
    <t>ALEMITES1 - 6 X 1 R</t>
  </si>
  <si>
    <t>ALEMITES</t>
  </si>
  <si>
    <t>1 - 6 X 1 R</t>
  </si>
  <si>
    <t>MIGUEL.ALEMITES</t>
  </si>
  <si>
    <t>6 X 1 R</t>
  </si>
  <si>
    <t>ALEMITES2 - 8 X 1 R</t>
  </si>
  <si>
    <t>2 - 8 X 1 R</t>
  </si>
  <si>
    <t>8 X 1 R</t>
  </si>
  <si>
    <t>ALEMITES3 - 8 X 1  67°</t>
  </si>
  <si>
    <t>3 - 8 X 1  67°</t>
  </si>
  <si>
    <t>8 X 1 67°</t>
  </si>
  <si>
    <t>ALEMITES4 - 8 X 1 90°</t>
  </si>
  <si>
    <t>4 - 8 X 1 90°</t>
  </si>
  <si>
    <t>8 X 1 90°</t>
  </si>
  <si>
    <t>ALEMITES5 - 8x1,25 R</t>
  </si>
  <si>
    <t>5 - 8x1,25 R</t>
  </si>
  <si>
    <t>8x1,25 R</t>
  </si>
  <si>
    <t>ALEMITES6 - 8 X 1,25 67°</t>
  </si>
  <si>
    <t>6 - 8 X 1,25 67°</t>
  </si>
  <si>
    <t>8 X 1,25 67°</t>
  </si>
  <si>
    <t>ALEMITES7 - 8 X 1,25 CARDAN</t>
  </si>
  <si>
    <t>7 - 8 X 1,25 CARDAN</t>
  </si>
  <si>
    <t>8 X 1,25 CARDAN</t>
  </si>
  <si>
    <t>ALEMITES8 - 10 X 1 R</t>
  </si>
  <si>
    <t>8 - 10 X 1 R</t>
  </si>
  <si>
    <t>10 X 1 R</t>
  </si>
  <si>
    <t>ALEMITES9 - 10 X 1   67°</t>
  </si>
  <si>
    <t>9 - 10 X 1   67°</t>
  </si>
  <si>
    <t>10 X 1 67°</t>
  </si>
  <si>
    <t>ALEMITES10 - 10 X 1   90°</t>
  </si>
  <si>
    <t>10 - 10 X 1   90°</t>
  </si>
  <si>
    <t>10 X 1 90°</t>
  </si>
  <si>
    <t>ALEMITES11 - 1/8 GAS R</t>
  </si>
  <si>
    <t>11 - 1/8 GAS R</t>
  </si>
  <si>
    <t>1/8 GAS R</t>
  </si>
  <si>
    <t>ALEMITES12 - 1/8 GAS 67°</t>
  </si>
  <si>
    <t>12 - 1/8 GAS 67°</t>
  </si>
  <si>
    <t>1/8 GAS 67°</t>
  </si>
  <si>
    <t>ALEMITES13 - 1/8 GAS 90°</t>
  </si>
  <si>
    <t>13 - 1/8 GAS 90°</t>
  </si>
  <si>
    <t>1/8 GAS 90°</t>
  </si>
  <si>
    <t>ALEMITES14 - 1/4 sae R</t>
  </si>
  <si>
    <t>14 - 1/4 sae R</t>
  </si>
  <si>
    <t>1/4 sae R</t>
  </si>
  <si>
    <t xml:space="preserve">ALEMITES15 - 1/4 sae 67° </t>
  </si>
  <si>
    <t xml:space="preserve">15 - 1/4 sae 67° </t>
  </si>
  <si>
    <t>1/4 67°</t>
  </si>
  <si>
    <t xml:space="preserve">15 - 1/4 67° </t>
  </si>
  <si>
    <t>ALEMITES16 - 1/4 sae X 90° SAE</t>
  </si>
  <si>
    <t>16 - 1/4 sae X 90° SAE</t>
  </si>
  <si>
    <t>1/4 X 90° SAE</t>
  </si>
  <si>
    <t>16 - 1/4 X 90° SAE</t>
  </si>
  <si>
    <t>ALEMITES17 - 1/4 SAE 19 mm</t>
  </si>
  <si>
    <t>17 - 1/4 SAE 19 mm</t>
  </si>
  <si>
    <t>1/4 SAE 19 mm</t>
  </si>
  <si>
    <t>ALEMITES18 - 1/4 SAE 29 mm (crucetas)</t>
  </si>
  <si>
    <t>18 - 1/4 SAE 29 mm (crucetas)</t>
  </si>
  <si>
    <t>1/4 SAE 29 mm (crucetas)</t>
  </si>
  <si>
    <t>ALEMITES19 - 1/8 SAE 34 mm</t>
  </si>
  <si>
    <t>19 - 1/8 SAE 34 mm</t>
  </si>
  <si>
    <t>1/8 SAE 34 mm</t>
  </si>
  <si>
    <t>ALEMITES20 - 1/8 SAE 44 mm (internacional)</t>
  </si>
  <si>
    <t>20 - 1/8 SAE 44 mm (internacional)</t>
  </si>
  <si>
    <t>1/8 SAE 44 mm (internacional)</t>
  </si>
  <si>
    <t>ALEMITES21 - 1/4 GAS recto</t>
  </si>
  <si>
    <t>21 - 1/4 GAS recto</t>
  </si>
  <si>
    <t>1/4 GAS recto</t>
  </si>
  <si>
    <t>ALEMITES22 - 1/4 GAS 45°</t>
  </si>
  <si>
    <t>22 - 1/4 GAS 45°</t>
  </si>
  <si>
    <t>1/4 GAS 45°</t>
  </si>
  <si>
    <t>ALEMITES23 - 1/4 GAS 90°</t>
  </si>
  <si>
    <t>23 - 1/4 GAS 90°</t>
  </si>
  <si>
    <t>1/4 GAS 90°</t>
  </si>
  <si>
    <t>CONECTORES NEUMÁTICOS4</t>
  </si>
  <si>
    <t>CONECTORES NEUMÁTICOS</t>
  </si>
  <si>
    <t>060-01</t>
  </si>
  <si>
    <t>20001IC047199935C CON RECT PLAST 1/8 BSPT 6 MM</t>
  </si>
  <si>
    <t>CONECTORES NEUMÁTICOS5</t>
  </si>
  <si>
    <t>060-02</t>
  </si>
  <si>
    <t>20001IC047199935C  CON RECT PLAST 1/8 BSPT 8 MM</t>
  </si>
  <si>
    <t>CONECTORES NEUMÁTICOS6</t>
  </si>
  <si>
    <t>060-10</t>
  </si>
  <si>
    <t>19001IC04008486A C RECTO PLAST 1/8 X 10 MM</t>
  </si>
  <si>
    <t>CONECTORES NEUMÁTICOS8</t>
  </si>
  <si>
    <t>060-03</t>
  </si>
  <si>
    <t>20001IC04164806Y  CON RECT PLAST 1/4 BSPT 6 MM</t>
  </si>
  <si>
    <t>CONECTORES NEUMÁTICOS9</t>
  </si>
  <si>
    <t>060-04</t>
  </si>
  <si>
    <t>20001IC047199935C RECTO PLAST 1/4 BSPT 8 MM</t>
  </si>
  <si>
    <t>CONECTORES NEUMÁTICOS10</t>
  </si>
  <si>
    <t>060-05</t>
  </si>
  <si>
    <t>20001IC04164806Y   RECTO PLAST 1/4 MANG 10 M</t>
  </si>
  <si>
    <t>CONECTORES NEUMÁTICOS11</t>
  </si>
  <si>
    <t>060-06</t>
  </si>
  <si>
    <t>20001IC047199935C CON RECT PLAST 1/4 BSPT 12 MM</t>
  </si>
  <si>
    <t>CONECTORES NEUMÁTICOS44</t>
  </si>
  <si>
    <t>091-01</t>
  </si>
  <si>
    <t>20001IC04164806Y  RECTA RH 1/8 X 6</t>
  </si>
  <si>
    <t>CONECTORES NEUMÁTICOS45</t>
  </si>
  <si>
    <t>091-02</t>
  </si>
  <si>
    <t>20001IC04206029X  RECTI RH 1/8 X 8</t>
  </si>
  <si>
    <t>CONECTORES NEUMÁTICOS46</t>
  </si>
  <si>
    <t>091-03</t>
  </si>
  <si>
    <t>20001IC04026706K  RECTA RH 1/4 X 6</t>
  </si>
  <si>
    <t>CONECTORES NEUMÁTICOS47</t>
  </si>
  <si>
    <t>091-04</t>
  </si>
  <si>
    <t>20001IC04026706K RECTO RH 1/4 X 8</t>
  </si>
  <si>
    <t>CONECTORES NEUMÁTICOS62</t>
  </si>
  <si>
    <t>065-01</t>
  </si>
  <si>
    <t>20001IC04206029X  T ROSC CENT  1/8 X 6 MM</t>
  </si>
  <si>
    <t>CONECTORES NEUMÁTICOS63</t>
  </si>
  <si>
    <t>065-02</t>
  </si>
  <si>
    <t>20001IC04164806Y  TEE ROSCA CENTRAL  PL 1/8 BSP</t>
  </si>
  <si>
    <t>CONECTORES NEUMÁTICOS65</t>
  </si>
  <si>
    <t>065-03</t>
  </si>
  <si>
    <t>20001IC04206029X TE ROSC CENTRAL  1/4 X 6 MM</t>
  </si>
  <si>
    <t>CONECTORES NEUMÁTICOS66</t>
  </si>
  <si>
    <t>065-04</t>
  </si>
  <si>
    <t>20001IC04206029X TEE ROSCA CENTRAL  PL 1/4 BSP</t>
  </si>
  <si>
    <t>CONECTORES NEUMÁTICOS67</t>
  </si>
  <si>
    <t>065-045</t>
  </si>
  <si>
    <t>17001IC04156088A  T ROSC CENT  1/4 X 10 MM</t>
  </si>
  <si>
    <t>CONECTORES NEUMÁTICOS68</t>
  </si>
  <si>
    <t>065-047</t>
  </si>
  <si>
    <t>20001IC04164806Y   T ROSC CENT  1/4 X 12 MM</t>
  </si>
  <si>
    <t>CONECTORES NEUMÁTICOS77</t>
  </si>
  <si>
    <t>070-01</t>
  </si>
  <si>
    <t>20001IC04206029X REDUCTOR MANGUERA 6 A 4 MM</t>
  </si>
  <si>
    <t>CONECTORES NEUMÁTICOS78</t>
  </si>
  <si>
    <t>070-02</t>
  </si>
  <si>
    <t>20001IC04206029X REDUCTOR MANGUERA 8 A 6 MM</t>
  </si>
  <si>
    <t>CONECTORES NEUMÁTICOS79</t>
  </si>
  <si>
    <t>070-025</t>
  </si>
  <si>
    <t>19001IC04103051H REDUCTOR DE MANGUERA DE 10 A 6 MM</t>
  </si>
  <si>
    <t>CONECTORES NEUMÁTICOS80</t>
  </si>
  <si>
    <t>070-03</t>
  </si>
  <si>
    <t>20001IC04206029X  REDUCTOR MANGUERA 10 A 8 M</t>
  </si>
  <si>
    <t>CONECTORES NEUMÁTICOS81</t>
  </si>
  <si>
    <t>070-04</t>
  </si>
  <si>
    <t>20001IC04164806Y   REDUCTOR MANGUERA 12 A 10 M</t>
  </si>
  <si>
    <t>CONECTORES NEUMÁTICOS86</t>
  </si>
  <si>
    <t>094-01</t>
  </si>
  <si>
    <t>BIFURCACION R 1/8 MANG 6 MM  T 15091IC04046116U</t>
  </si>
  <si>
    <t>CONECTORES NEUMÁTICOS87</t>
  </si>
  <si>
    <t>094-02</t>
  </si>
  <si>
    <t>BIFURCACION R 1/8 MANG 8 MM  T 15091IC04046116U</t>
  </si>
  <si>
    <t>CONECTORES NEUMÁTICOS89</t>
  </si>
  <si>
    <t>094-03</t>
  </si>
  <si>
    <t>BIFURCACION R 1/4 MANG 6 MM  T 15091IC04046116U</t>
  </si>
  <si>
    <t>CONECTORES NEUMÁTICOS90</t>
  </si>
  <si>
    <t>094-04</t>
  </si>
  <si>
    <t>BIFURCACION R 1/4 MANG 8 MM  T 15091IC04046116U</t>
  </si>
  <si>
    <t>CONECTORES NEUMÁTICOS91</t>
  </si>
  <si>
    <t>094-05</t>
  </si>
  <si>
    <t>BIFURCACION R 1/4 MANG 10 MM  T 15091IC04046116U</t>
  </si>
  <si>
    <t>CONECTORES NEUMÁTICOS92</t>
  </si>
  <si>
    <t>094-055</t>
  </si>
  <si>
    <t>17001IC04156088A BIFURCACION R 1/4 MANG 12 MM</t>
  </si>
  <si>
    <t>CONECTORES NEUMÁTICOS97</t>
  </si>
  <si>
    <t>061-01</t>
  </si>
  <si>
    <t>20001IC04164806Y  UNION DOBLE PLAST 6 MM</t>
  </si>
  <si>
    <t>CONECTORES NEUMÁTICOS98</t>
  </si>
  <si>
    <t>061-02</t>
  </si>
  <si>
    <t>20001IC04164806Y UNION DOBLE RAPIDA PLAST 8 M</t>
  </si>
  <si>
    <t>CONECTORES NEUMÁTICOS99</t>
  </si>
  <si>
    <t>061-03</t>
  </si>
  <si>
    <t>20001IC04164806Y  UNION DOBLE RAPIDA PLAST 10 M</t>
  </si>
  <si>
    <t>CONECTORES NEUMÁTICOS100</t>
  </si>
  <si>
    <t>061-04</t>
  </si>
  <si>
    <t>20001IC04164806Y  UNION DOBLE RAPIDA PLAST 12 M</t>
  </si>
  <si>
    <t>CONECTORES NEUMÁTICOS101</t>
  </si>
  <si>
    <t xml:space="preserve">Unión doble plástica 16 mm </t>
  </si>
  <si>
    <t>CONECTORES NEUMÁTICOS108</t>
  </si>
  <si>
    <t>062-01</t>
  </si>
  <si>
    <t>20001IC04206029X UNION TRIPLE  PLAST 6 MM</t>
  </si>
  <si>
    <t>CONECTORES NEUMÁTICOS109</t>
  </si>
  <si>
    <t>062-02</t>
  </si>
  <si>
    <t>20001IC04038164L UNION TRIPLE  PLAST 8 MM</t>
  </si>
  <si>
    <t>CONECTORES NEUMÁTICOS110</t>
  </si>
  <si>
    <t>062-03</t>
  </si>
  <si>
    <t>20001IC04110132U UNION  TRIPLE  PLAST 10 MM</t>
  </si>
  <si>
    <t>CONECTORES NEUMÁTICOS111</t>
  </si>
  <si>
    <t>062-04</t>
  </si>
  <si>
    <t>20001IC047199935C UNION TRIPLE  PLAST 12 MM</t>
  </si>
  <si>
    <t>CONECTORES NEUMÁTICOS140</t>
  </si>
  <si>
    <t>063-01</t>
  </si>
  <si>
    <t>20001IC04110132U CODO PLAST 6 MM</t>
  </si>
  <si>
    <t>CONECTORES NEUMÁTICOS141</t>
  </si>
  <si>
    <t>063-02</t>
  </si>
  <si>
    <t>20001IC04026706K  CODO PLAST 8 MM</t>
  </si>
  <si>
    <t>CONECTORES NEUMÁTICOS142</t>
  </si>
  <si>
    <t>063-03</t>
  </si>
  <si>
    <t>20001IC04026706K CODO PLAST 10 M</t>
  </si>
  <si>
    <t>CONECTORES NEUMÁTICOS143</t>
  </si>
  <si>
    <t>063-04</t>
  </si>
  <si>
    <t>19001IC04103051H  CODO PLAST 12 M</t>
  </si>
  <si>
    <t>CONECTORES NEUMÁTICOS153</t>
  </si>
  <si>
    <t>064-01</t>
  </si>
  <si>
    <t>20001IC04206029X CODO PLAS R 1/8 X 6 MM</t>
  </si>
  <si>
    <t>CONECTORES NEUMÁTICOS154</t>
  </si>
  <si>
    <t>064-02</t>
  </si>
  <si>
    <t>20001IC047199935C  CODO PLAS R 1/8 X 8 MM</t>
  </si>
  <si>
    <t>CONECTORES NEUMÁTICOS155</t>
  </si>
  <si>
    <t>064-025</t>
  </si>
  <si>
    <t>20001IC04206029X CODO PLÀSTICO R 1/8 BSPT  X 10MM</t>
  </si>
  <si>
    <t>CONECTORES NEUMÁTICOS157</t>
  </si>
  <si>
    <t>064-03</t>
  </si>
  <si>
    <t>20001IC04038164L CODO PLAS R 1/4 X 6 MM</t>
  </si>
  <si>
    <t>CONECTORES NEUMÁTICOS158</t>
  </si>
  <si>
    <t>064-04</t>
  </si>
  <si>
    <t>20001IC04038164L CODO PLAST 1/4 X 8 MM</t>
  </si>
  <si>
    <t>CONECTORES NEUMÁTICOS159</t>
  </si>
  <si>
    <t>064-05</t>
  </si>
  <si>
    <t>20001IC04038164L CODO PLAS R 1/4 X 10 MM</t>
  </si>
  <si>
    <t>CONECTORES NEUMÁTICOS160</t>
  </si>
  <si>
    <t>064-06</t>
  </si>
  <si>
    <t>19001IC04117185U  CODO PLAS R 1/4 X 12 MM</t>
  </si>
  <si>
    <t>CONECTORES NEUMÁTICOS197</t>
  </si>
  <si>
    <t>066-01</t>
  </si>
  <si>
    <t>18001IC04155358A BIFURCACION PLAST 6 MM</t>
  </si>
  <si>
    <t>CONECTORES NEUMÁTICOS198</t>
  </si>
  <si>
    <t>066-02</t>
  </si>
  <si>
    <t>18001IC04155358A BIFURCACION PLAST 8 MM</t>
  </si>
  <si>
    <t>CONECTORES NEUMÁTICOS199</t>
  </si>
  <si>
    <t>066-03</t>
  </si>
  <si>
    <t>17001IC06002680 N BIFURCACION PLAST 10 MM</t>
  </si>
  <si>
    <t>CONECTORES NEUMÁTICOS200</t>
  </si>
  <si>
    <t>066-04</t>
  </si>
  <si>
    <t>17001IC06002680 N BIFURCACION PLAST 12 MM</t>
  </si>
  <si>
    <t>CONECTORES NEUMÁTICOS205</t>
  </si>
  <si>
    <t>067-01</t>
  </si>
  <si>
    <t>19001IC04103051H DISTRIBUIDOR 5 L MANG 6 MM</t>
  </si>
  <si>
    <t>CONECTORES NEUMÁTICOS206</t>
  </si>
  <si>
    <t>067-02</t>
  </si>
  <si>
    <t>19001IC04044769E DISTRIBUIDOR 5 L MANG 8 MM</t>
  </si>
  <si>
    <t>CONECTORES NEUMÁTICOS207</t>
  </si>
  <si>
    <t>067-03</t>
  </si>
  <si>
    <t>14 001 IC04 091977 C DISTRIBUIDOR 5 L MANG 10 MM</t>
  </si>
  <si>
    <t>CONECTORES NEUMÁTICOS211</t>
  </si>
  <si>
    <t>090-01</t>
  </si>
  <si>
    <t>14 001 IC04 184811 P CONEXION CRUZ 6MM</t>
  </si>
  <si>
    <t>CONECTORES NEUMÁTICOS212</t>
  </si>
  <si>
    <t>090-02</t>
  </si>
  <si>
    <t>20001IC04206029X CONEXION CRUZ 8MM</t>
  </si>
  <si>
    <t>CONECTORES NEUMÁTICOS213</t>
  </si>
  <si>
    <t>090-03</t>
  </si>
  <si>
    <t>14 001 IC04 184811 P CONEXION CRUZ  10MM</t>
  </si>
  <si>
    <t>CONECTORES NEUMÁTICOS219</t>
  </si>
  <si>
    <t>096-01</t>
  </si>
  <si>
    <t>15091 IC04 059871 J TAPON 6 MM</t>
  </si>
  <si>
    <t>CONECTORES NEUMÁTICOS220</t>
  </si>
  <si>
    <t>096-02</t>
  </si>
  <si>
    <t>15091 IC04 059871 J TAPON 8 MM</t>
  </si>
  <si>
    <t>CONECTORES NEUMÁTICOS221</t>
  </si>
  <si>
    <t>096-03</t>
  </si>
  <si>
    <t>20001IC04206029X TAPON 10 MM</t>
  </si>
  <si>
    <t>CONECTORES NEUMÁTICOS222</t>
  </si>
  <si>
    <t>096-04</t>
  </si>
  <si>
    <t>15091 IC04 059871 J TAPON 12 MM</t>
  </si>
  <si>
    <t>CONECTORES NEUMÁTICOS124</t>
  </si>
  <si>
    <t>092-01</t>
  </si>
  <si>
    <t>20001IC04206029X REGUL CAUDAL CODO R 1/8 X 6 MM</t>
  </si>
  <si>
    <t>CONECTORES NEUMÁTICOS125</t>
  </si>
  <si>
    <t>092-02</t>
  </si>
  <si>
    <t>20001IC04206029X REGUL CAUDAL CODO R 1/8 X 8 MM</t>
  </si>
  <si>
    <t>CONECTORES NEUMÁTICOS126</t>
  </si>
  <si>
    <t>092-03</t>
  </si>
  <si>
    <t>19001IC04030938U REGUL CAUDAL CODO R 1/4 X 6 MM</t>
  </si>
  <si>
    <t>CONECTORES NEUMÁTICOS127</t>
  </si>
  <si>
    <t>092-04</t>
  </si>
  <si>
    <t>20001IC04164806Y  REGUL CAUDAL CODO R 1/4 X 8 MM</t>
  </si>
  <si>
    <t>CONECTORES NEUMÁTICOS228</t>
  </si>
  <si>
    <t>075-01</t>
  </si>
  <si>
    <t>20001IC047199935C TUBO  PU 6  MM X 4 X 200 MT</t>
  </si>
  <si>
    <t>CONECTORES NEUMÁTICOS229</t>
  </si>
  <si>
    <t>075-02</t>
  </si>
  <si>
    <t>20001IC04038164L TUBO  PU 8  MM X 5 X 100 MT</t>
  </si>
  <si>
    <t>CONECTORES NEUMÁTICOS230</t>
  </si>
  <si>
    <t>075-03</t>
  </si>
  <si>
    <t>20001IC04038164L TUBO  PU 10 MM X 6.5 X 100 MT</t>
  </si>
  <si>
    <t>CONECTORES NEUMÁTICOS231</t>
  </si>
  <si>
    <t>075-04</t>
  </si>
  <si>
    <t>20001IC04038164L TUBO  PU 12 MM X 8 X 100 MTS</t>
  </si>
  <si>
    <t>CONECTORES NEUMÁTICOS49</t>
  </si>
  <si>
    <t>LLAVE DE CORTE 8 MM</t>
  </si>
  <si>
    <t>CONECTORES NEUMÁTICOS51</t>
  </si>
  <si>
    <t>LLAVE DE CORTE 10 MM</t>
  </si>
  <si>
    <t>CONECTORES NUEVA INCORPORACION3</t>
  </si>
  <si>
    <t>CONECTORES NUEVA INCORPORACION</t>
  </si>
  <si>
    <t>060-11</t>
  </si>
  <si>
    <t>20001IC04026706K RECTO PLAST 1/8 X 4 MM</t>
  </si>
  <si>
    <t>CONECTORES NUEVA INCORPORACION7</t>
  </si>
  <si>
    <t>060-13</t>
  </si>
  <si>
    <t>18001IC04155358A RECTO PLAST 1/4 X 4 MM</t>
  </si>
  <si>
    <t>CONECTORES NUEVA INCORPORACION96</t>
  </si>
  <si>
    <t>061-00</t>
  </si>
  <si>
    <t>20001IC04038164L UNION PLASTICA 4 MM</t>
  </si>
  <si>
    <t>CONECTORES NUEVA INCORPORACION107</t>
  </si>
  <si>
    <t>062-00</t>
  </si>
  <si>
    <t>20001IC04026706K UNION TRIPLE PLASTICA 4 MM</t>
  </si>
  <si>
    <t>CONECTORES NUEVA INCORPORACION139</t>
  </si>
  <si>
    <t>063-00</t>
  </si>
  <si>
    <t>15091 IC04 059871 J UNION CODO PLASTICA 4 MM</t>
  </si>
  <si>
    <t>CONECTORES NUEVA INCORPORACION152</t>
  </si>
  <si>
    <t>064-09</t>
  </si>
  <si>
    <t>20001IC04206029X CODO PLAST 1/8 X 4 MM</t>
  </si>
  <si>
    <t>CONECTORES NUEVA INCORPORACION156</t>
  </si>
  <si>
    <t>064-11</t>
  </si>
  <si>
    <t>18001IC04047152P CODO PLAST 1/4 X 4 MM</t>
  </si>
  <si>
    <t>CONECTORES NUEVA INCORPORACION14</t>
  </si>
  <si>
    <t>060-065</t>
  </si>
  <si>
    <t>20001IC04206029X RECTA PLÁSTICA R 3/8 BSPT X 8 MM</t>
  </si>
  <si>
    <t>CONECTORES NUEVA INCORPORACION15</t>
  </si>
  <si>
    <t>060-07</t>
  </si>
  <si>
    <t>20001IC04026706K  RECTO PLAST 3/8 MANG 10 MM</t>
  </si>
  <si>
    <t>CONECTORES NUEVA INCORPORACION16</t>
  </si>
  <si>
    <t>060-08</t>
  </si>
  <si>
    <t>20001IC04026706K CONECC R PLAST 3/8 X 12</t>
  </si>
  <si>
    <t>CONECTORES NUEVA INCORPORACION50</t>
  </si>
  <si>
    <t>091-05</t>
  </si>
  <si>
    <t>14 001 IC04 184811 P - RECTO RH 3/8 X 10</t>
  </si>
  <si>
    <t>CONECTORES NUEVA INCORPORACION165</t>
  </si>
  <si>
    <t>064-13</t>
  </si>
  <si>
    <t>16091IC06000764W  CODO PLAST 3/8 X 8 MM</t>
  </si>
  <si>
    <t>CONECTORES NUEVA INCORPORACION166</t>
  </si>
  <si>
    <t>064-07</t>
  </si>
  <si>
    <t>20001IC04010074B CODO PLAS R 3/8 X 10 MM</t>
  </si>
  <si>
    <t>CONECTORES NUEVA INCORPORACION167</t>
  </si>
  <si>
    <t>064-08</t>
  </si>
  <si>
    <t>20001IC04206029X CODO PLAS R 3/8 X 12 MM</t>
  </si>
  <si>
    <t>CONECTORES NUEVA INCORPORACION240</t>
  </si>
  <si>
    <t>025-01</t>
  </si>
  <si>
    <t>CONECT RAP P/MAN RM 1/8 MANG 6</t>
  </si>
  <si>
    <t>CONECTORES NUEVA INCORPORACION241</t>
  </si>
  <si>
    <t>025-02</t>
  </si>
  <si>
    <t>CONECT RAP P/MAN RM 1/8 MANG 8</t>
  </si>
  <si>
    <t>CONECTORES NUEVA INCORPORACION242</t>
  </si>
  <si>
    <t>025-04</t>
  </si>
  <si>
    <t>CONECT RAP P/MAN RM 1/4 MANG 8</t>
  </si>
  <si>
    <t>CONECTORES NUEVA INCORPORACION243</t>
  </si>
  <si>
    <t>025-05</t>
  </si>
  <si>
    <t>CONECT RAP P/MAN RM 1/4 MANG 10</t>
  </si>
  <si>
    <t>CONECTORES NUEVA INCORPORACION248</t>
  </si>
  <si>
    <t>029-01</t>
  </si>
  <si>
    <t>14 001 IC04 135282 N CODO GIRATORIO 90º 1/8 X 6</t>
  </si>
  <si>
    <t>CONECTORES NUEVA INCORPORACION249</t>
  </si>
  <si>
    <t>029-02</t>
  </si>
  <si>
    <t>14 001 IC04 135282 N CODO GIRATORIO 90º 1/8 X 8</t>
  </si>
  <si>
    <t>CONECTORES NUEVA INCORPORACION251</t>
  </si>
  <si>
    <t>029-04</t>
  </si>
  <si>
    <t>14 001 IC04 135282 N CODO GIRATORIO 90º 1/4 X 8</t>
  </si>
  <si>
    <t>CONECTORES NUEVA INCORPORACION256</t>
  </si>
  <si>
    <t>048-01</t>
  </si>
  <si>
    <t>14 001 IC04 135282 N UNION TRIPLE RAPIDA 6 MM</t>
  </si>
  <si>
    <t>CONECTORES NUEVA INCORPORACION257</t>
  </si>
  <si>
    <t>048-02</t>
  </si>
  <si>
    <t>14 001 IC04 135282 N UNION TRIPLE RAPIDA 8 MM</t>
  </si>
  <si>
    <t>CONECTORES NUEVA INCORPORACION263</t>
  </si>
  <si>
    <t>049-01</t>
  </si>
  <si>
    <t>14 001 IC04 135282 N UNION CODO RAPIDA 6 MM</t>
  </si>
  <si>
    <t>CONECTORES NUEVA INCORPORACION264</t>
  </si>
  <si>
    <t>049-02</t>
  </si>
  <si>
    <t>14 001 IC04 135282 N UNION CODO RAPIDA 8 MM</t>
  </si>
  <si>
    <t>CONECTORES NUEVA INCORPORACION274</t>
  </si>
  <si>
    <t>027-01</t>
  </si>
  <si>
    <t>UNIONES DOBLES RAPIDAS 6 MM</t>
  </si>
  <si>
    <t>CONECTORES NUEVA INCORPORACION275</t>
  </si>
  <si>
    <t>027-02</t>
  </si>
  <si>
    <t>UNIONES DOBLES RAPIDAS 8 MM</t>
  </si>
  <si>
    <t>CONECTORES NUEVA INCORPORACION276</t>
  </si>
  <si>
    <t>027-03</t>
  </si>
  <si>
    <t>UNIONES DOBLES RAPIDAS 10 MM</t>
  </si>
  <si>
    <t>CONECTORES NUEVA INCORPORACION300</t>
  </si>
  <si>
    <t>SPC1/4-01</t>
  </si>
  <si>
    <t>19001IC04179295H  RECTA PLÁST R 1/8 BSPT X 1/4 MAN</t>
  </si>
  <si>
    <t>CONECTORES NUEVA INCORPORACION304</t>
  </si>
  <si>
    <t>SPC3/8-02</t>
  </si>
  <si>
    <t>20001IC04164806Y  RECTA PLÁST R 1/4 BSPT X 3/8 MAN</t>
  </si>
  <si>
    <t>CONECTORES NUEVA INCORPORACION305</t>
  </si>
  <si>
    <t>SPC1/2-02</t>
  </si>
  <si>
    <t>19001IC04030938U RECTA PLÁST R 1/4 BSPT X 1/2 MANG</t>
  </si>
  <si>
    <t>CONECTORES NUEVA INCORPORACION317</t>
  </si>
  <si>
    <t>SPE1/4</t>
  </si>
  <si>
    <t>20001IC04206029X UNIÓN TRIPLE PLÁSTICA 1/4 MANG</t>
  </si>
  <si>
    <t>CONECTORES NUEVA INCORPORACION319</t>
  </si>
  <si>
    <t>SPE3/8</t>
  </si>
  <si>
    <t>16001IC04005051H UNIÓN TRIPLE PLÁSTICA 3/8 MANG</t>
  </si>
  <si>
    <t>CONECTORES NUEVA INCORPORACION320</t>
  </si>
  <si>
    <t>SPE1/2</t>
  </si>
  <si>
    <t>18001IC04155358A UNIÓN TRIPLE PLÁSTICA 1/2 MANG</t>
  </si>
  <si>
    <t>CONECTORES NUEVA INCORPORACION321</t>
  </si>
  <si>
    <t>SPV1/4</t>
  </si>
  <si>
    <t>16001IC04005051H UNIÓN CODO PLÁSTICA 1/4 MANG</t>
  </si>
  <si>
    <t>CONECTORES NUEVA INCORPORACION323</t>
  </si>
  <si>
    <t>SPV3/8</t>
  </si>
  <si>
    <t>20001IC04026706K UNIÓN CODO PLÁSTICA 3/8 MANG</t>
  </si>
  <si>
    <t>CONECTORES NUEVA INCORPORACION324</t>
  </si>
  <si>
    <t>SPV1/2</t>
  </si>
  <si>
    <t>16001IC04005051H UNIÓN CODO PLÁSTICA 1/2 MANG</t>
  </si>
  <si>
    <t>CONECTORES NUEVA INCORPORACION325</t>
  </si>
  <si>
    <t>SPU1/4</t>
  </si>
  <si>
    <t>20001IC04038164L UNIÓN DOBLE PLÁSTICA 1/4 MANG</t>
  </si>
  <si>
    <t>CONECTORES NUEVA INCORPORACION327</t>
  </si>
  <si>
    <t>SPU3/8</t>
  </si>
  <si>
    <t>20001IC04038164L UNIÓN DOBLE PLÁSTICA 3/8 MANG</t>
  </si>
  <si>
    <t>CONECTORES NUEVA INCORPORACION328</t>
  </si>
  <si>
    <t>SPU1/2</t>
  </si>
  <si>
    <t>20001IC04038164L UNIÓN DOBLE PLÁSTICA 1/2 MANG</t>
  </si>
  <si>
    <t>CONECTORES NUEVA INCORPORACION333</t>
  </si>
  <si>
    <t>SPG5/16-1/4</t>
  </si>
  <si>
    <t>19001IC04098450A REDUCTOR MANGUERA 5/16 A 1/4"</t>
  </si>
  <si>
    <t>CONECTORES NUEVA INCORPORACION334</t>
  </si>
  <si>
    <t>SPG3/8-5/16</t>
  </si>
  <si>
    <t>19001IC04098450A REDUCTOR MANGUERA 3/8 A 5/16"</t>
  </si>
  <si>
    <t>CONECTORES NUEVA INCORPORACION335</t>
  </si>
  <si>
    <t>SPG1/2-3/8</t>
  </si>
  <si>
    <t>19001IC04098450A REDUCTOR MANGUERA 1/2 A 3/8</t>
  </si>
  <si>
    <t>CONECTORES NUEVA INCORPORACION338</t>
  </si>
  <si>
    <t>TUBO POL 6 TRANSP 10 X 8 X 100 M</t>
  </si>
  <si>
    <t>CONECTORES NUEVA INCORPORACION339</t>
  </si>
  <si>
    <t>TUBO POL 6 TRANSP 12 X 9 X 100 M</t>
  </si>
  <si>
    <t>CONECTORES NUEVA INCORPORACION340</t>
  </si>
  <si>
    <t>NY1/4</t>
  </si>
  <si>
    <t>16001IC04042849V TUBO POL 6 TRANSP 1/4" X4X 200M</t>
  </si>
  <si>
    <t>CONECTORES NUEVA INCORPORACION341</t>
  </si>
  <si>
    <t>NY3/8</t>
  </si>
  <si>
    <t>16001IC04042849V TUBO POL 6 TRANSP 3/8X6,5X100 M</t>
  </si>
  <si>
    <t>CONECTORES NUEVA INCORPORACION342</t>
  </si>
  <si>
    <t>NY1/2</t>
  </si>
  <si>
    <t>16001IC04042849V TUBO POL 6 TRANSP 1/2 X9,5 X100M</t>
  </si>
  <si>
    <t>CONECTORES NUEVA INCORPORACION227</t>
  </si>
  <si>
    <t>075-00</t>
  </si>
  <si>
    <t>17001IC04275036S - TUBO PU 4MM X 2.5 X 200 MT</t>
  </si>
  <si>
    <t>PICOS PARA GAS1</t>
  </si>
  <si>
    <t>PICOS PARA GAS</t>
  </si>
  <si>
    <t>INYECTGAS</t>
  </si>
  <si>
    <t>COCINA - ARTHUR MARTIN - ROSCA FINA</t>
  </si>
  <si>
    <t>PICOS PARA GAS7</t>
  </si>
  <si>
    <t>COCINA - COVENTRY - HORNO</t>
  </si>
  <si>
    <t>PICOS PARA GAS9</t>
  </si>
  <si>
    <t>COCINA - COVENTRY - CORTO</t>
  </si>
  <si>
    <t>PICOS PARA GAS11</t>
  </si>
  <si>
    <t>COCINA - DOMEC</t>
  </si>
  <si>
    <t>PICOS PARA GAS17</t>
  </si>
  <si>
    <t xml:space="preserve">COCINA - ESCORIAL - CORTO </t>
  </si>
  <si>
    <t>PICOS PARA GAS19</t>
  </si>
  <si>
    <t>COCINA - ESCORIAL - MEDIANO</t>
  </si>
  <si>
    <t>PICOS PARA GAS21</t>
  </si>
  <si>
    <t>COCINA - ESCORIAL - LARGO</t>
  </si>
  <si>
    <t>PICOS PARA GAS23</t>
  </si>
  <si>
    <t>COCINA - LONGVIE - ANTIGUA</t>
  </si>
  <si>
    <t>PICOS PARA GAS27</t>
  </si>
  <si>
    <t>COCINA - LONGVIE - BRASIL LARGO</t>
  </si>
  <si>
    <t>PICOS PARA GAS29</t>
  </si>
  <si>
    <t>COCINA - LONGVIE - DOBLE ROSCA</t>
  </si>
  <si>
    <t>PICOS PARA GAS31</t>
  </si>
  <si>
    <t>COCINA - LONGVIE - DOBLE ROSCA VENTURI</t>
  </si>
  <si>
    <t>PICOS PARA GAS33</t>
  </si>
  <si>
    <t>COCINA - LONGVIE - DOBLE ROSCA LARGO</t>
  </si>
  <si>
    <t>PICOS PARA GAS35</t>
  </si>
  <si>
    <t xml:space="preserve">COCINA - ORBIS - VERTICAL </t>
  </si>
  <si>
    <t>PICOS PARA GAS37</t>
  </si>
  <si>
    <t xml:space="preserve">COCINA - ORBIS - COQUETA  CORTO </t>
  </si>
  <si>
    <t>PICOS PARA GAS39</t>
  </si>
  <si>
    <t xml:space="preserve">COCINA - ORBIS - COQUETA  LARGO </t>
  </si>
  <si>
    <t>PICOS PARA GAS43</t>
  </si>
  <si>
    <t xml:space="preserve">COCINA - ORBIS - CONVECTA </t>
  </si>
  <si>
    <t>PICOS PARA GAS45</t>
  </si>
  <si>
    <t xml:space="preserve">COCINA - ORBIS - DONNA  </t>
  </si>
  <si>
    <t>PICOS PARA GAS47</t>
  </si>
  <si>
    <t xml:space="preserve">COCINA - ORBIS - GALA ANTIGUO </t>
  </si>
  <si>
    <t>PICOS PARA GAS49</t>
  </si>
  <si>
    <t xml:space="preserve">COCINA - ORBIS - GALA MODERNO  </t>
  </si>
  <si>
    <t>PICOS PARA GAS51</t>
  </si>
  <si>
    <t xml:space="preserve">COCINA - ORBIS - DONNA HORNO </t>
  </si>
  <si>
    <t>PICOS PARA GAS53</t>
  </si>
  <si>
    <t>COCINA - ORO AZUL - -</t>
  </si>
  <si>
    <t>PICOS PARA GAS55</t>
  </si>
  <si>
    <t>COCINA - WHIRPOOL</t>
  </si>
  <si>
    <t>PICOS PARA GAS57</t>
  </si>
  <si>
    <t>COCINA - POMPEYA</t>
  </si>
  <si>
    <t>PICOS PARA GAS61</t>
  </si>
  <si>
    <t>COCINA - SIRENA - -</t>
  </si>
  <si>
    <t>PICOS PARA GAS63</t>
  </si>
  <si>
    <t>COCINA - VOLCAN - ANTIGUO</t>
  </si>
  <si>
    <t>PICOS PARA GAS76</t>
  </si>
  <si>
    <t>COCINA - MABE/PATRICK - CORTO</t>
  </si>
  <si>
    <t>PICOS PARA GAS78</t>
  </si>
  <si>
    <t xml:space="preserve">COCINA - VOLCAN - MODERNO </t>
  </si>
  <si>
    <t>PICOS PARA GAS80</t>
  </si>
  <si>
    <t>TERMOTANQUE - ECOTERMO - LARGO PARA VIROLA</t>
  </si>
  <si>
    <t>PICOS PARA GAS81</t>
  </si>
  <si>
    <t xml:space="preserve">TERMOTANQUE - ECOTERMO - CORTO  </t>
  </si>
  <si>
    <t>PICOS PARA GAS82</t>
  </si>
  <si>
    <t>TERMOTANQUE - EITAR - PILOTO MACHO-HEMBRA</t>
  </si>
  <si>
    <t>PICOS PARA GAS83</t>
  </si>
  <si>
    <t>TERMOTANQUE - EITAR - PILOTO ROSCA MACHO-MACHO PARA PESTAÑA</t>
  </si>
  <si>
    <t>PICOS PARA GAS84</t>
  </si>
  <si>
    <t>TERMOTANQUE - EITAR - PILOTO ROSCA MACHO-MACHO PARA VIROLA</t>
  </si>
  <si>
    <t>PICOS PARA GAS86</t>
  </si>
  <si>
    <t>TERMOTANQUE - ESKABE - ACQUAPIU PILOTO</t>
  </si>
  <si>
    <t>PICOS PARA GAS96</t>
  </si>
  <si>
    <t>TERMOTANQUE - PILOTO ANALIZADOR - MACHO-MACHO 1/8</t>
  </si>
  <si>
    <t>PICOS PARA GAS97</t>
  </si>
  <si>
    <t>TERMOTANQUE - PILOTO ANALIZADOR - MACHO-HEMBRA CORTO 1/8 P/CABEZAL BIGAS GAS ENVASADO</t>
  </si>
  <si>
    <t>PICOS PARA GAS98</t>
  </si>
  <si>
    <t>TERMOTANQUE - PILOTO ANALIZADOR - MACHO-HEMBRA LARGO 1/8 P/CABEZAL BIGAS GAS NATURAL</t>
  </si>
  <si>
    <t>PICOS PARA GAS99</t>
  </si>
  <si>
    <t>TERMOTANQUE - PILOTO ANALIZADOR - MACHO-MACHO 1/8 x 5/16 SEÑORIAL</t>
  </si>
  <si>
    <t>PICOS PARA GAS102</t>
  </si>
  <si>
    <t xml:space="preserve">TERMOTANQUE - RHEEM - PILOTO  </t>
  </si>
  <si>
    <t>PICOS PARA GAS103</t>
  </si>
  <si>
    <t xml:space="preserve">TERMOTANQUE - RHEEM - QUEMADOR  </t>
  </si>
  <si>
    <t>PICOS PARA GAS104</t>
  </si>
  <si>
    <t>TERMOTANQUE - RHEEM - QUEMADOR NUEVO CON VENTURI</t>
  </si>
  <si>
    <t>PICOS PARA GAS107</t>
  </si>
  <si>
    <t>TERMOTANQUE - SEÑORIAL - QUEMADOR NUEVO</t>
  </si>
  <si>
    <t>PICOS PARA GAS108</t>
  </si>
  <si>
    <t>TERMOTANQUE - SEÑORIAL - QUEMADOR NUEVO CON VENTURI GAS NATURAL</t>
  </si>
  <si>
    <t>PICOS PARA GAS109</t>
  </si>
  <si>
    <t>TERMOTANQUE - UNIVERSAL - NUEVO PARA PESTAÑA QUEMADOR</t>
  </si>
  <si>
    <t>PICOS PARA GAS121</t>
  </si>
  <si>
    <t xml:space="preserve">INYECTORES ARTEFACTOS DE GAS  - PANTALLA DIRECTA </t>
  </si>
  <si>
    <t>PICOS PARA GAS122</t>
  </si>
  <si>
    <t>INYECTORES ARTEFACTOS DE GAS  - PANTALLA DIRECTA PARABOLICA ALUMINIO 1500 CAL</t>
  </si>
  <si>
    <t>PICOS PARA GAS123</t>
  </si>
  <si>
    <t>INYECTORES ARTEFACTOS DE GAS  - PANTALLA DIRECTA PARABOLICA ALUMINIO 3000 CAL</t>
  </si>
  <si>
    <t>PICOS PARA GAS125</t>
  </si>
  <si>
    <t>INYECTORES ARTEFACTOS DE GAS  - STANDARD HEXAGONAL 7 mm - 0,60 mm EN ADELANTE</t>
  </si>
  <si>
    <t>PICOS PARA GAS139</t>
  </si>
  <si>
    <t>INYECTORES PARA CALEFACTOR  - ESKABE - 2000/3000 CAL</t>
  </si>
  <si>
    <t>PICOS PARA GAS140</t>
  </si>
  <si>
    <t>INYECTORES PARA CALEFACTOR  - ESKABE - 5000 CAL</t>
  </si>
  <si>
    <t>PICOS PARA GAS145</t>
  </si>
  <si>
    <t>INYECTORES PARA CALEFACTOR  - ORBIS - CALORAMA QUEMADOR</t>
  </si>
  <si>
    <t>PICOS PARA GAS156</t>
  </si>
  <si>
    <t>INYECTORES PARA CALEFON  - ESKABE - ACTUAL</t>
  </si>
  <si>
    <t>PICOS PARA GAS162</t>
  </si>
  <si>
    <t>INYECTORES PARA CALEFON  - LONGVIE - SEMILLA QUEMADOR</t>
  </si>
  <si>
    <t>PICOS PARA GAS166</t>
  </si>
  <si>
    <t>INYECTORES PARA CALEFON  - ORBIS - BOTONERA ANTIGUO QUEMADOR</t>
  </si>
  <si>
    <t>PICOS PARA GAS168</t>
  </si>
  <si>
    <t>INYECTORES PARA CALEFON  - ORBIS - POLIDORO QUEMADOR</t>
  </si>
  <si>
    <t>PICOS PARA GASCalisuar</t>
  </si>
  <si>
    <t>Calisuar</t>
  </si>
  <si>
    <t>C1327</t>
  </si>
  <si>
    <t>Kit 7 medidas con mango de Bronce</t>
  </si>
  <si>
    <t>REGATONES1</t>
  </si>
  <si>
    <t>REGATONES</t>
  </si>
  <si>
    <t>1/2 camp. EXTERIORES CORTOS</t>
  </si>
  <si>
    <t>EXTERIORES CORTOS - 1/2 camp.</t>
  </si>
  <si>
    <t>REGATONES3</t>
  </si>
  <si>
    <t>5/8 " EXTERIORES CORTOS</t>
  </si>
  <si>
    <t>EXTERIORES CORTOS - 5/8 "</t>
  </si>
  <si>
    <t>REGATONES4</t>
  </si>
  <si>
    <t>3/4 " EXTERIORES CORTOS</t>
  </si>
  <si>
    <t>EXTERIORES CORTOS - 3/4 "</t>
  </si>
  <si>
    <t>REGATONES5</t>
  </si>
  <si>
    <t>7/8 " EXTERIORES CORTOS</t>
  </si>
  <si>
    <t>EXTERIORES CORTOS - 7/8 "</t>
  </si>
  <si>
    <t>REGATONES6</t>
  </si>
  <si>
    <t>1" EXTERIORES CORTOS</t>
  </si>
  <si>
    <t>EXTERIORES CORTOS - 1"</t>
  </si>
  <si>
    <t>REGATONES7</t>
  </si>
  <si>
    <t>1" 1/8 EXTERIORES CORTOS</t>
  </si>
  <si>
    <t>EXTERIORES CORTOS - 1" 1/8</t>
  </si>
  <si>
    <t>REGATONES8</t>
  </si>
  <si>
    <t>1" 1/4 EXTERIORES CORTOS</t>
  </si>
  <si>
    <t>EXTERIORES CORTOS - 1" 1/4</t>
  </si>
  <si>
    <t>REGATONES9</t>
  </si>
  <si>
    <t>1" 1/2 EXTERIORES CORTOS</t>
  </si>
  <si>
    <t>EXTERIORES CORTOS - 1" 1/2</t>
  </si>
  <si>
    <t>REGATONES10</t>
  </si>
  <si>
    <t>1" 3/4 EXTERIORES CORTOS</t>
  </si>
  <si>
    <t>EXTERIORES CORTOS - 1" 3/4</t>
  </si>
  <si>
    <t>REGATONES11</t>
  </si>
  <si>
    <t>2" EXTERIORES CORTOS</t>
  </si>
  <si>
    <t xml:space="preserve">EXTERIORES CORTOS - 2" </t>
  </si>
  <si>
    <t>REGATONES16</t>
  </si>
  <si>
    <t>2" 1/2 EXTERIORES CORTOS</t>
  </si>
  <si>
    <t>EXTERIORES CORTOS - 2" 1/2</t>
  </si>
  <si>
    <t>REGATONES17</t>
  </si>
  <si>
    <t>3" EXTERIORES CORTOS</t>
  </si>
  <si>
    <t>EXTERIORES CORTOS - 3"</t>
  </si>
  <si>
    <t>REGATONES12</t>
  </si>
  <si>
    <t>5/8 . EXTERIORES LARGOS</t>
  </si>
  <si>
    <t>EXTERIORES LARGOS  - 5/8 .</t>
  </si>
  <si>
    <t>REGATONES13</t>
  </si>
  <si>
    <t>3/4 . EXTERIORES LARGOS</t>
  </si>
  <si>
    <t>EXTERIORES LARGOS  - 3/4 .</t>
  </si>
  <si>
    <t>REGATONES14</t>
  </si>
  <si>
    <t>7/8 . EXTERIORES LARGOS</t>
  </si>
  <si>
    <t>EXTERIORES LARGOS  - 7/8 .</t>
  </si>
  <si>
    <t>REGATONES15</t>
  </si>
  <si>
    <t>1" EXTERIORES LARGOS</t>
  </si>
  <si>
    <t>EXTERIORES LARGOS  - 1"</t>
  </si>
  <si>
    <t>REGATONES19</t>
  </si>
  <si>
    <t>5/8 . INTERIORES</t>
  </si>
  <si>
    <t>INTERIORES  - 5/8 .</t>
  </si>
  <si>
    <t>REGATONES20</t>
  </si>
  <si>
    <t>3/4 . INTERIORES</t>
  </si>
  <si>
    <t>INTERIORES  - 3/4 .</t>
  </si>
  <si>
    <t>REGATONES23</t>
  </si>
  <si>
    <t>7/8 . INTERIORES</t>
  </si>
  <si>
    <t>INTERIORES  - 7/8 .</t>
  </si>
  <si>
    <t>REGATONES26</t>
  </si>
  <si>
    <t>1" INTERIORES</t>
  </si>
  <si>
    <t>INTERIORES  - 1"</t>
  </si>
  <si>
    <t>REGATONES27</t>
  </si>
  <si>
    <t>1" 1/8 INTERIORES</t>
  </si>
  <si>
    <t>INTERIORES  - 1" 1/8</t>
  </si>
  <si>
    <t>REGATONES29</t>
  </si>
  <si>
    <t>1" 1/4 INTERIORES</t>
  </si>
  <si>
    <t>INTERIORES  - 1" 1/4</t>
  </si>
  <si>
    <t>REGATONES30</t>
  </si>
  <si>
    <t>1" 1/2 INTERIORES</t>
  </si>
  <si>
    <t>INTERIORES  - 1" 1/2</t>
  </si>
  <si>
    <t>REGATONES31</t>
  </si>
  <si>
    <t>1" 3/4 INTERIORES</t>
  </si>
  <si>
    <t>INTERIORES  - 1" 3/4</t>
  </si>
  <si>
    <t>REGATONES32</t>
  </si>
  <si>
    <t>2" INTERIORES</t>
  </si>
  <si>
    <t>INTERIORES  - 2"</t>
  </si>
  <si>
    <t>REGATONES33</t>
  </si>
  <si>
    <t>2" 1/2 INTERIORES</t>
  </si>
  <si>
    <t>INTERIORES  - 2" 1/2</t>
  </si>
  <si>
    <t>REGATONES34</t>
  </si>
  <si>
    <t>3" INTERIORES</t>
  </si>
  <si>
    <t>INTERIORES  - 3"</t>
  </si>
  <si>
    <t>REGATONES35</t>
  </si>
  <si>
    <t>15x15 CUADRADOS</t>
  </si>
  <si>
    <t>CUADRADOS  - 15x15</t>
  </si>
  <si>
    <t>REGATONES36</t>
  </si>
  <si>
    <t>20x20 CUADRADOS</t>
  </si>
  <si>
    <t>CUADRADOS  - 20x20</t>
  </si>
  <si>
    <t>REGATONES37</t>
  </si>
  <si>
    <t>25x25 CUADRADOS</t>
  </si>
  <si>
    <t>CUADRADOS  - 25x25</t>
  </si>
  <si>
    <t>REGATONES38</t>
  </si>
  <si>
    <t>30x30 CUADRADOS</t>
  </si>
  <si>
    <t>CUADRADOS  - 30x30</t>
  </si>
  <si>
    <t>REGATONES39</t>
  </si>
  <si>
    <t>35x35 CUADRADOS</t>
  </si>
  <si>
    <t>CUADRADOS  - 35x35</t>
  </si>
  <si>
    <t>REGATONES40</t>
  </si>
  <si>
    <t>40x40 CUADRADOS</t>
  </si>
  <si>
    <t>CUADRADOS  - 40x40</t>
  </si>
  <si>
    <t>REGATONES41</t>
  </si>
  <si>
    <t>50x50 CUADRADOS</t>
  </si>
  <si>
    <t>CUADRADOS  - 50x50</t>
  </si>
  <si>
    <t>REGATONES42</t>
  </si>
  <si>
    <t>60x60 CUADRADOS</t>
  </si>
  <si>
    <t>CUADRADOS  - 60x60</t>
  </si>
  <si>
    <t>REGATONES44</t>
  </si>
  <si>
    <t>10x20 RECTANGULARES</t>
  </si>
  <si>
    <t>RECTANGULARES  - 10x20</t>
  </si>
  <si>
    <t>REGATONES45</t>
  </si>
  <si>
    <t>10x30 RECTANGULARES</t>
  </si>
  <si>
    <t>RECTANGULARES  - 10x30</t>
  </si>
  <si>
    <t>REGATONES46</t>
  </si>
  <si>
    <t>15x30 aletado RECTANGULARES</t>
  </si>
  <si>
    <t>RECTANGULARES  - 15x30 aletado</t>
  </si>
  <si>
    <t>REGATONES47</t>
  </si>
  <si>
    <t>15x25 RECTANGULARES</t>
  </si>
  <si>
    <t>RECTANGULARES  - 15x25</t>
  </si>
  <si>
    <t>REGATONES48</t>
  </si>
  <si>
    <t>15x30 RECTANGULARES</t>
  </si>
  <si>
    <t>RECTANGULARES  - 15x30</t>
  </si>
  <si>
    <t>REGATONES50</t>
  </si>
  <si>
    <t>20x30 RECTANGULARES</t>
  </si>
  <si>
    <t>RECTANGULARES  - 20x30</t>
  </si>
  <si>
    <t>REGATONES51</t>
  </si>
  <si>
    <t>20x40 RECTANGULARES</t>
  </si>
  <si>
    <t>RECTANGULARES  - 20x40</t>
  </si>
  <si>
    <t>REGATONES52</t>
  </si>
  <si>
    <t>20x50 RECTANGULARES</t>
  </si>
  <si>
    <t>RECTANGULARES  - 20x50</t>
  </si>
  <si>
    <t>REGATONES53</t>
  </si>
  <si>
    <t>30x40 RECTANGULARES</t>
  </si>
  <si>
    <t>RECTANGULARES  - 30x40</t>
  </si>
  <si>
    <t>REGATONES54</t>
  </si>
  <si>
    <t>30x50 RECTANGULARES</t>
  </si>
  <si>
    <t>RECTANGULARES  - 30x50</t>
  </si>
  <si>
    <t>REGATONES60</t>
  </si>
  <si>
    <t>5/16 . REGULABLES PLAST.</t>
  </si>
  <si>
    <t>REGULABLES PLAST.  - 5/16 .</t>
  </si>
  <si>
    <t>REGATONES61</t>
  </si>
  <si>
    <t>3/8 . REGULABLES PLAST.</t>
  </si>
  <si>
    <t>REGULABLES PLAST.  - 3/8 .</t>
  </si>
  <si>
    <t>REGATONES63</t>
  </si>
  <si>
    <t>1/4 grande PERILLA C/TORNILLO</t>
  </si>
  <si>
    <t>PERILLA C/TORNILLO  - 1/4 grande</t>
  </si>
  <si>
    <t>REGATONES64</t>
  </si>
  <si>
    <t>1/4 chica PERILLA C/TORNILLO</t>
  </si>
  <si>
    <t>PERILLA C/TORNILLO  - 1/4 chica</t>
  </si>
  <si>
    <t>REGATONES65</t>
  </si>
  <si>
    <t>5/16 . PERILLA C/TORNILLO</t>
  </si>
  <si>
    <t>PERILLA C/TORNILLO  - 5/16.</t>
  </si>
  <si>
    <t>REGATONES66</t>
  </si>
  <si>
    <t>3/8 . PERILLA C/TORNILLO</t>
  </si>
  <si>
    <t>PERILLA C/TORNILLO  - 3/8 .</t>
  </si>
  <si>
    <t>REGATONES70</t>
  </si>
  <si>
    <t>1/4 . PERILLA C/TUERCA</t>
  </si>
  <si>
    <t>PERILLA C/TUERCA - 1/4.</t>
  </si>
  <si>
    <t>REGATONES71</t>
  </si>
  <si>
    <t>5/16 . PERILLA C/TUERCA</t>
  </si>
  <si>
    <t>PERILLA C/TUERCA - 5/16 .</t>
  </si>
  <si>
    <t>REGATONES72</t>
  </si>
  <si>
    <t>3/8. PERILLA C/TUERCA</t>
  </si>
  <si>
    <t>PERILLA C/TUERCA - 3/8.</t>
  </si>
  <si>
    <t>REGATONES75</t>
  </si>
  <si>
    <t>RO 20001</t>
  </si>
  <si>
    <t>ORTOPEDICOS - 16 mm</t>
  </si>
  <si>
    <t>REGATONES76</t>
  </si>
  <si>
    <t>RO 20002</t>
  </si>
  <si>
    <t>ORTOPEDICOS - 19 mm</t>
  </si>
  <si>
    <t>REGATONES77</t>
  </si>
  <si>
    <t>RO 20003</t>
  </si>
  <si>
    <t>ORTOPEDICOS - 22 mm</t>
  </si>
  <si>
    <t>REGATONES78</t>
  </si>
  <si>
    <t>RO 20004</t>
  </si>
  <si>
    <t>ORTOPEDICOS - 25 mm</t>
  </si>
  <si>
    <t>REGATONES120</t>
  </si>
  <si>
    <t>RG 20003</t>
  </si>
  <si>
    <t>ORTOPEDICOS - REG DE GOMA 12 mm</t>
  </si>
  <si>
    <t>REGATONES121</t>
  </si>
  <si>
    <t>RG 20004</t>
  </si>
  <si>
    <t>ORTOPEDICOS - REG DE GOMA 16mm</t>
  </si>
  <si>
    <t>REGATONES122</t>
  </si>
  <si>
    <t>RG 20005</t>
  </si>
  <si>
    <t>ORTOPEDICOS - REG DE GOMA 19 mm</t>
  </si>
  <si>
    <t>REGATONES123</t>
  </si>
  <si>
    <t>RG 20006</t>
  </si>
  <si>
    <t>ORTOPEDICOS - REG DE GOMA 22 mm</t>
  </si>
  <si>
    <t>REGATONES124</t>
  </si>
  <si>
    <t>RG 20007</t>
  </si>
  <si>
    <t>ORTOPEDICOS - REG DE GOMA 25 mm</t>
  </si>
  <si>
    <t>REGATONES125</t>
  </si>
  <si>
    <t>RG 20008</t>
  </si>
  <si>
    <t>ORTOPEDICOS - REG DE GOMA 30 mm</t>
  </si>
  <si>
    <t>REGATONES80</t>
  </si>
  <si>
    <t>REGATONES BLANCOS -  EXTERIORES CORTOS - 1/2 camp.</t>
  </si>
  <si>
    <t>REGATONES81</t>
  </si>
  <si>
    <t>REGATONES BLANCOS -  EXTERIORES CORTOS - 5/8 "</t>
  </si>
  <si>
    <t>REGATONES82</t>
  </si>
  <si>
    <t>REGATONES BLANCOS -  EXTERIORES CORTOS - 3/4 "</t>
  </si>
  <si>
    <t>REGATONES83</t>
  </si>
  <si>
    <t>REGATONES BLANCOS -  EXTERIORES CORTOS - 7/8 "</t>
  </si>
  <si>
    <t>REGATONES84</t>
  </si>
  <si>
    <t>REGATONES BLANCOS -  EXTERIORES CORTOS - 1"</t>
  </si>
  <si>
    <t>REGATONES85</t>
  </si>
  <si>
    <t>REGATONES BLANCOS -  EXTERIORES CORTOS - 1" 1/4</t>
  </si>
  <si>
    <t>REGATONES86</t>
  </si>
  <si>
    <t>REGATONES BLANCOS -  EXTERIORES CORTOS - 1" 1/2</t>
  </si>
  <si>
    <t>REGATONES87</t>
  </si>
  <si>
    <t xml:space="preserve">REGATONES BLANCOS -  EXTERIORES CORTOS - 2" </t>
  </si>
  <si>
    <t>REGATONES90</t>
  </si>
  <si>
    <t>REGATONES BLANCOS - INTERIORES  - 5/8 .</t>
  </si>
  <si>
    <t>REGATONES91</t>
  </si>
  <si>
    <t>REGATONES BLANCOS - INTERIORES  - 3/4 .</t>
  </si>
  <si>
    <t>REGATONES92</t>
  </si>
  <si>
    <t>REGATONES BLANCOS - INTERIORES  - 7/8 .</t>
  </si>
  <si>
    <t>REGATONES93</t>
  </si>
  <si>
    <t>REGATONES BLANCOS - INTERIORES  - 1"</t>
  </si>
  <si>
    <t>REGATONES94</t>
  </si>
  <si>
    <t>REGATONES BLANCOS - INTERIORES  - 1" 1/4</t>
  </si>
  <si>
    <t>REGATONES95</t>
  </si>
  <si>
    <t>REGATONES BLANCOS - INTERIORES  - 1" 1/2</t>
  </si>
  <si>
    <t>REGATONES100</t>
  </si>
  <si>
    <t>GRISES -  EXTERIORES CORTOS - 5/8 "</t>
  </si>
  <si>
    <t>REGATONES101</t>
  </si>
  <si>
    <t>GRISES -  EXTERIORES CORTOS - 7/8 "</t>
  </si>
  <si>
    <t>REGATONES102</t>
  </si>
  <si>
    <t>GRISES -  EXTERIORES CORTOS - 1"</t>
  </si>
  <si>
    <t>REGATONES103</t>
  </si>
  <si>
    <t>GRISES -  EXTERIORES CORTOS - 1" 1/4</t>
  </si>
  <si>
    <t>REGATONES104</t>
  </si>
  <si>
    <t>GRISES -  EXTERIORES CORTOS - 1" 1/2</t>
  </si>
  <si>
    <t>REGATONES108</t>
  </si>
  <si>
    <t>GRISES - INTERIORES  - 5/8 "</t>
  </si>
  <si>
    <t>REGATONES109</t>
  </si>
  <si>
    <t>GRISES - INTERIORES  - 7/8 "</t>
  </si>
  <si>
    <t>REGATONES110</t>
  </si>
  <si>
    <t>GRISES - INTERIORES  - 1"</t>
  </si>
  <si>
    <t>REGATONES111</t>
  </si>
  <si>
    <t>GRISES - INTERIORES  - 1" 1/4</t>
  </si>
  <si>
    <t>REGATONES112</t>
  </si>
  <si>
    <t>GRISES - INTERIORES  - 1" 1/2</t>
  </si>
  <si>
    <t>TAPONES DE CARTER4 - 1/2  NF</t>
  </si>
  <si>
    <t>TAPONES DE CARTER</t>
  </si>
  <si>
    <t>4 - 1/2  NF</t>
  </si>
  <si>
    <t>JUCAP</t>
  </si>
  <si>
    <t>400, CHEVY, PICK-UP CARTER / FORD / DODGE</t>
  </si>
  <si>
    <t>TAPONES DE CARTER6 - 5/8 18 H</t>
  </si>
  <si>
    <t>6 - 5/8 18 H</t>
  </si>
  <si>
    <t>CARTER PICK DODGE</t>
  </si>
  <si>
    <t>TAPONES DE CARTER7 - 22 x 1,5 FRES</t>
  </si>
  <si>
    <t>7 - 22 x 1,5 FRES</t>
  </si>
  <si>
    <t>EUROPA, SUPER EUROPA, SPAZIO, CAJA/ DODGE</t>
  </si>
  <si>
    <t>TAPONES DE CARTER8 - 22 x 1,5 EMB EX 12mm</t>
  </si>
  <si>
    <t>8 - 22 x 1,5 EMB EX 12mm</t>
  </si>
  <si>
    <t>6007 P</t>
  </si>
  <si>
    <t>EXAGONO TODOS LOS MODELOS DE CAJAS FIAT</t>
  </si>
  <si>
    <t>TAPONES DE CARTER9 - 18  x 1,5 EMB CUADR 10mm</t>
  </si>
  <si>
    <t>9 - 18  x 1,5 EMB CUADR 10mm</t>
  </si>
  <si>
    <t>PEUGEOT / INDENOR</t>
  </si>
  <si>
    <t>TAPONES DE CARTER10 - 16 x 1.5 EMB CUAD 8mm</t>
  </si>
  <si>
    <t>10 - 16 x 1.5 EMB CUAD 8mm</t>
  </si>
  <si>
    <t>6008 P</t>
  </si>
  <si>
    <t>504 (DESDE 77) , 505 TODOS, DIFERENCIAL</t>
  </si>
  <si>
    <t>TAPONES DE CARTER11 - 22 x 1,5</t>
  </si>
  <si>
    <t>11 - 22 x 1,5</t>
  </si>
  <si>
    <t>DUCATO, ALFA ROMEO,REG.85,DUNA</t>
  </si>
  <si>
    <t>TAPONES DE CARTER12 - 18 x 1,5</t>
  </si>
  <si>
    <t>12 - 18 x 1,5</t>
  </si>
  <si>
    <t>IKA RENAULT, RASTROJERO</t>
  </si>
  <si>
    <t>TAPONES DE CARTER13 - 16 x 1,5</t>
  </si>
  <si>
    <t>13 - 16 x 1,5</t>
  </si>
  <si>
    <t>2CV,3CV,IES 3CV,MEHARI,AMI 8</t>
  </si>
  <si>
    <t>TAPONES DE CARTER14 - 1/4 GAS</t>
  </si>
  <si>
    <t>14 - 1/4 GAS</t>
  </si>
  <si>
    <t>CARTER FORDFALCON, ESCORD, DODGE</t>
  </si>
  <si>
    <t>TAPONES DE CARTER15 - 14 x 1.5</t>
  </si>
  <si>
    <t>15 - 14 x 1.5</t>
  </si>
  <si>
    <t>6014 P</t>
  </si>
  <si>
    <t>VW GARAT, FALCON, F100, CHEVR</t>
  </si>
  <si>
    <t>TAPONES DE CARTER17 - 24 x 1,5</t>
  </si>
  <si>
    <t>17 - 24 x 1,5</t>
  </si>
  <si>
    <t>CARTER 608, 1112, 1114, OTROS</t>
  </si>
  <si>
    <t>TAPONES DE CARTER28 - 14 x 1,5 REBAJE 8 mm</t>
  </si>
  <si>
    <t>28 - 14 x 1,5 REBAJE 8 mm</t>
  </si>
  <si>
    <t>6028 P</t>
  </si>
  <si>
    <t>CARTER DAEWOO, TAUNUS, SIERRA (TODOS)</t>
  </si>
  <si>
    <t>TAPONES DE CARTER29 - 14 x 1,5</t>
  </si>
  <si>
    <t>29 - 14 x 1,5</t>
  </si>
  <si>
    <t>DIFER 205, 405 GASOLERO</t>
  </si>
  <si>
    <t>TAPONES DE CARTER30 - 14 x 1,25 EX EMB DE 8mm</t>
  </si>
  <si>
    <t>30 - 14 x 1,25 EX EMB DE 8mm</t>
  </si>
  <si>
    <t>106,206,306, PARTNER, 405 NAF/ RANGER 3,0 STROKE/BERLINGO</t>
  </si>
  <si>
    <t>TAPONES DE CARTER31 - 14 x 1 R LARGA</t>
  </si>
  <si>
    <t>31 - 14 x 1 R LARGA</t>
  </si>
  <si>
    <t>CAJA 306, 404</t>
  </si>
  <si>
    <t>TAPONES DE CARTER32 - 14 x 1,5 TORX c/ORING</t>
  </si>
  <si>
    <t>32 - 14 x 1,5 TORX c/ORING</t>
  </si>
  <si>
    <t>CARTER SUZUKI FUN, IDEA, PALIO SIENA (TODOS 1,8)VECTRA 97 ASTRA 96,97 (1.7</t>
  </si>
  <si>
    <t>TAPONES DE CARTER33 - 15 x 1,5 FRES 13mm</t>
  </si>
  <si>
    <t>33 - 15 x 1,5 FRES 13mm</t>
  </si>
  <si>
    <t>CARTER FIESTA Y MBZ</t>
  </si>
  <si>
    <t>TAPONES DE CARTER34 - 20 x 1,5 EMB EX 10mm</t>
  </si>
  <si>
    <t>34 - 20 x 1,5 EMB EX 10mm</t>
  </si>
  <si>
    <t>DIFER, SIERRA, EXPLORER, ORION</t>
  </si>
  <si>
    <t>TAPONES DE CARTER35 - 18 x 1,5 EMB EX 10mm</t>
  </si>
  <si>
    <t>35 - 18 x 1,5 EMB EX 10mm</t>
  </si>
  <si>
    <t>CAJA, CORSA CLASSIC, MERIVA,BLAZER,VECTRA 97 ASTRA 96,97 (1.7)</t>
  </si>
  <si>
    <t>TAPONES DE CARTER38 - 14  x 1.5 FRES 17mm</t>
  </si>
  <si>
    <t>38 - 14  x 1.5 FRES 17mm</t>
  </si>
  <si>
    <t>CARTER HONDA CIVIC</t>
  </si>
  <si>
    <t>TAPONES DE CARTER39 - 10 x 1,25</t>
  </si>
  <si>
    <t>39 - 10 x 1,25</t>
  </si>
  <si>
    <t>CARTER:206 NAC. PARTNER NAF. 307,407 NAF</t>
  </si>
  <si>
    <t>TAPONES DE CARTER41 - 12 x 1,25</t>
  </si>
  <si>
    <t>41 - 12 x 1,25</t>
  </si>
  <si>
    <t>CAJA Y DIFAUTO - MOD NUEVOS MBZ, CARTER TOYOTA</t>
  </si>
  <si>
    <t>TAPONES DE CARTER42 - 12 x 1,5</t>
  </si>
  <si>
    <t>42 - 12 x 1,5</t>
  </si>
  <si>
    <t>CAJA Y DIFAUTO - MOD NUEVOS MBZ,</t>
  </si>
  <si>
    <t>TAPONES DE CARTER44 - 14 x 1,25</t>
  </si>
  <si>
    <t>44 - 14 x 1,25</t>
  </si>
  <si>
    <t>CARTER,BERLINGO - CAJ Y DIF 106,206,306, PARTNER, 405 NAF</t>
  </si>
  <si>
    <t>TAPONES DE CARTER49 - 14 x 1,25 CZA COMUN 14 mm</t>
  </si>
  <si>
    <t>49 - 14 x 1,25 CZA COMUN 14 mm</t>
  </si>
  <si>
    <t>CAJA,CAR/DIF 106,206,306, PARTNER, 405 NAF</t>
  </si>
  <si>
    <t>ABRAZADERAS GRAMPAS U1</t>
  </si>
  <si>
    <t>ABRAZADERAS GRAMPAS U</t>
  </si>
  <si>
    <t>ABRAZADERAS CURVAS DE 65 mm - 7/16 x 65 x 130</t>
  </si>
  <si>
    <t>ABRAZADERAS GRAMPAS U2</t>
  </si>
  <si>
    <t>ABRAZADERAS CURVAS DE 65 mm - 7/16 x 65 x 140</t>
  </si>
  <si>
    <t>ABRAZADERAS GRAMPAS U3</t>
  </si>
  <si>
    <t>ABRAZADERAS CURVAS DE 65 mm - 7/16 x 65 x 150</t>
  </si>
  <si>
    <t>ABRAZADERAS GRAMPAS U4</t>
  </si>
  <si>
    <t>ABRAZADERAS CURVAS DE 65 mm - 7/16 x 65 x 160</t>
  </si>
  <si>
    <t>ABRAZADERAS GRAMPAS U5</t>
  </si>
  <si>
    <t>ABRAZADERAS CURVAS DE 65 mm - 7/16 x 65 x 170</t>
  </si>
  <si>
    <t>ABRAZADERAS GRAMPAS U6</t>
  </si>
  <si>
    <t>ABRAZADERAS CURVAS DE 65 mm - 7/16 x 65 x 180</t>
  </si>
  <si>
    <t>ABRAZADERAS GRAMPAS U7</t>
  </si>
  <si>
    <t>ABRAZADERAS CURVAS DE 65 mm - 7/16 x 65 x 190</t>
  </si>
  <si>
    <t>ABRAZADERAS GRAMPAS U8</t>
  </si>
  <si>
    <t>ABRAZADERAS CURVAS DE 65 mm - 7/16 x 65 x 200</t>
  </si>
  <si>
    <t>ABRAZADERAS GRAMPAS U9</t>
  </si>
  <si>
    <t>ABRAZADERAS CURVAS DE 65 mm - 7/16 x 65 x 210</t>
  </si>
  <si>
    <t>ABRAZADERAS GRAMPAS U10</t>
  </si>
  <si>
    <t>PLANA DE 50 mm - 7/16 X 2" x 60</t>
  </si>
  <si>
    <t>ABRAZADERAS GRAMPAS U11</t>
  </si>
  <si>
    <t>PLANA DE 50 mm - 7/16 X 2" x 70</t>
  </si>
  <si>
    <t>ABRAZADERAS GRAMPAS U12</t>
  </si>
  <si>
    <t>PLANA DE 50 mm - 7/16 X 2" x 80</t>
  </si>
  <si>
    <t>ABRAZADERAS GRAMPAS U13</t>
  </si>
  <si>
    <t>PLANA DE 50 mm - 7/16 X 2" x 90</t>
  </si>
  <si>
    <t>ABRAZADERAS GRAMPAS U14</t>
  </si>
  <si>
    <t>PLANA DE 50 mm - 7/16 X 2" x 100</t>
  </si>
  <si>
    <t>ABRAZADERAS GRAMPAS U15</t>
  </si>
  <si>
    <t>PLANA DE 50 mm - 7/16 X 2" x 110</t>
  </si>
  <si>
    <t>ABRAZADERAS GRAMPAS U16</t>
  </si>
  <si>
    <t>PLANA DE 50 mm - 7/16 X 2" x 120</t>
  </si>
  <si>
    <t>ABRAZADERAS GRAMPAS U17</t>
  </si>
  <si>
    <t>SEMI CURVA DE 50 mm - 7/16 X 2" x 60</t>
  </si>
  <si>
    <t>ABRAZADERAS GRAMPAS U18</t>
  </si>
  <si>
    <t>SEMI CURVA DE 50 mm - 7/16 X 2" x 70</t>
  </si>
  <si>
    <t>ABRAZADERAS GRAMPAS U19</t>
  </si>
  <si>
    <t>SEMI CURVA DE 50 mm - 7/16 X 2" x 80</t>
  </si>
  <si>
    <t>ABRAZADERAS GRAMPAS U20</t>
  </si>
  <si>
    <t>SEMI CURVA DE 50 mm - 7/16 X 2" x 90</t>
  </si>
  <si>
    <t>ABRAZADERAS GRAMPAS U21</t>
  </si>
  <si>
    <t>SEMI CURVA DE 50 mm - 7/16 X 2" x 100</t>
  </si>
  <si>
    <t>ABRAZADERAS GRAMPAS U22</t>
  </si>
  <si>
    <t>SEMI CURVA DE 50 mm - 7/16 X 2" x 110</t>
  </si>
  <si>
    <t>ABRAZADERAS GRAMPAS U23</t>
  </si>
  <si>
    <t>SEMI CURVA DE 50 mm - 7/16 X 2" x 120</t>
  </si>
  <si>
    <t>ABRAZADERAS GRAMPAS U24</t>
  </si>
  <si>
    <t>SEMI CURVA DE 50 mm - 7/16 X 2" x 130</t>
  </si>
  <si>
    <t>BORNES PARA BATERIA1</t>
  </si>
  <si>
    <t>BORNES PARA BATERIA</t>
  </si>
  <si>
    <t>L naftero de plomo para cable de 16 a 25 mm2 (+) y (-)</t>
  </si>
  <si>
    <t>BORNES PARA BATERIA2</t>
  </si>
  <si>
    <t>L gasolero de plomo para cable de 16 a 70 mm2 (+) y (-)</t>
  </si>
  <si>
    <t>BORNES PARA BATERIA3</t>
  </si>
  <si>
    <t>Orión de plomo (+) y (-)</t>
  </si>
  <si>
    <t>BORNES PARA BATERIA4</t>
  </si>
  <si>
    <t>Corte rápido de plomo para cable de 16 a 35 mm2 (+) y (-)</t>
  </si>
  <si>
    <t>BORNES PARA BATERIA5</t>
  </si>
  <si>
    <t>BORNES PARA BATERIA6</t>
  </si>
  <si>
    <t>Universal doble mariposa de pomo para cable de10 a 35mm - 2 (+) y (-). Mariposa de 3/16 y 1/4</t>
  </si>
  <si>
    <t>BORNES PARA BATERIA7</t>
  </si>
  <si>
    <t>Chrysler</t>
  </si>
  <si>
    <t>BORNES PARA BATERIA18 A</t>
  </si>
  <si>
    <t>18 A</t>
  </si>
  <si>
    <t>Corte rápido de bronce para cable de 16 a 35 mm
 (+) y (-) mariposa de plástico.</t>
  </si>
  <si>
    <t>BORNES PARA BATERIA18 B</t>
  </si>
  <si>
    <t>18 B</t>
  </si>
  <si>
    <t>Corte rápido de bronce para cable de 16 a 50 mm2
(+) y (-) mariposa de bronce</t>
  </si>
  <si>
    <t>BORNES PARA BATERIA18 C</t>
  </si>
  <si>
    <t>18 C</t>
  </si>
  <si>
    <t>Corte rápido de bronce para cable de 50 a 120 mm2 
 mariposa de  bronce , bulones tuerca 3/8</t>
  </si>
  <si>
    <t>BORNES PARA BATERIA9</t>
  </si>
  <si>
    <t>L naftero de bronce para cable hasta 50 mm2 (+) y (-)</t>
  </si>
  <si>
    <t>BORNES PARA BATERIA10</t>
  </si>
  <si>
    <t>L gasolero de bronce para cable hasta 70 mm2 (+) y (-)</t>
  </si>
  <si>
    <t>BORNES PARA BATERIA14</t>
  </si>
  <si>
    <t>L súper gasolero de bronce para cable hasta 95 mm2 (+) y (-).</t>
  </si>
  <si>
    <t>BORNES PARA BATERIA15</t>
  </si>
  <si>
    <t>Ojal súper gasolero de bronce para cable de 95 mm2 x 2 (+) y (-)</t>
  </si>
  <si>
    <t>BORNES PARA BATERIA16</t>
  </si>
  <si>
    <t>Ojal gasolero de bronce para cable hasta 70 mm2 (+) y (-)</t>
  </si>
  <si>
    <t>BORNES PARA BATERIA17</t>
  </si>
  <si>
    <t>Ojal naftero de bronce para cable hasta 50 mm2(+) y (-)</t>
  </si>
  <si>
    <t>BORNES PARA BATERIA23</t>
  </si>
  <si>
    <t>Mordaza de bronce p/cable de 50 a 95mm2(indistinto no posee + o -)</t>
  </si>
  <si>
    <t>BORNES PARA BATERIA31</t>
  </si>
  <si>
    <t>Mordaza de bronce p/cable de 25 a 95mm2(indistinto no posee + o -)</t>
  </si>
  <si>
    <t>BORNES PARA BATERIA30</t>
  </si>
  <si>
    <t>Mordaza de bronce p/cable de 16 a 50mm2(indistinto no posee + o -)</t>
  </si>
  <si>
    <t>BORNES PARA BATERIA29</t>
  </si>
  <si>
    <t>T súper gasolero de bronce para cable de 50 a 95 mm2 (+) y (-)</t>
  </si>
  <si>
    <t>BORNES PARA BATERIA28</t>
  </si>
  <si>
    <t>T gasolero de bronce para cable de 25 a 50 mm2 (+) y (-)</t>
  </si>
  <si>
    <t>BORNES PARA BATERIA27</t>
  </si>
  <si>
    <t>T naftero de bronce para cable de 16 a 25 mm2 (+) y (-)</t>
  </si>
  <si>
    <t>BORNES PARA BATERIA26</t>
  </si>
  <si>
    <t>Terminal estañado p/soldar cable de 50 mm2 (+) y (-)</t>
  </si>
  <si>
    <t>BORNES PARA BATERIA24</t>
  </si>
  <si>
    <t>Terminal estañado p/soldar cable de 70 mm2 (+) y (-)</t>
  </si>
  <si>
    <t>BORNES PARA BATERIA91</t>
  </si>
  <si>
    <t xml:space="preserve">Terminal de bronce estañado para cable de 70 mm2 , </t>
  </si>
  <si>
    <t>ARANDELAS DE AMORTIGUACIÓN Y SUSPENSIÓN10010</t>
  </si>
  <si>
    <t>ARANDELAS DE AMORTIGUACIÓN Y SUSPENSIÓN</t>
  </si>
  <si>
    <t>R.M. - 10010</t>
  </si>
  <si>
    <t>ARANDELAS DE AMORTIGUACIÓN Y SUSPENSIÓN10011</t>
  </si>
  <si>
    <t>R.M. - 10011</t>
  </si>
  <si>
    <t>ARANDELAS DE AMORTIGUACIÓN Y SUSPENSIÓN10015</t>
  </si>
  <si>
    <t>R.M. - 10015</t>
  </si>
  <si>
    <t>ARANDELAS DE AMORTIGUACIÓN Y SUSPENSIÓN10018</t>
  </si>
  <si>
    <t>R.M. - 10018</t>
  </si>
  <si>
    <t>ARANDELAS DE AMORTIGUACIÓN Y SUSPENSIÓN10019</t>
  </si>
  <si>
    <t>R.M. - 10019</t>
  </si>
  <si>
    <t>ARANDELAS DE AMORTIGUACIÓN Y SUSPENSIÓN10020</t>
  </si>
  <si>
    <t>R.M. - 10020</t>
  </si>
  <si>
    <t>ARANDELAS DE AMORTIGUACIÓN Y SUSPENSIÓN20003</t>
  </si>
  <si>
    <t>R.M. - 20003</t>
  </si>
  <si>
    <t>ARANDELAS DE AMORTIGUACIÓN Y SUSPENSIÓN20012</t>
  </si>
  <si>
    <t>R.M. - 20012</t>
  </si>
  <si>
    <t>ARANDELAS DE AMORTIGUACIÓN Y SUSPENSIÓN20016</t>
  </si>
  <si>
    <t>R.M. - 20016</t>
  </si>
  <si>
    <t>ARANDELAS DE AMORTIGUACIÓN Y SUSPENSIÓN20017</t>
  </si>
  <si>
    <t>R.M. - 20017</t>
  </si>
  <si>
    <t>ARANDELAS DE AMORTIGUACIÓN Y SUSPENSIÓN20018</t>
  </si>
  <si>
    <t>R.M. - 20018</t>
  </si>
  <si>
    <t>ARANDELAS DE AMORTIGUACIÓN Y SUSPENSIÓN20019</t>
  </si>
  <si>
    <t>R.M. - 20019</t>
  </si>
  <si>
    <t>ARANDELAS DE AMORTIGUACIÓN Y SUSPENSIÓN20020</t>
  </si>
  <si>
    <t>R.M. - 20020</t>
  </si>
  <si>
    <t>ARANDELAS DE AMORTIGUACIÓN Y SUSPENSIÓN20024</t>
  </si>
  <si>
    <t>R.M. - 20024</t>
  </si>
  <si>
    <t>ARANDELAS DE AMORTIGUACIÓN Y SUSPENSIÓN20027</t>
  </si>
  <si>
    <t>R.M. - 20027</t>
  </si>
  <si>
    <t>ARANDELAS DE AMORTIGUACIÓN Y SUSPENSIÓN20028</t>
  </si>
  <si>
    <t>R.M. - 20028</t>
  </si>
  <si>
    <t>ARANDELAS DE AMORTIGUACIÓN Y SUSPENSIÓN20029</t>
  </si>
  <si>
    <t>R.M. - 20029</t>
  </si>
  <si>
    <t>ARANDELAS DE AMORTIGUACIÓN Y SUSPENSIÓN20034</t>
  </si>
  <si>
    <t>R.M. - 20034</t>
  </si>
  <si>
    <t>ARANDELAS DE AMORTIGUACIÓN Y SUSPENSIÓN20035</t>
  </si>
  <si>
    <t>R.M. - 20035</t>
  </si>
  <si>
    <t>ARANDELAS DE AMORTIGUACIÓN Y SUSPENSIÓN20036</t>
  </si>
  <si>
    <t>R.M. - 20036</t>
  </si>
  <si>
    <t>ARANDELAS DE AMORTIGUACIÓN Y SUSPENSIÓN20037</t>
  </si>
  <si>
    <t>R.M. - 20037</t>
  </si>
  <si>
    <t>ARANDELAS DE AMORTIGUACIÓN Y SUSPENSIÓN20038</t>
  </si>
  <si>
    <t>R.M. - 20038</t>
  </si>
  <si>
    <t>ARANDELAS DE AMORTIGUACIÓN Y SUSPENSIÓN20039</t>
  </si>
  <si>
    <t>R.M. - 20039</t>
  </si>
  <si>
    <t>ARANDELAS DE AMORTIGUACIÓN Y SUSPENSIÓN20040</t>
  </si>
  <si>
    <t>R.M. - 20040</t>
  </si>
  <si>
    <t>ARANDELAS DE AMORTIGUACIÓN Y SUSPENSIÓN20041</t>
  </si>
  <si>
    <t>R.M. - 20041</t>
  </si>
  <si>
    <t>ARANDELAS DE AMORTIGUACIÓN Y SUSPENSIÓN20042</t>
  </si>
  <si>
    <t>R.M. - 20042</t>
  </si>
  <si>
    <t>ARANDELAS DE AMORTIGUACIÓN Y SUSPENSIÓN20043</t>
  </si>
  <si>
    <t>R.M. - 20043</t>
  </si>
  <si>
    <t>ARANDELAS DE AMORTIGUACIÓN Y SUSPENSIÓN20044</t>
  </si>
  <si>
    <t>R.M. - 20044</t>
  </si>
  <si>
    <t>ARANDELAS DE AMORTIGUACIÓN Y SUSPENSIÓN40007</t>
  </si>
  <si>
    <t>R.M. - 40007</t>
  </si>
  <si>
    <t>ARANDELAS DE AMORTIGUACIÓN Y SUSPENSIÓN40008</t>
  </si>
  <si>
    <t>R.M. - 40008</t>
  </si>
  <si>
    <t>ARANDELAS DE AMORTIGUACIÓN Y SUSPENSIÓN40009</t>
  </si>
  <si>
    <t>R.M. - 40009</t>
  </si>
  <si>
    <t>ARANDELAS DE AMORTIGUACIÓN Y SUSPENSIÓN40010</t>
  </si>
  <si>
    <t>R.M. - 40010</t>
  </si>
  <si>
    <t>ARANDELAS DE AMORTIGUACIÓN Y SUSPENSIÓN40011</t>
  </si>
  <si>
    <t>R.M. - 40011</t>
  </si>
  <si>
    <t>ARANDELAS DE AMORTIGUACIÓN Y SUSPENSIÓN40012</t>
  </si>
  <si>
    <t>R.M. - 40012</t>
  </si>
  <si>
    <t>ARANDELAS DE AMORTIGUACIÓN Y SUSPENSIÓN50010</t>
  </si>
  <si>
    <t>R.M. - 50010</t>
  </si>
  <si>
    <t>ARANDELAS DE AMORTIGUACIÓN Y SUSPENSIÓN50011</t>
  </si>
  <si>
    <t>R.M. - 50011</t>
  </si>
  <si>
    <t>ABRAZADERAS C/ GOMA - AC INOXIDABLE6</t>
  </si>
  <si>
    <t>ABRAZADERAS C/ GOMA - AC INOXIDABLE</t>
  </si>
  <si>
    <t>6 mm (1/4) - 5 mm</t>
  </si>
  <si>
    <t>ABRAZADERAS C/ GOMA - AC INOXIDABLE7</t>
  </si>
  <si>
    <t>7 mm - 5 mm</t>
  </si>
  <si>
    <t>ABRAZADERAS C/ GOMA - AC INOXIDABLE8</t>
  </si>
  <si>
    <t>8 mm (5/16) - 5 mm</t>
  </si>
  <si>
    <t>ABRAZADERAS C/ GOMA - AC INOXIDABLE9</t>
  </si>
  <si>
    <t>9 mm (3/8) - 5 mm</t>
  </si>
  <si>
    <t>ABRAZADERAS C/ GOMA - AC INOXIDABLE10</t>
  </si>
  <si>
    <t>10 mm - 5 mm</t>
  </si>
  <si>
    <t>ABRAZADERAS C/ GOMA - AC INOXIDABLE11</t>
  </si>
  <si>
    <t>11 mm (7/16) - 5 mm</t>
  </si>
  <si>
    <t>ABRAZADERAS C/ GOMA - AC INOXIDABLE12</t>
  </si>
  <si>
    <t>12 mm - 5 mm</t>
  </si>
  <si>
    <t>ABRAZADERAS C/ GOMA - AC INOXIDABLE14</t>
  </si>
  <si>
    <t>14 mm - 5 mm</t>
  </si>
  <si>
    <t>ABRAZADERAS C/ GOMA - AC INOXIDABLE16</t>
  </si>
  <si>
    <t>16 mm (5/8) - 5 mm</t>
  </si>
  <si>
    <t>ABRAZADERAS C/ GOMA - AC INOXIDABLE18</t>
  </si>
  <si>
    <t>18 mm - 5 mm</t>
  </si>
  <si>
    <t>ABRAZADERAS C/ GOMA - AC INOXIDABLE19</t>
  </si>
  <si>
    <t>19 mm (3/4) - 5 mm</t>
  </si>
  <si>
    <t>ABRAZADERAS C/ GOMA - AC INOXIDABLE20</t>
  </si>
  <si>
    <t>20 mm - 5 mm</t>
  </si>
  <si>
    <t>ABRAZADERAS C/ GOMA - AC INOXIDABLE22</t>
  </si>
  <si>
    <t>22 mm (7/8) - 5 mm</t>
  </si>
  <si>
    <t>ABRAZADERAS C/ GOMA - AC INOXIDABLE25</t>
  </si>
  <si>
    <t>25 mm (1") - 5 mm</t>
  </si>
  <si>
    <t>ABRAZADERAS C/ GOMA - AC INOXIDABLE28</t>
  </si>
  <si>
    <t>28 mm (1 1/8) - 5 mm</t>
  </si>
  <si>
    <t>ABRAZADERAS C/ GOMA - AC INOXIDABLE30</t>
  </si>
  <si>
    <t>30 mm - 5 mm</t>
  </si>
  <si>
    <t>ABRAZADERAS C/ GOMA - AC INOXIDABLE32</t>
  </si>
  <si>
    <t>32 mm (1 1/4) - 5 mm</t>
  </si>
  <si>
    <t>ABRAZADERAS C/ GOMA - AC INOXIDABLE35</t>
  </si>
  <si>
    <t>35 mm - 5 mm</t>
  </si>
  <si>
    <t>ABRAZADERAS C/ GOMA - ALUMINIO6</t>
  </si>
  <si>
    <t>ABRAZADERAS C/ GOMA - ALUMINIO</t>
  </si>
  <si>
    <t>ABRAZADERAS C/ GOMA - ALUMINIO7</t>
  </si>
  <si>
    <t>ABRAZADERAS C/ GOMA - ALUMINIO8</t>
  </si>
  <si>
    <t>ABRAZADERAS C/ GOMA - ALUMINIO9</t>
  </si>
  <si>
    <t>ABRAZADERAS C/ GOMA - ALUMINIO10</t>
  </si>
  <si>
    <t>ABRAZADERAS C/ GOMA - ALUMINIO11</t>
  </si>
  <si>
    <t>ABRAZADERAS C/ GOMA - ALUMINIO12</t>
  </si>
  <si>
    <t>ABRAZADERAS C/ GOMA - ALUMINIO14</t>
  </si>
  <si>
    <t>ABRAZADERAS C/ GOMA - ALUMINIO16</t>
  </si>
  <si>
    <t>ABRAZADERAS C/ GOMA - ALUMINIO18</t>
  </si>
  <si>
    <t>ABRAZADERAS C/ GOMA - ALUMINIO19</t>
  </si>
  <si>
    <t>ABRAZADERAS C/ GOMA - ALUMINIO20</t>
  </si>
  <si>
    <t>ABRAZADERAS C/ GOMA - ALUMINIO22</t>
  </si>
  <si>
    <t>ABRAZADERAS C/ GOMA - ALUMINIO25</t>
  </si>
  <si>
    <t>ABRAZADERAS C/ GOMA - ALUMINIO28</t>
  </si>
  <si>
    <t>ABRAZADERAS C/ GOMA - ALUMINIO30</t>
  </si>
  <si>
    <t>ABRAZADERAS C/ GOMA - ALUMINIO32</t>
  </si>
  <si>
    <t>ABRAZADERAS C/ GOMA - ALUMINIO35</t>
  </si>
  <si>
    <t>ARANDELAS DE GOMA LINEA PESADAGaveta</t>
  </si>
  <si>
    <t>Gaveta</t>
  </si>
  <si>
    <t>MEDIANA</t>
  </si>
  <si>
    <t>CONECTORES NUEVA INCORPORACIONGaveta</t>
  </si>
  <si>
    <t>ABRAZADERAS C/ GOMA - AC INOXIDABLEGaveta</t>
  </si>
  <si>
    <t>ABRAZADERAS C/ GOMA - ALUMINIOGaveta</t>
  </si>
  <si>
    <t>RESORTES LINEA BULONERAGaveta</t>
  </si>
  <si>
    <t>BORNES PARA BATERIAGaveta</t>
  </si>
  <si>
    <t>GRANDE</t>
  </si>
  <si>
    <t>ABRAZADERAS GRAMPAS UGaveta</t>
  </si>
  <si>
    <t>CHICA</t>
  </si>
  <si>
    <t>TAPONES DE CARTERGaveta</t>
  </si>
  <si>
    <t>ARANDELAS DE ALUMINIOGaveta</t>
  </si>
  <si>
    <t>ARANDELAS DE COBREGaveta</t>
  </si>
  <si>
    <t>ARANDELAS DE POLIPROPILENOGaveta</t>
  </si>
  <si>
    <t>REGATONESGaveta</t>
  </si>
  <si>
    <t>PICOS PARA GASGaveta</t>
  </si>
  <si>
    <t>CONECTORES NEUMÁTICOSGaveta</t>
  </si>
  <si>
    <t>ALEMITESGaveta</t>
  </si>
  <si>
    <t>CHAVETAS PARTIDASGaveta</t>
  </si>
  <si>
    <t>PASACABLES DE GOMAGaveta</t>
  </si>
  <si>
    <t>TARUGOS ESTRIADOSGaveta</t>
  </si>
  <si>
    <t>RETENES SEGURIDADGaveta</t>
  </si>
  <si>
    <t>ARANLOCKGaveta</t>
  </si>
  <si>
    <t>ESPINAS ELASTICASGaveta</t>
  </si>
  <si>
    <t>ARANDELAS DE GOMAGaveta</t>
  </si>
  <si>
    <t>PLASTICOSGaveta</t>
  </si>
  <si>
    <t>RESORTES LINEA FERRETERIAGaveta</t>
  </si>
  <si>
    <t>RESORTES LINEA COMPLEMENTARIAGaveta</t>
  </si>
  <si>
    <t>RESORTES LINEA PESADAGaveta</t>
  </si>
  <si>
    <t>RESORTES LINEA AUTOMOTORGaveta</t>
  </si>
  <si>
    <t>SEEGER DIN 471Gaveta</t>
  </si>
  <si>
    <t>SEEGER DIN 472Gaveta</t>
  </si>
  <si>
    <t>ORINGGaveta</t>
  </si>
  <si>
    <t>INSERTOSGaveta</t>
  </si>
  <si>
    <t>CONEXIÓN DE CHAPAGaveta</t>
  </si>
  <si>
    <t>TOPES Y TAPONES DE GOMAGaveta</t>
  </si>
  <si>
    <t>CONECTORES PLASTICOS MANGUERASGaveta</t>
  </si>
  <si>
    <t>TUERCAS RAPIDASGaveta</t>
  </si>
  <si>
    <t>ARANDELAS PLANAS DE TAPASGaveta</t>
  </si>
  <si>
    <t>ARANDELAS DE FIBRAGaveta</t>
  </si>
  <si>
    <t>RACORDSGaveta</t>
  </si>
  <si>
    <t>RACORDS</t>
  </si>
  <si>
    <t>TERMINALESGaveta</t>
  </si>
  <si>
    <t>CHAVETASGaveta</t>
  </si>
  <si>
    <t>CARBONESGaveta</t>
  </si>
  <si>
    <t>RESORTES LINEA HORNOGaveta</t>
  </si>
  <si>
    <t>ESPARRAGOS DE ACEROGaveta</t>
  </si>
  <si>
    <t>RACORD - ACOPLES - REDUCCIONES - ENTREROSCASGaveta</t>
  </si>
  <si>
    <t>GANCHOS - CHAVETASGaveta</t>
  </si>
  <si>
    <t>Varios ChVarios</t>
  </si>
  <si>
    <t>Varios Ch</t>
  </si>
  <si>
    <t>Varios</t>
  </si>
  <si>
    <t>Gastos Varios Exhibidor Chico</t>
  </si>
  <si>
    <t>Varios GrVarios</t>
  </si>
  <si>
    <t>Varios Gr</t>
  </si>
  <si>
    <t>Gastos Varios Exhibidor Grande</t>
  </si>
  <si>
    <t>Gavetas1 - 30x49x10 - Esp. 20</t>
  </si>
  <si>
    <t>Gavetas</t>
  </si>
  <si>
    <t>1 - 30x49x10 - Esp. 20</t>
  </si>
  <si>
    <t>WALTER</t>
  </si>
  <si>
    <t>Gaveta de 20 (grande)</t>
  </si>
  <si>
    <t>Gavetas2 - 25x42x8 - Esp. 20</t>
  </si>
  <si>
    <t>2 - 25x42x8 - Esp. 20</t>
  </si>
  <si>
    <t>Gaveta de 20</t>
  </si>
  <si>
    <t>Gavetas3 - 25x42x8 - Esp. 24</t>
  </si>
  <si>
    <t>3 - 25x42x8 - Esp. 24</t>
  </si>
  <si>
    <t>Gaveta de 24</t>
  </si>
  <si>
    <t>Gavetas4 - 25x42x7 - Esp. 30</t>
  </si>
  <si>
    <t>4 - 25x42x7 - Esp. 30</t>
  </si>
  <si>
    <t>Gaveta de 30</t>
  </si>
  <si>
    <t>Gavetas5 - 25x42x7 - Esp. 35</t>
  </si>
  <si>
    <t>5 - 25x42x7 - Esp. 35</t>
  </si>
  <si>
    <t>Gaveta de 35</t>
  </si>
  <si>
    <t>Gavetas6 - 25x42x5 - Esp. 35</t>
  </si>
  <si>
    <t>6 - 25x42x5 - Esp. 35</t>
  </si>
  <si>
    <t>Gaveta de 35 (chica)</t>
  </si>
  <si>
    <t>Gavetas7 - 25x49x7 - Esp. 40</t>
  </si>
  <si>
    <t>7 - 25x49x7 - Esp. 40</t>
  </si>
  <si>
    <t>Gaveta de 40</t>
  </si>
  <si>
    <t>VARIOSVARIOS</t>
  </si>
  <si>
    <t>SUELDOSUELDO</t>
  </si>
  <si>
    <t>SUELDO</t>
  </si>
  <si>
    <t>Sueldo Maite</t>
  </si>
  <si>
    <t>Suplementos de Acero10200</t>
  </si>
  <si>
    <t>Suplementos de Acero</t>
  </si>
  <si>
    <t>Sup. de Acero - 0,2 - 5 X 10 a 20 X 25 - 50 C/U</t>
  </si>
  <si>
    <t>Suplementos de Acero10410</t>
  </si>
  <si>
    <t>Sup. de Acero - 0,2 - 5 X 13 a 26 X 34 - 25 C/U</t>
  </si>
  <si>
    <t>Suplementos de Acero10710</t>
  </si>
  <si>
    <t>Sup. de Acero - 0,2 - 27 X 35 a 42 X 50 - 25 C/U</t>
  </si>
  <si>
    <t>Suplementos de Acero11110</t>
  </si>
  <si>
    <t>Sup. de Acero - 0,2 - 10 X 26 a 29 X 45 - 25 C/U</t>
  </si>
  <si>
    <t>Suplementos de Acero11210</t>
  </si>
  <si>
    <t>Sup. de Acero - 0,2 - 30 X 46 a 45 X 61 - 25 C/U</t>
  </si>
  <si>
    <t>Suplementos de Acero11510</t>
  </si>
  <si>
    <t>Sup. de Acero - 0,2 - 46 X 58 a 61 X 73 - 25 C/U</t>
  </si>
  <si>
    <t>Suplementos de Acero11610</t>
  </si>
  <si>
    <t>Sup. de Acero - 0,2 - 62 X 74 a 73 X 85 - 10 C/U</t>
  </si>
  <si>
    <t>Suplementos de Acero11710</t>
  </si>
  <si>
    <t>Sup. de Acero - 0,2 - 74 X 86 a 85 X 98 - 10 C/U</t>
  </si>
  <si>
    <t>Suplementos de Acero11810</t>
  </si>
  <si>
    <t>Sup. de Acero - 0,2 - 86 X 99 a 97 X 109 - 10 C/U</t>
  </si>
  <si>
    <t>Suplementos de Acero11860</t>
  </si>
  <si>
    <t>Sup. de Acero - 0,2 - 98 X 110 a 109 X 121 - 10 C/U</t>
  </si>
  <si>
    <t>Suplementos de Acero11910</t>
  </si>
  <si>
    <t>Sup. de Acero - 0,2 - 110 X 124 a 121 X 133 - 10 C/U</t>
  </si>
  <si>
    <t>Suplementos de Acero21000</t>
  </si>
  <si>
    <t>Sup. de Acero - 0,8 - 5 X 10 a 20 X 25 - 25 C/U</t>
  </si>
  <si>
    <t>Suplementos de Acero21310</t>
  </si>
  <si>
    <t>Sup. de Acero - 0,8 - 5 X 13 a 26 X 34 - 10 C/U</t>
  </si>
  <si>
    <t>Suplementos de Acero21410</t>
  </si>
  <si>
    <t>Sup. de Acero - 0,8 - 27 X 35 a 42 X 50 - 10 C/U</t>
  </si>
  <si>
    <t>Suplementos de Acero22010</t>
  </si>
  <si>
    <t>Sup. de Acero - 0,8 - 10 X 26 a 29 X 45 - 10 C/U</t>
  </si>
  <si>
    <t>Suplementos de Acero22100</t>
  </si>
  <si>
    <t>Sup. de Acero - 0,8 - 30 X 46 a 45 X 61 - 25 C/U</t>
  </si>
  <si>
    <t>Suplementos de Acero22110</t>
  </si>
  <si>
    <t>Sup. de Acero - 0,8 - 30 X 46 a 45 X 61 - 10 C/U</t>
  </si>
  <si>
    <t>Suplementos de Acero22510</t>
  </si>
  <si>
    <t>Sup. de Acero - 0,8 - 46 X 58 a 61 X 73 - 10 C/U</t>
  </si>
  <si>
    <t>JUNTAS MILIMÉTRICAS DE ALUMINIO12000</t>
  </si>
  <si>
    <t>JUNTAS MILIMÉTRICAS DE ALUMINIO</t>
  </si>
  <si>
    <t>JUNTAS MILIMÉTRICAS DE ALUMINIO - 5 X 13 a 34,6 - 25 C/U</t>
  </si>
  <si>
    <t>JUNTAS MILIMÉTRICAS DE ALUMINIO12300</t>
  </si>
  <si>
    <t>JUNTAS MILIMÉTRICAS DE ALUMINIO - 7 X 12 a 18 X 23 - 25 C/U</t>
  </si>
  <si>
    <t>JUNTAS MILIMÉTRICAS DE ALUMINIO12500</t>
  </si>
  <si>
    <t>JUNTAS MILIMÉTRICAS DE ALUMINIO - 7 X 13 a 28 X 33 - 25 C/U</t>
  </si>
  <si>
    <t>ARANDELAS Y SEGURO DE CAÑONERA13100</t>
  </si>
  <si>
    <t>ARANDELAS Y SEGURO DE CAÑONERA</t>
  </si>
  <si>
    <t>ARANDELAS Y SEGURO DE CAÑONERA - 5 C/U</t>
  </si>
  <si>
    <t>AMORTIGUACIÓN Y SUSPENSIÓN14100</t>
  </si>
  <si>
    <t>AMORTIGUACIÓN Y SUSPENSIÓN</t>
  </si>
  <si>
    <t>AMORTIGUACIÓN Y SUSPENSIÓN - 5 C/U</t>
  </si>
  <si>
    <t>PUNTA EJE Y SEMIEJE -COCHE Y CAMIÓN15100</t>
  </si>
  <si>
    <t>PUNTA EJE Y SEMIEJE -COCHE Y CAMIÓN</t>
  </si>
  <si>
    <t>PUNTA EJE Y SEMIEJE -COCHE Y CAMIÓN - 5 C/U</t>
  </si>
  <si>
    <t>ARANDELAS PUNTA EJE CAMIÓN15200</t>
  </si>
  <si>
    <t>ARANDELAS PUNTA EJE CAMIÓN</t>
  </si>
  <si>
    <t>ARANDELAS PUNTA EJE CAMIÓN - 5 C/U</t>
  </si>
  <si>
    <t>ARANDELAS  PLANAS  DE  HIERRO16100</t>
  </si>
  <si>
    <t>ARANDELAS  PLANAS  DE  HIERRO</t>
  </si>
  <si>
    <t>ARANDELAS  PLANAS  DE  HIERRO - 16x50 mm a   38x70 mm - 5 C/U</t>
  </si>
  <si>
    <t>ARANDELAS  PLANAS  DE  HIERRO16200</t>
  </si>
  <si>
    <t>ARANDELAS  PLANAS  DE  HIERRO -  8x18 mm a 14x46 mm - 10 C/U</t>
  </si>
  <si>
    <t>ARANDELAS  PLANAS  DE  HIERRO16300</t>
  </si>
  <si>
    <t>ARANDELAS  PLANAS  DE  HIERRO -  7x16 F a 10x45 F - 25 C/U</t>
  </si>
  <si>
    <t>ARANDELAS  PLANAS  DE  HIERRO16400</t>
  </si>
  <si>
    <t>ARANDELAS  PLANAS  DE  HIERRO -  7x16 G a 10x45 G - 25 C/U</t>
  </si>
  <si>
    <t>ARANDELAS  PLANAS  DE  HIERRO16800</t>
  </si>
  <si>
    <t>ARANDELAS  PLANAS  DE  HIERRO - 11x19 F a 13x50 F - 25 C/U</t>
  </si>
  <si>
    <t>ARANDELAS  PLANAS  DE  HIERRO16900</t>
  </si>
  <si>
    <t>ARANDELAS  PLANAS  DE  HIERRO - 11x19 G a 13x50 G - 25 C/U</t>
  </si>
  <si>
    <t>LIBRERÍALIBRERÍA</t>
  </si>
  <si>
    <t>PLUS PERFORADOMADERA</t>
  </si>
  <si>
    <t>PLUS PERFORADO</t>
  </si>
  <si>
    <t>MADERA</t>
  </si>
  <si>
    <t>CECATO</t>
  </si>
  <si>
    <t>Tabla exhibidores</t>
  </si>
  <si>
    <t>MUEBLESMueble P/Gav chica</t>
  </si>
  <si>
    <t>MUEBLES</t>
  </si>
  <si>
    <t>Mueble P/Gav chica</t>
  </si>
  <si>
    <t>Mueble Para gavetas Chicas</t>
  </si>
  <si>
    <t>MUEBLESMueble P/Gav mediana</t>
  </si>
  <si>
    <t>Mueble P/Gav mediana</t>
  </si>
  <si>
    <t>Mueble Para gavetas Mediana</t>
  </si>
  <si>
    <t>MUEBLESMueble P/Gav grande</t>
  </si>
  <si>
    <t>Mueble P/Gav grande</t>
  </si>
  <si>
    <t>Mueble Para gavetas Grandes</t>
  </si>
  <si>
    <t>TUERCAS REMACHES50</t>
  </si>
  <si>
    <t>TUERCAS REMACHES</t>
  </si>
  <si>
    <t>SELFLEX</t>
  </si>
  <si>
    <t>180300050691302100001000</t>
  </si>
  <si>
    <t>ACERO CABEZA ANCHA - M 5 x 0.8 - L: 13.00 mm</t>
  </si>
  <si>
    <t>TUERCAS REMACHES51</t>
  </si>
  <si>
    <t>180305160891852100000500</t>
  </si>
  <si>
    <t>ACERO CABEZA ANCHA - M 6 x 1.0 - L: 18,5 mm</t>
  </si>
  <si>
    <t>TUERCAS REMACHES52</t>
  </si>
  <si>
    <t>180300081091952100000250</t>
  </si>
  <si>
    <t>ACERO CABEZA ANCHA - M 8 x 1.25 - L: 19,5 mm</t>
  </si>
  <si>
    <t>TUERCAS REMACHES53</t>
  </si>
  <si>
    <t>180300101292232100000200</t>
  </si>
  <si>
    <t>ACERO CABEZA ANCHA - M 10 x 1.50 - L: 22,3 mm</t>
  </si>
  <si>
    <t>TUERCAS REMACHES54</t>
  </si>
  <si>
    <t>180300121492032100000150</t>
  </si>
  <si>
    <t>ACERO CABEZA ANCHA - M 12 x 1.75 - L: 20,3 mm</t>
  </si>
  <si>
    <t>TUERCAS REMACHES55</t>
  </si>
  <si>
    <t>181100050691092100001000</t>
  </si>
  <si>
    <t>ACERO CABEZA BAJA - M 5 x 0.8 - L: 10.90 mm</t>
  </si>
  <si>
    <t>TUERCAS REMACHES56</t>
  </si>
  <si>
    <t>181105161001352100000500</t>
  </si>
  <si>
    <t>ACERO CABEZA BAJA - M 6 x 1.0 - L: 13.90 mm</t>
  </si>
  <si>
    <t>TUERCAS REMACHES57</t>
  </si>
  <si>
    <t>181100081051602100000250</t>
  </si>
  <si>
    <t>ACERO CABEZA BAJA - M 8 x 1.25 - L: 16 mm</t>
  </si>
  <si>
    <t>TUERCAS REMACHES58</t>
  </si>
  <si>
    <t>181100101290198010000250</t>
  </si>
  <si>
    <t>ACERO CABEZA BAJA - M 10 x 1.50 - L: 19,8 mm</t>
  </si>
  <si>
    <t>TUERCAS REMACHES59</t>
  </si>
  <si>
    <t>180303160751202100001000</t>
  </si>
  <si>
    <t>ACERO CABEZA ANCHA PULGADA - 3/16" - L: 12.00 mm</t>
  </si>
  <si>
    <t>TUERCAS REMACHES60</t>
  </si>
  <si>
    <t>180300140991502100000500</t>
  </si>
  <si>
    <t>ACERO CABEZA ANCHA PULGADA - 1/4" - L: 15.00 mm</t>
  </si>
  <si>
    <t>TUERCAS REMACHES61</t>
  </si>
  <si>
    <t>180305161351752100000250</t>
  </si>
  <si>
    <t>ACERO CABEZA ANCHA PULGADA - 5/16" - L: 17.50 mm</t>
  </si>
  <si>
    <t>TUERCAS REMACHES62</t>
  </si>
  <si>
    <t>180300516109170210000250</t>
  </si>
  <si>
    <t>ACERO CABEZA ANCHA PULGADA - 5/16" - L: 17 mm</t>
  </si>
  <si>
    <t>TUERCAS REMACHES63</t>
  </si>
  <si>
    <t>180300381291982100000250</t>
  </si>
  <si>
    <t>ACERO CABEZA ANCHA PULGADA - 3/8" - L: 19,8 mm</t>
  </si>
  <si>
    <t>TUERCAS REMACHES64</t>
  </si>
  <si>
    <t>190310050691300000001000</t>
  </si>
  <si>
    <t>ALUMINIO CABEZA ANCHA - M 5 x 0.8 - L: 13.00 mm</t>
  </si>
  <si>
    <t>TUERCAS REMACHES65</t>
  </si>
  <si>
    <t>190310060891452100000500</t>
  </si>
  <si>
    <t>ALUMINIO CABEZA ANCHA - M 6 x 1.0 - L: 14.50 mm</t>
  </si>
  <si>
    <t>TUERCAS REMACHES66</t>
  </si>
  <si>
    <t>190310081091702100000250</t>
  </si>
  <si>
    <t>ALUMINIO CABEZA ANCHA - M 8 x 1.25 - L: 17.00 mm</t>
  </si>
  <si>
    <t>TUERCAS REMACHES67</t>
  </si>
  <si>
    <t>190310101291982100000250</t>
  </si>
  <si>
    <t>ALUMINIO CABEZA ANCHA - M 10 x 1.50 - L: 19,8 mm</t>
  </si>
  <si>
    <t>TUERCAS REMACHES68</t>
  </si>
  <si>
    <t>180375160892702200000250</t>
  </si>
  <si>
    <t>ACERO CABEZA ANCHA TREBOL- M 6 x 1.0 - L: 27.00 mm</t>
  </si>
  <si>
    <t>TUERCAS REMACHES69</t>
  </si>
  <si>
    <t>180370081101702200000150</t>
  </si>
  <si>
    <t>ACERO CABEZA ANCHA TREBOL- M 8 x 1.25 - L: 17.00 mm</t>
  </si>
  <si>
    <t>TUERCAS REMACHESGaveta</t>
  </si>
  <si>
    <t>PERILLAS DE COCINA1</t>
  </si>
  <si>
    <t>PERILLAS DE COCINA</t>
  </si>
  <si>
    <t>NEPLASTIC</t>
  </si>
  <si>
    <t>ARTHUR MARTIN - CORALINE ANTERIOR</t>
  </si>
  <si>
    <t>PERILLAS DE COCINA2</t>
  </si>
  <si>
    <t xml:space="preserve">ARISTÓN ZANELLA - GOTA N / B 6mm C/L CORTE ABAJO </t>
  </si>
  <si>
    <t>PERILLAS DE COCINA3</t>
  </si>
  <si>
    <t>AURORA - ALEMANA  8mm / 9mm</t>
  </si>
  <si>
    <t>PERILLAS DE COCINA10</t>
  </si>
  <si>
    <t>DOMEC - ACRÍLICO 98 BLANCO</t>
  </si>
  <si>
    <t>PERILLAS DE COCINA11</t>
  </si>
  <si>
    <t xml:space="preserve">DOMEC - ACRÍLICO 98 TODA CROMADA </t>
  </si>
  <si>
    <t>PERILLAS DE COCINA12</t>
  </si>
  <si>
    <t>DOMEC - BLANCA 90 ARMADAS</t>
  </si>
  <si>
    <t>PERILLAS DE COCINA13</t>
  </si>
  <si>
    <t>DOMEC - CONJUNTO 95 BLANCO</t>
  </si>
  <si>
    <t>PERILLAS DE COCINA14</t>
  </si>
  <si>
    <t>DOMEC - PAOLA 81 MARRÓN</t>
  </si>
  <si>
    <t>PERILLAS DE COCINA15</t>
  </si>
  <si>
    <t>PERILLAS DE COCINA16</t>
  </si>
  <si>
    <t>DOMEC - TF  BLANCO</t>
  </si>
  <si>
    <t>PERILLAS DE COCINA17</t>
  </si>
  <si>
    <t>DOMEC - TF TODA CROMADA</t>
  </si>
  <si>
    <t>PERILLAS DE COCINA18</t>
  </si>
  <si>
    <t>DOMEC - NEXTLINE GRIS  ANAFE A   GAS CORTE ABAJO</t>
  </si>
  <si>
    <t>PERILLAS DE COCINA20</t>
  </si>
  <si>
    <t>ELECTROLUX - PLATA</t>
  </si>
  <si>
    <t>PERILLAS DE COCINA30</t>
  </si>
  <si>
    <t>ESCORIAL - CANDOR  BLANCA / NEGRA</t>
  </si>
  <si>
    <t>PERILLAS DE COCINA31</t>
  </si>
  <si>
    <t>ESCORIAL - CANDOR  BLANCA / NEGRA  CON ARO</t>
  </si>
  <si>
    <t>PERILLAS DE COCINA32</t>
  </si>
  <si>
    <t>PERILLAS DE COCINA33</t>
  </si>
  <si>
    <t>ESCORIAL - Sepia Escorial Ng baquelita</t>
  </si>
  <si>
    <t>PERILLAS DE COCINA40</t>
  </si>
  <si>
    <t xml:space="preserve"> - INDUSTRIAL INYECCION  8/10/11/CUADRADO</t>
  </si>
  <si>
    <t>PERILLAS DE COCINA50</t>
  </si>
  <si>
    <t>LONGVIE - LONGVIE KENIA   B / M / N / G  6mm</t>
  </si>
  <si>
    <t>PERILLAS DE COCINA51</t>
  </si>
  <si>
    <t>LONGVIE - BCO / GRIS / NEG / MARR 2005 C/C 6 mm</t>
  </si>
  <si>
    <t>PERILLAS DE COCINA52</t>
  </si>
  <si>
    <t>LONGVIE - BLANCO    2005  6mm  EMBUTIR</t>
  </si>
  <si>
    <t>PERILLAS DE COCINA53</t>
  </si>
  <si>
    <t xml:space="preserve">LONGVIE - MARRÓN / GRIS     2000  8mm </t>
  </si>
  <si>
    <t>PERILLAS DE COCINA54</t>
  </si>
  <si>
    <t>LONGVIE - BLANCO 89 CON ARO  C / L</t>
  </si>
  <si>
    <t>PERILLAS DE COCINA55</t>
  </si>
  <si>
    <t>LONGVIE - MARRÓN 89 CON ARO  C / L</t>
  </si>
  <si>
    <t>PERILLAS DE COCINA56</t>
  </si>
  <si>
    <t>PERILLAS DE COCINA57</t>
  </si>
  <si>
    <t xml:space="preserve">LONGVIE - ANAFE 2010  BLANCO / NEGRO </t>
  </si>
  <si>
    <t>PERILLAS DE COCINA58</t>
  </si>
  <si>
    <t>PERILLAS DE COCINA59</t>
  </si>
  <si>
    <t>LONGVIE  NVO  MODELO  2022   BLANCO  /  NEGRO</t>
  </si>
  <si>
    <t>PERILLAS DE COCINA60</t>
  </si>
  <si>
    <t>LONGVIE - ARO PLANO  BLANCO / NEGRO</t>
  </si>
  <si>
    <t>PERILLAS DE COCINA61</t>
  </si>
  <si>
    <t>LONGVIE- ARO PLANO  BLANCO / NEGRO</t>
  </si>
  <si>
    <t>PERILLAS DE COCINA70</t>
  </si>
  <si>
    <t>MABE  - MABE   GRIS   6 / 8 mm</t>
  </si>
  <si>
    <t>PERILLAS DE COCINA71</t>
  </si>
  <si>
    <t>MARTIRI - LÁGRIMA BLANCA  C / C</t>
  </si>
  <si>
    <t>PERILLAS DE COCINA72</t>
  </si>
  <si>
    <t>ORBIS - CONVECTA BLANCA / GRIS  8mm / 6mm</t>
  </si>
  <si>
    <t>PERILLAS DE COCINA73</t>
  </si>
  <si>
    <t>ORBIS - KIT 2010  BLANCO / MARRÓN / NEGRO</t>
  </si>
  <si>
    <t>PERILLAS DE COCINA74</t>
  </si>
  <si>
    <t>ORBIS - MARRÓN 88</t>
  </si>
  <si>
    <t>PERILLAS DE COCINA75</t>
  </si>
  <si>
    <t>ORBIS - MERTIG 84  MARRÓN</t>
  </si>
  <si>
    <t>PERILLAS DE COCINA76</t>
  </si>
  <si>
    <t>ORBIS - MODELO 388  2011  BLANCO / MARRÓN</t>
  </si>
  <si>
    <t>PERILLAS DE COCINA77</t>
  </si>
  <si>
    <t>PERILLAS DE COCINA78</t>
  </si>
  <si>
    <t>ORBIS - MERTIG 84  NEGRA</t>
  </si>
  <si>
    <t>PERILLAS DE COCINA79</t>
  </si>
  <si>
    <t>PERILLAS DE COCINA80</t>
  </si>
  <si>
    <t>PERILLAS DE COCINA81</t>
  </si>
  <si>
    <t>ORBIS - ORBIS - VOLCAN   BLANCA / MARRÓN / GRIS</t>
  </si>
  <si>
    <t>PERILLAS DE COCINA90</t>
  </si>
  <si>
    <t>ORO AZUL - CHANFLEADA 88 C / L</t>
  </si>
  <si>
    <t>PERILLAS DE COCINA91</t>
  </si>
  <si>
    <t>ORO AZUL - CHANFLEADA 88 C / C</t>
  </si>
  <si>
    <t>PERILLAS DE COCINA92</t>
  </si>
  <si>
    <t>ORO AZUL - MARRÓN 86 C / C</t>
  </si>
  <si>
    <t>PERILLAS DE COCINA100</t>
  </si>
  <si>
    <t>PATRICK - PATRICK ANTERIOR  BLANCA</t>
  </si>
  <si>
    <t>PERILLAS DE COCINA101</t>
  </si>
  <si>
    <t>PATRICK - PATRICK ANTERIOR  PLATA     CON ARO</t>
  </si>
  <si>
    <t>PERILLAS DE COCINA102</t>
  </si>
  <si>
    <t>PATRICK ANTERIOR  PLATA</t>
  </si>
  <si>
    <t>PERILLAS DE COCINA103</t>
  </si>
  <si>
    <t>PATRICK - PATRICK MODERNA  BLANCA</t>
  </si>
  <si>
    <t>PERILLAS DE COCINA110</t>
  </si>
  <si>
    <t xml:space="preserve"> - FORNAX  Nº 3 / Nº 4</t>
  </si>
  <si>
    <t>PERILLAS DE COCINA111</t>
  </si>
  <si>
    <t>ESLABÓN DE LUJO - ESLABÓN DE LUJO OVAL CON ARO   B.</t>
  </si>
  <si>
    <t>PERILLAS DE COCINA112</t>
  </si>
  <si>
    <t>SINGER MACOSER - SINGER  MACOSER FLORENCIA</t>
  </si>
  <si>
    <t>PERILLAS DE COCINA113</t>
  </si>
  <si>
    <t>SINGER MACOSER - SINGER  MACOSER GOTA CON ARO</t>
  </si>
  <si>
    <t>PERILLAS DE COCINA120</t>
  </si>
  <si>
    <t xml:space="preserve">VOLCAN - MARRÓN 84   8 1/2 mm </t>
  </si>
  <si>
    <t>PERILLAS DE COCINA121</t>
  </si>
  <si>
    <t>VOLCAN - BLANCA 84   8mm</t>
  </si>
  <si>
    <t>PERILLAS DE COCINA122</t>
  </si>
  <si>
    <t>VOLCAN - VENUS  C / L</t>
  </si>
  <si>
    <t>PERILLAS DE COCINA123</t>
  </si>
  <si>
    <t>VOLCAN - VENUS  C / C</t>
  </si>
  <si>
    <t>PERILLAS DE COCINA130</t>
  </si>
  <si>
    <t>WHIRPOOL - GIRATORIA  BLANCA / MARRÓN / NEGRA</t>
  </si>
  <si>
    <t>PERILLAS DE COCINA131</t>
  </si>
  <si>
    <t>WHIRPOOL - GRIS    C / A</t>
  </si>
  <si>
    <t>PERILLAS DE COCINA132</t>
  </si>
  <si>
    <t>DOMEC - WHIRPOOL C/A GRIS</t>
  </si>
  <si>
    <t>PERILLAS DE COCINAGaveta</t>
  </si>
  <si>
    <t>SUPLEMENTO 0,2Gaveta</t>
  </si>
  <si>
    <t>SUPLEMENTO 0,8Gaveta</t>
  </si>
  <si>
    <t>CONEXIÓN DE ALUMINIO1</t>
  </si>
  <si>
    <t>CONEXIÓN DE ALUMINIO</t>
  </si>
  <si>
    <t>CONEXIÓN DE ALUMINIO2</t>
  </si>
  <si>
    <t>CONEXIÓN DE ALUMINIO3</t>
  </si>
  <si>
    <t>CONEXIÓN DE ALUMINIO4</t>
  </si>
  <si>
    <t>CONEXIÓN DE ALUMINIO5</t>
  </si>
  <si>
    <t>CONEXIÓN DE ALUMINIO6</t>
  </si>
  <si>
    <t>CONEXIÓN DE ALUMINIO7</t>
  </si>
  <si>
    <t>CONEXIÓN DE ALUMINIO9</t>
  </si>
  <si>
    <t>CONEXIÓN DE ALUMINIO10</t>
  </si>
  <si>
    <t>CONEXIÓN DE ALUMINIO11</t>
  </si>
  <si>
    <t>CONEXIÓN DE ALUMINIO12</t>
  </si>
  <si>
    <t>CONEXIÓN DE ALUMINIO13</t>
  </si>
  <si>
    <t>CONEXIÓN DE ALUMINIO14</t>
  </si>
  <si>
    <t>CONEXIÓN DE ALUMINIO15</t>
  </si>
  <si>
    <t>CONEXIÓN DE ALUMINIO16</t>
  </si>
  <si>
    <t>CONEXIÓN DE ALUMINIO17</t>
  </si>
  <si>
    <t>CONEXIÓN DE ALUMINIO18</t>
  </si>
  <si>
    <t>CONEXIÓN DE ALUMINIO19</t>
  </si>
  <si>
    <t>CONEXIÓN DE ALUMINIO20</t>
  </si>
  <si>
    <t>CONEXIÓN DE ALUMINIO21</t>
  </si>
  <si>
    <t>CONEXIÓN DE ALUMINIO22</t>
  </si>
  <si>
    <t>CONEXIÓN DE ALUMINIO23</t>
  </si>
  <si>
    <t>CONEXIÓN DE ALUMINIO24</t>
  </si>
  <si>
    <t>CONEXIÓN DE ALUMINIO25</t>
  </si>
  <si>
    <t>CONEXIÓN DE ALUMINIO26</t>
  </si>
  <si>
    <t>CONEXIÓN DE ALUMINIO27</t>
  </si>
  <si>
    <t>CONEXIÓN DE ALUMINIO28</t>
  </si>
  <si>
    <t>CONEXIÓN DE ALUMINIO30</t>
  </si>
  <si>
    <t>CONEXIÓN DE ALUMINIO31</t>
  </si>
  <si>
    <t>CONEXIÓN DE ALUMINIO32</t>
  </si>
  <si>
    <t>CONEXIÓN DE ALUMINIO34</t>
  </si>
  <si>
    <t>CONEXIÓN DE ALUMINIO35</t>
  </si>
  <si>
    <t>CONEXIÓN DE ALUMINIO36</t>
  </si>
  <si>
    <t>CONEXIÓN DE ALUMINIO40</t>
  </si>
  <si>
    <t>CONEXIÓN DE ALUMINIO41</t>
  </si>
  <si>
    <t>CONEXIÓN DE ALUMINIO42</t>
  </si>
  <si>
    <t>CONEXIÓN DE ALUMINIO50</t>
  </si>
  <si>
    <t>CONEXIÓN DE ALUMINIO51</t>
  </si>
  <si>
    <t>CONEXIÓN DE ALUMINIO52</t>
  </si>
  <si>
    <t>CONEXIÓN DE ALUMINIO53</t>
  </si>
  <si>
    <t>CONEXIÓN DE ALUMINIO56</t>
  </si>
  <si>
    <t>CONEXIÓN DE ALUMINIO57</t>
  </si>
  <si>
    <t>CONEXIÓN DE ALUMINIO58</t>
  </si>
  <si>
    <t>CONEXIÓN DE ALUMINIO59</t>
  </si>
  <si>
    <t>CONEXIÓN DE ALUMINIO61</t>
  </si>
  <si>
    <t>CONEXIÓN DE ALUMINIO62</t>
  </si>
  <si>
    <t>CONEXIÓN DE ALUMINIO63</t>
  </si>
  <si>
    <t>CONEXIÓN DE ALUMINIO64</t>
  </si>
  <si>
    <t>CONEXIÓN DE ALUMINIO65</t>
  </si>
  <si>
    <t>CONEXIÓN DE ALUMINIO66</t>
  </si>
  <si>
    <t>CONEXIÓN DE ALUMINIO67</t>
  </si>
  <si>
    <t>CONEXIÓN DE ALUMINIO68</t>
  </si>
  <si>
    <t>CONEXIÓN DE ALUMINIO69</t>
  </si>
  <si>
    <t>CONEXIÓN DE ALUMINIO70</t>
  </si>
  <si>
    <t>CONEXIÓN DE ALUMINIO71</t>
  </si>
  <si>
    <t>CONEXIÓN DE ALUMINIO72</t>
  </si>
  <si>
    <t>CONEXIÓN DE ALUMINIO78</t>
  </si>
  <si>
    <t>CONEXIÓN DE ALUMINIO79</t>
  </si>
  <si>
    <t>CONEXIÓN DE ALUMINIO80</t>
  </si>
  <si>
    <t>CONEXIÓN DE ALUMINIO81</t>
  </si>
  <si>
    <t>CONEXIÓN DE ALUMINIO82</t>
  </si>
  <si>
    <t>CONEXIÓN DE ALUMINIO83</t>
  </si>
  <si>
    <t>CONEXIÓN DE ALUMINIOGaveta</t>
  </si>
  <si>
    <t>CONEXIONES T EN ALUMINIO85</t>
  </si>
  <si>
    <t>CONEXIONES T EN ALUMINIO</t>
  </si>
  <si>
    <t>CONEXIONES T EN ALUMINIO86</t>
  </si>
  <si>
    <t>CONEXIONES T EN ALUMINIO87</t>
  </si>
  <si>
    <t>CONEXIONES T EN ALUMINIO88</t>
  </si>
  <si>
    <t>CONEXIONES T EN ALUMINIO89</t>
  </si>
  <si>
    <t>CONEXIONES T EN ALUMINIO90</t>
  </si>
  <si>
    <t>CONEXIONES T EN ALUMINIO101</t>
  </si>
  <si>
    <t>CONEXIONES T EN ALUMINIO102</t>
  </si>
  <si>
    <t>CONEXIONES T EN ALUMINIO104</t>
  </si>
  <si>
    <t>CONEXIONES T EN ALUMINIO106</t>
  </si>
  <si>
    <t>CONEXIONES T EN ALUMINIO107</t>
  </si>
  <si>
    <t>CONEXIONES T EN ALUMINIO108</t>
  </si>
  <si>
    <t>CONEXIONES T EN ALUMINIO109</t>
  </si>
  <si>
    <t>CONEXIONES T EN ALUMINIO110</t>
  </si>
  <si>
    <t>CONEXIONES T EN ALUMINIO111</t>
  </si>
  <si>
    <t>CONEXIONES T EN ALUMINIO112</t>
  </si>
  <si>
    <t>CONEXIONES T EN ALUMINIO113</t>
  </si>
  <si>
    <t>CONEXIONES T EN ALUMINIO114</t>
  </si>
  <si>
    <t>CONEXIONES T EN ALUMINIO116</t>
  </si>
  <si>
    <t>CONEXIONES T EN ALUMINIO118</t>
  </si>
  <si>
    <t>CONEXIONES T EN ALUMINIO119</t>
  </si>
  <si>
    <t>CONEXIONES T EN ALUMINIO120</t>
  </si>
  <si>
    <t>CONEXIONES T EN ALUMINIO121</t>
  </si>
  <si>
    <t>CONEXIONES T EN ALUMINIO122</t>
  </si>
  <si>
    <t>CONEXIONES T EN ALUMINIO123</t>
  </si>
  <si>
    <t>CONEXIONES T EN ALUMINIO124</t>
  </si>
  <si>
    <t>CONEXIONES T EN ALUMINIO125</t>
  </si>
  <si>
    <t>CONEXIONES T EN ALUMINIO130</t>
  </si>
  <si>
    <t>CONEXIONES T EN ALUMINIO132</t>
  </si>
  <si>
    <t>CONEXIONES T EN ALUMINIO133</t>
  </si>
  <si>
    <t>CONEXIONES T EN ALUMINIO134</t>
  </si>
  <si>
    <t>CONEXIONES T EN ALUMINIO135</t>
  </si>
  <si>
    <t>CONEXIONES T EN ALUMINIO136</t>
  </si>
  <si>
    <t>CONEXIONES T EN ALUMINIO137</t>
  </si>
  <si>
    <t>CONEXIONES T EN ALUMINIO138</t>
  </si>
  <si>
    <t>CONEXIONES T EN ALUMINIO139</t>
  </si>
  <si>
    <t>CONEXIONES T EN ALUMINIO142</t>
  </si>
  <si>
    <t>CONEXIONES T EN ALUMINIO143</t>
  </si>
  <si>
    <t>CONEXIONES T EN ALUMINIO144</t>
  </si>
  <si>
    <t>CONEXIONES T EN ALUMINIO145</t>
  </si>
  <si>
    <t>CONEXIONES T EN ALUMINIO146</t>
  </si>
  <si>
    <t>CONEXIONES T EN ALUMINIO147</t>
  </si>
  <si>
    <t>CONEXIONES T EN ALUMINIO148</t>
  </si>
  <si>
    <t>CONEXIONES T EN ALUMINIO149</t>
  </si>
  <si>
    <t>CONEXIONES T EN ALUMINIO150</t>
  </si>
  <si>
    <t>CONEXIONES T EN ALUMINIO151</t>
  </si>
  <si>
    <t>CONEXIONES T EN ALUMINIO152</t>
  </si>
  <si>
    <t>CONEXIONES T EN ALUMINIO153</t>
  </si>
  <si>
    <t>CONEXIONES T EN ALUMINIO154</t>
  </si>
  <si>
    <t>CONEXIONES T EN ALUMINIO155</t>
  </si>
  <si>
    <t>CONEXIONES T EN ALUMINIO156</t>
  </si>
  <si>
    <t>CONEXIONES T EN ALUMINIO157</t>
  </si>
  <si>
    <t>CONEXIONES T EN ALUMINIO158</t>
  </si>
  <si>
    <t>CONEXIONES T EN ALUMINIO159</t>
  </si>
  <si>
    <t>CONEXIONES T EN ALUMINIO160</t>
  </si>
  <si>
    <t>CONEXIONES T EN ALUMINIO161</t>
  </si>
  <si>
    <t>CONEXIONES T EN ALUMINIO162</t>
  </si>
  <si>
    <t>CONEXIONES T EN ALUMINIO163</t>
  </si>
  <si>
    <t>CONEXIONES T EN ALUMINIO164</t>
  </si>
  <si>
    <t>CONEXIONES T EN ALUMINIO165</t>
  </si>
  <si>
    <t>CONEXIONES T EN ALUMINIO166</t>
  </si>
  <si>
    <t>CONEXIONES T EN ALUMINIO167</t>
  </si>
  <si>
    <t>CONEXIONES T EN ALUMINIO168</t>
  </si>
  <si>
    <t>CONEXIONES T EN ALUMINIO169</t>
  </si>
  <si>
    <t>CONEXIONES T EN ALUMINIO170</t>
  </si>
  <si>
    <t>CONEXIONES T EN ALUMINIO171</t>
  </si>
  <si>
    <t>CONEXIONES T EN ALUMINIO172</t>
  </si>
  <si>
    <t>CONEXIONES T EN ALUMINIO173</t>
  </si>
  <si>
    <t>CONEXIONES T EN ALUMINIO175</t>
  </si>
  <si>
    <t>CONEXIONES T EN ALUMINIO176</t>
  </si>
  <si>
    <t>CONEXIONES T EN ALUMINIO177</t>
  </si>
  <si>
    <t>CONEXIONES T EN ALUMINIO178</t>
  </si>
  <si>
    <t>CONEXIONES T EN ALUMINIO179</t>
  </si>
  <si>
    <t>CONEXIONES T EN ALUMINIO180</t>
  </si>
  <si>
    <t>CONEXIONES T EN ALUMINIO181</t>
  </si>
  <si>
    <t>CONEXIONES T EN ALUMINIO190</t>
  </si>
  <si>
    <t>CONEXIONES T EN ALUMINIO193</t>
  </si>
  <si>
    <t>CONEXIONES T EN ALUMINIO196</t>
  </si>
  <si>
    <t>CONEXIONES T EN ALUMINIO198</t>
  </si>
  <si>
    <t>CONEXIONES T EN ALUMINIO200</t>
  </si>
  <si>
    <t>CONEXIONES T EN ALUMINIO201</t>
  </si>
  <si>
    <t>CONEXIONES T EN ALUMINIO202</t>
  </si>
  <si>
    <t>CONEXIONES T EN ALUMINIO203</t>
  </si>
  <si>
    <t>CONEXIONES T EN ALUMINIO204</t>
  </si>
  <si>
    <t>CONEXIONES T EN ALUMINIOGaveta</t>
  </si>
  <si>
    <t>CARBONES110 - 18x8x6</t>
  </si>
  <si>
    <t>110 - 18x8x6</t>
  </si>
  <si>
    <t xml:space="preserve">Sopladora y aspiradora black decker </t>
  </si>
  <si>
    <t>CARBONES111 - 13,5x7x5</t>
  </si>
  <si>
    <t>111 - 13,5x7x5</t>
  </si>
  <si>
    <t xml:space="preserve">taladro bosch </t>
  </si>
  <si>
    <t>CARBONES112 - 23x9x6</t>
  </si>
  <si>
    <t>112 - 23x9x6</t>
  </si>
  <si>
    <t xml:space="preserve">amoladora dower paggio </t>
  </si>
  <si>
    <t>CARBONES113 - 13x8x5</t>
  </si>
  <si>
    <t>113 - 13x8x5</t>
  </si>
  <si>
    <t xml:space="preserve">amoladora de walt </t>
  </si>
  <si>
    <t>CARBONES114 - 13x14x7,3</t>
  </si>
  <si>
    <t>114 - 13x14x7,3</t>
  </si>
  <si>
    <t xml:space="preserve">amol 7" dowen paggio </t>
  </si>
  <si>
    <t>CARBONES115 - 13x10x5</t>
  </si>
  <si>
    <t>115 - 13x10x5</t>
  </si>
  <si>
    <t xml:space="preserve">amoladora black &amp; decker </t>
  </si>
  <si>
    <t>CARBONES116 - 6x9x13</t>
  </si>
  <si>
    <t>116 - 6x9x13</t>
  </si>
  <si>
    <t xml:space="preserve">amol argentec </t>
  </si>
  <si>
    <t>CARBONES117 - 6x12x16</t>
  </si>
  <si>
    <t>117 - 6x12x16</t>
  </si>
  <si>
    <t xml:space="preserve">rotomartillo </t>
  </si>
  <si>
    <t>CARBONES118 - 6x16x21</t>
  </si>
  <si>
    <t>118 - 6x16x21</t>
  </si>
  <si>
    <t>CARBONES119 - 6x12x18</t>
  </si>
  <si>
    <t>119 - 6x12x18</t>
  </si>
  <si>
    <t xml:space="preserve">dewalt amoladora </t>
  </si>
  <si>
    <t>CARBONES120 - 5x11x17</t>
  </si>
  <si>
    <t>120 - 5x11x17</t>
  </si>
  <si>
    <t>CARBONES121 - 6x11x18</t>
  </si>
  <si>
    <t>121 - 6x11x18</t>
  </si>
  <si>
    <t>aspiradora</t>
  </si>
  <si>
    <t>CARBONES122 - 6x12x28</t>
  </si>
  <si>
    <t>122 - 6x12x28</t>
  </si>
  <si>
    <t>aspiradora y hidrolavadora</t>
  </si>
  <si>
    <t>CARBONES123 - 7x11x17</t>
  </si>
  <si>
    <t>123 - 7x11x17</t>
  </si>
  <si>
    <t>rotomartillo y amoladoras</t>
  </si>
  <si>
    <t>CARBONES124 - 5x12x17</t>
  </si>
  <si>
    <t>124 - 5x12x17</t>
  </si>
  <si>
    <t>421(12-5)</t>
  </si>
  <si>
    <t xml:space="preserve">lavarropas </t>
  </si>
  <si>
    <t>CARBONES125 - 5x12x17</t>
  </si>
  <si>
    <t>125 - 5x12x17</t>
  </si>
  <si>
    <t>421(13-5)</t>
  </si>
  <si>
    <t>CARBONES126 - 5x11x18</t>
  </si>
  <si>
    <t>126 - 5x11x18</t>
  </si>
  <si>
    <t>CARBONES127 - 6,5x13,5x19</t>
  </si>
  <si>
    <t>127 - 6,5x13,5x19</t>
  </si>
  <si>
    <t xml:space="preserve">amoladoras 7" </t>
  </si>
  <si>
    <t>CARBONESExhibidor L2</t>
  </si>
  <si>
    <t>Exhibidor L2</t>
  </si>
  <si>
    <t>UNIONES ORIENTABLES1</t>
  </si>
  <si>
    <t>UNIONES ORIENTABLES</t>
  </si>
  <si>
    <t>DAHE.DIESEL</t>
  </si>
  <si>
    <t>0000004005</t>
  </si>
  <si>
    <t>6 x 1</t>
  </si>
  <si>
    <t>UNIONES ORIENTABLES2</t>
  </si>
  <si>
    <t>UNIONES ORIENTABLES4</t>
  </si>
  <si>
    <t>0000004008</t>
  </si>
  <si>
    <t>8 x 1 Largo</t>
  </si>
  <si>
    <t>UNIONES ORIENTABLES5</t>
  </si>
  <si>
    <t>UNIONES ORIENTABLES7</t>
  </si>
  <si>
    <t>0000004009</t>
  </si>
  <si>
    <t>8 x 1.25</t>
  </si>
  <si>
    <t>UNIONES ORIENTABLES10</t>
  </si>
  <si>
    <t>UNIONES ORIENTABLES11</t>
  </si>
  <si>
    <t>UNIONES ORIENTABLES13</t>
  </si>
  <si>
    <t>UNIONES ORIENTABLES16</t>
  </si>
  <si>
    <t>0000004017</t>
  </si>
  <si>
    <t>10 x 1.25</t>
  </si>
  <si>
    <t>UNIONES ORIENTABLES18</t>
  </si>
  <si>
    <t>0000004016</t>
  </si>
  <si>
    <t>10 x 1.5</t>
  </si>
  <si>
    <t>UNIONES ORIENTABLES21</t>
  </si>
  <si>
    <t>UNIONES ORIENTABLES24</t>
  </si>
  <si>
    <t>0000004014</t>
  </si>
  <si>
    <t>14 x 1.5</t>
  </si>
  <si>
    <t>UNIONES ORIENTABLES26</t>
  </si>
  <si>
    <t>0000004015</t>
  </si>
  <si>
    <t>16 x 1.5</t>
  </si>
  <si>
    <t>UNIONES ORIENTABLES28</t>
  </si>
  <si>
    <t>0000004018</t>
  </si>
  <si>
    <t>18 x 1.5</t>
  </si>
  <si>
    <t>UNIONES ORIENTABLES30</t>
  </si>
  <si>
    <t>0000004010</t>
  </si>
  <si>
    <t>9.5 x 3/8 NF</t>
  </si>
  <si>
    <t>UNIONES ORIENTABLES34</t>
  </si>
  <si>
    <t>0000004013</t>
  </si>
  <si>
    <t>13 x 1/2 NF</t>
  </si>
  <si>
    <t>UNIONES ORIENTABLES35</t>
  </si>
  <si>
    <t>UNIONES ORIENTABLES36</t>
  </si>
  <si>
    <t>UNIONES ORIENTABLES37</t>
  </si>
  <si>
    <t>UNIONES ORIENTABLES38</t>
  </si>
  <si>
    <t>UNIONES ORIENTABLES39</t>
  </si>
  <si>
    <t>UNIONES ORIENTABLES90</t>
  </si>
  <si>
    <t>UNIONES ORIENTABLES91</t>
  </si>
  <si>
    <t>UNIONES ORIENTABLES92</t>
  </si>
  <si>
    <t>UNIONES ORIENTABLES93</t>
  </si>
  <si>
    <t>UNIONES ORIENTABLES94</t>
  </si>
  <si>
    <t>UNIONES ORIENTABLES40</t>
  </si>
  <si>
    <t>UNIONES ORIENTABLES41</t>
  </si>
  <si>
    <t>UNIONES ORIENTABLES42</t>
  </si>
  <si>
    <t>UNIONES ORIENTABLES43</t>
  </si>
  <si>
    <t>UNIONES ORIENTABLES50</t>
  </si>
  <si>
    <t>0000002102</t>
  </si>
  <si>
    <t>12mm</t>
  </si>
  <si>
    <t>UNIONES ORIENTABLES52</t>
  </si>
  <si>
    <t>00002102-1</t>
  </si>
  <si>
    <t>12mm C/Vástago 8mm</t>
  </si>
  <si>
    <t>UNIONES ORIENTABLES60</t>
  </si>
  <si>
    <t>0000002103</t>
  </si>
  <si>
    <t>13mm</t>
  </si>
  <si>
    <t>UNIONES ORIENTABLES62</t>
  </si>
  <si>
    <t>00002103-2</t>
  </si>
  <si>
    <t>13mm C/Vástago 8mm</t>
  </si>
  <si>
    <t>UNIONES ORIENTABLES70</t>
  </si>
  <si>
    <t>0000002104</t>
  </si>
  <si>
    <t>14mm C/Vástago 11mm</t>
  </si>
  <si>
    <t>UNIONES ORIENTABLES72</t>
  </si>
  <si>
    <t>0000002106</t>
  </si>
  <si>
    <t>14mm C/Vástago 8mm</t>
  </si>
  <si>
    <t>UNIONES ORIENTABLES74</t>
  </si>
  <si>
    <t>0000002107</t>
  </si>
  <si>
    <t>14mm C/Vástago 9.5mm</t>
  </si>
  <si>
    <t>UNIONES ORIENTABLES76</t>
  </si>
  <si>
    <t>0000002108</t>
  </si>
  <si>
    <t>16mm</t>
  </si>
  <si>
    <t>UNIONES ORIENTABLES80</t>
  </si>
  <si>
    <t>0000002105</t>
  </si>
  <si>
    <t>8 mm x 6,7 mm doble</t>
  </si>
  <si>
    <t>ARANDELAS DE INYECCION1092</t>
  </si>
  <si>
    <t>ARANDELAS DE INYECCION</t>
  </si>
  <si>
    <t>0000000092</t>
  </si>
  <si>
    <t>Arandelas de Cobre John Deere 6 x 10 x 0.5</t>
  </si>
  <si>
    <t>ARANDELAS DE INYECCION1133</t>
  </si>
  <si>
    <t>0000000133</t>
  </si>
  <si>
    <t>Arandelas de Cobre Tob. T/P 7.5 x 15.5 x 1.5</t>
  </si>
  <si>
    <t>ARANDELAS DE INYECCION1134</t>
  </si>
  <si>
    <t>0000000134</t>
  </si>
  <si>
    <t>Arandelas de Cobre Tobera "P" 7.5 x 15.5 x 2</t>
  </si>
  <si>
    <t>ARANDELAS DE INYECCION101</t>
  </si>
  <si>
    <t>ARANDELAS DE INYECCION1135</t>
  </si>
  <si>
    <t>0000000135</t>
  </si>
  <si>
    <t>Arandelas de Cobre Retorno Scania 113 8 x 11</t>
  </si>
  <si>
    <t>ARANDELAS DE INYECCION1070</t>
  </si>
  <si>
    <t>0000000070</t>
  </si>
  <si>
    <t>Arandela de Cobre Doble Retorno MB 8 x 13</t>
  </si>
  <si>
    <t>ARANDELAS DE INYECCION1095</t>
  </si>
  <si>
    <t>0000000095</t>
  </si>
  <si>
    <t>8 x 13 x 1.5</t>
  </si>
  <si>
    <t>ARANDELAS DE INYECCION102</t>
  </si>
  <si>
    <t>ARANDELAS DE INYECCION1093</t>
  </si>
  <si>
    <t>0000000093</t>
  </si>
  <si>
    <t>Arandelas de Cobre 9.5 x 14.5 x 1</t>
  </si>
  <si>
    <t>ARANDELAS DE INYECCION1072</t>
  </si>
  <si>
    <t>0000000072</t>
  </si>
  <si>
    <t>Arandelas de Cobre 9.5 x 14.5 x 1.5</t>
  </si>
  <si>
    <t>ARANDELAS DE INYECCION1071</t>
  </si>
  <si>
    <t>0000000071</t>
  </si>
  <si>
    <t>Arandelas de Cobre 9.5 x 14.5 x 2</t>
  </si>
  <si>
    <t>ARANDELAS DE INYECCION1090</t>
  </si>
  <si>
    <t>0000000090</t>
  </si>
  <si>
    <t>Entre Valv. Racord Scania 11.9 x 17.9 x 0.5</t>
  </si>
  <si>
    <t>ARANDELAS DE INYECCION103</t>
  </si>
  <si>
    <t>ARANDELAS DE INYECCION1115</t>
  </si>
  <si>
    <t>0000000115</t>
  </si>
  <si>
    <t>Arandelas de Cobre Scania 112 15.5 x 20 x 0.5</t>
  </si>
  <si>
    <t>ARANDELAS DE INYECCION104</t>
  </si>
  <si>
    <t>ARANDELAS DE INYECCION1400</t>
  </si>
  <si>
    <t>0000000400</t>
  </si>
  <si>
    <t>Arandelas de Cobre 16 x 24</t>
  </si>
  <si>
    <t>ARANDELAS DE INYECCION1153</t>
  </si>
  <si>
    <t>0000000153</t>
  </si>
  <si>
    <t>Arandelas de Cobre Cummins 7.2 x 14.5 x 1.5</t>
  </si>
  <si>
    <t>ARANDELAS DE INYECCION1536</t>
  </si>
  <si>
    <t>0000000536</t>
  </si>
  <si>
    <t>Arandelas de Cobre Amarok 7.3 x 13 x 1.5</t>
  </si>
  <si>
    <t>ARANDELAS DE INYECCION1537</t>
  </si>
  <si>
    <t>0000000537</t>
  </si>
  <si>
    <t>Arandelas de Cobre Amarok 7.3 x 13 x 2</t>
  </si>
  <si>
    <t>ARANDELAS DE INYECCION1105</t>
  </si>
  <si>
    <t>0000000105</t>
  </si>
  <si>
    <t>Arandelas de Cobre J.D 8 x 20 x 2</t>
  </si>
  <si>
    <t>ARANDELAS DE INYECCION1118</t>
  </si>
  <si>
    <t>0000000118</t>
  </si>
  <si>
    <t>Arandelas de Cobre J.D 9 x 15.5 x 2</t>
  </si>
  <si>
    <t>ARANDELAS DE INYECCION1101</t>
  </si>
  <si>
    <t>0000000101</t>
  </si>
  <si>
    <t>Arandelas de Cobre P.6 354 10 x 19 x 2</t>
  </si>
  <si>
    <t>ARANDELAS DE INYECCION1108</t>
  </si>
  <si>
    <t>0000000108</t>
  </si>
  <si>
    <t>Arandelas de Cobre Deutz 10 x 20 x 1.5</t>
  </si>
  <si>
    <t>ARANDELAS DE INYECCION1119</t>
  </si>
  <si>
    <t>0000000119</t>
  </si>
  <si>
    <t>Arandelas de Cobre 10 x 20 x 2</t>
  </si>
  <si>
    <t>ARANDELAS DE INYECCION1125</t>
  </si>
  <si>
    <t>0000000125</t>
  </si>
  <si>
    <t>Arandelas de Cobre Maxion-MWM 10 x 21 x 2</t>
  </si>
  <si>
    <t>ARANDELAS DE INYECCION1111</t>
  </si>
  <si>
    <t>0000000111</t>
  </si>
  <si>
    <t>Arandelas de Cobre P. 6-305 14 x 20 x 1.5</t>
  </si>
  <si>
    <t>ARANDELAS DE INYECCION1114</t>
  </si>
  <si>
    <t>0000000114</t>
  </si>
  <si>
    <t>Arandelas de Cobre Tobera D.N 14 x 20 x 2</t>
  </si>
  <si>
    <t>ARANDELAS DE INYECCION1100</t>
  </si>
  <si>
    <t>0000000100</t>
  </si>
  <si>
    <t>Arandelas de Cobre Perkins 15 x 21 x 1.5</t>
  </si>
  <si>
    <t>ARANDELAS DE INYECCION1102</t>
  </si>
  <si>
    <t>0000000102</t>
  </si>
  <si>
    <t>Arandelas de Cobre P.4 203 15 x 21 x 2</t>
  </si>
  <si>
    <t>ARANDELAS DE INYECCION1514,1</t>
  </si>
  <si>
    <t>00000514.1</t>
  </si>
  <si>
    <t>Base Inter.-Partner 17 x 20 x 1.5</t>
  </si>
  <si>
    <t>ARANDELAS DE INYECCION1514</t>
  </si>
  <si>
    <t>0000000514</t>
  </si>
  <si>
    <t>Base Inter.-Partner 17 x 20 x 1.25</t>
  </si>
  <si>
    <t>ARANDELAS DE INYECCION1046</t>
  </si>
  <si>
    <t>0000000046</t>
  </si>
  <si>
    <t>Arandelas de Aluminio 9.5 x 14.5</t>
  </si>
  <si>
    <t>ARANDELAS DE INYECCION1056</t>
  </si>
  <si>
    <t>0000000056</t>
  </si>
  <si>
    <t>Arandelas de Aluminio 9.5 x 14.5 x 2</t>
  </si>
  <si>
    <t>ARANDELAS DE INYECCION1060</t>
  </si>
  <si>
    <t>0000000060</t>
  </si>
  <si>
    <t>Arandelas de Aluminio 10 x 20</t>
  </si>
  <si>
    <t>ARANDELAS DE INYECCION1061</t>
  </si>
  <si>
    <t>0000000061</t>
  </si>
  <si>
    <t>Arandelas de Aluminio 10 x 21</t>
  </si>
  <si>
    <t>ARANDELAS DE INYECCION1048</t>
  </si>
  <si>
    <t>0000000048</t>
  </si>
  <si>
    <t>Arandelas de Aluminio 13 x 20</t>
  </si>
  <si>
    <t>ARANDELAS DE INYECCION1204</t>
  </si>
  <si>
    <t>0000000204</t>
  </si>
  <si>
    <t>Arandelas de Aluminio 13 x 20 x 2</t>
  </si>
  <si>
    <t>ARANDELAS DE INYECCION1205</t>
  </si>
  <si>
    <t>0000000205</t>
  </si>
  <si>
    <t>Arandelas de Aluminio 14 x 20 x 2</t>
  </si>
  <si>
    <t>ARANDELAS DE INYECCION1053</t>
  </si>
  <si>
    <t>0000000053</t>
  </si>
  <si>
    <t>Arandelas de Aluminio 21 x 25.5</t>
  </si>
  <si>
    <t>ARANDELAS DE INYECCION1055</t>
  </si>
  <si>
    <t>0000000055</t>
  </si>
  <si>
    <t>Arandelas de Aluminio 25.5 x 29.5</t>
  </si>
  <si>
    <t>ACCESORIOS DE BRONCE UNION POLIAMIDA1</t>
  </si>
  <si>
    <t>ACCESORIOS DE BRONCE UNION POLIAMIDA</t>
  </si>
  <si>
    <t>BO04</t>
  </si>
  <si>
    <t>VIROLA 4 MM</t>
  </si>
  <si>
    <t>ACCESORIOS DE BRONCE UNION POLIAMIDA2</t>
  </si>
  <si>
    <t>BO06</t>
  </si>
  <si>
    <t>VIROLA 6 MM</t>
  </si>
  <si>
    <t>ACCESORIOS DE BRONCE UNION POLIAMIDA3</t>
  </si>
  <si>
    <t>BO08</t>
  </si>
  <si>
    <t>VIROLA 8 MM</t>
  </si>
  <si>
    <t>ACCESORIOS DE BRONCE UNION POLIAMIDA4</t>
  </si>
  <si>
    <t>BO10</t>
  </si>
  <si>
    <t>VIROLA 10 MM</t>
  </si>
  <si>
    <t>ACCESORIOS DE BRONCE UNION POLIAMIDA5</t>
  </si>
  <si>
    <t>BO12</t>
  </si>
  <si>
    <t>VIROLA 12 MM</t>
  </si>
  <si>
    <t>ACCESORIOS DE BRONCE UNION POLIAMIDA6</t>
  </si>
  <si>
    <t>BO14</t>
  </si>
  <si>
    <t>VIROLA 14 MM</t>
  </si>
  <si>
    <t>ACCESORIOS DE BRONCE UNION POLIAMIDA7</t>
  </si>
  <si>
    <t>BO16</t>
  </si>
  <si>
    <t>VIROLA 16 MM</t>
  </si>
  <si>
    <t>ACCESORIOS DE BRONCE UNION POLIAMIDA8</t>
  </si>
  <si>
    <t>BO1/4</t>
  </si>
  <si>
    <t>VIROLA 1/4</t>
  </si>
  <si>
    <t>ACCESORIOS DE BRONCE UNION POLIAMIDA9</t>
  </si>
  <si>
    <t>BO3/8</t>
  </si>
  <si>
    <t>VIROLA 3/8</t>
  </si>
  <si>
    <t>ACCESORIOS DE BRONCE UNION POLIAMIDA10</t>
  </si>
  <si>
    <t>BO1/2</t>
  </si>
  <si>
    <t>VIROLA 1/2</t>
  </si>
  <si>
    <t>ACCESORIOS DE BRONCE UNION POLIAMIDA11</t>
  </si>
  <si>
    <t>BI04</t>
  </si>
  <si>
    <t>MANGO BRONCE 4 MM</t>
  </si>
  <si>
    <t>ACCESORIOS DE BRONCE UNION POLIAMIDA12</t>
  </si>
  <si>
    <t>BI06</t>
  </si>
  <si>
    <t>MANGO BRONCE 6 MM</t>
  </si>
  <si>
    <t>ACCESORIOS DE BRONCE UNION POLIAMIDA13</t>
  </si>
  <si>
    <t>BI08</t>
  </si>
  <si>
    <t>MANGO BRONCE 8 MM</t>
  </si>
  <si>
    <t>ACCESORIOS DE BRONCE UNION POLIAMIDA14</t>
  </si>
  <si>
    <t>BI10</t>
  </si>
  <si>
    <t>MANGO BRONCE 10 MM</t>
  </si>
  <si>
    <t>ACCESORIOS DE BRONCE UNION POLIAMIDA15</t>
  </si>
  <si>
    <t>BI12</t>
  </si>
  <si>
    <t>MANGO BRONCE 12 MM</t>
  </si>
  <si>
    <t>ACCESORIOS DE BRONCE UNION POLIAMIDA16</t>
  </si>
  <si>
    <t>BI1/4</t>
  </si>
  <si>
    <t>MANGO BRONCE 1/4</t>
  </si>
  <si>
    <t>ACCESORIOS DE BRONCE UNION POLIAMIDA17</t>
  </si>
  <si>
    <t>BI3/8</t>
  </si>
  <si>
    <t>MANGO BRONCE 3/8</t>
  </si>
  <si>
    <t>ACCESORIOS DE BRONCE UNION POLIAMIDA18</t>
  </si>
  <si>
    <t>BI1/2</t>
  </si>
  <si>
    <t>MANGO BRONCE 1/2</t>
  </si>
  <si>
    <t>ACCESORIOS DE BRONCE UNION POLIAMIDA20</t>
  </si>
  <si>
    <t>012-01B-10</t>
  </si>
  <si>
    <t>CONEXIÓN CON VIROLA TUBO 1/4</t>
  </si>
  <si>
    <t>ACCESORIOS DE BRONCE UNION POLIAMIDA21</t>
  </si>
  <si>
    <t>012-02B-10</t>
  </si>
  <si>
    <t>CONEXIÓN CON VIROLA TUBO 5/6</t>
  </si>
  <si>
    <t>ACCESORIOS DE BRONCE UNION POLIAMIDA22</t>
  </si>
  <si>
    <t>012-03B-10</t>
  </si>
  <si>
    <t>CONEXIÓN CON VIROLA TUBO 3/8</t>
  </si>
  <si>
    <t>ACCESORIOS DE BRONCE UNION POLIAMIDA23</t>
  </si>
  <si>
    <t>012-04B-10</t>
  </si>
  <si>
    <t>CONEXIÓN CON VIROLA TUBO 1/2</t>
  </si>
  <si>
    <t>ACCESORIOS DE BRONCE UNION POLIAMIDA24</t>
  </si>
  <si>
    <t>012-80B-10</t>
  </si>
  <si>
    <t>CONEXIÓN CON VIROLA TUBO 6 M</t>
  </si>
  <si>
    <t>ACCESORIOS DE BRONCE UNION POLIAMIDA25</t>
  </si>
  <si>
    <t>012-81B-10</t>
  </si>
  <si>
    <t>CONEXIÓN CON VIROLA TUBO 8 M</t>
  </si>
  <si>
    <t>ACCESORIOS DE BRONCE UNION POLIAMIDA26</t>
  </si>
  <si>
    <t>012-82B-10</t>
  </si>
  <si>
    <t>CONEXIÓN C/VIROLA TUBO 10MM</t>
  </si>
  <si>
    <t>ACCESORIOS DE BRONCE UNION POLIAMIDA27</t>
  </si>
  <si>
    <t>012-83B-10</t>
  </si>
  <si>
    <t>CONEXIÓN C/VIROLA TUBO 12 MM</t>
  </si>
  <si>
    <t>ACCESORIOS DE BRONCE UNION POLIAMIDA30</t>
  </si>
  <si>
    <t>012-01B-20</t>
  </si>
  <si>
    <t>ACCESORIOS DE BRONCE UNION POLIAMIDA31</t>
  </si>
  <si>
    <t>012-02B-20</t>
  </si>
  <si>
    <t>VIROLA 5/16</t>
  </si>
  <si>
    <t>ACCESORIOS DE BRONCE UNION POLIAMIDA32</t>
  </si>
  <si>
    <t>012-03B-20</t>
  </si>
  <si>
    <t>ACCESORIOS DE BRONCE UNION POLIAMIDA33</t>
  </si>
  <si>
    <t>012-04B-20</t>
  </si>
  <si>
    <t>ACCESORIOS DE BRONCE UNION POLIAMIDA34</t>
  </si>
  <si>
    <t>012-80B-20</t>
  </si>
  <si>
    <t>ACCESORIOS DE BRONCE UNION POLIAMIDA35</t>
  </si>
  <si>
    <t>012-81B-20</t>
  </si>
  <si>
    <t>ACCESORIOS DE BRONCE UNION POLIAMIDA36</t>
  </si>
  <si>
    <t>012-82B-20</t>
  </si>
  <si>
    <t>INTERRUPTORES Y PULSADORES100</t>
  </si>
  <si>
    <t>INTERRUPTORES Y PULSADORES</t>
  </si>
  <si>
    <t>ALCIDES.TESSA</t>
  </si>
  <si>
    <t>512/00 - NRS</t>
  </si>
  <si>
    <t>2 Amper - Unipolar - Llave Electrónica Micro Tecla Interruptora</t>
  </si>
  <si>
    <t>INTERRUPTORES Y PULSADORES101</t>
  </si>
  <si>
    <t>512/00 - BBJ</t>
  </si>
  <si>
    <t>INTERRUPTORES Y PULSADORES102</t>
  </si>
  <si>
    <t>532/00 - BB3</t>
  </si>
  <si>
    <t>2 Amper - Unipolar - Llave Electrónica Tecla Inversora</t>
  </si>
  <si>
    <t>INTERRUPTORES Y PULSADORES103</t>
  </si>
  <si>
    <t>552/00 - NNS</t>
  </si>
  <si>
    <t>2 Amper - Unipolar - Llave Electrónica Tecla Pulsadora Simple</t>
  </si>
  <si>
    <t>INTERRUPTORES Y PULSADORES120</t>
  </si>
  <si>
    <t>602/00 - BBO</t>
  </si>
  <si>
    <t>10 Amper - Unipolar - Llave Electrónica Tecla Punto Medio Estufa</t>
  </si>
  <si>
    <t>INTERRUPTORES Y PULSADORES121</t>
  </si>
  <si>
    <t>612/00 - NBJ</t>
  </si>
  <si>
    <t>10 Amper - Unipolar - Llave Electrónica Tecla Interruptora Estufa 10a</t>
  </si>
  <si>
    <t>INTERRUPTORES Y PULSADORES122</t>
  </si>
  <si>
    <t>652/00 - NNS</t>
  </si>
  <si>
    <t>10 Amper - Unipolar - Llave Electrónica Tecla Pulsador</t>
  </si>
  <si>
    <t>INTERRUPTORES Y PULSADORES123</t>
  </si>
  <si>
    <t>642/01 - NBX</t>
  </si>
  <si>
    <t>10 Amper - Bipolar - Pulsador T/PAL SIM/PL sin grabado</t>
  </si>
  <si>
    <t>INTERRUPTORES Y PULSADORES160</t>
  </si>
  <si>
    <t>1012/00 - NB0</t>
  </si>
  <si>
    <t>2 Amper - Bipolar - Llave Electrónica Tecla Interruptora Mini</t>
  </si>
  <si>
    <t>INTERRUPTORES Y PULSADORES180</t>
  </si>
  <si>
    <t>1212/00 - NB0</t>
  </si>
  <si>
    <t>10 Amper - Unipolar - Tecla Interruptor Doble Estufa</t>
  </si>
  <si>
    <t>INTERRUPTORES Y PULSADORES181</t>
  </si>
  <si>
    <t>1272/02 - NG</t>
  </si>
  <si>
    <t>10 Amper - Unipolar - Llave Electrónica Doble Interruptora Con Neon</t>
  </si>
  <si>
    <t>INTERRUPTORES Y PULSADORES200</t>
  </si>
  <si>
    <t>1512/00 - BBJ</t>
  </si>
  <si>
    <t>10 Amper - Unipolar - Llave Electrónica Tecla Simple Interruptor</t>
  </si>
  <si>
    <t>INTERRUPTORES Y PULSADORES220</t>
  </si>
  <si>
    <t>1612/00 - NB0</t>
  </si>
  <si>
    <t>10 Amper - Unipolar - Llave Electrónica Tecla Interruptor Simple</t>
  </si>
  <si>
    <t>INTERRUPTORES Y PULSADORES221</t>
  </si>
  <si>
    <t>1632/00 - NB3</t>
  </si>
  <si>
    <t>10 Amper - Unipolar - Llave Inversora T/PALA 6.35</t>
  </si>
  <si>
    <t>INTERRUPTORES Y PULSADORES222</t>
  </si>
  <si>
    <t>1652/00 - NRS</t>
  </si>
  <si>
    <t>10 Amper - Unipolar - Pulsador T/PALA 6.35</t>
  </si>
  <si>
    <t>INTERRUPTORES Y PULSADORES240</t>
  </si>
  <si>
    <t>1812/00 - NBJ</t>
  </si>
  <si>
    <t>10 Amper - Bipolar - Llave Electrónica Interruptor Tecla Bipolar 10A</t>
  </si>
  <si>
    <t>INTERRUPTORES Y PULSADORES241</t>
  </si>
  <si>
    <t>1832/00 - NBN</t>
  </si>
  <si>
    <t>10 Amper - Bipolar - Llave Tecla Interruptor 10 Am Inversora Bipolar</t>
  </si>
  <si>
    <t>INTERRUPTORES Y PULSADORES242</t>
  </si>
  <si>
    <t>1872/02 - NG</t>
  </si>
  <si>
    <t>10 Amper - Bipolar - Llave Tecla Interruptor Neon Rojo Termotanque 10A</t>
  </si>
  <si>
    <t>INTERRUPTORES Y PULSADORES260</t>
  </si>
  <si>
    <t>2512/00 - BBJ</t>
  </si>
  <si>
    <t>10 Amper - Unipolar - Llave Tecla Interruptor Redondo 10A</t>
  </si>
  <si>
    <t>INTERRUPTORES Y PULSADORES261</t>
  </si>
  <si>
    <t>2512/00 - NNS</t>
  </si>
  <si>
    <t>INTERRUPTORES Y PULSADORES262</t>
  </si>
  <si>
    <t>2523/00 - BB</t>
  </si>
  <si>
    <t>10 Amper - Unipolar - Tecla grabada con lámpara y rayito 6A</t>
  </si>
  <si>
    <t>INTERRUPTORES Y PULSADORES263</t>
  </si>
  <si>
    <t>2552/00 - NB0</t>
  </si>
  <si>
    <t>10 Amper - Unipolar - Llave Electrónica Unip. Redonda Pulsadora 10A</t>
  </si>
  <si>
    <t>INTERRUPTORES Y PULSADORES264</t>
  </si>
  <si>
    <t>2552/00 - NRS</t>
  </si>
  <si>
    <t>INTERRUPTORES Y PULSADORES280</t>
  </si>
  <si>
    <t>2702/00 - NB4</t>
  </si>
  <si>
    <t>10 Amper - Unipolar - Interruptor Redondo Tecla Con Punto Medio</t>
  </si>
  <si>
    <t>INTERRUPTORES Y PULSADORES281</t>
  </si>
  <si>
    <t>2712/00 - NRS</t>
  </si>
  <si>
    <t>10 Amper - Unipolar - Interruptor Redondo T/PALA 6.35</t>
  </si>
  <si>
    <t>INTERRUPTORES Y PULSADORES282</t>
  </si>
  <si>
    <t>2712/00 - NB0</t>
  </si>
  <si>
    <t>INTERRUPTORES Y PULSADORES283</t>
  </si>
  <si>
    <t>2732/00 - NNI</t>
  </si>
  <si>
    <t>10 Amper - Unipolar - Interruptor  Redondo Inversora 10A</t>
  </si>
  <si>
    <t>INTERRUPTORES Y PULSADORES284</t>
  </si>
  <si>
    <t>2752/00 - NRS</t>
  </si>
  <si>
    <t>10 Amper - Unipolar - Llave Electrónica Redonda Uni. Pulsadora 10A</t>
  </si>
  <si>
    <t>INTERRUPTORES Y PULSADORES285</t>
  </si>
  <si>
    <t>2752/00 - BB0</t>
  </si>
  <si>
    <t>INTERRUPTORES Y PULSADORES300</t>
  </si>
  <si>
    <t>2812/00 - NRS</t>
  </si>
  <si>
    <t>10 Amper - Unipolar - Interruptor Redondo Llave Tecla Frente Cuadrado</t>
  </si>
  <si>
    <t>INTERRUPTORES Y PULSADORES301</t>
  </si>
  <si>
    <t>2832/00 - NNI</t>
  </si>
  <si>
    <t>10 Amper - Unipolar - Inv. Frente Cuadrado TECL. Redonda</t>
  </si>
  <si>
    <t>INTERRUPTORES Y PULSADORES302</t>
  </si>
  <si>
    <t>2852/00 - NB0</t>
  </si>
  <si>
    <t>10 Amper - Unipolar - PULSA. Frente Cuadrado TECL. Redonda</t>
  </si>
  <si>
    <t>INTERRUPTORES Y PULSADORES320</t>
  </si>
  <si>
    <t>2912/00 - NRS</t>
  </si>
  <si>
    <t>2 Amper - Unipolar - Llave Micro Redondo Interruptor 2a</t>
  </si>
  <si>
    <t>INTERRUPTORES Y PULSADORES321</t>
  </si>
  <si>
    <t>2912/00 - NB0</t>
  </si>
  <si>
    <t>INTERRUPTORES Y PULSADORES322</t>
  </si>
  <si>
    <t>2912/00 - BB0</t>
  </si>
  <si>
    <t>INTERRUPTORES Y PULSADORES340</t>
  </si>
  <si>
    <t>2932/00 - BB3</t>
  </si>
  <si>
    <t>2 Amper - Unipolar - INVERSORA UNIPOLAR 2 A T/SOLDAR</t>
  </si>
  <si>
    <t>INTERRUPTORES Y PULSADORES341</t>
  </si>
  <si>
    <t>3660/00</t>
  </si>
  <si>
    <t>10 Amper - Bipolar - VISOR RECT.C/NEON ROJO Termo. Heineken</t>
  </si>
  <si>
    <t>INTERRUPTORES Y PULSADORES580</t>
  </si>
  <si>
    <t>942/00 - NB</t>
  </si>
  <si>
    <t>2 Amper - Unipolar - PULSADOR AUTORR. FTE.RED. A ROSCA</t>
  </si>
  <si>
    <t>INTERRUPTORES Y PULSADORES600</t>
  </si>
  <si>
    <t>1656/00 - NN</t>
  </si>
  <si>
    <t>10 Amper - Unipolar - Pulsdor Corte 10A eje 22mm TER 6</t>
  </si>
  <si>
    <t>INTERRUPTORES Y PULSADORES700</t>
  </si>
  <si>
    <t>1700/00 - BLA</t>
  </si>
  <si>
    <t>Llave torpedo a tecla - Unipolar - FICHA SALIDA LATERAL CON</t>
  </si>
  <si>
    <t>INTERRUPTORES Y PULSADORES701</t>
  </si>
  <si>
    <t>1712/00 - BLA</t>
  </si>
  <si>
    <t>Llave torpedo a tecla - Unipolar - Perilla Torpedo 2a 250v</t>
  </si>
  <si>
    <t>INTERRUPTORES Y PULSADORES850</t>
  </si>
  <si>
    <t>3760/00</t>
  </si>
  <si>
    <t>Unipolar - Ojo De Buey Neon con Aro 10 Mm</t>
  </si>
  <si>
    <t>INTERRUPTORES Y PULSADORES860</t>
  </si>
  <si>
    <t>3763/00</t>
  </si>
  <si>
    <t>Unipolar - O.BUEY CHATITO ROJO A/ROS</t>
  </si>
  <si>
    <t>INTERRUPTORES Y PULSADORES900</t>
  </si>
  <si>
    <t>4906/00 - NNX</t>
  </si>
  <si>
    <t>Unipolar - PORTAFUSIBLE Fuse REDONDO S/FU</t>
  </si>
  <si>
    <t>INTERRUPTORES Y PULSADORES901</t>
  </si>
  <si>
    <t>606/00 - NG</t>
  </si>
  <si>
    <t>Unipolar - PORTAFUSIBLE RECTANGULAR S/FUS + Tapa</t>
  </si>
  <si>
    <t>INTERRUPTORES Y PULSADORES901-902</t>
  </si>
  <si>
    <t>901-902</t>
  </si>
  <si>
    <t>ENV.?</t>
  </si>
  <si>
    <t>PROVEEDOR</t>
  </si>
  <si>
    <t>IR</t>
  </si>
  <si>
    <t>PEDI?</t>
  </si>
  <si>
    <t>IMPORTE</t>
  </si>
  <si>
    <t>CECATTO</t>
  </si>
  <si>
    <t>OK</t>
  </si>
  <si>
    <t>PEDIDO</t>
  </si>
  <si>
    <t>ALCIDES</t>
  </si>
  <si>
    <t>ROPA</t>
  </si>
  <si>
    <t>DQ AUTOPARTES</t>
  </si>
  <si>
    <t>ELINEK</t>
  </si>
  <si>
    <t>DAHE DIESEL</t>
  </si>
  <si>
    <t>Juan</t>
  </si>
  <si>
    <t>Res. Generales</t>
  </si>
  <si>
    <t>CILIO</t>
  </si>
  <si>
    <t>OyR</t>
  </si>
  <si>
    <t>SURPLAS</t>
  </si>
  <si>
    <t>INYECT GAS</t>
  </si>
  <si>
    <t>CARCCIONE</t>
  </si>
  <si>
    <t>REGAPLAS</t>
  </si>
  <si>
    <t>EMELI</t>
  </si>
  <si>
    <t>SKOTNICA</t>
  </si>
  <si>
    <t>CON OK</t>
  </si>
  <si>
    <t>ANOTACIONES IMPORTANTES:</t>
  </si>
  <si>
    <t>NOMBRE / FABRICA</t>
  </si>
  <si>
    <t>CBU / ALIAS</t>
  </si>
  <si>
    <t>SERCAR - Sirna Adrian</t>
  </si>
  <si>
    <t>E-CHEQ+TRANSF</t>
  </si>
  <si>
    <t>Transferencia</t>
  </si>
  <si>
    <t>20-17732692-6</t>
  </si>
  <si>
    <t>0720054088000006204622</t>
  </si>
  <si>
    <t>FADER - Sirna Jose</t>
  </si>
  <si>
    <t>Efectivo</t>
  </si>
  <si>
    <t>20-93421519-3</t>
  </si>
  <si>
    <t>0720054020000000261472</t>
  </si>
  <si>
    <t>JOSE SIRNA</t>
  </si>
  <si>
    <t>IVA</t>
  </si>
  <si>
    <t>TITULAR: COOP. DE TRABAJO UNION Y FUERZA LTDA.</t>
  </si>
  <si>
    <t>30-70907792-5</t>
  </si>
  <si>
    <t>ALU-MAQ</t>
  </si>
  <si>
    <t>27-18587686-7</t>
  </si>
  <si>
    <t>30-59894669-4</t>
  </si>
  <si>
    <t>Walter Ruben Wissner
CUIT/CUIL: 20-24904468-8
Mercado Pago
CVU: 0000003100031086223366
Alias: Walter.468.barba.mp</t>
  </si>
  <si>
    <t>BANCO SANTANDER RIO
SUCURSAL: 261
CUENTA UNICA EN PESOS: 261-00362544-0
CBU: 07202614 88000036254404
ALIAS: DISTRIBUIDORA.ALUMAQ</t>
  </si>
  <si>
    <t>Juan Pablo</t>
  </si>
  <si>
    <t>Alias:</t>
  </si>
  <si>
    <t>jotapece</t>
  </si>
  <si>
    <t>Daiana</t>
  </si>
  <si>
    <t>CBU:</t>
  </si>
  <si>
    <t>0070040530004066538102</t>
  </si>
  <si>
    <t>TOTAL:</t>
  </si>
  <si>
    <t>Real Cobro: 48hs +</t>
  </si>
  <si>
    <t>Días</t>
  </si>
  <si>
    <t>Cobro:</t>
  </si>
  <si>
    <t>A nombre de</t>
  </si>
  <si>
    <t>DETALLE:</t>
  </si>
  <si>
    <t>Cant.</t>
  </si>
  <si>
    <t>Valor</t>
  </si>
  <si>
    <t>Total</t>
  </si>
  <si>
    <t>Endosado ALU-MAQ</t>
  </si>
  <si>
    <t>TOTAL</t>
  </si>
  <si>
    <t>|</t>
  </si>
  <si>
    <t>TUMINI DANIEL OSVALDO</t>
  </si>
  <si>
    <t>Deudas:</t>
  </si>
  <si>
    <t>Dólar:</t>
  </si>
  <si>
    <t>Abuela:</t>
  </si>
  <si>
    <t>FABRICAS</t>
  </si>
  <si>
    <t>INDUSTRIAS LEP</t>
  </si>
  <si>
    <t>Insertos</t>
  </si>
  <si>
    <t>OTROS</t>
  </si>
  <si>
    <t>Corralon Vilches</t>
  </si>
  <si>
    <t>Pedidos:</t>
  </si>
  <si>
    <t>Fecha</t>
  </si>
  <si>
    <t>Importe</t>
  </si>
  <si>
    <t>Detalle</t>
  </si>
  <si>
    <t>Aran. De Goma + Repo</t>
  </si>
  <si>
    <t>Perilla + O'ring Compl.</t>
  </si>
  <si>
    <t>Racord Completo</t>
  </si>
  <si>
    <t>Pagos:</t>
  </si>
  <si>
    <t>SALDO:</t>
  </si>
  <si>
    <t>PEDIDO PLASTICOS</t>
  </si>
  <si>
    <t>VERIFICAR</t>
  </si>
  <si>
    <t>U.</t>
  </si>
  <si>
    <t>Comparativas:</t>
  </si>
  <si>
    <t>Código</t>
  </si>
  <si>
    <t>N°</t>
  </si>
  <si>
    <t>SI ESTA DUPLI</t>
  </si>
  <si>
    <t>ñ</t>
  </si>
  <si>
    <t>NOMBRE</t>
  </si>
  <si>
    <t>CBU</t>
  </si>
  <si>
    <t>=</t>
  </si>
  <si>
    <t>SER-CAR</t>
  </si>
  <si>
    <t>ADRIAN SIRNA</t>
  </si>
  <si>
    <t xml:space="preserve">0000003100103138732974 </t>
  </si>
  <si>
    <t>PLASTICOS IGUALES</t>
  </si>
  <si>
    <t>N° Presupuesto</t>
  </si>
  <si>
    <t>S-001 - 200</t>
  </si>
  <si>
    <t>S-002 - 200</t>
  </si>
  <si>
    <t>S-066 - 200</t>
  </si>
  <si>
    <t>S-010 - 200</t>
  </si>
  <si>
    <t>S-016 - 200</t>
  </si>
  <si>
    <t>S-023 - 200</t>
  </si>
  <si>
    <t>S-024 - 200</t>
  </si>
  <si>
    <t>S-076/A - 200</t>
  </si>
  <si>
    <t>S-027 - 200</t>
  </si>
  <si>
    <t>S-009 - 200</t>
  </si>
  <si>
    <t>S-131 - 200</t>
  </si>
  <si>
    <t>con iva</t>
  </si>
  <si>
    <t>S-038 - 200</t>
  </si>
  <si>
    <t>S-084 - 200</t>
  </si>
  <si>
    <t>S-079 - 200</t>
  </si>
  <si>
    <t>S-047 - 200</t>
  </si>
  <si>
    <t>S-049 - 200</t>
  </si>
  <si>
    <t>S-106 - 100</t>
  </si>
  <si>
    <t>S-042 - 200</t>
  </si>
  <si>
    <t>S-052 - 200</t>
  </si>
  <si>
    <t>S-044 - 200</t>
  </si>
  <si>
    <t>SERCAR</t>
  </si>
  <si>
    <t>S-011 - 200</t>
  </si>
  <si>
    <t>S-075 - 200</t>
  </si>
  <si>
    <t>S-082 - 200</t>
  </si>
  <si>
    <t>S-103 - 200</t>
  </si>
  <si>
    <t>S-198 - 200</t>
  </si>
  <si>
    <t>S-195 - 200</t>
  </si>
  <si>
    <t>S-017 - 200</t>
  </si>
  <si>
    <t>S-165 - 200</t>
  </si>
  <si>
    <t>S-207 - 200</t>
  </si>
  <si>
    <t>S-140 - 200</t>
  </si>
  <si>
    <t>S-004 - 200</t>
  </si>
  <si>
    <t>S-087 - 200</t>
  </si>
  <si>
    <t>S-058 - 100</t>
  </si>
  <si>
    <t>S-298 - 200</t>
  </si>
  <si>
    <t>S-291 - 200</t>
  </si>
  <si>
    <t>S-314 - 100</t>
  </si>
  <si>
    <t>S-078 - 200</t>
  </si>
  <si>
    <t>S-313 - 200</t>
  </si>
  <si>
    <t>S-358 - 200</t>
  </si>
  <si>
    <t>S-368 - 100</t>
  </si>
  <si>
    <t>S-367 - 200</t>
  </si>
  <si>
    <t>S-375 - 100</t>
  </si>
  <si>
    <t>S-376 - 200</t>
  </si>
  <si>
    <t>S-378 - 200</t>
  </si>
  <si>
    <t>S-373 - 200</t>
  </si>
  <si>
    <t>S-372 - 100</t>
  </si>
  <si>
    <t>S-380 - 100</t>
  </si>
  <si>
    <t>F-978 - 200</t>
  </si>
  <si>
    <t>F-993 - 200</t>
  </si>
  <si>
    <t>F-979 - 200</t>
  </si>
  <si>
    <t>F-798/80 - 200</t>
  </si>
  <si>
    <t>F-002 - 200</t>
  </si>
  <si>
    <t>F-1022/N - 200</t>
  </si>
  <si>
    <t>F-1026 - 200</t>
  </si>
  <si>
    <t>F-005 - 200</t>
  </si>
  <si>
    <t>F-001 - 200</t>
  </si>
  <si>
    <t>F-0014/BL - 200</t>
  </si>
  <si>
    <t>F-036 - 200</t>
  </si>
  <si>
    <t>F-030 - 200</t>
  </si>
  <si>
    <t>F-044 - 200</t>
  </si>
  <si>
    <t>F-1023 - 200</t>
  </si>
  <si>
    <t>F-997 - 200</t>
  </si>
  <si>
    <t>F-027 - 200</t>
  </si>
  <si>
    <t>F-0015 - 200</t>
  </si>
  <si>
    <t>F-029 - 200</t>
  </si>
  <si>
    <t>F-043 - 200</t>
  </si>
  <si>
    <t>F-469/H - 100</t>
  </si>
  <si>
    <t>F-999/V - 200</t>
  </si>
  <si>
    <t>F-1025 - 200</t>
  </si>
  <si>
    <t>F-0012/D - 200</t>
  </si>
  <si>
    <t>F-721 - 200</t>
  </si>
  <si>
    <t>F-320 - 200</t>
  </si>
  <si>
    <t>F-1076 - 200</t>
  </si>
  <si>
    <t>F-737/A - 200</t>
  </si>
  <si>
    <t>F-1053 - 200</t>
  </si>
  <si>
    <t>F-1074 - 200</t>
  </si>
  <si>
    <t>F-1056 - 200</t>
  </si>
  <si>
    <t>F-1078 - 200</t>
  </si>
  <si>
    <t>F-1040 - 100</t>
  </si>
  <si>
    <t>F-1084 - 200</t>
  </si>
  <si>
    <t>F-1049 - 50</t>
  </si>
  <si>
    <t>F-219/A - 50</t>
  </si>
  <si>
    <t>F-1090 - 200</t>
  </si>
  <si>
    <t>F-1067 N/C - 200</t>
  </si>
  <si>
    <t>F-322 - 200</t>
  </si>
  <si>
    <t>F-1087 - 100</t>
  </si>
  <si>
    <t>F-466 - 200</t>
  </si>
  <si>
    <t>F-1128 - 200</t>
  </si>
  <si>
    <t>F-1108 - 200</t>
  </si>
  <si>
    <t>F-1131 - 200</t>
  </si>
  <si>
    <t>F-1109 - 200</t>
  </si>
  <si>
    <t>F-1117 - 200</t>
  </si>
  <si>
    <t>F-1120 - 200</t>
  </si>
  <si>
    <t>F-722 - 200</t>
  </si>
  <si>
    <t>F-1135 - 200</t>
  </si>
  <si>
    <t>F-1119 - 200</t>
  </si>
  <si>
    <t>F-046 - 200</t>
  </si>
  <si>
    <t>F-1054 - 200</t>
  </si>
  <si>
    <t>F-1098 - 200</t>
  </si>
  <si>
    <t>F-1150 - 200</t>
  </si>
  <si>
    <t>F-1102 - 200</t>
  </si>
  <si>
    <t>F-1081 - 200</t>
  </si>
  <si>
    <t>F-1149 - 200</t>
  </si>
  <si>
    <t>F-1080 - 200</t>
  </si>
  <si>
    <t>F-1126 - 200</t>
  </si>
  <si>
    <t>F-1158 - 200</t>
  </si>
  <si>
    <t>F-1101 - 200</t>
  </si>
  <si>
    <t>F-1095 - 200</t>
  </si>
  <si>
    <t>F-1115 - 100</t>
  </si>
  <si>
    <t>F-1155 - 200</t>
  </si>
  <si>
    <t>F-1161 - 200</t>
  </si>
  <si>
    <t>F-1160 - 200</t>
  </si>
  <si>
    <t>F-1165 - 200</t>
  </si>
  <si>
    <t>F-1162 - 200</t>
  </si>
  <si>
    <t>F-1167 - 100</t>
  </si>
  <si>
    <t>F-1177 - 200</t>
  </si>
  <si>
    <t>F-1179 - 200</t>
  </si>
  <si>
    <t>F-1153 - 200</t>
  </si>
  <si>
    <t>Recortes</t>
  </si>
  <si>
    <t>Plancha N°</t>
  </si>
  <si>
    <t>Cantidad</t>
  </si>
  <si>
    <t>Largo</t>
  </si>
  <si>
    <t>Ancho</t>
  </si>
  <si>
    <t>Cant. Cortes p/plancha</t>
  </si>
  <si>
    <t>P. Unitario</t>
  </si>
  <si>
    <t>P. Final</t>
  </si>
  <si>
    <t>Chicas</t>
  </si>
  <si>
    <t>Mediana</t>
  </si>
  <si>
    <t>regatones</t>
  </si>
  <si>
    <t>LF</t>
  </si>
  <si>
    <t>de 1m</t>
  </si>
  <si>
    <t>de 0,80</t>
  </si>
  <si>
    <t>Precio por placa:</t>
  </si>
  <si>
    <t xml:space="preserve">RE - </t>
  </si>
  <si>
    <t>Nueva</t>
  </si>
  <si>
    <t>Planchas</t>
  </si>
  <si>
    <t>Placa:</t>
  </si>
  <si>
    <t>2.75x1.22</t>
  </si>
  <si>
    <t>Medianas</t>
  </si>
  <si>
    <t>Regatones</t>
  </si>
  <si>
    <t>ORING D70</t>
  </si>
  <si>
    <t>RUBBERNET</t>
  </si>
  <si>
    <t>%</t>
  </si>
  <si>
    <t>DTO 70% EXTRA</t>
  </si>
  <si>
    <t>DTO 50% EXTRA</t>
  </si>
  <si>
    <t>$LISTA</t>
  </si>
  <si>
    <t>EMPAQUE MAYORISTA</t>
  </si>
  <si>
    <t>CANT. EN BOLSA</t>
  </si>
  <si>
    <t>Desc.</t>
  </si>
  <si>
    <t>72-001</t>
  </si>
  <si>
    <t>72-002</t>
  </si>
  <si>
    <t/>
  </si>
  <si>
    <t>72-003</t>
  </si>
  <si>
    <t>72-004</t>
  </si>
  <si>
    <t>72-005</t>
  </si>
  <si>
    <t>72-006</t>
  </si>
  <si>
    <t>72-007</t>
  </si>
  <si>
    <t>72-008</t>
  </si>
  <si>
    <t>72-009</t>
  </si>
  <si>
    <t>72-010</t>
  </si>
  <si>
    <t>72-011</t>
  </si>
  <si>
    <t>72-012</t>
  </si>
  <si>
    <t>72-013</t>
  </si>
  <si>
    <t>72-014</t>
  </si>
  <si>
    <t>72-015</t>
  </si>
  <si>
    <t>72-016</t>
  </si>
  <si>
    <t>72-017</t>
  </si>
  <si>
    <t>72-018</t>
  </si>
  <si>
    <t>72-019</t>
  </si>
  <si>
    <t>72-020</t>
  </si>
  <si>
    <t>72-021</t>
  </si>
  <si>
    <t>72-022</t>
  </si>
  <si>
    <t>72-023</t>
  </si>
  <si>
    <t>72-024</t>
  </si>
  <si>
    <t>72-025</t>
  </si>
  <si>
    <t>72-026</t>
  </si>
  <si>
    <t>72-027</t>
  </si>
  <si>
    <t>72-028</t>
  </si>
  <si>
    <t>72-029</t>
  </si>
  <si>
    <t>72-030</t>
  </si>
  <si>
    <t>72-031</t>
  </si>
  <si>
    <t>72-032</t>
  </si>
  <si>
    <t>72-033</t>
  </si>
  <si>
    <t>72-034</t>
  </si>
  <si>
    <t>72-035</t>
  </si>
  <si>
    <t>72-036</t>
  </si>
  <si>
    <t>72-037</t>
  </si>
  <si>
    <t>72-038</t>
  </si>
  <si>
    <t>72-039</t>
  </si>
  <si>
    <t>72-040</t>
  </si>
  <si>
    <t>72-041</t>
  </si>
  <si>
    <t>72-042</t>
  </si>
  <si>
    <t>72-043</t>
  </si>
  <si>
    <t>72-044</t>
  </si>
  <si>
    <t>72-045</t>
  </si>
  <si>
    <t>72-046</t>
  </si>
  <si>
    <t>72-047</t>
  </si>
  <si>
    <t>72-048</t>
  </si>
  <si>
    <t>72-049</t>
  </si>
  <si>
    <t>72-050</t>
  </si>
  <si>
    <t>72-102</t>
  </si>
  <si>
    <t>72-103</t>
  </si>
  <si>
    <t>72-104</t>
  </si>
  <si>
    <t>72-105</t>
  </si>
  <si>
    <t>72-106</t>
  </si>
  <si>
    <t>72-107</t>
  </si>
  <si>
    <t>72-108</t>
  </si>
  <si>
    <t>72-109</t>
  </si>
  <si>
    <t>72-110</t>
  </si>
  <si>
    <t>72-111</t>
  </si>
  <si>
    <t>72-112</t>
  </si>
  <si>
    <t>72-113</t>
  </si>
  <si>
    <t>72-114</t>
  </si>
  <si>
    <t>72-115</t>
  </si>
  <si>
    <t>72-116</t>
  </si>
  <si>
    <t>72-117</t>
  </si>
  <si>
    <t>72-118</t>
  </si>
  <si>
    <t>72-119</t>
  </si>
  <si>
    <t>72-120</t>
  </si>
  <si>
    <t>72-121</t>
  </si>
  <si>
    <t>72-122</t>
  </si>
  <si>
    <t>72-123</t>
  </si>
  <si>
    <t>72-124</t>
  </si>
  <si>
    <t>72-125</t>
  </si>
  <si>
    <t>72-126</t>
  </si>
  <si>
    <t>72-127</t>
  </si>
  <si>
    <t>72-128</t>
  </si>
  <si>
    <t>72-129</t>
  </si>
  <si>
    <t>72-130</t>
  </si>
  <si>
    <t>72-131</t>
  </si>
  <si>
    <t>72-132</t>
  </si>
  <si>
    <t>72-133</t>
  </si>
  <si>
    <t>72-134</t>
  </si>
  <si>
    <t>72-135</t>
  </si>
  <si>
    <t>72-136</t>
  </si>
  <si>
    <t>72-137</t>
  </si>
  <si>
    <t>72-138</t>
  </si>
  <si>
    <t>72-139</t>
  </si>
  <si>
    <t>72-140</t>
  </si>
  <si>
    <t>72-141</t>
  </si>
  <si>
    <t>72-142</t>
  </si>
  <si>
    <t>72-143</t>
  </si>
  <si>
    <t>72-144</t>
  </si>
  <si>
    <t>72-145</t>
  </si>
  <si>
    <t>72-146</t>
  </si>
  <si>
    <t>72-147</t>
  </si>
  <si>
    <t>72-148</t>
  </si>
  <si>
    <t>72-149</t>
  </si>
  <si>
    <t>72-150</t>
  </si>
  <si>
    <t>72-151</t>
  </si>
  <si>
    <t>72-152</t>
  </si>
  <si>
    <t>72-153</t>
  </si>
  <si>
    <t>72-154</t>
  </si>
  <si>
    <t>72-155</t>
  </si>
  <si>
    <t>72-156</t>
  </si>
  <si>
    <t>72-157</t>
  </si>
  <si>
    <t>72-158</t>
  </si>
  <si>
    <t>72-159</t>
  </si>
  <si>
    <t>72-160</t>
  </si>
  <si>
    <t>72-161</t>
  </si>
  <si>
    <t>72-162</t>
  </si>
  <si>
    <t>72-163</t>
  </si>
  <si>
    <t>72-164</t>
  </si>
  <si>
    <t>72-165</t>
  </si>
  <si>
    <t>72-166</t>
  </si>
  <si>
    <t>72-167</t>
  </si>
  <si>
    <t>72-168</t>
  </si>
  <si>
    <t>72-169</t>
  </si>
  <si>
    <t>72-170</t>
  </si>
  <si>
    <t>72-171</t>
  </si>
  <si>
    <t>72-172</t>
  </si>
  <si>
    <t>72-173</t>
  </si>
  <si>
    <t>72-174</t>
  </si>
  <si>
    <t>72-175</t>
  </si>
  <si>
    <t>72-176</t>
  </si>
  <si>
    <t>72-177</t>
  </si>
  <si>
    <t>72-178</t>
  </si>
  <si>
    <t>72-201</t>
  </si>
  <si>
    <t>72-202</t>
  </si>
  <si>
    <t>72-203</t>
  </si>
  <si>
    <t>72-204</t>
  </si>
  <si>
    <t>72-205</t>
  </si>
  <si>
    <t>72-206</t>
  </si>
  <si>
    <t>72-207</t>
  </si>
  <si>
    <t>72-208</t>
  </si>
  <si>
    <t>72-209</t>
  </si>
  <si>
    <t>72-210</t>
  </si>
  <si>
    <t>72-211</t>
  </si>
  <si>
    <t>100/200</t>
  </si>
  <si>
    <t>72-212</t>
  </si>
  <si>
    <t>72-213</t>
  </si>
  <si>
    <t>72-214</t>
  </si>
  <si>
    <t>72-215</t>
  </si>
  <si>
    <t>72-216</t>
  </si>
  <si>
    <t>72-217</t>
  </si>
  <si>
    <t>72-218</t>
  </si>
  <si>
    <t>72-219</t>
  </si>
  <si>
    <t>72-220</t>
  </si>
  <si>
    <t>72-221</t>
  </si>
  <si>
    <t>72-222</t>
  </si>
  <si>
    <t>72-223</t>
  </si>
  <si>
    <t>72-224</t>
  </si>
  <si>
    <t>72-225</t>
  </si>
  <si>
    <t>72-226</t>
  </si>
  <si>
    <t>72-227</t>
  </si>
  <si>
    <t>72-228</t>
  </si>
  <si>
    <t>72-229</t>
  </si>
  <si>
    <t>72-230</t>
  </si>
  <si>
    <t>72-231</t>
  </si>
  <si>
    <t>72-232</t>
  </si>
  <si>
    <t>72-233</t>
  </si>
  <si>
    <t>72-234</t>
  </si>
  <si>
    <t>72-235</t>
  </si>
  <si>
    <t>72-236</t>
  </si>
  <si>
    <t>72-237</t>
  </si>
  <si>
    <t>72-238</t>
  </si>
  <si>
    <t>72-239</t>
  </si>
  <si>
    <t>72-240</t>
  </si>
  <si>
    <t>72-241</t>
  </si>
  <si>
    <t>72-242</t>
  </si>
  <si>
    <t>72-243</t>
  </si>
  <si>
    <t>72-244</t>
  </si>
  <si>
    <t>72-245</t>
  </si>
  <si>
    <t>72-246</t>
  </si>
  <si>
    <t>72-247</t>
  </si>
  <si>
    <t>72-248</t>
  </si>
  <si>
    <t>72-249</t>
  </si>
  <si>
    <t>72-250</t>
  </si>
  <si>
    <t>72-251</t>
  </si>
  <si>
    <t>72-252</t>
  </si>
  <si>
    <t>72-253</t>
  </si>
  <si>
    <t>72-254</t>
  </si>
  <si>
    <t>72-255</t>
  </si>
  <si>
    <t>72-256</t>
  </si>
  <si>
    <t>72-257</t>
  </si>
  <si>
    <t>72-258</t>
  </si>
  <si>
    <t>72-259</t>
  </si>
  <si>
    <t>72-260</t>
  </si>
  <si>
    <t>72-261</t>
  </si>
  <si>
    <t>72-262</t>
  </si>
  <si>
    <t>72-263</t>
  </si>
  <si>
    <t>72-264</t>
  </si>
  <si>
    <t>72-265</t>
  </si>
  <si>
    <t>72-266</t>
  </si>
  <si>
    <t>72-267</t>
  </si>
  <si>
    <t>72-268</t>
  </si>
  <si>
    <t>72-269</t>
  </si>
  <si>
    <t>72-270</t>
  </si>
  <si>
    <t>72-271</t>
  </si>
  <si>
    <t>72-272</t>
  </si>
  <si>
    <t>72-273</t>
  </si>
  <si>
    <t>72-274</t>
  </si>
  <si>
    <t>72-275</t>
  </si>
  <si>
    <t>72-276</t>
  </si>
  <si>
    <t>72-277</t>
  </si>
  <si>
    <t>72-278</t>
  </si>
  <si>
    <t>72-279</t>
  </si>
  <si>
    <t>72-280</t>
  </si>
  <si>
    <t>72-281</t>
  </si>
  <si>
    <t>72-282</t>
  </si>
  <si>
    <t>72-283</t>
  </si>
  <si>
    <t>72-284</t>
  </si>
  <si>
    <t>72-309</t>
  </si>
  <si>
    <t>72-310</t>
  </si>
  <si>
    <t>72-311</t>
  </si>
  <si>
    <t>72-312</t>
  </si>
  <si>
    <t>72-313</t>
  </si>
  <si>
    <t>72-314</t>
  </si>
  <si>
    <t>72-315</t>
  </si>
  <si>
    <t>72-316</t>
  </si>
  <si>
    <t>72-317</t>
  </si>
  <si>
    <t>72-318</t>
  </si>
  <si>
    <t>72-319</t>
  </si>
  <si>
    <t>72-320</t>
  </si>
  <si>
    <t>72-321</t>
  </si>
  <si>
    <t>72-322</t>
  </si>
  <si>
    <t>72-323</t>
  </si>
  <si>
    <t>72-324</t>
  </si>
  <si>
    <t>72-325</t>
  </si>
  <si>
    <t>72-326</t>
  </si>
  <si>
    <t>72-327</t>
  </si>
  <si>
    <t>72-328</t>
  </si>
  <si>
    <t>72-329</t>
  </si>
  <si>
    <t>72-330</t>
  </si>
  <si>
    <t>72-331</t>
  </si>
  <si>
    <t>72-332</t>
  </si>
  <si>
    <t>72-333</t>
  </si>
  <si>
    <t>72-334</t>
  </si>
  <si>
    <t>72-335</t>
  </si>
  <si>
    <t>72-336</t>
  </si>
  <si>
    <t>72-337</t>
  </si>
  <si>
    <t>72-338</t>
  </si>
  <si>
    <t>72-339</t>
  </si>
  <si>
    <t>72-340</t>
  </si>
  <si>
    <t>72-341</t>
  </si>
  <si>
    <t>72-342</t>
  </si>
  <si>
    <t>72-343</t>
  </si>
  <si>
    <t>72-344</t>
  </si>
  <si>
    <t>72-345</t>
  </si>
  <si>
    <t>72-346</t>
  </si>
  <si>
    <t>72-347</t>
  </si>
  <si>
    <t>72-348</t>
  </si>
  <si>
    <t>72-349</t>
  </si>
  <si>
    <t>72-350</t>
  </si>
  <si>
    <t>72-351</t>
  </si>
  <si>
    <t>72-352</t>
  </si>
  <si>
    <t>72-353</t>
  </si>
  <si>
    <t>72-354</t>
  </si>
  <si>
    <t>72-355</t>
  </si>
  <si>
    <t>72-356</t>
  </si>
  <si>
    <t>72-357</t>
  </si>
  <si>
    <t>72-358</t>
  </si>
  <si>
    <t>72-359</t>
  </si>
  <si>
    <t>72-360</t>
  </si>
  <si>
    <t>72-361</t>
  </si>
  <si>
    <t>72-362</t>
  </si>
  <si>
    <t>72-363</t>
  </si>
  <si>
    <t>72-364</t>
  </si>
  <si>
    <t>72-365</t>
  </si>
  <si>
    <t>72-366</t>
  </si>
  <si>
    <t>72-367</t>
  </si>
  <si>
    <t>72-368</t>
  </si>
  <si>
    <t>72-369</t>
  </si>
  <si>
    <t>72-370</t>
  </si>
  <si>
    <t>72-371</t>
  </si>
  <si>
    <t>72-372</t>
  </si>
  <si>
    <t>72-373</t>
  </si>
  <si>
    <t>72-374</t>
  </si>
  <si>
    <t>72-375</t>
  </si>
  <si>
    <t>72-376</t>
  </si>
  <si>
    <t>72-377</t>
  </si>
  <si>
    <t>72-378</t>
  </si>
  <si>
    <t>72-379</t>
  </si>
  <si>
    <t>72-380</t>
  </si>
  <si>
    <t>72-381</t>
  </si>
  <si>
    <t>72-382</t>
  </si>
  <si>
    <t>72-383</t>
  </si>
  <si>
    <t>72-384</t>
  </si>
  <si>
    <t>72-385</t>
  </si>
  <si>
    <t>72-386</t>
  </si>
  <si>
    <t>72-387</t>
  </si>
  <si>
    <t>72-388</t>
  </si>
  <si>
    <t>72-389</t>
  </si>
  <si>
    <t>72-390</t>
  </si>
  <si>
    <t>72-391</t>
  </si>
  <si>
    <t>72-392</t>
  </si>
  <si>
    <t>72-393</t>
  </si>
  <si>
    <t>72-394</t>
  </si>
  <si>
    <t>72-395</t>
  </si>
  <si>
    <t>72-400</t>
  </si>
  <si>
    <t>72-401</t>
  </si>
  <si>
    <t>72-402</t>
  </si>
  <si>
    <t>72-403</t>
  </si>
  <si>
    <t>72-404</t>
  </si>
  <si>
    <t>72-405</t>
  </si>
  <si>
    <t>72-406</t>
  </si>
  <si>
    <t>72-407</t>
  </si>
  <si>
    <t>72-408</t>
  </si>
  <si>
    <t>72-409</t>
  </si>
  <si>
    <t>72-410</t>
  </si>
  <si>
    <t>72-411</t>
  </si>
  <si>
    <t>72-412</t>
  </si>
  <si>
    <t>72-413</t>
  </si>
  <si>
    <t>72-414</t>
  </si>
  <si>
    <t>72-415</t>
  </si>
  <si>
    <t>72-416</t>
  </si>
  <si>
    <t>72-417</t>
  </si>
  <si>
    <t>72-418</t>
  </si>
  <si>
    <t>72-419</t>
  </si>
  <si>
    <t>72-420</t>
  </si>
  <si>
    <t>72-421</t>
  </si>
  <si>
    <t>72-422</t>
  </si>
  <si>
    <t>72-423</t>
  </si>
  <si>
    <t>72-424</t>
  </si>
  <si>
    <t>72-425</t>
  </si>
  <si>
    <t>72-426</t>
  </si>
  <si>
    <t>72-427</t>
  </si>
  <si>
    <t>72-428</t>
  </si>
  <si>
    <t>72-429</t>
  </si>
  <si>
    <t>72-430</t>
  </si>
  <si>
    <t>72-431</t>
  </si>
  <si>
    <t>72-432</t>
  </si>
  <si>
    <t>72-433</t>
  </si>
  <si>
    <t>72-434</t>
  </si>
  <si>
    <t>72-435</t>
  </si>
  <si>
    <t>72-436</t>
  </si>
  <si>
    <t>72-437</t>
  </si>
  <si>
    <t>72-438</t>
  </si>
  <si>
    <t>72-439</t>
  </si>
  <si>
    <t>72-440</t>
  </si>
  <si>
    <t>72-441</t>
  </si>
  <si>
    <t>72-442</t>
  </si>
  <si>
    <t>72-443</t>
  </si>
  <si>
    <t>72-444</t>
  </si>
  <si>
    <t>72-445</t>
  </si>
  <si>
    <t>72-446</t>
  </si>
  <si>
    <t>72-447</t>
  </si>
  <si>
    <t>72-448</t>
  </si>
  <si>
    <t>72-449</t>
  </si>
  <si>
    <t>72-450</t>
  </si>
  <si>
    <t>72-451</t>
  </si>
  <si>
    <t>72-452</t>
  </si>
  <si>
    <t>72-453</t>
  </si>
  <si>
    <t>72-454</t>
  </si>
  <si>
    <t>72-455</t>
  </si>
  <si>
    <t>72-456</t>
  </si>
  <si>
    <t>72-457</t>
  </si>
  <si>
    <t>72-458</t>
  </si>
  <si>
    <t>72-459</t>
  </si>
  <si>
    <t>72-460</t>
  </si>
  <si>
    <t>72-461</t>
  </si>
  <si>
    <t>72-462</t>
  </si>
  <si>
    <t>72-463</t>
  </si>
  <si>
    <t>72-464</t>
  </si>
  <si>
    <t>72-465</t>
  </si>
  <si>
    <t>72-466</t>
  </si>
  <si>
    <t>72-467</t>
  </si>
  <si>
    <t>72-468</t>
  </si>
  <si>
    <t>72-469</t>
  </si>
  <si>
    <t>72-470</t>
  </si>
  <si>
    <t>72-471</t>
  </si>
  <si>
    <t>72-472</t>
  </si>
  <si>
    <t>72-473</t>
  </si>
  <si>
    <t>72-474</t>
  </si>
  <si>
    <t>72-475</t>
  </si>
  <si>
    <t>73-901</t>
  </si>
  <si>
    <t>73-902</t>
  </si>
  <si>
    <t>73-903</t>
  </si>
  <si>
    <t>73-904</t>
  </si>
  <si>
    <t>73-905</t>
  </si>
  <si>
    <t>73-906</t>
  </si>
  <si>
    <t>73-907</t>
  </si>
  <si>
    <t>73-908</t>
  </si>
  <si>
    <t>73-909</t>
  </si>
  <si>
    <t>73-910</t>
  </si>
  <si>
    <t>73-911</t>
  </si>
  <si>
    <t>73-912</t>
  </si>
  <si>
    <t>73-913</t>
  </si>
  <si>
    <t>73-914</t>
  </si>
  <si>
    <t>73-916</t>
  </si>
  <si>
    <t>73-918</t>
  </si>
  <si>
    <t>73-920</t>
  </si>
  <si>
    <t>73-922</t>
  </si>
  <si>
    <t>73-924</t>
  </si>
  <si>
    <t>73-926</t>
  </si>
  <si>
    <t>73-928</t>
  </si>
  <si>
    <t>73-932</t>
  </si>
  <si>
    <t>PEDIDO SELFLEX</t>
  </si>
  <si>
    <t>DTO.:</t>
  </si>
  <si>
    <t>Codigo</t>
  </si>
  <si>
    <t>EMBASADO LISTA</t>
  </si>
  <si>
    <t>CANTIDAD</t>
  </si>
  <si>
    <t>Unitario</t>
  </si>
  <si>
    <t>+iva</t>
  </si>
  <si>
    <t>Descripción</t>
  </si>
  <si>
    <t>Descuento 1</t>
  </si>
  <si>
    <t>Descuento 2</t>
  </si>
  <si>
    <t>Precio Unitario</t>
  </si>
  <si>
    <t>Producto - ID</t>
  </si>
  <si>
    <t>C3082 - NG</t>
  </si>
  <si>
    <t>PESOS:</t>
  </si>
  <si>
    <t>DÓLAR:</t>
  </si>
  <si>
    <t>FINAL C/IVA</t>
  </si>
  <si>
    <t>CASER GOM S.R.L.</t>
  </si>
  <si>
    <t>Lista de Precios Diciembre 2022</t>
  </si>
  <si>
    <t>Descuento:</t>
  </si>
  <si>
    <t>PEDIDO CASERGOM</t>
  </si>
  <si>
    <t>total</t>
  </si>
  <si>
    <t>Elaboracion y Fabricacion de Articulos de Goma</t>
  </si>
  <si>
    <t>Precio Lista</t>
  </si>
  <si>
    <t>Final</t>
  </si>
  <si>
    <t>Costo</t>
  </si>
  <si>
    <t>Ganancia</t>
  </si>
  <si>
    <t>Cod.</t>
  </si>
  <si>
    <t>Unit.</t>
  </si>
  <si>
    <t xml:space="preserve">Jose Ingenieros 1847 Jose Ingenieros/TeFax: 4757 - 8343/casergomsrl@gmail.com   </t>
  </si>
  <si>
    <t>1453 epdm</t>
  </si>
  <si>
    <t>1235 epdm</t>
  </si>
  <si>
    <t>Art</t>
  </si>
  <si>
    <t>Efectivo:</t>
  </si>
  <si>
    <t>1454 epdm</t>
  </si>
  <si>
    <t>1236 epdm</t>
  </si>
  <si>
    <t>PASA CABLES DE GOMA</t>
  </si>
  <si>
    <t>559 a/c</t>
  </si>
  <si>
    <t>560 a/c</t>
  </si>
  <si>
    <t>561 a/c</t>
  </si>
  <si>
    <t>562 a/c</t>
  </si>
  <si>
    <t>563 a/c</t>
  </si>
  <si>
    <t>522 NE</t>
  </si>
  <si>
    <t>534 c/t</t>
  </si>
  <si>
    <t>538 c/t</t>
  </si>
  <si>
    <t xml:space="preserve"> CASER GOM S.R.L.</t>
  </si>
  <si>
    <t>Lista de Precios Enero 2024</t>
  </si>
  <si>
    <t xml:space="preserve">Jose Ingenieros 1847 Jose Ingenieros/TeFax: 4757 - 8343/casergomsrl@gmail.com </t>
  </si>
  <si>
    <t>805 a/c</t>
  </si>
  <si>
    <t>806 N</t>
  </si>
  <si>
    <t>806 B</t>
  </si>
  <si>
    <t>Nº</t>
  </si>
  <si>
    <t>Descripciòn</t>
  </si>
  <si>
    <t>COD.</t>
  </si>
  <si>
    <t>VENTA</t>
  </si>
  <si>
    <t>807 a/c</t>
  </si>
  <si>
    <t>Pasacable</t>
  </si>
  <si>
    <t>REG DE GOMA 12 mm</t>
  </si>
  <si>
    <t>REG DE GOMA 16mm</t>
  </si>
  <si>
    <t>813 N</t>
  </si>
  <si>
    <t>REG DE GOMA 19 mm</t>
  </si>
  <si>
    <t>813 B</t>
  </si>
  <si>
    <t>REG DE GOMA 22 mm</t>
  </si>
  <si>
    <t>REG DE GOMA 25 mm</t>
  </si>
  <si>
    <t>REG DE GOMA 30 mm</t>
  </si>
  <si>
    <t>819 a/c</t>
  </si>
  <si>
    <t>820 a/c</t>
  </si>
  <si>
    <t>780 a/c</t>
  </si>
  <si>
    <t>Pasacable con membrana</t>
  </si>
  <si>
    <t>822 NT</t>
  </si>
  <si>
    <t>822 a/c</t>
  </si>
  <si>
    <t>Pasacable tipo capilla</t>
  </si>
  <si>
    <t>823 a/c</t>
  </si>
  <si>
    <t>Pasamanguera de 3/4</t>
  </si>
  <si>
    <t>784 a/c</t>
  </si>
  <si>
    <t>Pasacable chato</t>
  </si>
  <si>
    <t>Pasacable blanco</t>
  </si>
  <si>
    <t>788 c/t</t>
  </si>
  <si>
    <t>1079 L</t>
  </si>
  <si>
    <t>PasacableLatex</t>
  </si>
  <si>
    <t>1153 B</t>
  </si>
  <si>
    <t>834 a/c</t>
  </si>
  <si>
    <t>835 a/c</t>
  </si>
  <si>
    <t>1167 L</t>
  </si>
  <si>
    <t>838 a/c</t>
  </si>
  <si>
    <t>799 a/c</t>
  </si>
  <si>
    <t>802 a/c</t>
  </si>
  <si>
    <t>----------</t>
  </si>
  <si>
    <t>803 a/c</t>
  </si>
  <si>
    <t>844 c/t</t>
  </si>
  <si>
    <t>868 a/c</t>
  </si>
  <si>
    <t>869 a/c</t>
  </si>
  <si>
    <t>918 c/t</t>
  </si>
  <si>
    <t>1005 a/c</t>
  </si>
  <si>
    <t>919 c/t</t>
  </si>
  <si>
    <t>1008 F</t>
  </si>
  <si>
    <t>1008 G</t>
  </si>
  <si>
    <t>881 a/c</t>
  </si>
  <si>
    <t>882 a/c</t>
  </si>
  <si>
    <t>883 a/c</t>
  </si>
  <si>
    <t>1013 a/c</t>
  </si>
  <si>
    <t>Lista de precios Enero 2024</t>
  </si>
  <si>
    <t>1061 A</t>
  </si>
  <si>
    <t>1142 c/t</t>
  </si>
  <si>
    <t>1061 J</t>
  </si>
  <si>
    <t>1102 a/c</t>
  </si>
  <si>
    <t>1023 a/c</t>
  </si>
  <si>
    <t>1024 a/c</t>
  </si>
  <si>
    <t>1105 a/c</t>
  </si>
  <si>
    <t>1025 F</t>
  </si>
  <si>
    <t>1025 G</t>
  </si>
  <si>
    <t>1067 a/c</t>
  </si>
  <si>
    <t>-----------</t>
  </si>
  <si>
    <t>1108 a/c</t>
  </si>
  <si>
    <t>1109 a/c</t>
  </si>
  <si>
    <t>1152 F</t>
  </si>
  <si>
    <t>1152 G</t>
  </si>
  <si>
    <t>1072 a/c</t>
  </si>
  <si>
    <t>1031 A/C</t>
  </si>
  <si>
    <t>1158 N</t>
  </si>
  <si>
    <t>1158 B</t>
  </si>
  <si>
    <t>1159 N</t>
  </si>
  <si>
    <t>1121 F</t>
  </si>
  <si>
    <t>1159 B</t>
  </si>
  <si>
    <t>1121 G</t>
  </si>
  <si>
    <t>1081 N</t>
  </si>
  <si>
    <t>1081 C</t>
  </si>
  <si>
    <t>1082 N</t>
  </si>
  <si>
    <t>1082 C</t>
  </si>
  <si>
    <t>1129 a/c</t>
  </si>
  <si>
    <t>1050 c/t</t>
  </si>
  <si>
    <t>1057 a/c</t>
  </si>
  <si>
    <t>1191 N</t>
  </si>
  <si>
    <t>1191 B</t>
  </si>
  <si>
    <t>1192 N</t>
  </si>
  <si>
    <t>1192 B</t>
  </si>
  <si>
    <t>1193 N</t>
  </si>
  <si>
    <t>1193 B</t>
  </si>
  <si>
    <t>1195 N</t>
  </si>
  <si>
    <t>1195 B</t>
  </si>
  <si>
    <t>1196 F</t>
  </si>
  <si>
    <t>1196 G</t>
  </si>
  <si>
    <t>1331 J/S</t>
  </si>
  <si>
    <t>1331 J/C</t>
  </si>
  <si>
    <t>1207 a/c</t>
  </si>
  <si>
    <t>1338 N</t>
  </si>
  <si>
    <t>1338 C</t>
  </si>
  <si>
    <t>1209 a/c</t>
  </si>
  <si>
    <t>1346 c/r</t>
  </si>
  <si>
    <t>1347 c/r</t>
  </si>
  <si>
    <t>1430 a/c</t>
  </si>
  <si>
    <t>1431 a/c</t>
  </si>
  <si>
    <t>1348 c/r</t>
  </si>
  <si>
    <t>1432 a/c</t>
  </si>
  <si>
    <t>1433 a/c</t>
  </si>
  <si>
    <t>1349 c/r</t>
  </si>
  <si>
    <t>1434 a/c</t>
  </si>
  <si>
    <t>1350 c/r</t>
  </si>
  <si>
    <t>1351 c/r</t>
  </si>
  <si>
    <t>1483 a/c</t>
  </si>
  <si>
    <t>1359 c/t</t>
  </si>
  <si>
    <t>1489 c/t</t>
  </si>
  <si>
    <t>1492 a/c</t>
  </si>
  <si>
    <t>1494 c/t</t>
  </si>
  <si>
    <t>1410 a/c</t>
  </si>
  <si>
    <t>1411 a/c</t>
  </si>
  <si>
    <t>1412 a/c</t>
  </si>
  <si>
    <t>1461 J</t>
  </si>
  <si>
    <t>1467 c/t</t>
  </si>
  <si>
    <t>1429 a/c</t>
  </si>
  <si>
    <t>ITEM</t>
  </si>
  <si>
    <t>PRENDA</t>
  </si>
  <si>
    <t>DESCRIPCIÓN</t>
  </si>
  <si>
    <t>COLOR</t>
  </si>
  <si>
    <t>TALLE</t>
  </si>
  <si>
    <t>Logo</t>
  </si>
  <si>
    <t>Fecha de Pago:</t>
  </si>
  <si>
    <t>Remeras</t>
  </si>
  <si>
    <t>Negro</t>
  </si>
  <si>
    <t>XXL</t>
  </si>
  <si>
    <t>Con logo</t>
  </si>
  <si>
    <t>Gabriel</t>
  </si>
  <si>
    <t>Buzo</t>
  </si>
  <si>
    <t>Pantalon</t>
  </si>
  <si>
    <t>Campera</t>
  </si>
  <si>
    <t>PEDIDO 1</t>
  </si>
  <si>
    <t>Pegar pedido Aquí</t>
  </si>
  <si>
    <t>Con los codigos nuestros</t>
  </si>
  <si>
    <t>CANT.</t>
  </si>
  <si>
    <t>Cant</t>
  </si>
  <si>
    <t>Juegos</t>
  </si>
  <si>
    <t>PEDIDO:</t>
  </si>
  <si>
    <t>Cant. Carbones:</t>
  </si>
  <si>
    <t>RESTAN:</t>
  </si>
  <si>
    <t>PARA LLEVAR AL EXCEL DE COMPRAS</t>
  </si>
  <si>
    <t>Pegar Numero</t>
  </si>
  <si>
    <t>Codigo completo</t>
  </si>
  <si>
    <t>*</t>
  </si>
  <si>
    <t>LIMITE</t>
  </si>
  <si>
    <t>PARA COPIAR Y PEGAR</t>
  </si>
  <si>
    <t>Codigo Nuestro</t>
  </si>
  <si>
    <t>Codigo para Jorge</t>
  </si>
  <si>
    <t>MAXI FER - ELINEK</t>
  </si>
  <si>
    <t>+ IVA</t>
  </si>
  <si>
    <t>Artículo</t>
  </si>
  <si>
    <t>Precios $ x unidad</t>
  </si>
  <si>
    <t>P. LISTA</t>
  </si>
  <si>
    <t>Venta</t>
  </si>
  <si>
    <t>Me sale</t>
  </si>
  <si>
    <t>1,5 X 10 X 100 NATURAL</t>
  </si>
  <si>
    <t>1,5 X 10 X 100 CINCADO</t>
  </si>
  <si>
    <t>ENTREGADO</t>
  </si>
  <si>
    <t>2 X 30 X 100 X 11 NATURAL</t>
  </si>
  <si>
    <t>2 X 30 X 100 X 11 CINCADO</t>
  </si>
  <si>
    <t>1 X 8 X 25 X 12 NATURAL</t>
  </si>
  <si>
    <t>1 X 8 X 25 X 12 CINCADO</t>
  </si>
  <si>
    <t>1,5 X 16 X 60 X 12 NATURAL</t>
  </si>
  <si>
    <t>1,5 X 16 X 60 X 12 CINCADO</t>
  </si>
  <si>
    <t>1,5 X 24 X 45 X 6 NATURAL</t>
  </si>
  <si>
    <t>1,5 X 24 X 45 X 6 CINCADO</t>
  </si>
  <si>
    <t>Ya le encargue:</t>
  </si>
  <si>
    <t>2 X 16 X 150 CINCADO</t>
  </si>
  <si>
    <t>Nuevo Agregado</t>
  </si>
  <si>
    <t>4 x 26 x 60 - CINCADO</t>
  </si>
  <si>
    <t>4 x 38 x 100 - CINCADO</t>
  </si>
  <si>
    <t>1,75 x 28 x 195 x 18</t>
  </si>
  <si>
    <t>0,8 x 8 x 195 x 57</t>
  </si>
  <si>
    <t>CLAUDIO RESORTES</t>
  </si>
  <si>
    <t>1,5 x 14 x 100 - Expansión</t>
  </si>
  <si>
    <t>Medida</t>
  </si>
  <si>
    <t>LARGO</t>
  </si>
  <si>
    <t>NÚMERO</t>
  </si>
  <si>
    <t>MEDIDA COMPLETA</t>
  </si>
  <si>
    <t>Cod. Interno</t>
  </si>
  <si>
    <t>4x0,7 A 6x1</t>
  </si>
  <si>
    <t>15 mm</t>
  </si>
  <si>
    <t>5x0,8 A 7x1</t>
  </si>
  <si>
    <t>6x1 A 8x1,25</t>
  </si>
  <si>
    <t>7x1 A 10x1,50</t>
  </si>
  <si>
    <t>17 mm</t>
  </si>
  <si>
    <t>8x1 A 11x1,50</t>
  </si>
  <si>
    <t>8x1,25 A 11x1,50</t>
  </si>
  <si>
    <t xml:space="preserve">9x1,25 A 12x1,5  </t>
  </si>
  <si>
    <t>10x1 A 1/2 NF (paso fino)</t>
  </si>
  <si>
    <t>10X1,25 A 1/2 NF</t>
  </si>
  <si>
    <t>10x1,5 A 1/2 NF</t>
  </si>
  <si>
    <t>11x1,50 A 14x1,50</t>
  </si>
  <si>
    <t>20 mm</t>
  </si>
  <si>
    <t>12x1,25 A 16x1,50</t>
  </si>
  <si>
    <t>12x1,5 A 16x1,50</t>
  </si>
  <si>
    <t>12x1,75 A 16x1,50</t>
  </si>
  <si>
    <t>1/4W( whitworth) x 3/8 W( whitworth)</t>
  </si>
  <si>
    <t>5/16 W( whitworth) x 7/16 W( whitworth)</t>
  </si>
  <si>
    <t>3/8 W( whitworth) x 1/2 W( whitworth)</t>
  </si>
  <si>
    <t>BUJIA 14x1,25 x 18x1,50</t>
  </si>
  <si>
    <t>Material 1045</t>
  </si>
  <si>
    <t>12 x 24</t>
  </si>
  <si>
    <t>13 x 24</t>
  </si>
  <si>
    <t>14 x 26</t>
  </si>
  <si>
    <t>MEDIDA</t>
  </si>
  <si>
    <t>TIPO</t>
  </si>
  <si>
    <t>Alambre</t>
  </si>
  <si>
    <t>Diametro</t>
  </si>
  <si>
    <t>Vueltas</t>
  </si>
  <si>
    <t>Precio USD</t>
  </si>
  <si>
    <t>ROBER</t>
  </si>
  <si>
    <t>ROFFER</t>
  </si>
  <si>
    <t>Columna1</t>
  </si>
  <si>
    <t>CANT. MIN.</t>
  </si>
  <si>
    <t>EXPANSIÓN</t>
  </si>
  <si>
    <t>0,5 x 4,5 x 30 - Expanción</t>
  </si>
  <si>
    <t>0,5 x 6 x 50 - Expanción</t>
  </si>
  <si>
    <t>0,6 x 7 x 30 - Expanción</t>
  </si>
  <si>
    <t>0,6 x 8 x 50 - Expanción</t>
  </si>
  <si>
    <t>0,8 x 6 x 50 - Expanción</t>
  </si>
  <si>
    <t>0,8 x 8 x 50 - Expanción</t>
  </si>
  <si>
    <t>0,8 x 10 x 50 - Expanción</t>
  </si>
  <si>
    <t>0,8 x 10 x 100 - Expanción</t>
  </si>
  <si>
    <t>1 x 8 x 40 - Expanción</t>
  </si>
  <si>
    <t>1 x 8 x 100 - Expanción</t>
  </si>
  <si>
    <t>1 x 10 x 70 - Expanción</t>
  </si>
  <si>
    <t>1 x 10 x 120 - Expanción</t>
  </si>
  <si>
    <t>1 x 12 x 100 - Expanción</t>
  </si>
  <si>
    <t>1 x 12 x 150 - Expanción</t>
  </si>
  <si>
    <t>1,25 x 8 x 100 - Expanción</t>
  </si>
  <si>
    <t>DEVOLUCION TECNICO INTEGRAL</t>
  </si>
  <si>
    <t>1,25 x 10 x 100 - Expanción</t>
  </si>
  <si>
    <t>1,25 x 12 x 150 - Expanción</t>
  </si>
  <si>
    <t>1,5 x 10 x 100 - Expanción</t>
  </si>
  <si>
    <t>1,5 x 12 x 100 - Expanción</t>
  </si>
  <si>
    <t>1,5 x 14 x 100 - Expanción</t>
  </si>
  <si>
    <t>RESORTES A PRESUPUESTAR</t>
  </si>
  <si>
    <t>1,5 x 16 x 150 - Expanción</t>
  </si>
  <si>
    <t>dólar</t>
  </si>
  <si>
    <t>1,75 x 12 x 100 - Expanción</t>
  </si>
  <si>
    <t>2,5 x 25 x 55 x 7</t>
  </si>
  <si>
    <t>Compresión</t>
  </si>
  <si>
    <t>COMPRESIÓN</t>
  </si>
  <si>
    <t>1,75 x 14 x 100 - Expanción</t>
  </si>
  <si>
    <t>3 x 18 x 150 x 24</t>
  </si>
  <si>
    <t>1,75 x 16 x 100 - Expanción</t>
  </si>
  <si>
    <t>2 x 14 x 100 - Expanción</t>
  </si>
  <si>
    <t>Expansión</t>
  </si>
  <si>
    <t>2 x 16 x 150 - Expanción</t>
  </si>
  <si>
    <t>3 x 17 x 75 - Expanción</t>
  </si>
  <si>
    <t>2,00 x 12 x 175 - Expanción</t>
  </si>
  <si>
    <t>0,8 x 8 x 27 - Expanción</t>
  </si>
  <si>
    <t>1 x 7 x 22 - Expanción</t>
  </si>
  <si>
    <t>1,5 x 14 x 195</t>
  </si>
  <si>
    <t>1 x 8 x 25 - Expanción</t>
  </si>
  <si>
    <t xml:space="preserve">1,5 x 16 x 195 </t>
  </si>
  <si>
    <t>1,25 x 7 x 32 - Expanción</t>
  </si>
  <si>
    <t>1,75 x 28 x 195</t>
  </si>
  <si>
    <t>1,5 x  x  - Expanción</t>
  </si>
  <si>
    <t>acelerador corto x  x  - Expanción</t>
  </si>
  <si>
    <t>Cerrados</t>
  </si>
  <si>
    <t>acelerador largo x  x  - Expanción</t>
  </si>
  <si>
    <t>2 x 30 x 100 x 11</t>
  </si>
  <si>
    <t>Abiertos</t>
  </si>
  <si>
    <t>embrague Chevrol.y FORD x  x  - Expanción</t>
  </si>
  <si>
    <t>1 x 8 x 25 x 12</t>
  </si>
  <si>
    <t>acelerador falcon/ F100 x  x  - Expanción</t>
  </si>
  <si>
    <t>1,5 x 16 x 60 x 12</t>
  </si>
  <si>
    <t>embrague R/12 x  x  - Expanción</t>
  </si>
  <si>
    <t>1,5 x 24 x 45 x 6</t>
  </si>
  <si>
    <t>Embrague Taunus x  x  - Expanción</t>
  </si>
  <si>
    <t>4 x 26 x 60 x 7</t>
  </si>
  <si>
    <t>Acelel. Ref. x  x  - Expanción</t>
  </si>
  <si>
    <t>4 x 38 x 100 x 10</t>
  </si>
  <si>
    <t>Embrague Univ. Corto x  x  - Expanción</t>
  </si>
  <si>
    <t>Embrague Univ. Largo x  x  - Expanción</t>
  </si>
  <si>
    <t>USD</t>
  </si>
  <si>
    <t>Embrague  Dodge x  x  - Expanción</t>
  </si>
  <si>
    <t>P. Total</t>
  </si>
  <si>
    <t>Dias que pasaron</t>
  </si>
  <si>
    <t>Acelerador corto</t>
  </si>
  <si>
    <t>1,25 x 14-19 x 25 - Compresión</t>
  </si>
  <si>
    <t>Acelerador largo</t>
  </si>
  <si>
    <t>1,5 x .10-18 x 35 - Compresión</t>
  </si>
  <si>
    <t>+</t>
  </si>
  <si>
    <t>Acelerador falcon/ F100</t>
  </si>
  <si>
    <t>1,5 x .14-18 x 90 - Compresión</t>
  </si>
  <si>
    <t>Embrague Univ. Corto</t>
  </si>
  <si>
    <t>0,5 x 4,5 x 50 - Compresión</t>
  </si>
  <si>
    <t>0,5 x 6 x 50 - Compresión</t>
  </si>
  <si>
    <t>0,6 x 8 x 50 - Compresión</t>
  </si>
  <si>
    <t>0,8 x 9,5 x 16 - Compresión</t>
  </si>
  <si>
    <t>0,8 x 9 x 50 - Compresión</t>
  </si>
  <si>
    <t>0,8 x 11 x 50 - Compresión</t>
  </si>
  <si>
    <t>0,8 x 13 x 70 - Compresión</t>
  </si>
  <si>
    <t>1,75 x 28 x 195 x 19</t>
  </si>
  <si>
    <t>1 x 7 x 18 - Compresión</t>
  </si>
  <si>
    <t>CLAUDIO</t>
  </si>
  <si>
    <t>1 x 8 x 50 - Compresión</t>
  </si>
  <si>
    <t>1 x 12 x 100 x 20</t>
  </si>
  <si>
    <t>1 x 10 x 100 - Compresión</t>
  </si>
  <si>
    <t>2 x 30 x 195 x 16</t>
  </si>
  <si>
    <t>1 x 12 x 50 - Compresión</t>
  </si>
  <si>
    <t>1,5 x 15 x 195</t>
  </si>
  <si>
    <t>EXPANSION</t>
  </si>
  <si>
    <t>1 x 12 x 100 - Compresión</t>
  </si>
  <si>
    <t>1,5 x 17 x 195</t>
  </si>
  <si>
    <t>1 x 14 x 60 - Compresión</t>
  </si>
  <si>
    <t>1,75 x 16 x 195</t>
  </si>
  <si>
    <t>1,25 x 8 x 50 - Compresión</t>
  </si>
  <si>
    <t xml:space="preserve">1,75 x 18 x 195 </t>
  </si>
  <si>
    <t>1,25 x 10 x 50 - Compresión</t>
  </si>
  <si>
    <t>1,25 x 12 x 150 - Compresión</t>
  </si>
  <si>
    <t>1,25 x 14 x 130 - Compresión</t>
  </si>
  <si>
    <t>Fabrica</t>
  </si>
  <si>
    <t>1,5 x 12 x 50 - Compresión</t>
  </si>
  <si>
    <t>1,5 x 14 x 100 - Compresión</t>
  </si>
  <si>
    <t>1,5 x 16 x 100 - Compresión</t>
  </si>
  <si>
    <t>ROFER</t>
  </si>
  <si>
    <t>1,5 x 16 x 35 - Compresión</t>
  </si>
  <si>
    <t>1,5 x 16 x 45 - Compresión</t>
  </si>
  <si>
    <t>1,5 x 22 x 25 - Compresión</t>
  </si>
  <si>
    <t>1,75 x 16 x 100 - Compresión</t>
  </si>
  <si>
    <t>1,75 x 22 x 40 - Compresión</t>
  </si>
  <si>
    <t>2 x 16 x 100 - Compresión</t>
  </si>
  <si>
    <t>RESORTES ELINEC</t>
  </si>
  <si>
    <t>2 x 18 x 55 - Compresión</t>
  </si>
  <si>
    <t>2 x 30 x 100 - Compresión</t>
  </si>
  <si>
    <t>2 x 20 x 30 - Compresión</t>
  </si>
  <si>
    <t>2 x 25 x 35 - Compresión</t>
  </si>
  <si>
    <t>2,5 x 15 x 30 - Compresión</t>
  </si>
  <si>
    <t>2,5 x 23 x 30 - Compresión</t>
  </si>
  <si>
    <t>2,5 x 35 x 25 - Compresión</t>
  </si>
  <si>
    <t>0,5 x 3,5 x 12 - Compresión</t>
  </si>
  <si>
    <t>0,5 x 3,5 x 16 - Compresión</t>
  </si>
  <si>
    <t>0,5 x 3,5 x 25 - Compresión</t>
  </si>
  <si>
    <t>0,5 x 4,5 x 9 - Compresión</t>
  </si>
  <si>
    <t>0,5 x 4,5 x 14 - Compresión</t>
  </si>
  <si>
    <t>0,5 x 6 x 15 - Compresión</t>
  </si>
  <si>
    <t>0,5 x 7 x 6 - Compresión</t>
  </si>
  <si>
    <t>0,5 x 7,5 x 20 - Compresión</t>
  </si>
  <si>
    <t>0,8 x 7 x 15 - Compresión</t>
  </si>
  <si>
    <t>0,8 x 13 x 25 - Compresión</t>
  </si>
  <si>
    <t>1 x 6 x 8 - Compresión</t>
  </si>
  <si>
    <t>1,25 x 9 x 15 - Compresión</t>
  </si>
  <si>
    <t>1,5 x 11 x 20 - Compresión</t>
  </si>
  <si>
    <t>TIJERA PODAR - Expansión</t>
  </si>
  <si>
    <t>0,3 x 3 x 15 - Expansión</t>
  </si>
  <si>
    <t>0,3 x 4,5 x 22 - Expansión</t>
  </si>
  <si>
    <t>0,3 x 4,2 x 15 - Expansión</t>
  </si>
  <si>
    <t>0,5 x 4,5 x 80 - Expansión</t>
  </si>
  <si>
    <t>0,5 x 6 x 60 - Expansión</t>
  </si>
  <si>
    <t>0,8 x 8 x 100 - Expansión</t>
  </si>
  <si>
    <t>1 x 10 x 95 - Expansión</t>
  </si>
  <si>
    <t>1 x 10 x 144 - Expansión</t>
  </si>
  <si>
    <t>1 x 13 x 50 - Expansión</t>
  </si>
  <si>
    <t>1 x 13 x 95 - Expansión</t>
  </si>
  <si>
    <t>1 x 13 x 177 - Expansión</t>
  </si>
  <si>
    <t>1,25 x 7 x 80 - Expansión</t>
  </si>
  <si>
    <t>Resortes</t>
  </si>
  <si>
    <t>Cincado</t>
  </si>
  <si>
    <t>1,25 x 7 x 140 - Expansión</t>
  </si>
  <si>
    <t>2,5 x 33 x 50 - Compresión</t>
  </si>
  <si>
    <t>1,5 x 10 x 47 - Expansión</t>
  </si>
  <si>
    <t>1,25 x 20 x 75 - Compresión</t>
  </si>
  <si>
    <t>1,5 x 12 x 51 - Expansión</t>
  </si>
  <si>
    <t>1,5 x 12 x 140 - Expansión</t>
  </si>
  <si>
    <t>1,75 x 12 x 60 - Expansión</t>
  </si>
  <si>
    <t>1,75 x 12 x 120 - Expansión</t>
  </si>
  <si>
    <t>2,5 x 20 x 150 - Espansión</t>
  </si>
  <si>
    <t>3 x 17 x 56 - Expansión</t>
  </si>
  <si>
    <t>1,75 x 12 x 60 - Espansión</t>
  </si>
  <si>
    <t>1,25 x 13 x 13 - Compresión</t>
  </si>
  <si>
    <t>1,25 x 18 x 45 - Compresión</t>
  </si>
  <si>
    <t>0,6 x 9 x 28 - Compresión</t>
  </si>
  <si>
    <t>3 x 30 x 200 - Espansión</t>
  </si>
  <si>
    <t>0,3 x 4,5 x 13 - Compresión</t>
  </si>
  <si>
    <t>3 x 20 x 200 - Espansión</t>
  </si>
  <si>
    <t>0,3 x 5 x 30 - Compresión</t>
  </si>
  <si>
    <t>0,5 x 3,5 x 45 - Compresión</t>
  </si>
  <si>
    <t>0,5 x 6 x 35 - Compresión</t>
  </si>
  <si>
    <t>0,5 x 5 x 15 - Compresión</t>
  </si>
  <si>
    <t>0,5 x 6,5 x 12 - Compresión</t>
  </si>
  <si>
    <t>0,5 x 7,5 x 32 - Compresión</t>
  </si>
  <si>
    <t>0,5 x 6 x 45 - Compresión</t>
  </si>
  <si>
    <t>0,5 x 9 x 14 - Compresión</t>
  </si>
  <si>
    <t>0,5 x 10 x 28 - Compresión</t>
  </si>
  <si>
    <t>2,25 x 12 x 175 - Expanción</t>
  </si>
  <si>
    <t>0,6 x 6,5 x 18 - Compresión</t>
  </si>
  <si>
    <t>0,6 x 13 x 20 - Compresión</t>
  </si>
  <si>
    <t>0,7 x 8,5 x 10 - Compresión</t>
  </si>
  <si>
    <t>0,8 x 5 x 15 - Compresión</t>
  </si>
  <si>
    <t>Anterior</t>
  </si>
  <si>
    <t>0,8 x 5,5 x 36 - Compresión</t>
  </si>
  <si>
    <t>acelerador largo x  x  - Expansión</t>
  </si>
  <si>
    <t>0,8 x 7 x 16 - Compresión</t>
  </si>
  <si>
    <t>Acelel. Ref. x  x  - Expansión</t>
  </si>
  <si>
    <t>0,8 x 7 x 32 - Compresión</t>
  </si>
  <si>
    <t>1,5 x  x  - Expansión</t>
  </si>
  <si>
    <t>0,8 x 7 x 40 - Compresión</t>
  </si>
  <si>
    <t>2 x 14 x 100 - Expansión</t>
  </si>
  <si>
    <t>0,8 x 7,5 x 15 - Compresión</t>
  </si>
  <si>
    <t>0,5 x 6 x 50 - Expansión</t>
  </si>
  <si>
    <t>0,8 x 7,5 x 23 - Compresión</t>
  </si>
  <si>
    <t>3 x 17 x 75 - Expansión</t>
  </si>
  <si>
    <t>0,8 x 8 x 13 - Compresión</t>
  </si>
  <si>
    <t>0,8 x 8 x 22 - Compresión</t>
  </si>
  <si>
    <t>acelerador corto x  x  - Expansión</t>
  </si>
  <si>
    <t>0,8 x 10 x 10 - Compresión</t>
  </si>
  <si>
    <t>RESORTES GENERALES</t>
  </si>
  <si>
    <t>0,8 x 11 x 16 - Compresión</t>
  </si>
  <si>
    <t>embrague R/12 x  x  - Expansión</t>
  </si>
  <si>
    <t>0,8 x 13 x 65 - Compresión</t>
  </si>
  <si>
    <t>embrague Chevrol.y FORD x  x  - Expansión</t>
  </si>
  <si>
    <t>0,8 x 14 x 25 - Compresión</t>
  </si>
  <si>
    <t>1 x 8 x 40 - Expansión</t>
  </si>
  <si>
    <t>1,25 x 12 x 150 - Expansión</t>
  </si>
  <si>
    <t>1 x 6 x 60 - Compresión</t>
  </si>
  <si>
    <t>1 x 8 x 8 - Compresión</t>
  </si>
  <si>
    <t>1 x 8 x 15 - Compresión</t>
  </si>
  <si>
    <t>1 x 8 x 25 x 12 - Compresión</t>
  </si>
  <si>
    <t>1 x 11 x 50 - Compresión</t>
  </si>
  <si>
    <t>1 x 11 x 85 - Compresión</t>
  </si>
  <si>
    <t>1 x 15 x 20 - Compresión</t>
  </si>
  <si>
    <t>2 x 16 x 150 - Expansión</t>
  </si>
  <si>
    <t>1 x 17 x 20 - Compresión</t>
  </si>
  <si>
    <t>RESORTESGENERALES</t>
  </si>
  <si>
    <t>1 x 28 x 28 - Compresión</t>
  </si>
  <si>
    <t>1,25 x 8 x 15 - Compresión</t>
  </si>
  <si>
    <t>1,25 x 9,5 x 17 - Compresión</t>
  </si>
  <si>
    <t>1,25 x 11 x 35 - Compresión</t>
  </si>
  <si>
    <t>1,25 x 13 x 26 - Compresión</t>
  </si>
  <si>
    <t>1,25 x 14 x 65 - Compresión</t>
  </si>
  <si>
    <t>1,25 x 15 x 12 - Compresión</t>
  </si>
  <si>
    <t>1,25 x 16 x 38 - Compresión</t>
  </si>
  <si>
    <t>1,5 x 13 x 29 - Compresión</t>
  </si>
  <si>
    <t>1,5 x 16 x 60 - Compresión</t>
  </si>
  <si>
    <t>1,5 x 17 x 45 - Compresión</t>
  </si>
  <si>
    <t>1,5 x 17 x 75 - Compresión</t>
  </si>
  <si>
    <t>1,5 x 25 x 11 - Compresión</t>
  </si>
  <si>
    <t>1,5 x 24 x 45 - Compresión</t>
  </si>
  <si>
    <t>1,6 x 20 x 29 - Compresión</t>
  </si>
  <si>
    <t>1,75 x 10 x 45 - Compresión</t>
  </si>
  <si>
    <t>1,75 x 14 x 50 - Compresión</t>
  </si>
  <si>
    <t>1,75 x 16 x 50 - Compresión</t>
  </si>
  <si>
    <t>1,75 x 16 x 35 - Compresión</t>
  </si>
  <si>
    <t>1,75 x 22 x 17 - Compresión</t>
  </si>
  <si>
    <t>1,75 x 18 x 60 - Compresión</t>
  </si>
  <si>
    <t>1,75 x 28 x 80 - Compresión</t>
  </si>
  <si>
    <t>1,75 x 34 x 125 - Compresión</t>
  </si>
  <si>
    <t>1,75 x 21 x 22 - Compresión</t>
  </si>
  <si>
    <t>2,25 x 27 x 40 - Compresión</t>
  </si>
  <si>
    <t>Claudio - Resortes</t>
  </si>
  <si>
    <t>1,5 x 10 x 100 - Expansión</t>
  </si>
  <si>
    <t>1 x 8 x 25 - Compresión</t>
  </si>
  <si>
    <t>2 x 12 x 150 - Compresión</t>
  </si>
  <si>
    <t>2 x 18 x 130 - Compresión</t>
  </si>
  <si>
    <t>2 x 20 x 100 - Compresión</t>
  </si>
  <si>
    <t>2 x 25 x 100 - Compresión</t>
  </si>
  <si>
    <t>2 x 30 x 50 - Compresión</t>
  </si>
  <si>
    <t>2 x 34 x 42 - Compresión</t>
  </si>
  <si>
    <t>2,25 x 27 x 37 - Compresión</t>
  </si>
  <si>
    <t>2,5 x 17 x 35 - Compresión</t>
  </si>
  <si>
    <t>2,5 x 25 x 55 - Compresión</t>
  </si>
  <si>
    <t>2,5 x 37 x 50 - Compresión</t>
  </si>
  <si>
    <t>2,5 x 42 x 42 - Compresión</t>
  </si>
  <si>
    <t>2,75 x 38 x 42 - Compresión</t>
  </si>
  <si>
    <t>3 x 18 x 40 - Compresión</t>
  </si>
  <si>
    <t>3 x 18 x 150 - Compresión</t>
  </si>
  <si>
    <t>3 x 25 x 150 - Compresión</t>
  </si>
  <si>
    <t>3 x 33 x 55 - Compresión</t>
  </si>
  <si>
    <t>3 x 33 x 150 - Compresión</t>
  </si>
  <si>
    <t>3 x 40 x 100 - Compresión</t>
  </si>
  <si>
    <t>3,5 x 23 x 100 - Compresión</t>
  </si>
  <si>
    <t>3,5 x 27 x 60 - Compresión</t>
  </si>
  <si>
    <t>3,5 x 40 x 37 - Compresión</t>
  </si>
  <si>
    <t>4 x 22 x 50 - Compresión</t>
  </si>
  <si>
    <t>4 x 26 x 60 - Compresión</t>
  </si>
  <si>
    <t>4 x 38 x 100 - Compresión</t>
  </si>
  <si>
    <t>5 x 35 x 140 - Compresión</t>
  </si>
  <si>
    <t>5 x 45 x 90 - Compresión</t>
  </si>
  <si>
    <t>2 x 20 x 100 - Expansión</t>
  </si>
  <si>
    <t>2 x 20 x 150 - Expansión</t>
  </si>
  <si>
    <t>Alfredo?</t>
  </si>
  <si>
    <t>2,25 x 17 x 85 - Expansión</t>
  </si>
  <si>
    <t>2,5 x 20 x 150 - Expansión</t>
  </si>
  <si>
    <t>0,8 x 9 x 50 x 10</t>
  </si>
  <si>
    <t>Alfredo</t>
  </si>
  <si>
    <t>2,5 x 25 x 150 - Expansión</t>
  </si>
  <si>
    <t>1,5 x 8 x 6</t>
  </si>
  <si>
    <t>TORSION</t>
  </si>
  <si>
    <t>2,5 x 20 x 100 - Expansión</t>
  </si>
  <si>
    <t>PUEDE SER LA 51?</t>
  </si>
  <si>
    <t>3 x 20 x 200 - Expansión</t>
  </si>
  <si>
    <t>3 x 25 x 142 - Expansión</t>
  </si>
  <si>
    <t>3 x 30 x 200 - Expansión</t>
  </si>
  <si>
    <t>3,5 x 25 x 130 - Expansión</t>
  </si>
  <si>
    <t>3,5 x 32 x 130 - Expansión</t>
  </si>
  <si>
    <t>0,8 x 11 x 16 x 5</t>
  </si>
  <si>
    <t>4 x 32 x 156 - Expansión</t>
  </si>
  <si>
    <t>2,25 x 27 x 40 x 5</t>
  </si>
  <si>
    <t>4,5 x 32 x 200 - Expansión</t>
  </si>
  <si>
    <t>0,8 x 8 x 195 x 56</t>
  </si>
  <si>
    <t>5 x 39 x 200 - Expansión</t>
  </si>
  <si>
    <t>0,8 x 10 x 195 x 45</t>
  </si>
  <si>
    <t>1,5 x 22 x 195 x 22</t>
  </si>
  <si>
    <t>2 x 20 x 195 x 25</t>
  </si>
  <si>
    <t>3 x 18 x 40 x 6,5</t>
  </si>
  <si>
    <t>PEDIDO
RESORTES GENERALES</t>
  </si>
  <si>
    <t>Precios</t>
  </si>
  <si>
    <t>1 Paquete</t>
  </si>
  <si>
    <t>NO</t>
  </si>
  <si>
    <t>6003C</t>
  </si>
  <si>
    <t>3024C</t>
  </si>
  <si>
    <t>acelerador falcon/ F100 x  x  - Expansión</t>
  </si>
  <si>
    <t>Embrague Taunus x  x  - Expansión</t>
  </si>
  <si>
    <t>Embrague Univ. Corto x  x  - Expansión</t>
  </si>
  <si>
    <t>Embrague Univ. Largo x  x  - Expansión</t>
  </si>
  <si>
    <t>Embrague  Dodge x  x  - Expansión</t>
  </si>
  <si>
    <t>2200 R</t>
  </si>
  <si>
    <t>22038 I</t>
  </si>
  <si>
    <t>2564 K</t>
  </si>
  <si>
    <t>2623 L</t>
  </si>
  <si>
    <t>2624 L</t>
  </si>
  <si>
    <t>2704=2905</t>
  </si>
  <si>
    <t>2705=2906</t>
  </si>
  <si>
    <t>2706=5666</t>
  </si>
  <si>
    <t>2741(I)</t>
  </si>
  <si>
    <t>2741(D)</t>
  </si>
  <si>
    <t>2828/1</t>
  </si>
  <si>
    <t>CONECTORES NEUMATICOS</t>
  </si>
  <si>
    <t>PEDIDO CONECTORES Y/O RACORD</t>
  </si>
  <si>
    <t>Descripcion</t>
  </si>
  <si>
    <t>REAL</t>
  </si>
  <si>
    <t>Nacional</t>
  </si>
  <si>
    <t>VERDE</t>
  </si>
  <si>
    <t>MATIAS RACORD</t>
  </si>
  <si>
    <t>PRECIO</t>
  </si>
  <si>
    <t>FINAL</t>
  </si>
  <si>
    <t>000-00</t>
  </si>
  <si>
    <t>ACOPLE RAP 1/8 R H 1/8 BSP</t>
  </si>
  <si>
    <t>Importado</t>
  </si>
  <si>
    <t>ROJO</t>
  </si>
  <si>
    <t>Lista</t>
  </si>
  <si>
    <t>PRECIO USD</t>
  </si>
  <si>
    <t>PRECIO $</t>
  </si>
  <si>
    <t>GANANCIA</t>
  </si>
  <si>
    <t>CANT</t>
  </si>
  <si>
    <t>000-05</t>
  </si>
  <si>
    <t>ACOPLE RAP 1/8 R M 1/8 BSPT</t>
  </si>
  <si>
    <t>=+BUSCARV(AK3&amp;AJ3;'G:\Mi unidad\Maxi\MAXXX TRABAJO\Organización Maxi 01-04-2018\02 PROGRAMA DE VENTAS - Optimizado.xlsm'!LISTAS[[ID]:[Precio]];5;0)</t>
  </si>
  <si>
    <t>LINEA RACORD 1/4 M x 6mm</t>
  </si>
  <si>
    <t>000-06</t>
  </si>
  <si>
    <t>ACOPLE RAP 1/8 R M 1/4 BSPT</t>
  </si>
  <si>
    <t>LINEA RACORD 1/4 M x 8mm</t>
  </si>
  <si>
    <t>000-10</t>
  </si>
  <si>
    <t>PTA ACOPLE RAP 1/8  R H 1/8 BSP</t>
  </si>
  <si>
    <t>LINEA RACORD 1/4 M x 10mm</t>
  </si>
  <si>
    <t>000-15</t>
  </si>
  <si>
    <t>PTA ACOPLE RAP 1/8 R M 1/8 BSPT</t>
  </si>
  <si>
    <t>LINEA RACORD 1/4 M x 12mm</t>
  </si>
  <si>
    <t>000-16</t>
  </si>
  <si>
    <t>PTA ACOPLE RAP 1/8 R M 1/4 BSPT</t>
  </si>
  <si>
    <t>LINEA RACORD 1/4 He x 6mm</t>
  </si>
  <si>
    <t>000-17</t>
  </si>
  <si>
    <t>PTA ACOPLE RAP 1/8 MANG 6 MM</t>
  </si>
  <si>
    <t>Rollo</t>
  </si>
  <si>
    <t>alnat</t>
  </si>
  <si>
    <t>johana</t>
  </si>
  <si>
    <t>diff. En %</t>
  </si>
  <si>
    <t>diff. En $</t>
  </si>
  <si>
    <t>LINEA RACORD 1/4 He x 8mm</t>
  </si>
  <si>
    <t>000-25</t>
  </si>
  <si>
    <t>LINEA RACORD 1/4 He x 10mm</t>
  </si>
  <si>
    <t>000-26</t>
  </si>
  <si>
    <t>PTA ACOPLE RAP 1/8 MANG 8 MM</t>
  </si>
  <si>
    <t>LINEA RACORD 1/4 He x 12mm</t>
  </si>
  <si>
    <t>000-28</t>
  </si>
  <si>
    <t>PTA ACOPLE RAP 1/8 R M 1/8 MANG 6 MM</t>
  </si>
  <si>
    <t>LINEA UNION MANGUERA x 6mm</t>
  </si>
  <si>
    <t>000-29</t>
  </si>
  <si>
    <t>PTA ACOPLE RAP 1/8 R M 1/8 MANG 8 MM</t>
  </si>
  <si>
    <t>LINEA UNION MANGUERA x 8mm</t>
  </si>
  <si>
    <t>000-40</t>
  </si>
  <si>
    <t>LINEA UNION MANGUERA x 10mm</t>
  </si>
  <si>
    <t>001-00</t>
  </si>
  <si>
    <t>ACOPLE RAP 1/4  R H 1/8 BSP</t>
  </si>
  <si>
    <t>LINEA UNION MANGUERA x 12mm</t>
  </si>
  <si>
    <t>001-01</t>
  </si>
  <si>
    <t>ACOPLE 1/4  ROSCA H 1/4</t>
  </si>
  <si>
    <t>LINEA NIPLE ACOPLE-MANGUERA DE 6mm</t>
  </si>
  <si>
    <t>001-01BR</t>
  </si>
  <si>
    <t>ACOPLE 1/4 ROSCA HEMBRA 1/4 SIN PUNTA</t>
  </si>
  <si>
    <t>LINEA NIPLE ACOPLE-MANGUERA DE 8mm</t>
  </si>
  <si>
    <t>001-02</t>
  </si>
  <si>
    <t>ACOPLE RAP 1/4  R H 3/8 BSP</t>
  </si>
  <si>
    <t>LINEA NIPLE ACOPLE-MANGUERA DE 10mm</t>
  </si>
  <si>
    <t>001-03</t>
  </si>
  <si>
    <t>ACOPLE RAP 1/4  R H 1/2 BSP</t>
  </si>
  <si>
    <t>LINEA NIPLE DE 1/4 He x ACOPLE</t>
  </si>
  <si>
    <t>001-05</t>
  </si>
  <si>
    <t>ACOPLE RAP 1/4  R M 1/8 BSPT</t>
  </si>
  <si>
    <t>LINEA NIPLE DE 1/4 M x ACOPLE</t>
  </si>
  <si>
    <t>001-06</t>
  </si>
  <si>
    <t>ACOPLE RAP 1/4  R M 1/4 BSPT</t>
  </si>
  <si>
    <t>Acople Rapido</t>
  </si>
  <si>
    <t>001-07</t>
  </si>
  <si>
    <t>ACOPLE RAP 1/4  R M 3/8 BSPT</t>
  </si>
  <si>
    <t>Pico gomero x acople</t>
  </si>
  <si>
    <t>001-08</t>
  </si>
  <si>
    <t>ACOPLE RAP 1/4  R M 1/2 BSPT</t>
  </si>
  <si>
    <t>Pico gomero x Manguera de 8</t>
  </si>
  <si>
    <t>001-10</t>
  </si>
  <si>
    <t>ACOPLE RAP 1/4  MAN 1/4</t>
  </si>
  <si>
    <t>001-11</t>
  </si>
  <si>
    <t>ACOPLE RAP 1/4  MAN 5/16</t>
  </si>
  <si>
    <t>001-12</t>
  </si>
  <si>
    <t>ACOPLE RAP 1/4  MAN 3/8</t>
  </si>
  <si>
    <t>001-13</t>
  </si>
  <si>
    <t>ACOPLE RAP 1/4  MAN 1/2</t>
  </si>
  <si>
    <t>001-15</t>
  </si>
  <si>
    <t>PTA ACOPLE RAP 1/4 R H 1/8 BSP</t>
  </si>
  <si>
    <t>001-16</t>
  </si>
  <si>
    <t>PTA ACOPLE RAP 1/4  5/16 32 P/CAMARA</t>
  </si>
  <si>
    <t>001-18</t>
  </si>
  <si>
    <t>PTA ACOPLE RAP 1/4 R H 3/8 BSP</t>
  </si>
  <si>
    <t>001-20</t>
  </si>
  <si>
    <t>PTA ACOPLE RAP 1/4 R M 1/8 BSPT</t>
  </si>
  <si>
    <t>001-21BR</t>
  </si>
  <si>
    <t>PTA ACOPLE RAP 1/4 R M 1/4 BSPT BRONCE</t>
  </si>
  <si>
    <t>001-22</t>
  </si>
  <si>
    <t>PTA ACOPLE RAP 1/4 R M 3/8 BSPT</t>
  </si>
  <si>
    <t>001-30</t>
  </si>
  <si>
    <t>ACOPLE 1/4 CONTRATUERCA MONTAJE EN PANEL</t>
  </si>
  <si>
    <t>002-00</t>
  </si>
  <si>
    <t>ACOPLE RAP 3/8  PTA CORTA R H 1/4 BSP</t>
  </si>
  <si>
    <t>002-01</t>
  </si>
  <si>
    <t>ACOPLE RAP 3/8  PTA CORTA R H 3/8 BSP</t>
  </si>
  <si>
    <t>Tipo</t>
  </si>
  <si>
    <t>002-02</t>
  </si>
  <si>
    <t>ACOPLE RAP 3/8  PTA CORTA R H 1/2 BSP</t>
  </si>
  <si>
    <t>002-05</t>
  </si>
  <si>
    <t>ACOPLE RAP 3/8  PTA CORTA R M 1/4 BSPT</t>
  </si>
  <si>
    <t>002-06</t>
  </si>
  <si>
    <t>ACOPLE RAP 3/8  PTA CORTA R M 3/8 BSPT</t>
  </si>
  <si>
    <t>002-07</t>
  </si>
  <si>
    <t>ACOPLE RAP 3/8  PTA CORTA R M 1/2 BSPT</t>
  </si>
  <si>
    <t>002-10</t>
  </si>
  <si>
    <t>ACOPLE RAP 3/8  PTA CORTA MANG 5/16</t>
  </si>
  <si>
    <t>002-11</t>
  </si>
  <si>
    <t>ACOPLE RAP 3/8  PTA CORTA MANG 3/8</t>
  </si>
  <si>
    <t>002-12</t>
  </si>
  <si>
    <t>ACOPLE RAP 3/8  PTA CORTA MANG 1/2</t>
  </si>
  <si>
    <t>002-15</t>
  </si>
  <si>
    <t>PTA ACOPLE RAP 3/8  PTA CORTA R H 1/4 BSP</t>
  </si>
  <si>
    <t>002-16</t>
  </si>
  <si>
    <t>PTA ACOPLE RAP 3/8  PTA CORTA R H 3/8 BSP</t>
  </si>
  <si>
    <t>002-17</t>
  </si>
  <si>
    <t>PTA ACOPLE RAP 3/8  PTA CORTA R H 1/2 BSP</t>
  </si>
  <si>
    <t>002-20</t>
  </si>
  <si>
    <t>PTA ACOPLE RAP 3/8  PTA CORTA R M 1/4 BSPT</t>
  </si>
  <si>
    <t>002-21</t>
  </si>
  <si>
    <t>PTA ACOPLE RAP 3/8  PTA CORTA R M 3/8 BSPT</t>
  </si>
  <si>
    <t>002-22</t>
  </si>
  <si>
    <t>PTA ACOPLE RAP 3/8  PTA CORTA R M 1/2 BSPT</t>
  </si>
  <si>
    <t>002-25</t>
  </si>
  <si>
    <t>PTA ACOPLE RAP 3/8  PTA CORTA MANG 8 MM</t>
  </si>
  <si>
    <t>002-26</t>
  </si>
  <si>
    <t>PTA ACOPLE RAP 3/8  PTA CORTA MANG 9.5 MM</t>
  </si>
  <si>
    <t>002-27</t>
  </si>
  <si>
    <t>PTA ACOPLE RAP 3/8  PTA CORTA MANG 12.7 MM</t>
  </si>
  <si>
    <t>002-29</t>
  </si>
  <si>
    <t>ACOPLE RAP 3/8  R H 1/4 BSP</t>
  </si>
  <si>
    <t>002-30</t>
  </si>
  <si>
    <t>ACOPLE RAP 3/8  R H 3/8 BSP</t>
  </si>
  <si>
    <t>002-31</t>
  </si>
  <si>
    <t>ACOPLE RAP 3/8  R H 1/2 BSP</t>
  </si>
  <si>
    <t>002-34</t>
  </si>
  <si>
    <t>ACOPLE  3/8 RM 1/4 BSPT</t>
  </si>
  <si>
    <t>002-35</t>
  </si>
  <si>
    <t>ACOPLE RAP 3/8  R M 3/8 BSPT</t>
  </si>
  <si>
    <t>Neumatico</t>
  </si>
  <si>
    <t>002-36</t>
  </si>
  <si>
    <t>ACOPLE RAP 3/8  R M 1/2 BSPT</t>
  </si>
  <si>
    <t>B11</t>
  </si>
  <si>
    <t>20</t>
  </si>
  <si>
    <t>CONECCIONES DE COMBUSTIBLE</t>
  </si>
  <si>
    <t>B16</t>
  </si>
  <si>
    <t>B20</t>
  </si>
  <si>
    <t>B25</t>
  </si>
  <si>
    <t>002-52</t>
  </si>
  <si>
    <t>PTA ACOPLE RAP 3/8  R M 1/2 BSPT</t>
  </si>
  <si>
    <t>D20</t>
  </si>
  <si>
    <t>002-55</t>
  </si>
  <si>
    <t>PTA ACOPLE RAP 3/8  MANG 6 MM</t>
  </si>
  <si>
    <t>DU4</t>
  </si>
  <si>
    <t>002-56</t>
  </si>
  <si>
    <t>PTA ACOPLE RAP 3/8  MANG 8 MM</t>
  </si>
  <si>
    <t>30</t>
  </si>
  <si>
    <t>002-57</t>
  </si>
  <si>
    <t>PTA ACOPLE RAP 3/8  MANG 9.5 MM</t>
  </si>
  <si>
    <t>50</t>
  </si>
  <si>
    <t>002-58</t>
  </si>
  <si>
    <t>PTA ACOPLE RAP 3/8  MANG 12.70 MM</t>
  </si>
  <si>
    <t>003-00</t>
  </si>
  <si>
    <t>ACOPLE RAP 1/2  R H 1/2 BSP</t>
  </si>
  <si>
    <t>100</t>
  </si>
  <si>
    <t>003-01</t>
  </si>
  <si>
    <t>ACOPLE RAP 1/2  R H 3/4 BSP</t>
  </si>
  <si>
    <t>003-05</t>
  </si>
  <si>
    <t>ACOPLE RAP 1/2  R M 1/2 BSPT</t>
  </si>
  <si>
    <t>003-06</t>
  </si>
  <si>
    <t>ACOPLE RAP 1/2  R M 3/4 BSPT</t>
  </si>
  <si>
    <t>25</t>
  </si>
  <si>
    <t>20001IC04206029X MANGO BRONCE 10 MM</t>
  </si>
  <si>
    <t>003-07</t>
  </si>
  <si>
    <t>ACOPLE RAP 1/2  MANG 12.70 MM</t>
  </si>
  <si>
    <t>15</t>
  </si>
  <si>
    <t>19001IC04208820R MANGO BRONCE 3/8</t>
  </si>
  <si>
    <t>003-15</t>
  </si>
  <si>
    <t>PTA ACOPLE RAP 1/2  R H 1/2 BSP</t>
  </si>
  <si>
    <t>TUERCA AJUSTE BRONCE  CONEXIÓN C/VIROLA TUBO 12 MM</t>
  </si>
  <si>
    <t>003-16</t>
  </si>
  <si>
    <t>PTA ACOPLE RAP 1/2  R H 3/4 BSP</t>
  </si>
  <si>
    <t>CUERPO UNION DOBLE AJUSTE VIROLA 3/8</t>
  </si>
  <si>
    <t>003-20</t>
  </si>
  <si>
    <t>PTA ACOPLE RAP 1/2  R M 1/2 BSPT</t>
  </si>
  <si>
    <t>CUERPO UNION DOBLE AJUSTE VIROLA 5/16</t>
  </si>
  <si>
    <t>003-21</t>
  </si>
  <si>
    <t>PTA ACOPLE RAP 1/2  R M 3/4 BSPT</t>
  </si>
  <si>
    <t>CUERPO UNION DOBLE VIROLA 10 MM</t>
  </si>
  <si>
    <t>003-24</t>
  </si>
  <si>
    <t>PUNTA ACO 1/2 MANGUERA DE 3/8</t>
  </si>
  <si>
    <t>003-25</t>
  </si>
  <si>
    <t>PTA ACOPLE RAP 1/2  MANG 12.7 MM</t>
  </si>
  <si>
    <t>003-26</t>
  </si>
  <si>
    <t>PTA ACOPLE RAP 1/2  MANG 16 MM</t>
  </si>
  <si>
    <t>003-27</t>
  </si>
  <si>
    <t>PTA ACOPLE RAP 1/2  MANG 19 MM</t>
  </si>
  <si>
    <t>10</t>
  </si>
  <si>
    <t>003-30</t>
  </si>
  <si>
    <t>ACOPLE RAP 3/4  R H 3/4 BSP</t>
  </si>
  <si>
    <t>003-35</t>
  </si>
  <si>
    <t>ACOPLE RAP 3/4  R M 3/4 BSPT</t>
  </si>
  <si>
    <t>003-45</t>
  </si>
  <si>
    <t>PTA ACOPLE RAP 3/4  R H 3/4 BSP</t>
  </si>
  <si>
    <t>003-50</t>
  </si>
  <si>
    <t>PTA ACOPLE RAP 3/4  R M 3/4 BSPT</t>
  </si>
  <si>
    <t>003-55</t>
  </si>
  <si>
    <t>PTA ACOPLE RAP 3/4  MANG 16 MM</t>
  </si>
  <si>
    <t>003-56</t>
  </si>
  <si>
    <t>PTA ACOPLE RAP 3/4  MANG 19 MM</t>
  </si>
  <si>
    <t>004-01B</t>
  </si>
  <si>
    <t>RACORD R H 1/8 BSP MANG 6 MM BRONCE</t>
  </si>
  <si>
    <t>004-02B</t>
  </si>
  <si>
    <t>RACORD R H 1/8 BPS MANG 8 MM BRONCE</t>
  </si>
  <si>
    <t>004-03B</t>
  </si>
  <si>
    <t>RACORD R H 1/4 BSP MANG 6 MM BRONCE</t>
  </si>
  <si>
    <t>2</t>
  </si>
  <si>
    <t>004-04B</t>
  </si>
  <si>
    <t>RACORD R H 1/4 BSP MANG 8 MM BRONCE</t>
  </si>
  <si>
    <t>004-06B</t>
  </si>
  <si>
    <t>RACORD R H 1/4 BSP MANG 9.5 MM BRONCE</t>
  </si>
  <si>
    <t>004-07B</t>
  </si>
  <si>
    <t>RACORD R H 1/4 BSP MANG 12.70 MM BRONCE</t>
  </si>
  <si>
    <t>004-08</t>
  </si>
  <si>
    <t>RACORD R H 3/8 BSP MANG 6 MM</t>
  </si>
  <si>
    <t>004-08B</t>
  </si>
  <si>
    <t>RACORD R H 3/8 BSP MANG 6 MM BRONCE</t>
  </si>
  <si>
    <t>004-09</t>
  </si>
  <si>
    <t>RACORD R H 3/8 BSP MANG 8 MM</t>
  </si>
  <si>
    <t>004-09B</t>
  </si>
  <si>
    <t>RACORD R H 3/8 BSP MANG 8 MM BRONCE</t>
  </si>
  <si>
    <t>004-10</t>
  </si>
  <si>
    <t>RACORD R H 3/8 BSP MANG 9.5  MM</t>
  </si>
  <si>
    <t>004-10B</t>
  </si>
  <si>
    <t>RACORD R H 3/8 BSP MANG 9.5 MM BRONCE</t>
  </si>
  <si>
    <t>004-11</t>
  </si>
  <si>
    <t>RACORD R H 3/8 BSP MANG 12.70 MM</t>
  </si>
  <si>
    <t>004-11B</t>
  </si>
  <si>
    <t>RACORD R H 3/8 BSP MANG 12.7 MM BRONCE</t>
  </si>
  <si>
    <t>004-12</t>
  </si>
  <si>
    <t>RACORD R H 1/2 BSP MANG 8 MM</t>
  </si>
  <si>
    <t>004-12B</t>
  </si>
  <si>
    <t>RACORD R H 1/2 BSP MANG 8 MM BRONCE</t>
  </si>
  <si>
    <t>004-13</t>
  </si>
  <si>
    <t>RACORD R H 1/2 BSP MANG 12.70 MM</t>
  </si>
  <si>
    <t>004-13B</t>
  </si>
  <si>
    <t>RACORD R H 1/2 BSP MANG 12.7 MM BRONCE</t>
  </si>
  <si>
    <t>004-14</t>
  </si>
  <si>
    <t>RACORD R H 3/4 BSP MANG 19 MM</t>
  </si>
  <si>
    <t>005-01B</t>
  </si>
  <si>
    <t>RACORD R M 1/8 BSPT MANG 6 MM BRONCE</t>
  </si>
  <si>
    <t>005-02B</t>
  </si>
  <si>
    <t>RACORD R M 1/8 BSPT MANG 8 MM BRONCE</t>
  </si>
  <si>
    <t>005-03B</t>
  </si>
  <si>
    <t>RACORD R M 1/4 BSPT MANG 6 MM BRONCE</t>
  </si>
  <si>
    <t>005-04B</t>
  </si>
  <si>
    <t>RACORD R M 1/4 BSPT MANG 8 MM BRONCE</t>
  </si>
  <si>
    <t>005-05B</t>
  </si>
  <si>
    <t>RACORD R M 1/4 BSPT MANG 9.5 MM BRONCE</t>
  </si>
  <si>
    <t>005-06B</t>
  </si>
  <si>
    <t>RACORD R M 1/4 BSPT MANG 12.70 MM BRONCE</t>
  </si>
  <si>
    <t>005-07B</t>
  </si>
  <si>
    <t>RACORD R M 3/8 BSPT MANG 8 MM BRONCE</t>
  </si>
  <si>
    <t>005-08B</t>
  </si>
  <si>
    <t>RACORD R M 3/8 BSPT MANG 9.5 MM BRONCE</t>
  </si>
  <si>
    <t>005-09B</t>
  </si>
  <si>
    <t>RACORD R M 3/8 BSPT MANG 12.70 MM BRONCE</t>
  </si>
  <si>
    <t>005-10</t>
  </si>
  <si>
    <t>RACORD R M 1/2 BSPT MANG 6 MM</t>
  </si>
  <si>
    <t>005-10B</t>
  </si>
  <si>
    <t>RACORD R M 1/2 BSPT MANG 6 MM BRONCE</t>
  </si>
  <si>
    <t>005-11</t>
  </si>
  <si>
    <t>RACORD R M 1/2 BSPT MANG 8 MM</t>
  </si>
  <si>
    <t>005-11B</t>
  </si>
  <si>
    <t>RACORD R M 1/2 BSPT MANG 8 MM BRONCE</t>
  </si>
  <si>
    <t>005-12B</t>
  </si>
  <si>
    <t>RACORD R M 1/2 BSPT MANG 9.5 MM BRONCE</t>
  </si>
  <si>
    <t>005-13B</t>
  </si>
  <si>
    <t>RACORD R M 1/2 BSPT MANG 12.70 MM BRONCE</t>
  </si>
  <si>
    <t>005-14B</t>
  </si>
  <si>
    <t>RACORD R M 1/8 BSPT MANG 9.5 MM BRONCE</t>
  </si>
  <si>
    <t>005-15B</t>
  </si>
  <si>
    <t>RACORD R M 1/8 BSPT MANG 12.7 MM BRONCE</t>
  </si>
  <si>
    <t>005-16</t>
  </si>
  <si>
    <t>RACORD R M 3/8 BSPT MANG 6 MM</t>
  </si>
  <si>
    <t>005-16B</t>
  </si>
  <si>
    <t>RACORD R M 3/8 BSPT MANG 6 MM BRONCE</t>
  </si>
  <si>
    <t>005-17B</t>
  </si>
  <si>
    <t>RACORD R M 1/2 BSPT MANG 16 MM BRONCE</t>
  </si>
  <si>
    <t>005-18B</t>
  </si>
  <si>
    <t>RACORD R M 1/2 BSPT MANG 19 MM BRONCE</t>
  </si>
  <si>
    <t>005-19</t>
  </si>
  <si>
    <t>RACORD R M 3/4 BSPT MANG 16 MM</t>
  </si>
  <si>
    <t>005-19B</t>
  </si>
  <si>
    <t>RACORD R M 3/4 BSPT MANG 16 MM BRONCE</t>
  </si>
  <si>
    <t>005-20B</t>
  </si>
  <si>
    <t>RACORD R M 3/4 BSPT MANG 19 MM BRONCE</t>
  </si>
  <si>
    <t>005-21</t>
  </si>
  <si>
    <t>RACORD R M 3/4 BSPT MANG 25 MM</t>
  </si>
  <si>
    <t>005-21B</t>
  </si>
  <si>
    <t>RACORD R M 3/4 BSPT MANG 25 MM BRONCE</t>
  </si>
  <si>
    <t>005-22</t>
  </si>
  <si>
    <t>RACORD R M 1" BSPT MANG 19 MM</t>
  </si>
  <si>
    <t>005-22B</t>
  </si>
  <si>
    <t>RACORD R M 1'' BSPT MANG 19 MM BRONCE</t>
  </si>
  <si>
    <t>005-23</t>
  </si>
  <si>
    <t>RACORD R M 1" BSPT MANG 25 MM</t>
  </si>
  <si>
    <t>005-23B</t>
  </si>
  <si>
    <t>RACORD R M 1'' BSPT MANG 25 MM BRONCE</t>
  </si>
  <si>
    <t>005-24</t>
  </si>
  <si>
    <t>RACORD R M 3/4 BSPT MANG 12.70 MM</t>
  </si>
  <si>
    <t>005-24B</t>
  </si>
  <si>
    <t>RACORD R M 3/4 BSPT MANG 12.70 MM BRONCE</t>
  </si>
  <si>
    <t>006-01</t>
  </si>
  <si>
    <t>RED RM 1/4 BSPT - RH 1/8 BSP</t>
  </si>
  <si>
    <t>006-01B</t>
  </si>
  <si>
    <t>RED RM 1/4M BSPT - RH 1/8 BSP BRONCE</t>
  </si>
  <si>
    <t>006-02B</t>
  </si>
  <si>
    <t>RED RM 3/8BSPT - RH 1/4 BSP BRONCE</t>
  </si>
  <si>
    <t>006-03B</t>
  </si>
  <si>
    <t>006-04</t>
  </si>
  <si>
    <t>RED RM 1/2 BSPT - RH 3/8 BSP</t>
  </si>
  <si>
    <t>006-04B</t>
  </si>
  <si>
    <t>RED RM 1/2 BSPT -RH 3/8 BSP BRONCE</t>
  </si>
  <si>
    <t>006-05B</t>
  </si>
  <si>
    <t>RED RM 3/8 BSPT - RH 1/8 BSP BRONCE</t>
  </si>
  <si>
    <t>006-06</t>
  </si>
  <si>
    <t>RED RM 3/4 BSPT - RH 1/2 BSP</t>
  </si>
  <si>
    <t>006-06B</t>
  </si>
  <si>
    <t>RED RM 3/4 BSPT - RH 1/2 BSP BRONCE</t>
  </si>
  <si>
    <t>006-07</t>
  </si>
  <si>
    <t>RED RM 3/4 BSPT - RH 5/8 BSP</t>
  </si>
  <si>
    <t>006-07B</t>
  </si>
  <si>
    <t>RED RM 3/4 BSPT - RH 5/8 BSP BRONCE</t>
  </si>
  <si>
    <t>006-08</t>
  </si>
  <si>
    <t>RED RM 1 BSPT - RH 3/8 BSP</t>
  </si>
  <si>
    <t>006-09</t>
  </si>
  <si>
    <t>RED RM 1 BSPT - RH 1/2 BSP</t>
  </si>
  <si>
    <t>006-10</t>
  </si>
  <si>
    <t>RED RM 1 BSPT - RH 3/4 BSP</t>
  </si>
  <si>
    <t>006-11</t>
  </si>
  <si>
    <t>RED RM 3/4 - RH 3/8</t>
  </si>
  <si>
    <t>006-23</t>
  </si>
  <si>
    <t>REDUCCION H3/8 BSP - M 1/4 BSPT</t>
  </si>
  <si>
    <t>006-25</t>
  </si>
  <si>
    <t>REDUCCION H 1/2 BSP- M 1/4 BSPT</t>
  </si>
  <si>
    <t>006-26</t>
  </si>
  <si>
    <t>REDUCCION H 1/2 BSP- M 3/8 BSPT</t>
  </si>
  <si>
    <t>006-28</t>
  </si>
  <si>
    <t>REDUCCIO H 3/4 BSP - H 1/2 BSPT</t>
  </si>
  <si>
    <t>007-01B</t>
  </si>
  <si>
    <t>ENTRE ROSCA M-M 1/8 BSPT BRONCE</t>
  </si>
  <si>
    <t>007-02B</t>
  </si>
  <si>
    <t>ENTRE ROSCA M-M 1/4 BSPT BRONCE</t>
  </si>
  <si>
    <t>007-03B</t>
  </si>
  <si>
    <t>ENTRE ROSCA M-M 3/8 BSPT BRONCE</t>
  </si>
  <si>
    <t>007-04</t>
  </si>
  <si>
    <t>ENTRE ROSCA M-M 1/2 BSPT</t>
  </si>
  <si>
    <t>007-04B</t>
  </si>
  <si>
    <t>ENTRE ROSCA M-M 1/2 BSPT BRONCE</t>
  </si>
  <si>
    <t>007-05</t>
  </si>
  <si>
    <t>ENTRE ROSCA M-M 3/4 BSPT</t>
  </si>
  <si>
    <t>007-05B</t>
  </si>
  <si>
    <t>ENTRE ROSCA M-M 3/4 BSPT BRONCE</t>
  </si>
  <si>
    <t>007-06</t>
  </si>
  <si>
    <t>ENTRE ROSCA M-M 1" BSPT</t>
  </si>
  <si>
    <t>007-06B</t>
  </si>
  <si>
    <t>ENTRE ROSCA 1"BSPT BRONCE</t>
  </si>
  <si>
    <t>008-01</t>
  </si>
  <si>
    <t>RED R M 1/4 BSPT - R M 1/8 BSPT</t>
  </si>
  <si>
    <t>008-01B</t>
  </si>
  <si>
    <t>RED R M 1/4 BSPT - R M 1/8 BSPT BRONCE</t>
  </si>
  <si>
    <t>008-02B</t>
  </si>
  <si>
    <t>RED S M 3/8 BSPT - R M 1/4 BSPT BRONCE</t>
  </si>
  <si>
    <t>008-03B</t>
  </si>
  <si>
    <t>RED R M 1/2 BSPT - R M 1/4 BSPT BRONCE</t>
  </si>
  <si>
    <t>008-04B</t>
  </si>
  <si>
    <t>RED R M 1/2 BSPT - R M 3/8 BSPT BRONCE</t>
  </si>
  <si>
    <t>008-05</t>
  </si>
  <si>
    <t>RED R M 3/4 BSPT - R M 1/2 BSPT</t>
  </si>
  <si>
    <t>008-05B</t>
  </si>
  <si>
    <t>RED R M 3/4 BSPT - R M 1/2 BSPT BRONCE</t>
  </si>
  <si>
    <t>008-06</t>
  </si>
  <si>
    <t>RED R M 1 BSPT - R M 1/2 BSPT</t>
  </si>
  <si>
    <t>008-07</t>
  </si>
  <si>
    <t>RED R M 3/4 BSPT - R M 1 BSPT</t>
  </si>
  <si>
    <t>009-01B</t>
  </si>
  <si>
    <t>CUPLA H-H  1/8 BSP BRONCE</t>
  </si>
  <si>
    <t>009-02B</t>
  </si>
  <si>
    <t>CUPLA H-H 1/4 BSP BRONCE</t>
  </si>
  <si>
    <t>009-03B</t>
  </si>
  <si>
    <t>CUPLA H-H  3/8 BSP BRONCE</t>
  </si>
  <si>
    <t>009-04</t>
  </si>
  <si>
    <t>CUPLA H-H 1/2 BSP</t>
  </si>
  <si>
    <t>009-04B</t>
  </si>
  <si>
    <t>CUPLA H-H 1/2 BSP BRONCE</t>
  </si>
  <si>
    <t>009-05</t>
  </si>
  <si>
    <t>CUPLA H-H 3/4 BSP</t>
  </si>
  <si>
    <t>009-05B</t>
  </si>
  <si>
    <t>CUPLA H-H 3/4 BSP BRONCE</t>
  </si>
  <si>
    <t>009-12</t>
  </si>
  <si>
    <t>CUPLA RED H 1/2- H 1/4 BSP</t>
  </si>
  <si>
    <t>009-13</t>
  </si>
  <si>
    <t>CUPLA RED H 1/2 - H 3/8 BSP</t>
  </si>
  <si>
    <t>009-14</t>
  </si>
  <si>
    <t>CUPLA RED H 3/4 - H 1/2 BSP</t>
  </si>
  <si>
    <t>009-15</t>
  </si>
  <si>
    <t>CUPLA RED H3/4- H 5/8 BSP</t>
  </si>
  <si>
    <t>010-01</t>
  </si>
  <si>
    <t>TAPON 1/8 BSPT</t>
  </si>
  <si>
    <t>010-01B</t>
  </si>
  <si>
    <t>TAPON 1/8 BSPT BRONCE</t>
  </si>
  <si>
    <t>010-02</t>
  </si>
  <si>
    <t>TAPON 1/4 BSPT</t>
  </si>
  <si>
    <t>010-02B</t>
  </si>
  <si>
    <t>TAPON 1/4 BSPT BRONCE</t>
  </si>
  <si>
    <t>010-03</t>
  </si>
  <si>
    <t>TAPON 3/8 BSPT</t>
  </si>
  <si>
    <t>010-03B</t>
  </si>
  <si>
    <t>TAPON 3/8  BSPT BRONCE</t>
  </si>
  <si>
    <t>010-04</t>
  </si>
  <si>
    <t>TAPON 1/2 BSPT</t>
  </si>
  <si>
    <t>010-04B</t>
  </si>
  <si>
    <t>TAPON 1/2 BSPT BRONCE</t>
  </si>
  <si>
    <t>010-05</t>
  </si>
  <si>
    <t>TAPON 3/4 BSPT</t>
  </si>
  <si>
    <t>010-05B</t>
  </si>
  <si>
    <t>TAPON 3/4 BSPT BRONCE</t>
  </si>
  <si>
    <t>010-06</t>
  </si>
  <si>
    <t>TAPON 1" BSPT</t>
  </si>
  <si>
    <t>010-06B</t>
  </si>
  <si>
    <t>TAPON 1'' BSPT BRONCE</t>
  </si>
  <si>
    <t>011-01B</t>
  </si>
  <si>
    <t>UNION DOBLE 6 MM BRONCE</t>
  </si>
  <si>
    <t>011-02B</t>
  </si>
  <si>
    <t>UNION DOBLE 8 MM BRONCE</t>
  </si>
  <si>
    <t>011-03B</t>
  </si>
  <si>
    <t>UNION DOBLE MANG 9.5 MM</t>
  </si>
  <si>
    <t>011-04B</t>
  </si>
  <si>
    <t>UNION DOBLE 12.70 MM BRONCE</t>
  </si>
  <si>
    <t>011-05B</t>
  </si>
  <si>
    <t>011-06B</t>
  </si>
  <si>
    <t>UNION DOBLE 19MM BRONCE</t>
  </si>
  <si>
    <t>011-07</t>
  </si>
  <si>
    <t>UNION DOBLE 25.40 MM</t>
  </si>
  <si>
    <t>011-10B</t>
  </si>
  <si>
    <t>UNION DOBLE 4 MM BRONCE</t>
  </si>
  <si>
    <t>012-01</t>
  </si>
  <si>
    <t>UNION DOBLE CIERRE A VIR 6 MM</t>
  </si>
  <si>
    <t>TUERCA AJUSTE BRONCE  CONEXIÓN CON VIROLA TUBO 1/4</t>
  </si>
  <si>
    <t>CUERPO UNION DOBLE AJUSTE VIROLA 1/4</t>
  </si>
  <si>
    <t>012-02</t>
  </si>
  <si>
    <t>UNION DOBLE CIERRE A VIR 8 MM</t>
  </si>
  <si>
    <t>TUERCA AJUSTE BRONCE  CONEXIÓN CON VIROLA TUBO 5/6</t>
  </si>
  <si>
    <t>012-03</t>
  </si>
  <si>
    <t>UNION DOBLE CIERRE A VIR 9.5 MM</t>
  </si>
  <si>
    <t>TUERCA AJUSTE BRONCE  CONEXIÓN CON VIROLA TUBO 3/8</t>
  </si>
  <si>
    <t>012-04</t>
  </si>
  <si>
    <t>UNION DOBLE CIERRE A VIR 12.70 MM</t>
  </si>
  <si>
    <t>TUERCA AJUSTE BRONCE  CONEXIÓN CON VIROLA TUBO 1/2</t>
  </si>
  <si>
    <t>CUERPO UNION DOBLE AJUSTE VIROLA 1/2</t>
  </si>
  <si>
    <t>012-05</t>
  </si>
  <si>
    <t>RAC RM 1/4 C/VIR S/ RES MANG 6 MM</t>
  </si>
  <si>
    <t>012-05B</t>
  </si>
  <si>
    <t>CONECTOR RECTO BRONCE ROSCA 1/4 TUBO 1/4</t>
  </si>
  <si>
    <t>012-06</t>
  </si>
  <si>
    <t>RAC RM 1/4 C/VIR S/ RES MANG 8 MM</t>
  </si>
  <si>
    <t>012-067B</t>
  </si>
  <si>
    <t>CONECTOR RECTO BRONCE ROSCA 3/8 TUBO 5/16</t>
  </si>
  <si>
    <t>012-06B</t>
  </si>
  <si>
    <t>CONECTOR RECTO BRONCE ROSCA 1/4 TUBO 5/16</t>
  </si>
  <si>
    <t>012-07</t>
  </si>
  <si>
    <t>RAC RM 1/4 C/VIR S/ RES MANG 9.5 MM</t>
  </si>
  <si>
    <t>012-07B</t>
  </si>
  <si>
    <t>CONECTOR RECTO BRONCE ROSCA 1/4 TUBO 3/8</t>
  </si>
  <si>
    <t>012-08</t>
  </si>
  <si>
    <t>RAC RM 3/8 C/VIR S/ RES MANG 9.5 MM</t>
  </si>
  <si>
    <t>012-084B</t>
  </si>
  <si>
    <t>CONECTOR RECTO BRONCE ROSCA 3/8 TUBO 1/4</t>
  </si>
  <si>
    <t>012-085B</t>
  </si>
  <si>
    <t>CONECTOR RECTO BRONCE ROSCA 1/2 TUBO 1/4</t>
  </si>
  <si>
    <t>012-086B</t>
  </si>
  <si>
    <t>CONECTOR RECTO BRONCE ROSCA 1/8 TUBO 5/16</t>
  </si>
  <si>
    <t>012-08B</t>
  </si>
  <si>
    <t>CONECTOR RECTO BRONCE ROSCA 3/8 TUBO 3/8</t>
  </si>
  <si>
    <t>012-09</t>
  </si>
  <si>
    <t>RAC RM 3/8 C/VIR S/ RES MANG 12,70 MM</t>
  </si>
  <si>
    <t>012-09B</t>
  </si>
  <si>
    <t>CONECTOR RECTO  RES 3/8 MANG 1/2BRONCE PULGADAS</t>
  </si>
  <si>
    <t>012-10</t>
  </si>
  <si>
    <t>CONECTOR RECTO BRONCE ROSCA 1/2 TUBO 1/2</t>
  </si>
  <si>
    <t>012-100</t>
  </si>
  <si>
    <t>CONECTOR RECTO BRONCE ROSCA 1/2 TUBO 5/16</t>
  </si>
  <si>
    <t>012-105</t>
  </si>
  <si>
    <t>CONECTOR RECTO BRONCE ROSCA 1/8 TUBO 3/8</t>
  </si>
  <si>
    <t>012-10B</t>
  </si>
  <si>
    <t>CONECTOR RECTO PULGADAS ROSCA MACHO 1/2 BSPT BRONC</t>
  </si>
  <si>
    <t>012-11</t>
  </si>
  <si>
    <t>RACORD C/VIR C/RES RM 1/4 BSPT MAN 6 MM</t>
  </si>
  <si>
    <t>012-110B</t>
  </si>
  <si>
    <t>CONECTOR RECTO BRONCE ROSCA 1/2 TUBO 3/8</t>
  </si>
  <si>
    <t>012-12</t>
  </si>
  <si>
    <t>RACORD C/VIR C/RES RM 1/4 BSPT MAN 8 MM</t>
  </si>
  <si>
    <t>012-13</t>
  </si>
  <si>
    <t>RACORD C/VIR C/RES RM 1/4 BSPT MAN 9.5 MM</t>
  </si>
  <si>
    <t>012-14</t>
  </si>
  <si>
    <t>RACORD C/VIR C/RES RM 3/8 BSPT MAN 9.5 MM</t>
  </si>
  <si>
    <t>012-15</t>
  </si>
  <si>
    <t>RACORD C/VIR C/RES RM 3/8 BSPT MAN 12.7 MM</t>
  </si>
  <si>
    <t>012-16</t>
  </si>
  <si>
    <t>RACORD C/VIR C/RES RM 1/2 BSPT MAN 12.7 MM</t>
  </si>
  <si>
    <t>012-200</t>
  </si>
  <si>
    <t>CONECTOR RECTO BRONCE ROSCA 3/8 TUBO 6 MM</t>
  </si>
  <si>
    <t>012-205</t>
  </si>
  <si>
    <t>CONECTOR RECTO BRONCE ROSCA 1/2 TUBO 6 MM</t>
  </si>
  <si>
    <t>012-210</t>
  </si>
  <si>
    <t>CONECTOR RECTO BRONCE ROSCA 1/8 TUBO 8 MM</t>
  </si>
  <si>
    <t>012-215</t>
  </si>
  <si>
    <t>CONECTOR RECTO BRONCE ROSCA 3/8 TUBO 8 MM</t>
  </si>
  <si>
    <t>012-220</t>
  </si>
  <si>
    <t>CONECTOR RECTO BRONCE ROSCA 1/2 TUBO 8 MM</t>
  </si>
  <si>
    <t>012-225</t>
  </si>
  <si>
    <t>CONECTOR RECTO BRONCE ROSCA 1/8 TUBO 10 MM</t>
  </si>
  <si>
    <t>012-230</t>
  </si>
  <si>
    <t>CONECTOR RECTO BRONCE ROSCA 1/2 TUBO 10 MM</t>
  </si>
  <si>
    <t>012-27</t>
  </si>
  <si>
    <t>RACORD C/VIR C/RES RM 1/4 BSPT MAN 12.7 MM</t>
  </si>
  <si>
    <t>012-28</t>
  </si>
  <si>
    <t>RACORD CON CIERRE A VIROLA S/RES</t>
  </si>
  <si>
    <t>012-28B</t>
  </si>
  <si>
    <t>CONECTOR RECTO BRONCE ROSCA 1/4  TUBO 1/2</t>
  </si>
  <si>
    <t>012-45B</t>
  </si>
  <si>
    <t>CONECTOR RECTO BRONCE ROSCA 1/8 TUBO 1/4</t>
  </si>
  <si>
    <t>012-60</t>
  </si>
  <si>
    <t>TERM C/RES GIR EN BRON R M 1/4 BSPT MANG 8 MM</t>
  </si>
  <si>
    <t>012-61</t>
  </si>
  <si>
    <t>TERM C/RES GIR EN BRON R M 1/4 BSPT MANG 9.5/10 MM</t>
  </si>
  <si>
    <t>012-62</t>
  </si>
  <si>
    <t>TERM C/RES GIR EN BRON R M 3/8 BSPT MANG 9.5/10 MM</t>
  </si>
  <si>
    <t>TUERCA AJUSTE BRONCE  CONEXIÓN CON VIROLA TUBO 6 M</t>
  </si>
  <si>
    <t>CUERPO UNION DOBLE VIROLA 6 MM</t>
  </si>
  <si>
    <t>TUERCA AJUSTE BRONCE  CONEXIÓN CON VIROLA TUBO 8 M</t>
  </si>
  <si>
    <t>CUERPO UNION DOBLE VIROLA 8 MM</t>
  </si>
  <si>
    <t>TUERCA AJUSTE BRONCE  CONEXIÓN C/VIROLA TUBO 10MM</t>
  </si>
  <si>
    <t>012-83B-20</t>
  </si>
  <si>
    <t>CUERPO UNION DOBLE VIROLA 12 MM</t>
  </si>
  <si>
    <t>012-85</t>
  </si>
  <si>
    <t>CONECTOR RECTO BRONCE ROSCA 1/8 TUBO 6 MM</t>
  </si>
  <si>
    <t>012-86B</t>
  </si>
  <si>
    <t>CONECTOR RECTO 1/8 X 5/16"</t>
  </si>
  <si>
    <t>012-90</t>
  </si>
  <si>
    <t>CONECTOR RECTO BRONCE ROSCA 1/4 TUBO 6 MM</t>
  </si>
  <si>
    <t>012-91</t>
  </si>
  <si>
    <t>CONECTOR RECTO BRONCE ROSCA 1/4 TUBO 8 MM</t>
  </si>
  <si>
    <t>012-92</t>
  </si>
  <si>
    <t>CONECTOR RECTO BRONCE ROSCA 1/4 TUBO 10 MM</t>
  </si>
  <si>
    <t>012-93</t>
  </si>
  <si>
    <t>CONECTOR RECTO BRONCE ROSCA 1/4 TUBO 12 MM</t>
  </si>
  <si>
    <t>012-94</t>
  </si>
  <si>
    <t>CONECTOR RECTO BRONCE ROSCA 3/8 TUBO 10 MM</t>
  </si>
  <si>
    <t>012-95</t>
  </si>
  <si>
    <t>CONECTOR RECTO BRONCE ROSCA 3/8 TUBO 12 MM</t>
  </si>
  <si>
    <t>012-96</t>
  </si>
  <si>
    <t>CONECTOR RECTO BRONCE ROSCA 1/2 TUBO 12 MM</t>
  </si>
  <si>
    <t>013-01</t>
  </si>
  <si>
    <t>PICO HIDR ENGR GDE C/RET</t>
  </si>
  <si>
    <t>013-02</t>
  </si>
  <si>
    <t>PICO HIDR ENGR GDE S/RET</t>
  </si>
  <si>
    <t>013-03</t>
  </si>
  <si>
    <t>PICO HIDR ENGR CH C/RET  3 UÑAS</t>
  </si>
  <si>
    <t>013-04</t>
  </si>
  <si>
    <t>PICO HIDR ENGR CH S/RET 3 UÑAS</t>
  </si>
  <si>
    <t>013-05</t>
  </si>
  <si>
    <t>PICO HIDR ENGR DE APOYO CORTO</t>
  </si>
  <si>
    <t>013-06</t>
  </si>
  <si>
    <t>PICO HIDR ENGR DE APOYO LARGO</t>
  </si>
  <si>
    <t>013-07</t>
  </si>
  <si>
    <t>PICO HIDR ENGR DE PUNTA</t>
  </si>
  <si>
    <t>013-08</t>
  </si>
  <si>
    <t>PICO HIDR ENGR CURVO</t>
  </si>
  <si>
    <t>013-09</t>
  </si>
  <si>
    <t>PICO HIDR ENGR AGUJA</t>
  </si>
  <si>
    <t>013-10</t>
  </si>
  <si>
    <t>17001IC06006886C PICO  CH C/RET 4 UÑAS</t>
  </si>
  <si>
    <t>014-02</t>
  </si>
  <si>
    <t>20001IC04026706K  DUAL 210 R H 1/4 BSP</t>
  </si>
  <si>
    <t>014-03</t>
  </si>
  <si>
    <t>11 001 IC04 092801 J TERRAJA COMUN</t>
  </si>
  <si>
    <t>014-04</t>
  </si>
  <si>
    <t>15091IC06001869F  - DUAL 210 ACOP RAPIDO</t>
  </si>
  <si>
    <t>014-05</t>
  </si>
  <si>
    <t>20001IC04206029X  DUAL 160 RH 1/4 BSP</t>
  </si>
  <si>
    <t>014-06</t>
  </si>
  <si>
    <t>13 001 IC04 185714 R - DUAL 160 ACOP RAP</t>
  </si>
  <si>
    <t>014-07</t>
  </si>
  <si>
    <t>17001IC04128452R DUAL 160 PARA MANG 6 MM</t>
  </si>
  <si>
    <t>014-08</t>
  </si>
  <si>
    <t>19001IC04117185U RAC MICHEL P/MEDIR 6 MM</t>
  </si>
  <si>
    <t>014-15</t>
  </si>
  <si>
    <t>19001IC04179295H  TERRAJA SUPER 4 OPERACIONES</t>
  </si>
  <si>
    <t>014-17</t>
  </si>
  <si>
    <t>13 001 IC04 185724 S TERRAJA LARGA CON MANGO PLAS</t>
  </si>
  <si>
    <t>014-18</t>
  </si>
  <si>
    <t>15 091 IC04 059871 J  TERRAJA CORTA MANGO PLASTICO</t>
  </si>
  <si>
    <t>014-30</t>
  </si>
  <si>
    <t>09 001 IC04 086250 R- EXTENS 70 MM</t>
  </si>
  <si>
    <t>014-31</t>
  </si>
  <si>
    <t>20001IC04164806Y  EXTENS 115 MM</t>
  </si>
  <si>
    <t>014-32</t>
  </si>
  <si>
    <t>14 001 IC04 092736 T - EXTENS 150 MM</t>
  </si>
  <si>
    <t>014-33</t>
  </si>
  <si>
    <t>14 001 IC04 092736 T - EXTENS 170 MM</t>
  </si>
  <si>
    <t>015-01</t>
  </si>
  <si>
    <t>RACORD HEMBRA GIRATORIO RH 1/4 BSO MANG 6 MM</t>
  </si>
  <si>
    <t>015-02</t>
  </si>
  <si>
    <t>RACORD HEMBRA GIRATORIO RH 1/4 BSO MANG 8 MM</t>
  </si>
  <si>
    <t>018-20</t>
  </si>
  <si>
    <t>21001IC04003760G PIST DESEMPOL PICO CORTO</t>
  </si>
  <si>
    <t>018-21</t>
  </si>
  <si>
    <t>12 001 IC04 232239 L - PIST CARBURISTA PICO LARGO</t>
  </si>
  <si>
    <t>018-22</t>
  </si>
  <si>
    <t>17001IC06001254J  PIST PULVER C/TANQUE METAL</t>
  </si>
  <si>
    <t>019-01B</t>
  </si>
  <si>
    <t>16001IC04088338B- UNION  TRIPLE  6 MM BRONCE</t>
  </si>
  <si>
    <t>019-02B</t>
  </si>
  <si>
    <t>16001IC04088338B UNION  TRIPLE 8 MM BRONCE</t>
  </si>
  <si>
    <t>019-03B</t>
  </si>
  <si>
    <t>13 001 IC04 185714 R UNION TRIPLE 9.5 MM BRONCE</t>
  </si>
  <si>
    <t>019-04</t>
  </si>
  <si>
    <t>UNION TRIPLE 12.7 MM</t>
  </si>
  <si>
    <t>019-04B</t>
  </si>
  <si>
    <t>13 001 IC04 185714 R UNION TRIPLE 12.7 MM BRONCE</t>
  </si>
  <si>
    <t>019-05</t>
  </si>
  <si>
    <t>UNION TRIPLE 16 MM</t>
  </si>
  <si>
    <t>019-06</t>
  </si>
  <si>
    <t>UNION TRIPLE 19 MM</t>
  </si>
  <si>
    <t>021-03</t>
  </si>
  <si>
    <t>ACOPLE RAP 1/4 ALTA TEMP R H 1/4 BSP C/PTA</t>
  </si>
  <si>
    <t>022-01</t>
  </si>
  <si>
    <t>PICO LAVADO COMPLETO 1/2"</t>
  </si>
  <si>
    <t>022-02</t>
  </si>
  <si>
    <t>PICO LAVADO COMPLETO 3/4"</t>
  </si>
  <si>
    <t>022-03</t>
  </si>
  <si>
    <t>PICO LAVADO COMPLETO 1"</t>
  </si>
  <si>
    <t>022-04</t>
  </si>
  <si>
    <t>REPUESTO PASTILLA 1/2"</t>
  </si>
  <si>
    <t>022-05</t>
  </si>
  <si>
    <t>REPUESTO PASTILLA 3/4" Y 1"</t>
  </si>
  <si>
    <t>022-07</t>
  </si>
  <si>
    <t>TUERCA PICO FIJO  1/2"</t>
  </si>
  <si>
    <t>022-08</t>
  </si>
  <si>
    <t>TUERCA PICO FIJO  3/4" Y 1!</t>
  </si>
  <si>
    <t>025-03</t>
  </si>
  <si>
    <t>CONECT RAP P/MAN RM 1/4 MANG 6</t>
  </si>
  <si>
    <t>025-06</t>
  </si>
  <si>
    <t>CONECT RAP P/MAN RM 1/4 MANG 12</t>
  </si>
  <si>
    <t>025-07</t>
  </si>
  <si>
    <t>CONECT RAP P/MAN RM 3/8 MANG 10</t>
  </si>
  <si>
    <t>025-08</t>
  </si>
  <si>
    <t>CONECT RAP P/MAN RM 3/8 MANG 12</t>
  </si>
  <si>
    <t>025-085</t>
  </si>
  <si>
    <t>CONECT RAP P/MAN RM 1/2 MANG 10</t>
  </si>
  <si>
    <t>025-09</t>
  </si>
  <si>
    <t>CONECT RAP P/MAN RM 1/2 MANG 12</t>
  </si>
  <si>
    <t>027-04</t>
  </si>
  <si>
    <t>UNIONES DOBLES RAPIDAS 12 MM</t>
  </si>
  <si>
    <t>028-01</t>
  </si>
  <si>
    <t>13 001 IC04 260265 M -ALEM REC 1/4 SAE</t>
  </si>
  <si>
    <t>028-02</t>
  </si>
  <si>
    <t>20001IC04064309L  ALEM REC 1/8 BSPT</t>
  </si>
  <si>
    <t>028-03</t>
  </si>
  <si>
    <t>18001IC04232603M ALEM REC 1/4 BSPT</t>
  </si>
  <si>
    <t>028-05</t>
  </si>
  <si>
    <t>13 001 IC04 260265 M -ALEM CUR 1/4 SAE 45º</t>
  </si>
  <si>
    <t>028-06</t>
  </si>
  <si>
    <t>13 001 IC04 260265 M-ALEM CUR 1/4 SAE 90º</t>
  </si>
  <si>
    <t>028-07</t>
  </si>
  <si>
    <t>18001IC04232603M ALEM CUR 1/8 GAS  45º</t>
  </si>
  <si>
    <t>028-08</t>
  </si>
  <si>
    <t>20001IC04064309L ALEM CUR 1/8 GAS 90º</t>
  </si>
  <si>
    <t>028-09</t>
  </si>
  <si>
    <t>20001IC04064309L ALEM REC M6 X 1</t>
  </si>
  <si>
    <t>028-10</t>
  </si>
  <si>
    <t>18001IC04232603M ALEM REC M8 X 1</t>
  </si>
  <si>
    <t>028-11</t>
  </si>
  <si>
    <t>18001IC04232603M  ALEM REC M8 X 1.25</t>
  </si>
  <si>
    <t>028-12</t>
  </si>
  <si>
    <t>19001IC04190377B ALEM REC M10 X 1</t>
  </si>
  <si>
    <t>028-13</t>
  </si>
  <si>
    <t>12 001 IC04 005964 Y-ALEM REC M 10 X 1.50</t>
  </si>
  <si>
    <t>028-190</t>
  </si>
  <si>
    <t>17001IC06006886C TECALEMITE 1/4 SAE DIAMETRO 16 MM</t>
  </si>
  <si>
    <t>028-20</t>
  </si>
  <si>
    <t>12 001 IC04 005964 Y-ALEM CUR 1/4 SAE 67º</t>
  </si>
  <si>
    <t>028-200</t>
  </si>
  <si>
    <t>17001IC06006886C TECALEMITE 1/8 BSPT DIAM  16MM</t>
  </si>
  <si>
    <t>028-21</t>
  </si>
  <si>
    <t>15091IC04011290P ALEM CUR 1/8 GAS 67º</t>
  </si>
  <si>
    <t>028-210</t>
  </si>
  <si>
    <t>17001IC06006886C TECALEMITE 1/4 BSPT DIAM  16MM</t>
  </si>
  <si>
    <t>028-22</t>
  </si>
  <si>
    <t>10 001 IC04 105334 E -ALEM CUR 1/4 BSPT 45º</t>
  </si>
  <si>
    <t>028-220</t>
  </si>
  <si>
    <t>17001IC06006889F TECALEMITE 3/8 BSPT</t>
  </si>
  <si>
    <t>028-23</t>
  </si>
  <si>
    <t>10 001 IC04 105334 E-ALEM CUR 1/4 BSPT 67º</t>
  </si>
  <si>
    <t>028-24</t>
  </si>
  <si>
    <t>10 001 IC04 105334 E-ALEM CUR 1/4 BSPT 90º</t>
  </si>
  <si>
    <t>028-25</t>
  </si>
  <si>
    <t>20001IC04064309L ALEM CUR M6 X 1 X 45º</t>
  </si>
  <si>
    <t>028-26</t>
  </si>
  <si>
    <t>19001IC04190377B ALEM CUR M6 X 1 X 90º</t>
  </si>
  <si>
    <t>028-27</t>
  </si>
  <si>
    <t>18001IC04232603M ALEM CUR M8 X 1 X 45º</t>
  </si>
  <si>
    <t>028-28</t>
  </si>
  <si>
    <t>13 001 IC04 157033 K-ALEM CUR M8 X 1 X 90º</t>
  </si>
  <si>
    <t>028-29</t>
  </si>
  <si>
    <t>17001IC06006889F  ALEM M6 X 1 X 67</t>
  </si>
  <si>
    <t>028-30</t>
  </si>
  <si>
    <t>13 001 IC04 157033 K-ALEM M8 X 1 X 67</t>
  </si>
  <si>
    <t>028-300</t>
  </si>
  <si>
    <t>17001IC06006889F ALEMITE 1/4 SAE DOBLE</t>
  </si>
  <si>
    <t>028-31</t>
  </si>
  <si>
    <t>17001IC04275086A ALEM  M 10 X 1 X 45</t>
  </si>
  <si>
    <t>028-310</t>
  </si>
  <si>
    <t>17001IC06006889F ALEMITE 1/8 BSPT DOBLE</t>
  </si>
  <si>
    <t>028-32</t>
  </si>
  <si>
    <t>17001IC04275086A M10 X 10 X 1 X 67</t>
  </si>
  <si>
    <t>028-33</t>
  </si>
  <si>
    <t>13 001 IC04 157033 K-M10 X 1 X 90</t>
  </si>
  <si>
    <t>028-34</t>
  </si>
  <si>
    <t>12 001 IC04 005964 Y -ALEM M10 X 1.25 RECT</t>
  </si>
  <si>
    <t>028-400</t>
  </si>
  <si>
    <t>17001IC06006889F ALEMITE TIPO BAYONETA 1/8" BSPT</t>
  </si>
  <si>
    <t>028-41</t>
  </si>
  <si>
    <t>17001IC06006886C ALEMITE 5/16 SAE RECTO</t>
  </si>
  <si>
    <t>028-410</t>
  </si>
  <si>
    <t>17001IC06006889F ALEMITE TIPO BAYONETA 1/4" BSPT</t>
  </si>
  <si>
    <t>028-42</t>
  </si>
  <si>
    <t>17001IC06006886C ALEMITE 3/8 SAE RECTO</t>
  </si>
  <si>
    <t>028-60</t>
  </si>
  <si>
    <t>17001IC06006886C 1/4 SAE RECTO X 19 MM LARGO</t>
  </si>
  <si>
    <t>028-65</t>
  </si>
  <si>
    <t>17001IC06006889F ALEMITE 1/4 SAE X 25 MM LARGO</t>
  </si>
  <si>
    <t>028-70</t>
  </si>
  <si>
    <t>17001IC06006886C 1/8 BSPT X 32 MM LARGO</t>
  </si>
  <si>
    <t>028-75</t>
  </si>
  <si>
    <t>17001IC06006889F ALEMITE 1/8 BSPT X 44 MM LARGO</t>
  </si>
  <si>
    <t>029-03</t>
  </si>
  <si>
    <t>14 001 IC04 135282 N CODO GIRATORIO 90º 1/4 X 6</t>
  </si>
  <si>
    <t>029-05</t>
  </si>
  <si>
    <t>CODO GIRATORIO 90º 1/4 BSPT MANG 10</t>
  </si>
  <si>
    <t>029-06</t>
  </si>
  <si>
    <t>CODO GIRATORIO 90º 1/4 BSPT MANG 12</t>
  </si>
  <si>
    <t>029-07</t>
  </si>
  <si>
    <t>CODO GIRATORIO 90º 3/8 BSPT MANG 10</t>
  </si>
  <si>
    <t>029-08</t>
  </si>
  <si>
    <t>CODO GIRATORIO 90º 3/8 BSPT MANG 12</t>
  </si>
  <si>
    <t>029-09</t>
  </si>
  <si>
    <t>CODO GIRATORIO 90º 1/2 BSPT MANG 12</t>
  </si>
  <si>
    <t>046-01</t>
  </si>
  <si>
    <t>REGULADOR DE CAUDAL ALUMINIO 1/4</t>
  </si>
  <si>
    <t>048-03</t>
  </si>
  <si>
    <t>UNION TRIPLE RAPIDA 10 MM</t>
  </si>
  <si>
    <t>048-04</t>
  </si>
  <si>
    <t>UNION TRIPLE RAPIDA 12 MM</t>
  </si>
  <si>
    <t>049-03</t>
  </si>
  <si>
    <t>UNION CODO RAPIDA 10 MM</t>
  </si>
  <si>
    <t>049-04</t>
  </si>
  <si>
    <t>UNION CODO RAPIDA 12 MM</t>
  </si>
  <si>
    <t>060-060</t>
  </si>
  <si>
    <t>20001IC04206029X CON RECT PLAST 3/8 BSPT 6 MM</t>
  </si>
  <si>
    <t>060-082</t>
  </si>
  <si>
    <t>19001IC04044769E CON RECT PLAST 3/8 BSPT 16 MM</t>
  </si>
  <si>
    <t>060-083</t>
  </si>
  <si>
    <t>18001IC04047152P CON RECT PLAST 1/2 X 8 MM</t>
  </si>
  <si>
    <t>060-085</t>
  </si>
  <si>
    <t>20001IC04010074B RECTA PLÁSTICA R 1/2 BSPT X 10 MM</t>
  </si>
  <si>
    <t>060-09</t>
  </si>
  <si>
    <t>19001IC04117185U RECTA PLAST 1/2 X 12 MM</t>
  </si>
  <si>
    <t>060-095</t>
  </si>
  <si>
    <t>17001IC04156088A CON RECT PLAST 1/2 BSPT 14 MM</t>
  </si>
  <si>
    <t>060-096</t>
  </si>
  <si>
    <t>19001IC04044769E CON RECT PLAST 1/2 BSPT 16 MM</t>
  </si>
  <si>
    <t>060-12</t>
  </si>
  <si>
    <t>20001IC04010074B RECTO PLAST  M5 X 4 MM</t>
  </si>
  <si>
    <t>060-125</t>
  </si>
  <si>
    <t>19001IC04008486A RECTA PLÁSTICA R M5 X 6 MM</t>
  </si>
  <si>
    <t>061-045</t>
  </si>
  <si>
    <t>20001IC04010074B  UNIÓN DOBLE PLÁSTICA 14 MM</t>
  </si>
  <si>
    <t>061-05</t>
  </si>
  <si>
    <t>19001IC04008486A UNIÓN DOBLE PLÁSTICA 16 MM</t>
  </si>
  <si>
    <t>062-045</t>
  </si>
  <si>
    <t>17001IC06001254J UNIÓN TRIPLE PLÁSTICA 14 MM</t>
  </si>
  <si>
    <t>062-05</t>
  </si>
  <si>
    <t>UNIÓN TRIPLE PLÁSTICA 16 MM</t>
  </si>
  <si>
    <t>063-045</t>
  </si>
  <si>
    <t>17001IC06001254J CODO PLAST 14 M</t>
  </si>
  <si>
    <t>063-05</t>
  </si>
  <si>
    <t>UNIÓN CODO PLÁSTICA 16 MM</t>
  </si>
  <si>
    <t>064-01L</t>
  </si>
  <si>
    <t>19001IC04044769E CODO PLAS R 1/8 X 6 MM LARGO</t>
  </si>
  <si>
    <t>064-02L</t>
  </si>
  <si>
    <t>19001IC04044769E CODO PLAS R 1/8 X 8 MM LARGO</t>
  </si>
  <si>
    <t>064-03L</t>
  </si>
  <si>
    <t>19001IC04044769E CODO PLAS R 1/4 X 6 MM LARGO</t>
  </si>
  <si>
    <t>064-04L</t>
  </si>
  <si>
    <t>19001IC04044769E CODO PLAS R 1/4 X 8 MM LARGO</t>
  </si>
  <si>
    <t>064-065</t>
  </si>
  <si>
    <t>17001IC04156088A  CODO PLAS R 3/8 X 6 MM</t>
  </si>
  <si>
    <t>064-085</t>
  </si>
  <si>
    <t>17001IC04156088A  CODO PLAS R 3/8 X 14 MM</t>
  </si>
  <si>
    <t>064-090</t>
  </si>
  <si>
    <t>19001IC04044769E  CODO PLAS R 3/8 X 16 MM</t>
  </si>
  <si>
    <t>064-10</t>
  </si>
  <si>
    <t>14 001 IC04 091977 C CODO PLAST R M5 X 4 MM</t>
  </si>
  <si>
    <t>064-12</t>
  </si>
  <si>
    <t>20001IC04164806Y   CODO PLAST M5 X 6 MM</t>
  </si>
  <si>
    <t>064-14</t>
  </si>
  <si>
    <t>16091IC06000764W  CODO PLAST 1/2 X 10 MM</t>
  </si>
  <si>
    <t>064-15</t>
  </si>
  <si>
    <t>19001IC04030938U CODO PLAS R 1/2 X 12 MM</t>
  </si>
  <si>
    <t>064-20</t>
  </si>
  <si>
    <t>17001IC04156088A  CODO PLAS R 1/2 X 14 MM</t>
  </si>
  <si>
    <t>064-21</t>
  </si>
  <si>
    <t>19001IC04044769E  CODO PLAS R 1/2 X 16 MM</t>
  </si>
  <si>
    <t>065-049</t>
  </si>
  <si>
    <t>17001IC04156088A  T ROSC CENT  3/8 X 8 MM</t>
  </si>
  <si>
    <t>065-05</t>
  </si>
  <si>
    <t>11 001 IC04 228540 K TEE ROSCA CENTRAL  PL 3/8 BSP</t>
  </si>
  <si>
    <t>065-06</t>
  </si>
  <si>
    <t>065-065</t>
  </si>
  <si>
    <t>17001IC04156088A  T ROSC CENT  3/8 X 14 MM</t>
  </si>
  <si>
    <t>065-07</t>
  </si>
  <si>
    <t>15091 IC04 059987 R TEE R CENT 1/2 BSPT X 12 MM</t>
  </si>
  <si>
    <t>065-075</t>
  </si>
  <si>
    <t>17001IC04156088A  T ROSC CENT  1/2 X 14 MM</t>
  </si>
  <si>
    <t>065-08</t>
  </si>
  <si>
    <t>17001IC04156088A  T ROSC CENT  1/2 X 16 MM</t>
  </si>
  <si>
    <t>065-25</t>
  </si>
  <si>
    <t>17001IC04156088A  T ROSC CENT  1/4 X 4 MM</t>
  </si>
  <si>
    <t>066-00</t>
  </si>
  <si>
    <t>17001IC04128452R BIFURCACION PLAS 4 MM</t>
  </si>
  <si>
    <t>068-01</t>
  </si>
  <si>
    <t>18001IC04155358A REG DE CAUDAL 6 MM</t>
  </si>
  <si>
    <t>068-02</t>
  </si>
  <si>
    <t>17001IC04275036S REG DE CAUDAL 8 MM</t>
  </si>
  <si>
    <t>068-03</t>
  </si>
  <si>
    <t>17001IC04156088A REG DE CAUDAL 10 MM</t>
  </si>
  <si>
    <t>068-04</t>
  </si>
  <si>
    <t>17001IC04156088A REG DE CAUDAL 12 MM</t>
  </si>
  <si>
    <t>069-00</t>
  </si>
  <si>
    <t>17001IC04128452R PASACHAPA 4 MM</t>
  </si>
  <si>
    <t>069-01</t>
  </si>
  <si>
    <t>20001IC04026706K - PASACHAPA 6 MM</t>
  </si>
  <si>
    <t>069-02</t>
  </si>
  <si>
    <t>14 001 IC04 135282 N - PASACHAPA 8 MM</t>
  </si>
  <si>
    <t>069-03</t>
  </si>
  <si>
    <t>14 001 IC04 135282 N - PASACHAPA 10 MM</t>
  </si>
  <si>
    <t>069-04</t>
  </si>
  <si>
    <t>14 001 IC04 135282 N - PASACHAPA 12 MM</t>
  </si>
  <si>
    <t>069-05</t>
  </si>
  <si>
    <t>17001IC04128452R PASACHAPA 14 MM</t>
  </si>
  <si>
    <t>069-06</t>
  </si>
  <si>
    <t>17001IC04128452R PASACHAPA 16 MM</t>
  </si>
  <si>
    <t>070-05</t>
  </si>
  <si>
    <t>17001IC04128452R REDUCTOR DE MANG DE 16 A 14 MM</t>
  </si>
  <si>
    <t>071-05</t>
  </si>
  <si>
    <t>ACOPLE RAP 5 MM R M 1/8 BSPT</t>
  </si>
  <si>
    <t>071-10</t>
  </si>
  <si>
    <t>ACOPLE RAP 5 MM SAL TUBO 6 MM C/RES</t>
  </si>
  <si>
    <t>071-11</t>
  </si>
  <si>
    <t>ACOPLE RAP 5 MM SAL TUBO 8 MM C/RES</t>
  </si>
  <si>
    <t>072-05</t>
  </si>
  <si>
    <t>PTA ACOPLE RAP 5 MM R M 1/8 BSPT</t>
  </si>
  <si>
    <t>072-06</t>
  </si>
  <si>
    <t>PTA ACOPLE RAP 5 MM R M 1/4 BSPT</t>
  </si>
  <si>
    <t>072-10</t>
  </si>
  <si>
    <t>PTA ACOPLE RAP 5 MM RH 1/8 BSP</t>
  </si>
  <si>
    <t>073-25</t>
  </si>
  <si>
    <t>PTA ACOPLE RAP 5 MM MANG 8 MM</t>
  </si>
  <si>
    <t>090-04</t>
  </si>
  <si>
    <t>14 001 IC04 184811 P CONEXION CRUZ  12MM</t>
  </si>
  <si>
    <t>092-050</t>
  </si>
  <si>
    <t>17001IC04156088A REGUL CAUDAL CODO RM5 X 4 MM</t>
  </si>
  <si>
    <t>092-055</t>
  </si>
  <si>
    <t>17001IC04156088A REGUL CAUDAL CODO R1/8 X 4 MM</t>
  </si>
  <si>
    <t>093-01</t>
  </si>
  <si>
    <t>17001IC04128452R LLAVE DE CORTE 6 MM</t>
  </si>
  <si>
    <t>093-02</t>
  </si>
  <si>
    <t>20001IC04206029X LLAVE DE CORTE 8 MM</t>
  </si>
  <si>
    <t>093-03</t>
  </si>
  <si>
    <t>17001IC04128452R LLAVE DE CORTE 10 MM</t>
  </si>
  <si>
    <t>093-04</t>
  </si>
  <si>
    <t>17001IC04128452R LLAVE DE CORTE 12 MM</t>
  </si>
  <si>
    <t>094-025</t>
  </si>
  <si>
    <t>17001IC04156088A BIFURCACION R 1/4 MANG 4 MM</t>
  </si>
  <si>
    <t>094-06</t>
  </si>
  <si>
    <t>17001IC04275036S BIFURCACION R 3/8 MANG 10 MM</t>
  </si>
  <si>
    <t>094-07</t>
  </si>
  <si>
    <t>BIFURCACION R 1/2 MANG 12 MM  T 15091IC04046116U</t>
  </si>
  <si>
    <t>095-01</t>
  </si>
  <si>
    <t>20001IC04164806Y  REDUCTOR 6 A 4</t>
  </si>
  <si>
    <t>095-02</t>
  </si>
  <si>
    <t>20001IC04164806Y  REDUCTOR 8 A 6</t>
  </si>
  <si>
    <t>095-03</t>
  </si>
  <si>
    <t>20001IC04164806Y  REDUCTOR 10 A 8</t>
  </si>
  <si>
    <t>095-04</t>
  </si>
  <si>
    <t>15091 IC04 059871 J REDUCTOR 12 A 10</t>
  </si>
  <si>
    <t>1 R12AT</t>
  </si>
  <si>
    <t>20001IC04186963W 1 SAE AT</t>
  </si>
  <si>
    <t>1 R1AT</t>
  </si>
  <si>
    <t>19001ICO4152457V 1" SAE MANGUERA HIDRÀULICA</t>
  </si>
  <si>
    <t>1 R2AT</t>
  </si>
  <si>
    <t>20001IC04068225M 1" SAE MANGUERA HIDRÀULICA</t>
  </si>
  <si>
    <t>1/2 R12AT</t>
  </si>
  <si>
    <t>20001IC04033365J MANGUERA HIDRÀULICA R12 1/2</t>
  </si>
  <si>
    <t>1/2 R1AT</t>
  </si>
  <si>
    <t>20001IC04033365J 1/2 SAE MANGUERA HIDRÀULICA</t>
  </si>
  <si>
    <t>1/2 R2AT</t>
  </si>
  <si>
    <t>1/4 R1AT</t>
  </si>
  <si>
    <t>20001IC04186963W 1/4 SAE  MANGUERA HIDRÀULICA</t>
  </si>
  <si>
    <t>1/4 R2AT</t>
  </si>
  <si>
    <t>20001IC04033365J1/4 SAE MANGUERA HIDRÀULICA</t>
  </si>
  <si>
    <t>120-10</t>
  </si>
  <si>
    <t>CONECTOR RECTO SIN VIROLA BRONCE MILIMETRICO 1/8X6</t>
  </si>
  <si>
    <t>120-100</t>
  </si>
  <si>
    <t>CONECTOR RECTO SIN VIROLA BRONCE MILIMETRICO1/4X10</t>
  </si>
  <si>
    <t>120-110</t>
  </si>
  <si>
    <t>CONECTOR RECTO SIN VIROLA BRONCE MILIMETRICO3/8X1</t>
  </si>
  <si>
    <t>120-140</t>
  </si>
  <si>
    <t>CONECTOR RECTO SIN VIROLA BRONCE MILIMETRICO3/8X12</t>
  </si>
  <si>
    <t>120-150</t>
  </si>
  <si>
    <t>CONECTOR RECTO SIN VIROLA BRONCE MILIMETRICO1/2X12</t>
  </si>
  <si>
    <t>120-20</t>
  </si>
  <si>
    <t>CONECTOR RECTO SIN VIROLA BRONCE MILIMETRICO1/4X6</t>
  </si>
  <si>
    <t>120-50</t>
  </si>
  <si>
    <t>CONECTOR RECTO SIN VIROLA BRONCE MILIMETRICO1/8X8</t>
  </si>
  <si>
    <t>120-60</t>
  </si>
  <si>
    <t>CONECTOR RECTO SIN VIROLA BRONCE MILIMETRICO1/4X8</t>
  </si>
  <si>
    <t>130-10</t>
  </si>
  <si>
    <t>CONECTOR RECTO SIN VIROLA BRONCE PULGADA 1/8X1/4</t>
  </si>
  <si>
    <t>130-100</t>
  </si>
  <si>
    <t>CONECTOR RECTO SIN VIROLA BRONCE PULGADA 1/4X3/8</t>
  </si>
  <si>
    <t>130-110</t>
  </si>
  <si>
    <t>CONECTOR RECTO SIN VIROLA BRONCE PULGADA 3/8X3/8</t>
  </si>
  <si>
    <t>130-140</t>
  </si>
  <si>
    <t>CONEC RECTO S/ VIROLA BRONCE  ROSCA 3/8 MANG 1/2</t>
  </si>
  <si>
    <t>130-150</t>
  </si>
  <si>
    <t>CONECTOR RECTO SIN VIROLA BRONCE PULGADA 1/2X1/2</t>
  </si>
  <si>
    <t>130-20</t>
  </si>
  <si>
    <t>CONECTOR RECTO SIN VIROLA BRONCE PULGADA 1/4X1/4</t>
  </si>
  <si>
    <t>130-50</t>
  </si>
  <si>
    <t>CONECTOR RECTO SIN VIROLA BRONCE PULGADA 1/8X5/16</t>
  </si>
  <si>
    <t>130-60</t>
  </si>
  <si>
    <t>CONECTOR RECTO SIN VIROLA BRONCE PULGADA 1/4X5/16</t>
  </si>
  <si>
    <t>160-10</t>
  </si>
  <si>
    <t>TUERCA DE AJUSTE BRONCE MILIMETRICO 6MM</t>
  </si>
  <si>
    <t>160-20</t>
  </si>
  <si>
    <t>TUERCA DE AJUSTE BRONCE MILIMETRICO 8MM</t>
  </si>
  <si>
    <t>160-30</t>
  </si>
  <si>
    <t>TUERCA DE AJUSTE BRONCE MILIMETRICO  10MM</t>
  </si>
  <si>
    <t>160-40</t>
  </si>
  <si>
    <t>TUERCA DE AJUSTE BRONCE MILIMETRICO  12MM</t>
  </si>
  <si>
    <t>170-10</t>
  </si>
  <si>
    <t>TUERCA DE AJUSTE BRONCE PULGADAS 1/4</t>
  </si>
  <si>
    <t>170-20</t>
  </si>
  <si>
    <t>TUERCA DE AJUSTE BRONCE PULGADAS 5/16</t>
  </si>
  <si>
    <t>170-30</t>
  </si>
  <si>
    <t>TUERCA DE AJUSTE BRONCE PULGADAS 3/8</t>
  </si>
  <si>
    <t>170-40</t>
  </si>
  <si>
    <t>TUERCA DE AJUSTE BRONCE PULGADAS 1/2</t>
  </si>
  <si>
    <t>180-10</t>
  </si>
  <si>
    <t>CUERPO UNION DOBLE S/VIROLA BRONCE MILIMETRICO 6MM</t>
  </si>
  <si>
    <t>180-20</t>
  </si>
  <si>
    <t>CUERPO UNION DOBLE S/VIROLA BRONCE MILIMETRICO   M</t>
  </si>
  <si>
    <t>180-30</t>
  </si>
  <si>
    <t>CUERPO UNION DOBLE S/VIROLA BRONCE 10MM</t>
  </si>
  <si>
    <t>180-40</t>
  </si>
  <si>
    <t>CUERPO UNION DOBLE S/VIROLA BRONCE 12MM</t>
  </si>
  <si>
    <t>190-10</t>
  </si>
  <si>
    <t>CUERPO UNION DOBLE S/VIROLA BRONCE PULGADAS 1/4</t>
  </si>
  <si>
    <t>190-20</t>
  </si>
  <si>
    <t>CUERPO UNION DOBLE S/VIROLA BRONCE PULGADAS 5/16</t>
  </si>
  <si>
    <t>190-30</t>
  </si>
  <si>
    <t>CUERPO UNION DOBLE S/VIROLA BRONCE PULGADAS 3/8</t>
  </si>
  <si>
    <t>190-40</t>
  </si>
  <si>
    <t>CUERPO UNION DOBLE S/VIROLA BRONCE PULGADAS 1/2</t>
  </si>
  <si>
    <t>200M-4F</t>
  </si>
  <si>
    <t>18001IC04219682B BASE PARA 4 VÁLVULAS EN SERIE</t>
  </si>
  <si>
    <t>200M-5F</t>
  </si>
  <si>
    <t>18001IC04219682B BASE PARA 5 VÁLVULAS EN SERIE</t>
  </si>
  <si>
    <t>2V025-08-12</t>
  </si>
  <si>
    <t>18001IC04230730L VÁLVULA SOLENOIDE 2/2 1/4 BSP 12</t>
  </si>
  <si>
    <t>2V025-08-24</t>
  </si>
  <si>
    <t>18001IC04230730L VÁLVULA SOLENOIDE 2/2 1/4 BSP 24</t>
  </si>
  <si>
    <t>2V025-08-8M</t>
  </si>
  <si>
    <t>18001IC04230730L VALVULAS SOLENOIDE SERIE X 8</t>
  </si>
  <si>
    <t>3/4 R12AT</t>
  </si>
  <si>
    <t>20001IC04186963W 3/4R12 SAE MANGUERA HIDRAULICA</t>
  </si>
  <si>
    <t>3/4 R1AT</t>
  </si>
  <si>
    <t>19001ICO4152457V 3/4 SAE MANGUERA HIDRÀULICA</t>
  </si>
  <si>
    <t>3/4 R2AT</t>
  </si>
  <si>
    <t>20001IC04068225M 3/4 SAE MANGUERA HIDRÀULICA</t>
  </si>
  <si>
    <t>3/8 R1AT</t>
  </si>
  <si>
    <t>20001IC04033365J3/8 SAE MANGUERA HIDRÀULICA</t>
  </si>
  <si>
    <t>3/8 R2AT</t>
  </si>
  <si>
    <t>20001IC04033365J 3/8 SAE MANGUERA HIDRÀULICA</t>
  </si>
  <si>
    <t>3A210-08</t>
  </si>
  <si>
    <t>180011004056284V VALV ACCION NEUMAT 5/2 1/4 BSP</t>
  </si>
  <si>
    <t>3R110-06</t>
  </si>
  <si>
    <t>18001IC04141103G VALVULA BOTON 3 VIAS ROS 1/8 BSP</t>
  </si>
  <si>
    <t>3R210-08</t>
  </si>
  <si>
    <t>18001IC04141103G  VÀLVULA A BOTON 5 VIAS ROSCA 1/4</t>
  </si>
  <si>
    <t>3V210-06-12</t>
  </si>
  <si>
    <t>180011004056284V VALVULA SOLENOIDE 3/2 1/8 BSP 12V</t>
  </si>
  <si>
    <t>3V210-06-24</t>
  </si>
  <si>
    <t>180011004056284V VALVULA SOLENOIDE 3/2 1/8 BSP 24V</t>
  </si>
  <si>
    <t>3V210-08-12</t>
  </si>
  <si>
    <t>180011004056284V VALV SOLENOIDE 3/2 1/4 BSP 12V</t>
  </si>
  <si>
    <t>3V210-08-220</t>
  </si>
  <si>
    <t>180011004056284V VALV SOLENOIDE 3/2 1/4 BSP 220V</t>
  </si>
  <si>
    <t>3V210-08-24</t>
  </si>
  <si>
    <t>20001IC04110634E VALV SOLENOIDE 3/2 1/4 BSP 24V</t>
  </si>
  <si>
    <t>4A210-08</t>
  </si>
  <si>
    <t>180011004056284V VALV ACCIONAM NEUMATI 3/2 1/4 BSP</t>
  </si>
  <si>
    <t>4F210-08</t>
  </si>
  <si>
    <t>180011004056284V  VALVULA PEDAL 5/2 ROS 1/4 BSP</t>
  </si>
  <si>
    <t>4H230-06</t>
  </si>
  <si>
    <t>18001IC04219682B VÁLVULA PALANCA 5/3 1/8 CENTRO AB</t>
  </si>
  <si>
    <t>4H230-08</t>
  </si>
  <si>
    <t>18001IC04219682B VÁLVULA PALANCA 5/3 1/4 CENTRO AB</t>
  </si>
  <si>
    <t>4R210-06</t>
  </si>
  <si>
    <t>20001IC04177611MVALVULA BOTON 5 VIAS ROS 1/8 BSP</t>
  </si>
  <si>
    <t>4R210-08</t>
  </si>
  <si>
    <t>18001IC04141103G VAL BOTON 5 VIAS ROSCA 1/4 BSP</t>
  </si>
  <si>
    <t>4V110-06-24</t>
  </si>
  <si>
    <t>19001IC04129716A VÀLVULA SOLENOIDE 5/2 1/8 NSP 24V</t>
  </si>
  <si>
    <t>4V120-06-12</t>
  </si>
  <si>
    <t>18001IC04230730L VÁLVULA SOLENOIDE 5/2 1/8 BSP 12V</t>
  </si>
  <si>
    <t>4V120-06-24</t>
  </si>
  <si>
    <t>18001IC04230730L VÁLVULA SOLENOIDE 5/2 1/8 BSP 24V</t>
  </si>
  <si>
    <t>4V210-06-12</t>
  </si>
  <si>
    <t>18001IC04141103G VALV SOLENOIDE 5/2 1/8 BSP 12V</t>
  </si>
  <si>
    <t>4V210-06-24</t>
  </si>
  <si>
    <t>18001IC04141103G VALV SOLENOIDE 5/2 1/8 BSP 24V</t>
  </si>
  <si>
    <t>4V210-08-12</t>
  </si>
  <si>
    <t>20001IC04110634E VALV SOLENOIDE 5/2 1/4 BSP 12 V</t>
  </si>
  <si>
    <t>4V210-08-220</t>
  </si>
  <si>
    <t>20001IC04177611M VALV SOLENOIDE 5/2 1/4 BSP 220V</t>
  </si>
  <si>
    <t>4V210-08-24</t>
  </si>
  <si>
    <t>180011004056284V VALV SOLNOIDE 5/2 1/4 BSP 24 24V</t>
  </si>
  <si>
    <t>4V220-08-24</t>
  </si>
  <si>
    <t>VÁLVULAS SOLENOIDE 5/2 1/4 NSP 24 V BI ESTABLE</t>
  </si>
  <si>
    <t>5/16 R1AT</t>
  </si>
  <si>
    <t>20001IC04186963W 5/16 SAE MANGUERA HIDRÀULICA</t>
  </si>
  <si>
    <t>5/16 R2AT</t>
  </si>
  <si>
    <t>20001IC04033365J 5/8 SAE MANGUERA HIDRAULICA   5/1</t>
  </si>
  <si>
    <t>5/8 R12AT</t>
  </si>
  <si>
    <t>20001IC04033365J 5/8R12 SAE MANGUERA HIDRAULICA</t>
  </si>
  <si>
    <t>5/8 R1AT</t>
  </si>
  <si>
    <t>20001IC04033365J 5/8 SAE MANGUERA HIDRAULICA</t>
  </si>
  <si>
    <t>5/8 R2AT</t>
  </si>
  <si>
    <t>20001IC04186963W 5/8 SAE MANGUERA HIDRAULICA</t>
  </si>
  <si>
    <t>AAA-005</t>
  </si>
  <si>
    <t>18 001 IC04 091539 A AC PAL ALUM 3/4</t>
  </si>
  <si>
    <t>AAA-010</t>
  </si>
  <si>
    <t>18001IC04125655U ACOPL PAL ALUMIN TIPO A 1"</t>
  </si>
  <si>
    <t>AAA-015</t>
  </si>
  <si>
    <t>ACOPL A PALAN 1 1/4 " 18 001 IC04 091539 A</t>
  </si>
  <si>
    <t>AAA-020</t>
  </si>
  <si>
    <t>20001IC04082266N ACOPL PAL AL TIPO A 1 1/2"</t>
  </si>
  <si>
    <t>AAA-030</t>
  </si>
  <si>
    <t>19001IC04163750T ACOPL PAL ALUMIN TIPO A 2"</t>
  </si>
  <si>
    <t>AAA-035</t>
  </si>
  <si>
    <t>20001IC04160478P ACOPL PAL ALUMIN TIPO A 2 1/2"</t>
  </si>
  <si>
    <t>AAA-040</t>
  </si>
  <si>
    <t>18001IC04222757V ACOPL PAL ALUMIN TIPO A 3"</t>
  </si>
  <si>
    <t>AAA-050</t>
  </si>
  <si>
    <t>14 001 IC04 129900 N  ACOPL PAL ALUMIN TIPO A 4"</t>
  </si>
  <si>
    <t>AAA-070</t>
  </si>
  <si>
    <t>19001IC04163750T ACOPLE PAL AL A 6"</t>
  </si>
  <si>
    <t>AAB-005</t>
  </si>
  <si>
    <t>18 001 IC04 091539 A ACOPLE ALUMI A PALANCA 3/4"</t>
  </si>
  <si>
    <t>AAB-010</t>
  </si>
  <si>
    <t>18001IC04125655U ACOPL PAL ALUMIN TIPO B 1"</t>
  </si>
  <si>
    <t>AAB-015</t>
  </si>
  <si>
    <t>18 001 IC04 091539 A ACOPLE A PALANCA ALUM 1 1/4"</t>
  </si>
  <si>
    <t>AAB-020</t>
  </si>
  <si>
    <t>11 001 IC04 107020 W ACOP PAL ALUM TIPO B 1 1/2 "</t>
  </si>
  <si>
    <t>AAB-030</t>
  </si>
  <si>
    <t>19001IC04082393W ACOPL PAL ALUMIN TIPO B 2"</t>
  </si>
  <si>
    <t>AAB-035</t>
  </si>
  <si>
    <t>20001IC04160478P ACOPL PAL ALUMIN TIPO B 2 1/2"</t>
  </si>
  <si>
    <t>AAB-040</t>
  </si>
  <si>
    <t>20001IC04082266N ACOPL PAL ALUMIN TIPO B 3"</t>
  </si>
  <si>
    <t>AAB-050</t>
  </si>
  <si>
    <t>18 001 IC04 091539 A ACOPL PAL ALUMIN TIPO B 4"</t>
  </si>
  <si>
    <t>AAB-070</t>
  </si>
  <si>
    <t>19001IC04163750T ACOPLE PAL AL B 6"</t>
  </si>
  <si>
    <t>AAC-005</t>
  </si>
  <si>
    <t>18 001 IC04 091539 A ACOPLE A PALNACA ALUM 3/4"</t>
  </si>
  <si>
    <t>AAC-010</t>
  </si>
  <si>
    <t>14 001 IC04 129900 N - ACOPL PAL AL TIPO C 1"</t>
  </si>
  <si>
    <t>AAC-015</t>
  </si>
  <si>
    <t>18 001 IC04 091539 A ACOPLE A ALUMINIO 1 1/4 *</t>
  </si>
  <si>
    <t>AAC-020</t>
  </si>
  <si>
    <t>14 001 IC04 212400 B  - ACOPL PAL AL TIPO C 1 1/2"</t>
  </si>
  <si>
    <t>AAC-030</t>
  </si>
  <si>
    <t>17001IC04044108M ACOPL PAL ALUMIN TIPO C 2"</t>
  </si>
  <si>
    <t>AAC-035</t>
  </si>
  <si>
    <t>20001IC04082266N ACOPL PAL ALUMIN TIPO C 2 1/2"</t>
  </si>
  <si>
    <t>AAC-040</t>
  </si>
  <si>
    <t>18001IC04125655U  ACOPL PAL ALUMIN TIPO C 3"</t>
  </si>
  <si>
    <t>AAC-050</t>
  </si>
  <si>
    <t>14 001 IC04 179748 F - ACOPL PAL ALUMIN TIPO C 4"</t>
  </si>
  <si>
    <t>AAC-070</t>
  </si>
  <si>
    <t>20001IC04160478P ACOPLE PAL AL C 6"</t>
  </si>
  <si>
    <t>AAD-005</t>
  </si>
  <si>
    <t>18 001 IC04 091539 A ACOPL A PALAN TIPO D DE 3/4"</t>
  </si>
  <si>
    <t>AAD-010</t>
  </si>
  <si>
    <t>14 001 IC04 212400 B ACOPL PAL ALUMIN TIPO D 1"</t>
  </si>
  <si>
    <t>AAD-015</t>
  </si>
  <si>
    <t>18 001 IC04 091539 A ACOP PALANCA ALUM 1  1/4"</t>
  </si>
  <si>
    <t>AAD-020</t>
  </si>
  <si>
    <t>18001IC04125655U ACOPL PAL AL TIPO D 1 1/2"</t>
  </si>
  <si>
    <t>AAD-030</t>
  </si>
  <si>
    <t>18 001 IC04 091539 A ACOPL PAL ALUMIN TIPO D 2"</t>
  </si>
  <si>
    <t>AAD-035</t>
  </si>
  <si>
    <t>19001IC04082393W ACOPL PAL ALUMIN TIPO D 2 1/2"</t>
  </si>
  <si>
    <t>AAD-040</t>
  </si>
  <si>
    <t>19001IC04082393W ACOPL PAL ALUMIN TIPO D 3"</t>
  </si>
  <si>
    <t>AAD-050</t>
  </si>
  <si>
    <t>19001IC04163750T ACOPL PAL ALUMIN TIPO D 4"</t>
  </si>
  <si>
    <t>AAD-070</t>
  </si>
  <si>
    <t>19001IC04163750T ACOPLE PAL AL D 6"</t>
  </si>
  <si>
    <t>AADC-005</t>
  </si>
  <si>
    <t>18 001 IC04 091539 A ACP PAL ALUM TIPO DC DE 3/4"</t>
  </si>
  <si>
    <t>AADC-010</t>
  </si>
  <si>
    <t>11 001 IC04 107020 W ACOPL PAL ALU TIPO DC 1"</t>
  </si>
  <si>
    <t>AADC-015</t>
  </si>
  <si>
    <t>18 001 IC04 091539 A AC PAL ALUM TIPO DC DE 1 1/4"</t>
  </si>
  <si>
    <t>AADC-020</t>
  </si>
  <si>
    <t>20001IC04082266N ACOPL PAL ALU TIP DC 1 1/2"</t>
  </si>
  <si>
    <t>AADC-030</t>
  </si>
  <si>
    <t>20001IC04082266N ACOPL PAL ALU TIPO DC 2"</t>
  </si>
  <si>
    <t>AADC-035</t>
  </si>
  <si>
    <t>18001IC04125655U ACOPL PAL ALUMIN TIPO DC 2 1/2"</t>
  </si>
  <si>
    <t>AADC-040</t>
  </si>
  <si>
    <t>20001IC04082266N  ACOPL PAL ALU TIPO DC 3"</t>
  </si>
  <si>
    <t>AADC-050</t>
  </si>
  <si>
    <t>20001IC04082266N ACOPL PAL ALU TIPO DC 4"</t>
  </si>
  <si>
    <t>AADP-010</t>
  </si>
  <si>
    <t>11 001 IC04 107020 W ACOPL PAL ALU TIPO DP 1"</t>
  </si>
  <si>
    <t>AADP-020</t>
  </si>
  <si>
    <t>11 001 IC04 107020 W  ACOPL PAL ALU TIPO DP 1 1/2</t>
  </si>
  <si>
    <t>AADP-030</t>
  </si>
  <si>
    <t>20001IC04160478P ACOPL PAL AL TIPO DP 2"</t>
  </si>
  <si>
    <t>AADP-040</t>
  </si>
  <si>
    <t>20001IC04082266N ACOPL AL TIPO DP 3"</t>
  </si>
  <si>
    <t>AADP-050</t>
  </si>
  <si>
    <t>20001IC04082266N ACOPL PAL ALU TIPO DDP 4"</t>
  </si>
  <si>
    <t>AAE-005</t>
  </si>
  <si>
    <t>18 001 IC04 091539 A ACO PAL ALUM TIPO E 3/4"</t>
  </si>
  <si>
    <t>AAE-010</t>
  </si>
  <si>
    <t>19001IC04082393W - ACOPL PAL ALUMIN TIPO E 1"</t>
  </si>
  <si>
    <t>AAE-015</t>
  </si>
  <si>
    <t>18 001 IC04 091539 A AC PALN TIPO E ALUMIN 1 1/4"</t>
  </si>
  <si>
    <t>AAE-020</t>
  </si>
  <si>
    <t>19001IC04012210D ACOPL PAL AL TIPO E 1 1/2"</t>
  </si>
  <si>
    <t>AAE-030</t>
  </si>
  <si>
    <t>19001IC04082393W ACOPL PAL ALUMIN TIPO E 2"</t>
  </si>
  <si>
    <t>AAE-035</t>
  </si>
  <si>
    <t>18001IC04125655U ACOPL PAL ALUMIN TIPO E 2 1/2"</t>
  </si>
  <si>
    <t>AAE-040</t>
  </si>
  <si>
    <t>20001IC04160478P ACOPL PAL ALUMIN TIPO E 3"</t>
  </si>
  <si>
    <t>AAE-050</t>
  </si>
  <si>
    <t>14 001 IC04 034570 L - ACOPL PAL ALUMIN TIPO E 4"</t>
  </si>
  <si>
    <t>AAE-070</t>
  </si>
  <si>
    <t>20001IC04160478P ACOPLE PAL AL E 6"</t>
  </si>
  <si>
    <t>AAF-005</t>
  </si>
  <si>
    <t>18 001 IC04 091539 A AC ALUM PAL TIPO F DE 3/4"</t>
  </si>
  <si>
    <t>AAF-010</t>
  </si>
  <si>
    <t>18 001 IC04 091539 A ACOPL PAL ALUMIN TIPO F 1"</t>
  </si>
  <si>
    <t>AAF-015</t>
  </si>
  <si>
    <t>18 001 IC04 091539 A ACO PAL ALUM TIPO F DE 1 1/4"</t>
  </si>
  <si>
    <t>AAF-020</t>
  </si>
  <si>
    <t>20001IC04160478P ACOPL PAL AL TIPO F 1 1/2"</t>
  </si>
  <si>
    <t>AAF-030</t>
  </si>
  <si>
    <t>20001IC04160478P ACOPL PAL ALUMIN TIPO F 2"</t>
  </si>
  <si>
    <t>AAF-035</t>
  </si>
  <si>
    <t>20001IC04160478P ACOPL PAL ALUMIN TIPO F 2 1/2"</t>
  </si>
  <si>
    <t>AAF-040</t>
  </si>
  <si>
    <t>20001IC04160478P ACOPL PAL ALUMIN TIPO F 3"</t>
  </si>
  <si>
    <t>AAF-050</t>
  </si>
  <si>
    <t>18001IC040962125M - ACOPL PAL ALUMIN TIPO F 4"</t>
  </si>
  <si>
    <t>AAF-070</t>
  </si>
  <si>
    <t>20001IC04082266N ACOPLE PAL AL F 6"</t>
  </si>
  <si>
    <t>AAG-010</t>
  </si>
  <si>
    <t xml:space="preserve"> LEVA AC PAL  1/2"-3/4" -11 001 IC04 023876 P</t>
  </si>
  <si>
    <t>AAG-020</t>
  </si>
  <si>
    <t xml:space="preserve"> LEVA AC PAL  1" -11 001 IC04 023876 P</t>
  </si>
  <si>
    <t>AAG-030</t>
  </si>
  <si>
    <t xml:space="preserve"> LEVA AC PL  1 1/4"-2 1/2" -11 001 IC04 023876 P</t>
  </si>
  <si>
    <t>AAG-040</t>
  </si>
  <si>
    <t xml:space="preserve"> LEVA AC PAL  3"-4" -11 001 IC04 023876 P</t>
  </si>
  <si>
    <t>AAO-010</t>
  </si>
  <si>
    <t>19001IC04012210D O RING 1/2'</t>
  </si>
  <si>
    <t>AAO-020</t>
  </si>
  <si>
    <t>15091IC04017261T O RING 3/4'</t>
  </si>
  <si>
    <t>AAO-030</t>
  </si>
  <si>
    <t>20001IC04008057J ORING 1</t>
  </si>
  <si>
    <t>AAO-040</t>
  </si>
  <si>
    <t>19001IC04012210D O RING  1 1/4</t>
  </si>
  <si>
    <t>AAO-050</t>
  </si>
  <si>
    <t>19001IC04012210D O RING 1 1/2</t>
  </si>
  <si>
    <t>AAO-060</t>
  </si>
  <si>
    <t>20001IC04008057J O RING 2</t>
  </si>
  <si>
    <t>AAO-070</t>
  </si>
  <si>
    <t>20001IC04008057J O RING 2 1/2</t>
  </si>
  <si>
    <t>AAO-080</t>
  </si>
  <si>
    <t>20001IC04008057J O RING 3</t>
  </si>
  <si>
    <t>AAO-090</t>
  </si>
  <si>
    <t>20001IC04008057J O RING 4</t>
  </si>
  <si>
    <t>AINA-010</t>
  </si>
  <si>
    <t>16001IC04034566S ACOPLE PAL INOX 316 TIPO A 3/4</t>
  </si>
  <si>
    <t>AINA-020</t>
  </si>
  <si>
    <t>16001IC04034566S ACOPLE PALANCA INOX 316 TIPO A 1"</t>
  </si>
  <si>
    <t>AINA-030</t>
  </si>
  <si>
    <t>16001IC04034566S ACOPLE PALANCA INOX 316 TIPO A 2"</t>
  </si>
  <si>
    <t>AINA-040</t>
  </si>
  <si>
    <t>16001IC04034566S ACOPLE PALANCA INOX 316 TIPO A 3"</t>
  </si>
  <si>
    <t>AINC-010</t>
  </si>
  <si>
    <t>16001IC04034566S AC PALANCA INOX 316 TIPO C 3/4</t>
  </si>
  <si>
    <t>AINC-020</t>
  </si>
  <si>
    <t>16001IC04034566S ACOPLE PALANCA INOX 316 TIPO C 1</t>
  </si>
  <si>
    <t>AINC-030</t>
  </si>
  <si>
    <t>16001IC04034566S ACOPLE PALANCA INOX 316 TIPO C 2"</t>
  </si>
  <si>
    <t>AINC-040</t>
  </si>
  <si>
    <t>16001IC04034566S ACOPLE PALANCA INOX 316 TIPO C 3"</t>
  </si>
  <si>
    <t>AINE-010</t>
  </si>
  <si>
    <t>16001IC04034566S AC PALANCA INOX 316 TIPO E 3/4</t>
  </si>
  <si>
    <t>AINE-020</t>
  </si>
  <si>
    <t>16001IC04034566S ACOPLE PALANCA INOX 316 TIPO E 1</t>
  </si>
  <si>
    <t>AINE-030</t>
  </si>
  <si>
    <t>16001IC04034566S ACOPLE PALANCA INOX 316 TIPO E 2"</t>
  </si>
  <si>
    <t>AINE-040</t>
  </si>
  <si>
    <t>16001IC04034566S ACOPLE PALANCA INOX 316 TIPO E 3"</t>
  </si>
  <si>
    <t>AINF-010</t>
  </si>
  <si>
    <t>16001IC04034566S AC PALANCA INOX 316 TIPO F 3/4</t>
  </si>
  <si>
    <t>AINF-020</t>
  </si>
  <si>
    <t>16001IC04034566S ACOPLE PALANCA INOX 316 TIPO F 1</t>
  </si>
  <si>
    <t>AINF-030</t>
  </si>
  <si>
    <t>16001IC04034566S ACOPLE PALANCA INOX 316 TIPO F 2"</t>
  </si>
  <si>
    <t>AINF-040</t>
  </si>
  <si>
    <t>16001IC04034566S ACOPLE PALANCA INOX 316 TIPO F 3"</t>
  </si>
  <si>
    <t>APA-005</t>
  </si>
  <si>
    <t>20001IC04082266N ACOPL  PAL  POL  TIPO  A 1/2"</t>
  </si>
  <si>
    <t>APA-010</t>
  </si>
  <si>
    <t>20001IC04082266N ACOPL  PAL  POL  TIPO  A 3/4'</t>
  </si>
  <si>
    <t>APA-020</t>
  </si>
  <si>
    <t>20001IC04187514P ACOPL  PAL  POL  TIPO  A  1''</t>
  </si>
  <si>
    <t>APA-025</t>
  </si>
  <si>
    <t>19001IC04012210D ACOPL  PAL  POL  TIPO  A  1 1/4</t>
  </si>
  <si>
    <t>APA-030</t>
  </si>
  <si>
    <t>20001IC04008057JL ACOPL  PAL  POL  TIPO  A  1 1</t>
  </si>
  <si>
    <t>APA-040</t>
  </si>
  <si>
    <t>20001IC04187514P ACOPL  PAL  POL  TIPO  A   2'</t>
  </si>
  <si>
    <t>APA-045</t>
  </si>
  <si>
    <t>19001IC04012210D ACOPL  PAL  POL  TIPO  A  2 1/2</t>
  </si>
  <si>
    <t>APA-050</t>
  </si>
  <si>
    <t>20001IC04160478P ACOPL  PAL  POL  TIPO  A  3'</t>
  </si>
  <si>
    <t>APA-060</t>
  </si>
  <si>
    <t>11 001 IC04 023876 P ACOPL  PAL  POL  TIPO  A  4''</t>
  </si>
  <si>
    <t>APB-005</t>
  </si>
  <si>
    <t>20001IC04187514P ACOPL  PAL  POL  TIPO  B 1/2"</t>
  </si>
  <si>
    <t>APB-010</t>
  </si>
  <si>
    <t>18001IC04125655U ACOPL  PAL  POL  TIPO  B  3/4</t>
  </si>
  <si>
    <t>APB-020</t>
  </si>
  <si>
    <t>20001IC04082266N ACOPL  PAL  POL  TIPO  B  1''</t>
  </si>
  <si>
    <t>APB-025</t>
  </si>
  <si>
    <t>19001IC04163750T ACOPL  PAL  POL  TIPO  B  1 1/4</t>
  </si>
  <si>
    <t>APB-030</t>
  </si>
  <si>
    <t>20001IC04187514P ACOPL  PAL  POL  TIPO  B  1 1</t>
  </si>
  <si>
    <t>APB-040</t>
  </si>
  <si>
    <t>20001IC04187514P ACOPL  PAL  POL  TIPO  B   2'</t>
  </si>
  <si>
    <t>APB-045</t>
  </si>
  <si>
    <t>19001IC04012210D ACOPL  PAL  POL  TIPO  B  2 1/2</t>
  </si>
  <si>
    <t>APB-050</t>
  </si>
  <si>
    <t>20001IC04082266N  ACOPL  PAL  POL  TIPO  B 3'</t>
  </si>
  <si>
    <t>APB-060</t>
  </si>
  <si>
    <t>11 001 IC04 107020 W ACOPL  PAL  POL  TIPO  B  4''</t>
  </si>
  <si>
    <t>APC-005</t>
  </si>
  <si>
    <t>20001IC04187514P ACOPL  PAL  POL  TIPO  C 1/2"</t>
  </si>
  <si>
    <t>APC-010</t>
  </si>
  <si>
    <t>20001IC04187514P ACOPL  PAL  POL  TIPO  C  3/4</t>
  </si>
  <si>
    <t>APC-020</t>
  </si>
  <si>
    <t>20001IC04187514P ACOPL  PAL  POL  TIPO  C  1''</t>
  </si>
  <si>
    <t>APC-025</t>
  </si>
  <si>
    <t>20001IC04160478P ACOPL  PAL  POL  TIPO  C 1 1/</t>
  </si>
  <si>
    <t>APC-030</t>
  </si>
  <si>
    <t>20001IC04187514P AC POL  TIPO  C  1 1/2'</t>
  </si>
  <si>
    <t>APC-040</t>
  </si>
  <si>
    <t>20001IC04187514P ACOPL  PAL  POL  TIPO  C 2'</t>
  </si>
  <si>
    <t>APC-045</t>
  </si>
  <si>
    <t>16001IC04016093N ACOPL  PAL  POL  TIPO  C 2 1/2</t>
  </si>
  <si>
    <t>APC-050</t>
  </si>
  <si>
    <t>20001IC04187514P AC  PAL  POL  TIPO C 3'</t>
  </si>
  <si>
    <t>APC-060</t>
  </si>
  <si>
    <t>18001IC04125655U ACOPL  PAL  POL  TIPO  C  4''</t>
  </si>
  <si>
    <t>APD-005</t>
  </si>
  <si>
    <t>20001IC04160478P ACOPL  PAL  POL  TIPO  D 1/2"</t>
  </si>
  <si>
    <t>APD-010</t>
  </si>
  <si>
    <t>18001IC04222757V ACOPL  PAL  POL  TIPO  D  3/4</t>
  </si>
  <si>
    <t>APD-020</t>
  </si>
  <si>
    <t>20001IC04187514P ACOPL  PAL  POL  TIPO  D  1''</t>
  </si>
  <si>
    <t>APD-025</t>
  </si>
  <si>
    <t>18001IC04125655U ACOPL  PAL  POL  TIPO  D 1 1/4</t>
  </si>
  <si>
    <t>APD-030</t>
  </si>
  <si>
    <t>20001IC04187514P ACOPL  PAL  POL  TIPO  D  1 1</t>
  </si>
  <si>
    <t>APD-040</t>
  </si>
  <si>
    <t>20001IC04187514P AC PAL  POL  TIPO  D  2'</t>
  </si>
  <si>
    <t>APD-045</t>
  </si>
  <si>
    <t>16001IC04016093N ACOPL  PAL  POL  TIPO  D 2 1/2</t>
  </si>
  <si>
    <t>APD-050</t>
  </si>
  <si>
    <t>20001IC04082266N ACOPL  PAL  POL  TIPO  D 3'</t>
  </si>
  <si>
    <t>APD-060</t>
  </si>
  <si>
    <t>20001IC04160478P ACOPL  PAL  POL  TIPO  D 4''</t>
  </si>
  <si>
    <t>APDC-005</t>
  </si>
  <si>
    <t>20001IC04082266N ACOPL  PAL  POL  TIPO  DC 1/2"</t>
  </si>
  <si>
    <t>APDC-010</t>
  </si>
  <si>
    <t>18001IC04002454L  ACOPL  PAL  POL  TIPO  DC</t>
  </si>
  <si>
    <t>APDC-020</t>
  </si>
  <si>
    <t>20001IC04160478P ACOPL  PAL  POL  TIPO  DC 1'</t>
  </si>
  <si>
    <t>APDC-030</t>
  </si>
  <si>
    <t>19001IC04163750T  AC PAL  POL  TIPO  DC 1 1/2</t>
  </si>
  <si>
    <t>APDC-040</t>
  </si>
  <si>
    <t>20001IC04082266N ACOPL PAL   POL  TIPO  DC 2''</t>
  </si>
  <si>
    <t>APDC-050</t>
  </si>
  <si>
    <t>14 001 IC04 0345570 L ACOPL PAL   POL  TIPO  DC 3'</t>
  </si>
  <si>
    <t>APDC-060</t>
  </si>
  <si>
    <t>20001IC04160478P ACOPL PAL   POL  TIPO  DC 4''</t>
  </si>
  <si>
    <t>APDP-010</t>
  </si>
  <si>
    <t>13 001 IC04 233745 P  ACOPL PAL   POL  TIPO  DP  3</t>
  </si>
  <si>
    <t>APDP-020</t>
  </si>
  <si>
    <t>19001IC04163750T  ACOPL PAL   POL  TIPO  DP 1</t>
  </si>
  <si>
    <t>APDP-030</t>
  </si>
  <si>
    <t>20001IC04082266N AC PAL   POL  TIPO  DP 11/2</t>
  </si>
  <si>
    <t>APDP-040</t>
  </si>
  <si>
    <t>20001IC04082266N ACOPL PAL   POL  TIPO  DP  2'</t>
  </si>
  <si>
    <t>APDP-050</t>
  </si>
  <si>
    <t>20001IC04082266N ACOPL  PAL  POL  TIPO  DP 3''</t>
  </si>
  <si>
    <t>APDP-060</t>
  </si>
  <si>
    <t>11 001 IC04 107020 W ACOPL  PAL  POL  TIPO  DP  4'</t>
  </si>
  <si>
    <t>APE-005</t>
  </si>
  <si>
    <t>20001IC04160478P ACOPL  PAL  POL  TIPO  E 1/2"</t>
  </si>
  <si>
    <t>APE-010</t>
  </si>
  <si>
    <t>18001IC04125655U ACOPL  PAL  POL  TIPO  E  3/4</t>
  </si>
  <si>
    <t>APE-020</t>
  </si>
  <si>
    <t>20001IC04187514P ACOPL  PAL  POL  TIPO  E  1''</t>
  </si>
  <si>
    <t>APE-025</t>
  </si>
  <si>
    <t>20001IC04008057J ACOPL  PAL  POL  TIPO  E 1 1/4</t>
  </si>
  <si>
    <t>APE-030</t>
  </si>
  <si>
    <t>20001IC04187514P ACOPL  PAL  POL  TIPO  E  1 1</t>
  </si>
  <si>
    <t>APE-040</t>
  </si>
  <si>
    <t>20001IC04160478P ACOPL  PAL  POL  TIPO  E 2''</t>
  </si>
  <si>
    <t>APE-045</t>
  </si>
  <si>
    <t>19001IC04163750T ACOPL  PAL  POL  TIPO  E 2 1/2</t>
  </si>
  <si>
    <t>APE-050</t>
  </si>
  <si>
    <t>20001IC04082266N ACOPL  PAL  POL  TIPO  E  3''</t>
  </si>
  <si>
    <t>APE-060</t>
  </si>
  <si>
    <t>20001IC04082266N ACOPL  PAL  POL  TIPO  E 4''</t>
  </si>
  <si>
    <t>APF-005</t>
  </si>
  <si>
    <t>20001IC04082266N ACOPL  PAL  POL  TIPO  F 1/2"</t>
  </si>
  <si>
    <t>APF-010</t>
  </si>
  <si>
    <t>20001IC04187514P ACOPL  PAL  POL  TIPO  F 3/4'</t>
  </si>
  <si>
    <t>APF-020</t>
  </si>
  <si>
    <t>20001IC04187514P ACOPL  PAL  POL  TIPO  F 1''</t>
  </si>
  <si>
    <t>APF-025</t>
  </si>
  <si>
    <t>20001IC04008057J ACOPL  PAL  POL  TIPO  F 1 1/4</t>
  </si>
  <si>
    <t>APF-030</t>
  </si>
  <si>
    <t>20001IC04187514P ACOPL  PAL  POL  TIPO  F 1 1/</t>
  </si>
  <si>
    <t>APF-040</t>
  </si>
  <si>
    <t>20001IC04187514P ACOPL  PAL  POL  TIPO  F 2''</t>
  </si>
  <si>
    <t>APF-045</t>
  </si>
  <si>
    <t>19001IC04082393W ACOPL  PAL  POL  TIPO  F 2 1/2</t>
  </si>
  <si>
    <t>APF-050</t>
  </si>
  <si>
    <t>20001IC04160478P - ACOPL  PAL  POL  TIPO F 3"</t>
  </si>
  <si>
    <t>APF-060</t>
  </si>
  <si>
    <t>20001IC04008057J ACOPL  PAL  POL  TIPO  F 4''</t>
  </si>
  <si>
    <t>BCH 1/2</t>
  </si>
  <si>
    <t>ACOPLE HIDR.    R H  1/2  NPT  VALVULA ESFERA</t>
  </si>
  <si>
    <t>19001IC04208820R MANGO BRONCE 4 MM</t>
  </si>
  <si>
    <t>20001IC04206029X MANGO BRONCE 6 MM</t>
  </si>
  <si>
    <t>20001IC04206029X MANGO BRONCE 8 MM</t>
  </si>
  <si>
    <t>19001IC04208820R MANGO BRONCE 1/2</t>
  </si>
  <si>
    <t>19001IC04208820R MANGO BRONCE 1/4</t>
  </si>
  <si>
    <t>20001IC04206029X MANGO BRONCE 12 MM</t>
  </si>
  <si>
    <t>BIO-1</t>
  </si>
  <si>
    <t>BIPOLAR  FACIAL</t>
  </si>
  <si>
    <t>BIO-2</t>
  </si>
  <si>
    <t>BIPOLAR FACIAL (ALUMINIO)</t>
  </si>
  <si>
    <t>BIO-3</t>
  </si>
  <si>
    <t>BIPOLAR CORPORAL ( ALUMINIO )</t>
  </si>
  <si>
    <t>BIO-4</t>
  </si>
  <si>
    <t>ELECTROPORACION  FACIAL</t>
  </si>
  <si>
    <t>BIO-5</t>
  </si>
  <si>
    <t>ELECTROPORACION CORPORAL</t>
  </si>
  <si>
    <t>BIO-7</t>
  </si>
  <si>
    <t>TRIPORAL FACIAL</t>
  </si>
  <si>
    <t>BNH 1/2</t>
  </si>
  <si>
    <t>PUNTA ACOPLE  HIDRAULICO 1/2 H NPT</t>
  </si>
  <si>
    <t>19001IC04208820R VIROLA 4 MM</t>
  </si>
  <si>
    <t>19001IC04208820R VIROLA 6 MM</t>
  </si>
  <si>
    <t>19001IC04208820R VIROLA 8 MM</t>
  </si>
  <si>
    <t>19001IC04208820R VIROLA 1/2</t>
  </si>
  <si>
    <t>19001IC04208820R VIROLA 1/4</t>
  </si>
  <si>
    <t>19001IC04208820R VIROLA 10 MM</t>
  </si>
  <si>
    <t>19001IC04208820R VIROLA 12 MM</t>
  </si>
  <si>
    <t>19001IC04208820R VIROLA 14 MM</t>
  </si>
  <si>
    <t>19001IC04208820R VIROLA 16 MM</t>
  </si>
  <si>
    <t>19001IC04208820R VIROLA 3/8</t>
  </si>
  <si>
    <t>CC-32/100</t>
  </si>
  <si>
    <t>18001IC04206266S CIL AL CUAD ISO 6431 32 X 100</t>
  </si>
  <si>
    <t>CC-32/125</t>
  </si>
  <si>
    <t>CILINDRO NEUMÁTICO DIÁMETRO 32X125</t>
  </si>
  <si>
    <t>CC-32/150</t>
  </si>
  <si>
    <t>18001IC04206266S CIL AL CUAD ISO 6431 32 X 150</t>
  </si>
  <si>
    <t>CC-32/175</t>
  </si>
  <si>
    <t>CILINDRO NEUMÁTICO DIÁMETRO 32X175</t>
  </si>
  <si>
    <t>CC-32/200</t>
  </si>
  <si>
    <t>18001IC04206266S CIL AL CUAD ISO 6431 32 X 200</t>
  </si>
  <si>
    <t>CC-32/25</t>
  </si>
  <si>
    <t>CILINDRO DIÁMETRO 32X25</t>
  </si>
  <si>
    <t>CC-32/250</t>
  </si>
  <si>
    <t>CILINDRO NEUMÁTICO DIÁMETRO 32X250</t>
  </si>
  <si>
    <t>CC-32/300</t>
  </si>
  <si>
    <t>CILINDRO NEUMÁTICO DIÁMETRO 32X300</t>
  </si>
  <si>
    <t>CC-32/350</t>
  </si>
  <si>
    <t>CILINDRO NEUMÁTICO DIÁMETRO 32X350</t>
  </si>
  <si>
    <t>CC-32/400</t>
  </si>
  <si>
    <t>CILINDRO NEUMÁTICO DIÁMETRO 32X400</t>
  </si>
  <si>
    <t>CC-32/50</t>
  </si>
  <si>
    <t>18001IC04206266S CIL AL CUAD ISO 6431 32 X 50</t>
  </si>
  <si>
    <t>CC-32/75</t>
  </si>
  <si>
    <t>CILINDRO NEUMÁTICO DIÁMETRO 32X75</t>
  </si>
  <si>
    <t>CC-40/100</t>
  </si>
  <si>
    <t>18001IC04206266S CIL AL CUAD ISO 6431 40 X 100</t>
  </si>
  <si>
    <t>CC-40/125</t>
  </si>
  <si>
    <t>CILINDRO NEUMÁTICO DIÁMETRO 40X125</t>
  </si>
  <si>
    <t>CC-40/150</t>
  </si>
  <si>
    <t>18001IC04206266S CIL AL CUAD ISO 6431 40 X 150</t>
  </si>
  <si>
    <t>CC-40/175</t>
  </si>
  <si>
    <t>CILINDRO NEUMÁTICO DIÁMETO 40X175</t>
  </si>
  <si>
    <t>CC-40/200</t>
  </si>
  <si>
    <t>18001IC04206266S CIL AL CUAD ISO 6431 40 X 200</t>
  </si>
  <si>
    <t>CC-40/25</t>
  </si>
  <si>
    <t>CILINDRO NEUMÁTICO DIÁMETRO 40X25</t>
  </si>
  <si>
    <t>CC-40/50</t>
  </si>
  <si>
    <t>18001IC04206266S CIL AL CUAD ISO 6431 40 X 50</t>
  </si>
  <si>
    <t>CC-40/75</t>
  </si>
  <si>
    <t>CILINDRO EÚMATICO DIÁMETRO 40X75</t>
  </si>
  <si>
    <t>CC-50/100</t>
  </si>
  <si>
    <t>18001IC04206266S CIL AL CUAD ISO 6431 50 X 100</t>
  </si>
  <si>
    <t>CC-50/125</t>
  </si>
  <si>
    <t>CILINDRO NEUMÁTICO DIÁMETRO 50X125</t>
  </si>
  <si>
    <t>CC-50/150</t>
  </si>
  <si>
    <t>18001IC04206266S CIL AL CUAD ISO 6431 50 X 150</t>
  </si>
  <si>
    <t>CC-50/175</t>
  </si>
  <si>
    <t>CILINDRO NEUMÁTICO DIÁMETRO 50X175</t>
  </si>
  <si>
    <t>CC-50/200</t>
  </si>
  <si>
    <t>18001IC04206266S CIL AL CUAD ISO 6431 50 X 200</t>
  </si>
  <si>
    <t>CC-50/25</t>
  </si>
  <si>
    <t>CILINDRO NEUMÁTICO DIÁMETRO 50X25</t>
  </si>
  <si>
    <t>CC-50/250</t>
  </si>
  <si>
    <t>CILINDRO NEUMÁTICO DIÁMETRO 50X250</t>
  </si>
  <si>
    <t>CC-50/300</t>
  </si>
  <si>
    <t>CILINDRO NEUMÁTICO DIÁMETRO 50X300</t>
  </si>
  <si>
    <t>CC-50/350</t>
  </si>
  <si>
    <t>CILINDRO NEUMÁTICO DIÁMETRO 50X350</t>
  </si>
  <si>
    <t>CC-50/400</t>
  </si>
  <si>
    <t>CILINDRO NEUMÁTICO DIÁMETRO 50X400</t>
  </si>
  <si>
    <t>CC-50/50</t>
  </si>
  <si>
    <t>18001IC04206266S CIL AL CUAD ISO 6431 50 X 50</t>
  </si>
  <si>
    <t>CC-50/75</t>
  </si>
  <si>
    <t>CILINDRO NEUMÁTICO DIÁMETRO 50X75</t>
  </si>
  <si>
    <t>CHH-1/2</t>
  </si>
  <si>
    <t>CHUPETE H ACOP 1/2</t>
  </si>
  <si>
    <t>CHM1/2</t>
  </si>
  <si>
    <t>CHUPETE M ACOP 1/2</t>
  </si>
  <si>
    <t>CL1016</t>
  </si>
  <si>
    <t>18001IC04104712L ABRAZ AMER INOX 5/8(10-16MM)</t>
  </si>
  <si>
    <t>CL1220</t>
  </si>
  <si>
    <t>ABRAZ AMER INOX 3/4(12-20MM) 17001IC 06001248M</t>
  </si>
  <si>
    <t>CL1222</t>
  </si>
  <si>
    <t>ABRAZ AMER INOX  7/8(12-22MM) 17001IC 06001248M</t>
  </si>
  <si>
    <t>CL1625</t>
  </si>
  <si>
    <t>ABRAZ AMER INOX 1(16-25MM) 17001IC 06001248M</t>
  </si>
  <si>
    <t>CL1832</t>
  </si>
  <si>
    <t>18001IC04104712L ABRAZ AMER INOX 1 1/4(18-32MM)</t>
  </si>
  <si>
    <t>CL2540</t>
  </si>
  <si>
    <t>18001IC04155358A ABRAZ AMER INOX 1 1/2(25-40MM)</t>
  </si>
  <si>
    <t>CL3250</t>
  </si>
  <si>
    <t>18001IC04181600M ABRAZ AMER INOX 2(32-50MM)</t>
  </si>
  <si>
    <t>CL4060</t>
  </si>
  <si>
    <t>18001IC04181600M ABRAZ AMER INOX 2 1/2(40-60MM)</t>
  </si>
  <si>
    <t>CL6080</t>
  </si>
  <si>
    <t>ABRAZ AMER INOX 3(60-80MM) 17001IC 06001248M</t>
  </si>
  <si>
    <t>CL80100</t>
  </si>
  <si>
    <t>ABRAZ AMER INOX 4(80-100MM) 17001IC 06001248M</t>
  </si>
  <si>
    <t>CL812</t>
  </si>
  <si>
    <t>ABRAZ AMER INOX  1/2(8-12MM) 17001IC 06001248M</t>
  </si>
  <si>
    <t>CN1460</t>
  </si>
  <si>
    <t>18001IC04047152P TUBO ESP PA6 AZUL 1/4 X 6 M</t>
  </si>
  <si>
    <t>CN1475</t>
  </si>
  <si>
    <t>20001IC04206029X TUBO ESP PA6 AZUL 1/4 X 7.50M</t>
  </si>
  <si>
    <t>CN3875</t>
  </si>
  <si>
    <t>17001IC06002680 N TUBO ESP PA6 AZUL 3/8 X 750 M</t>
  </si>
  <si>
    <t>CN51612</t>
  </si>
  <si>
    <t>17001IC04128452R TUBO ESP PA6 5/16 X 12 M</t>
  </si>
  <si>
    <t>CN5166</t>
  </si>
  <si>
    <t>17001IC04128452R TUBO ESP PA6 5/16 X 6 M</t>
  </si>
  <si>
    <t>CN51675</t>
  </si>
  <si>
    <t>16 001 IC04 035050 H TUBO ESP PA6 AZUL 5/16 X 7.5M</t>
  </si>
  <si>
    <t>CO-110</t>
  </si>
  <si>
    <t>180011004056284V BOBINA 110 V</t>
  </si>
  <si>
    <t>CO-12V</t>
  </si>
  <si>
    <t>20001IC04177611M BOBINA 12V</t>
  </si>
  <si>
    <t>CO-24V</t>
  </si>
  <si>
    <t>18001IC04230730L BOBINA 24V</t>
  </si>
  <si>
    <t>CR-16/100</t>
  </si>
  <si>
    <t>19001IC04179295H CIL AL RED DIAM 16 X 100</t>
  </si>
  <si>
    <t>CR-16/150</t>
  </si>
  <si>
    <t>19001IC04179295H CIL AL RED DIAM 16 X 150</t>
  </si>
  <si>
    <t>CR-16/25</t>
  </si>
  <si>
    <t>19001IC04179295H CIL AL RED DIAM 16 X 25</t>
  </si>
  <si>
    <t>CR-16/50</t>
  </si>
  <si>
    <t>19001IC04179295H CIL AL RED DIAM 16 X 50</t>
  </si>
  <si>
    <t>CR-16/75</t>
  </si>
  <si>
    <t>19001IC04179295H CIL AL RED DIAM 16 X 75</t>
  </si>
  <si>
    <t>CR-20/100</t>
  </si>
  <si>
    <t>18001IC04206266S CIL AL RED DIAM 20 X 100</t>
  </si>
  <si>
    <t>CR-20/125</t>
  </si>
  <si>
    <t>CILINDRO NEUMÁTICO DIÁMETRO 20X125</t>
  </si>
  <si>
    <t>CR-20/150</t>
  </si>
  <si>
    <t>18001IC04206266S CIL AL RED DIAM 20 X 150</t>
  </si>
  <si>
    <t>CR-20/25</t>
  </si>
  <si>
    <t>19001IC04179295H CIL AL RED DIAM 20 X 25</t>
  </si>
  <si>
    <t>CR-20/50</t>
  </si>
  <si>
    <t>18001IC04206266S CIL AL RED DIAM 20 X 50</t>
  </si>
  <si>
    <t>CR-20/75</t>
  </si>
  <si>
    <t>19001IC04179295H CIL AL RED DIAM 20 X 75</t>
  </si>
  <si>
    <t>CR-25/100</t>
  </si>
  <si>
    <t>18001IC04206266S CIL AL RED DIAM 25 X 100</t>
  </si>
  <si>
    <t>CR-25/125</t>
  </si>
  <si>
    <t>19001IC04179295H CIL AL RED DIAM 25 X 125</t>
  </si>
  <si>
    <t>CR-25/150</t>
  </si>
  <si>
    <t>18001IC04206266S CIL AL RED DIAM 25 X 150</t>
  </si>
  <si>
    <t>CR-25/25</t>
  </si>
  <si>
    <t>19001IC04179295H CIL AL RED DIAM 25 X 25</t>
  </si>
  <si>
    <t>CR-25/50</t>
  </si>
  <si>
    <t>18001IC04206266S CIL AL RED DIAM 25 X 50</t>
  </si>
  <si>
    <t>CR-25/75</t>
  </si>
  <si>
    <t>CILINDRO NEUMÁTICO DIÁMETRO 25X75</t>
  </si>
  <si>
    <t>CR-32/100</t>
  </si>
  <si>
    <t>18001IC04206266S CIL AL RED DIAM 32 X 100</t>
  </si>
  <si>
    <t>CR-32/125</t>
  </si>
  <si>
    <t>CILINDRO NEUMÁTICO DIÁMETRO 32X100</t>
  </si>
  <si>
    <t>CR-32/150</t>
  </si>
  <si>
    <t>18001IC04206266S CIL AL RED DIAM 32 X 150</t>
  </si>
  <si>
    <t>CR-32/175</t>
  </si>
  <si>
    <t>18001IC04206266S CIL AL RED DIAM 32 X 175</t>
  </si>
  <si>
    <t>CR-32/200</t>
  </si>
  <si>
    <t>18001IC04206266S CIL AL RED DIAM 32 X 200</t>
  </si>
  <si>
    <t>CR-32/25</t>
  </si>
  <si>
    <t>CILINDRO NEUMÁTICO DIÁMETRO 32X25</t>
  </si>
  <si>
    <t>CR-32/50</t>
  </si>
  <si>
    <t>18001IC04206266S CIL AL RED DIAM 32 X 50</t>
  </si>
  <si>
    <t>CR-32/75</t>
  </si>
  <si>
    <t>CT-100</t>
  </si>
  <si>
    <t>180011004056284V CUTER PARA TUBOS</t>
  </si>
  <si>
    <t>DAA-010</t>
  </si>
  <si>
    <t>18001IC04062125M AC PAL AL TIPO A 1" X 1"</t>
  </si>
  <si>
    <t>DAA-030</t>
  </si>
  <si>
    <t>18001IC04062125M AC PAL AL TIPO A 2" X 2"</t>
  </si>
  <si>
    <t>DAA-035</t>
  </si>
  <si>
    <t>18001IC04062125M AC PAL AL TIPO A 2" X 3"</t>
  </si>
  <si>
    <t>DAA-040</t>
  </si>
  <si>
    <t>18001IC04062125M AC PAL AL TIPO A 3" X 3"</t>
  </si>
  <si>
    <t>DAA-045</t>
  </si>
  <si>
    <t>18001IC04062125M AC PAL AL TIPO A 3" X 4"</t>
  </si>
  <si>
    <t>DAA-050</t>
  </si>
  <si>
    <t>18001IC04062125M AC PAL AL TIPO A 4" X 4"</t>
  </si>
  <si>
    <t>DAD-030</t>
  </si>
  <si>
    <t>18001IC04062125M AC PAL AL TIPO D 2" X 2"</t>
  </si>
  <si>
    <t>DAD-040</t>
  </si>
  <si>
    <t>18001IC04062125M AC PAL AL TIPO D 3" X 3"</t>
  </si>
  <si>
    <t>DX-200</t>
  </si>
  <si>
    <t>16001IC04025352L APLICADOR CARTUCHO</t>
  </si>
  <si>
    <t>ECH3/4</t>
  </si>
  <si>
    <t>ACOPLE HIDRAULICO 3/4 H 3/4 NPT (BAYONETA ) S/P</t>
  </si>
  <si>
    <t>EFE050</t>
  </si>
  <si>
    <t>14 001 IC04 079390 U AC 1/2 VUELTA EUR RH 1/2''</t>
  </si>
  <si>
    <t>EFE075</t>
  </si>
  <si>
    <t>19001IC04082393W  AC 1/2 VUELTA  EUR RH 3/4''</t>
  </si>
  <si>
    <t>EFE100</t>
  </si>
  <si>
    <t>14 001 IC04 079390 U AC 1/2 VUELTA EUR RH 1''</t>
  </si>
  <si>
    <t>EHE050</t>
  </si>
  <si>
    <t>18001IC04222757V AC 1/2 VUELTA EUR  MANG 1/2'</t>
  </si>
  <si>
    <t>EHE075</t>
  </si>
  <si>
    <t>18001IC04222757V AC 1/2 VUELTA EUR  MANG 3/4'</t>
  </si>
  <si>
    <t>EHE100</t>
  </si>
  <si>
    <t>19001IC04012210D AC 1/2  VUELTA EUR MANG 1''</t>
  </si>
  <si>
    <t>EME050</t>
  </si>
  <si>
    <t>14 001 IC04 079390 U AC 1/2 VUELTA  EUR RM  1/2'</t>
  </si>
  <si>
    <t>EME075</t>
  </si>
  <si>
    <t>14 001 IC04 079390 U AC 1/2 VUELTA  EUR RM  3/4''</t>
  </si>
  <si>
    <t>EME100</t>
  </si>
  <si>
    <t>14 001 IC04 079390 U ACOPLE 1/2 VUELTA EUROPEO 1'</t>
  </si>
  <si>
    <t>ENH3/4</t>
  </si>
  <si>
    <t>PUNTA ACOPLE HIDRAULICO 3/4 H 3/4 NPT (BAYONETA)</t>
  </si>
  <si>
    <t>FEL02</t>
  </si>
  <si>
    <t>16001IC04035050H CODO BRONCE HEMBRA 1/8 BSP</t>
  </si>
  <si>
    <t>FEL04</t>
  </si>
  <si>
    <t>20001IC04206029X CODO BRONCE HEMBRA 1/4 BSP</t>
  </si>
  <si>
    <t>FEL06</t>
  </si>
  <si>
    <t>16001IC04035050H CODO BRONCE HEMBRA 3/8 BSP</t>
  </si>
  <si>
    <t>FEL08</t>
  </si>
  <si>
    <t>16001IC04035050H CODO BRONCE HEMBRA 1/2 BSP</t>
  </si>
  <si>
    <t>FER12R1</t>
  </si>
  <si>
    <t>20001IC04186963W CAMISA 1/2 R1</t>
  </si>
  <si>
    <t>FER12R2</t>
  </si>
  <si>
    <t>20001IC04026706K CAMISA 1/2 R2</t>
  </si>
  <si>
    <t>FER14R1</t>
  </si>
  <si>
    <t>20001IC04186963W CAMISA 1/4 R1</t>
  </si>
  <si>
    <t>FER14R2</t>
  </si>
  <si>
    <t>CAMISA 1/4 R2</t>
  </si>
  <si>
    <t>FER1R2</t>
  </si>
  <si>
    <t>20001IC04186963W CAMISA 1 R2</t>
  </si>
  <si>
    <t>FER34R1</t>
  </si>
  <si>
    <t>20001IC04026706K CAMISA 3/4 R1</t>
  </si>
  <si>
    <t>FER34R2</t>
  </si>
  <si>
    <t>20001IC04186963W CAMISA 3/4 R2</t>
  </si>
  <si>
    <t>FER38R1</t>
  </si>
  <si>
    <t>CAMISA 3/8 R1</t>
  </si>
  <si>
    <t>FER38R2</t>
  </si>
  <si>
    <t>CAMISA 3/8 R2</t>
  </si>
  <si>
    <t>FER516R1</t>
  </si>
  <si>
    <t>20001IC04186963W CAMISA 5/16 R1</t>
  </si>
  <si>
    <t>FER516R2</t>
  </si>
  <si>
    <t>CAMISA 5/16 R2</t>
  </si>
  <si>
    <t>FER58R2</t>
  </si>
  <si>
    <t>20001IC04026706K CAMISA 5/8 R2</t>
  </si>
  <si>
    <t>FET02</t>
  </si>
  <si>
    <t>19001IC04142147Z T BRONCE  HEMBRA 1/8 BSP</t>
  </si>
  <si>
    <t>FET04</t>
  </si>
  <si>
    <t>19001IC04142147Z T BRONCE  HEMBRA 1/4 BSP</t>
  </si>
  <si>
    <t>FET06</t>
  </si>
  <si>
    <t>19001IC04142147Z T BRONCE  HEMBRA 3/8 BSP</t>
  </si>
  <si>
    <t>FET08</t>
  </si>
  <si>
    <t>16001IC04035050H T BRONCE  HEMBRA 1/2 BSP</t>
  </si>
  <si>
    <t>FR-010</t>
  </si>
  <si>
    <t>20001IC04164806Y  FILTRO REGULADOR 1/4</t>
  </si>
  <si>
    <t>FR-030</t>
  </si>
  <si>
    <t>20001IC04110634E FILTRO REGULADOR 1/2</t>
  </si>
  <si>
    <t>FRL-010</t>
  </si>
  <si>
    <t>20001IC04038164L FILTRO  REGULADOR  + LUBRIC</t>
  </si>
  <si>
    <t>FRL-010EC</t>
  </si>
  <si>
    <t>20001IC047199935C FILTRO REG C + LUBR 1/4 ECON</t>
  </si>
  <si>
    <t>FRL-030</t>
  </si>
  <si>
    <t>20001IC04110634E FILTRO REGULADOR +  LUBRICADO</t>
  </si>
  <si>
    <t>FRL-050</t>
  </si>
  <si>
    <t>18001IC04219682B FILTRO REGULADOR LUBRICADOR 1"</t>
  </si>
  <si>
    <t>GAS050</t>
  </si>
  <si>
    <t>18001IC040962125M O'RING  ACOPLE  (AMER Y EUR)</t>
  </si>
  <si>
    <t>GP-010</t>
  </si>
  <si>
    <t>14 001 IC04 004701 E - GRASERA 500</t>
  </si>
  <si>
    <t>GP-020</t>
  </si>
  <si>
    <t>09 001 IC04 086250 R - CAÑO EXTENSOR</t>
  </si>
  <si>
    <t>GP-021</t>
  </si>
  <si>
    <t>09 001 IC04 086250 R - CAÑO FLEX ROSCA 1/8</t>
  </si>
  <si>
    <t>GP-022</t>
  </si>
  <si>
    <t>09 001 IC04 086250 R - CAÑO EXTENSOR  CURVO</t>
  </si>
  <si>
    <t>H100-10</t>
  </si>
  <si>
    <t>TERMINAL MF JIC 7/16 X 1/4 MANG</t>
  </si>
  <si>
    <t>H100-20</t>
  </si>
  <si>
    <t>TERMINAL MF JIC 9/16 X 1/4 MANG</t>
  </si>
  <si>
    <t>H100-30</t>
  </si>
  <si>
    <t>TERMINAL MF JIC 9/16 X 3/8 MANG</t>
  </si>
  <si>
    <t>H100-40</t>
  </si>
  <si>
    <t>TERMINAL MF JIC 3/4 X 3/8 MANG</t>
  </si>
  <si>
    <t>H100-50</t>
  </si>
  <si>
    <t>TERMINAL MF JIC 7/8 X 3/8 MANG</t>
  </si>
  <si>
    <t>H100-60</t>
  </si>
  <si>
    <t>20001IC04026706K TERMINAL MF JIC 3/4 X 1/2 MANG</t>
  </si>
  <si>
    <t>H100-70</t>
  </si>
  <si>
    <t>20001IC04026706K TERMINAL MF JIC 7/8 X 1/2 MANG</t>
  </si>
  <si>
    <t>H100-80</t>
  </si>
  <si>
    <t>20001IC04026706K TERMINAL MF JIC 1 1/16 X 3/4 MANG</t>
  </si>
  <si>
    <t>H300-10</t>
  </si>
  <si>
    <t>20001IC04026706K TERMINAL JIC HEMBRA 7/16 X 1/4 MA</t>
  </si>
  <si>
    <t>H300-20</t>
  </si>
  <si>
    <t>20001IC04186963W TERMINAL JIC HEMBRA 9/16 X 1/4 MA</t>
  </si>
  <si>
    <t>H300-30</t>
  </si>
  <si>
    <t>20001IC04026706K TERMINAL JIC HEMBRA 9/16 X 3/8 MA</t>
  </si>
  <si>
    <t>H300-40</t>
  </si>
  <si>
    <t>20001IC04186963WTERMINAL JIC HEMBRA 3/4 X 3/8 MAN</t>
  </si>
  <si>
    <t>H300-50</t>
  </si>
  <si>
    <t>20001IC04186963W TERMINAL JIC HEMBRA 7/8 X 3/8 MAN</t>
  </si>
  <si>
    <t>H300-60</t>
  </si>
  <si>
    <t>20001IC04186963W TERMINAL JIC HEMBRA 7/8 X 1/2 MAN</t>
  </si>
  <si>
    <t>H300-70</t>
  </si>
  <si>
    <t>20001IC04186963W TERMINAL JIC HEMBRA 1 1/16 X 3/4</t>
  </si>
  <si>
    <t>H500-10</t>
  </si>
  <si>
    <t>20001IC04026706K TERM JIC HEMBRA 90° 9/16 X 1/4</t>
  </si>
  <si>
    <t>H500-20</t>
  </si>
  <si>
    <t>20001IC04026706K TERM JIC HEMBRA 90° 9/16 X 3/8</t>
  </si>
  <si>
    <t>H500-30</t>
  </si>
  <si>
    <t>20001IC04026706K TERM JIC HEMBRA 90° 3/4 X 3/8</t>
  </si>
  <si>
    <t>H500-40</t>
  </si>
  <si>
    <t>20001IC04026706K TERM JIC HEMBRA 90° 7/8 X 3/8</t>
  </si>
  <si>
    <t>H500-50</t>
  </si>
  <si>
    <t>20001IC04026706K TERM JIC HEMBRA 90° 7/8 X 1/2</t>
  </si>
  <si>
    <t>H500-60</t>
  </si>
  <si>
    <t>20001IC04026706K TERM JIC HEMBRA 90° 1 1/16 X 3/4</t>
  </si>
  <si>
    <t>HRXT04</t>
  </si>
  <si>
    <t>19001IC04103051H UNION CRUZ BRONCE 1/4</t>
  </si>
  <si>
    <t>HRXT05</t>
  </si>
  <si>
    <t>19001IC04103051H UNION CRUZ BRONCE 15/16</t>
  </si>
  <si>
    <t>HRXT06</t>
  </si>
  <si>
    <t>19001IC04103051H UNION CRUZ BRONCE 3/8</t>
  </si>
  <si>
    <t>HRXT08</t>
  </si>
  <si>
    <t>19001IC04103051H UNION CRUZ BRONCE 1/2</t>
  </si>
  <si>
    <t>HSV-02</t>
  </si>
  <si>
    <t>VÀLVULA COLIZANTE 1/4 BSP</t>
  </si>
  <si>
    <t>HV400-02 G1/4</t>
  </si>
  <si>
    <t>18001IC04219682B VÁLVULA ROTATIVA 1/4</t>
  </si>
  <si>
    <t>HV400-04 G1/2</t>
  </si>
  <si>
    <t>18001IC04219682B VÁLVULA ROTATIVA 1/2</t>
  </si>
  <si>
    <t>ISO-CA-32</t>
  </si>
  <si>
    <t>19001IC04129716A ACCESORIO CILINDRO DIAM 32</t>
  </si>
  <si>
    <t>ISO-CA-40</t>
  </si>
  <si>
    <t>19001IC04129716A ACCESORIO CILINDRO DIAM 40</t>
  </si>
  <si>
    <t>ISO-CA-50</t>
  </si>
  <si>
    <t>19001IC04129716A ACCESORIO CILINDRO DIAM 50</t>
  </si>
  <si>
    <t>ISO-CB32</t>
  </si>
  <si>
    <t>ISO-CB40</t>
  </si>
  <si>
    <t>ISO-CB50</t>
  </si>
  <si>
    <t>ISO-I JOINT-32</t>
  </si>
  <si>
    <t>ISO-I JOINT-40</t>
  </si>
  <si>
    <t>ISO-I JOINT-50</t>
  </si>
  <si>
    <t>ISO-PHS-32</t>
  </si>
  <si>
    <t>ISO-PHS-40</t>
  </si>
  <si>
    <t>ISO-PHS-50</t>
  </si>
  <si>
    <t>ISO-SD32</t>
  </si>
  <si>
    <t>ISO-SD40</t>
  </si>
  <si>
    <t>ISO-SD50</t>
  </si>
  <si>
    <t>ISO-Y+CLIP-32</t>
  </si>
  <si>
    <t>ISO-Y+CLIP-40</t>
  </si>
  <si>
    <t>ISO-Y+CLIP-50</t>
  </si>
  <si>
    <t>ISO-Y+PIN-32</t>
  </si>
  <si>
    <t>ISO-Y+PIN-40</t>
  </si>
  <si>
    <t>ISO-Y+PIN-50</t>
  </si>
  <si>
    <t>K34R8-L6 G1</t>
  </si>
  <si>
    <t>18001IC04219682B VÁLVULA ROTATIVA 1/8"</t>
  </si>
  <si>
    <t>K34R8-L8 G1</t>
  </si>
  <si>
    <t>18001IC04219682B VÁLVULA ROTATIVA 1/4"</t>
  </si>
  <si>
    <t>KAM-06</t>
  </si>
  <si>
    <t>180011004056284V VALV RETEN 1/8 BSP</t>
  </si>
  <si>
    <t>KAM-08</t>
  </si>
  <si>
    <t>180011004056284V VALVULA RETENCION 1/4 BSP</t>
  </si>
  <si>
    <t>KAM-10</t>
  </si>
  <si>
    <t>180011004056284V VALVULA RETENCION 3/8 BSP</t>
  </si>
  <si>
    <t>KAM-15</t>
  </si>
  <si>
    <t>180011004056284V VALVULA RETENCION 1/2 BSP</t>
  </si>
  <si>
    <t>KTP-010</t>
  </si>
  <si>
    <t>KIT PISTOLA TUBO 1/4 X 5 MTS</t>
  </si>
  <si>
    <t>KTP-020</t>
  </si>
  <si>
    <t>KIT PISTOLA TUBO 1/4 X 7.50 MTS</t>
  </si>
  <si>
    <t>KTP-100</t>
  </si>
  <si>
    <t>KIT PISTOLA TUBO 5/16 X 5 MTS</t>
  </si>
  <si>
    <t>KTP-110</t>
  </si>
  <si>
    <t>KIT PISTOLA TUBO 5/16 X 7.5 MTS</t>
  </si>
  <si>
    <t>KTP-120</t>
  </si>
  <si>
    <t>KIT PISTOLA TUBO 5/16 X 12 MTS</t>
  </si>
  <si>
    <t>KTP-210</t>
  </si>
  <si>
    <t>KIT PISTOLA TUBO 3/8 X 7.5 MTS</t>
  </si>
  <si>
    <t>LB-32</t>
  </si>
  <si>
    <t>LB-40</t>
  </si>
  <si>
    <t>LB-50</t>
  </si>
  <si>
    <t>LF-200-4</t>
  </si>
  <si>
    <t>19001IC04114044L MANGUERA PVC PLANA 2"  X 100 MTS</t>
  </si>
  <si>
    <t>LF-300-4</t>
  </si>
  <si>
    <t>19001IC04114044L MANGUERA PVC PLANA 3"  X 100 MTS</t>
  </si>
  <si>
    <t>LF-400-4</t>
  </si>
  <si>
    <t>19001IC04114044L MANGUERA PVC PLANA 4"  X 100 MTS</t>
  </si>
  <si>
    <t>M-105</t>
  </si>
  <si>
    <t>CONO REBAJADO A DIÀM 21.70</t>
  </si>
  <si>
    <t>M-110</t>
  </si>
  <si>
    <t>EJE CHICO LARGO 27MM</t>
  </si>
  <si>
    <t>M-115</t>
  </si>
  <si>
    <t>EJE DE 33MM DE LARGO</t>
  </si>
  <si>
    <t>M-120</t>
  </si>
  <si>
    <t>PERNO 1/4 38MM</t>
  </si>
  <si>
    <t>M-125</t>
  </si>
  <si>
    <t>EJE RED1/2 LARGO 165</t>
  </si>
  <si>
    <t>M-130</t>
  </si>
  <si>
    <t>EJE RED 5/18 LARGO 215</t>
  </si>
  <si>
    <t>M-135</t>
  </si>
  <si>
    <t>EJE RED 5/8 X 305</t>
  </si>
  <si>
    <t>M-140</t>
  </si>
  <si>
    <t>EJE RED 100MM DOBLE ROSCA</t>
  </si>
  <si>
    <t>MEL02</t>
  </si>
  <si>
    <t>CODO MACHO HEMBRA BRONCE 1/8 17001IC06001254J</t>
  </si>
  <si>
    <t>MEL04</t>
  </si>
  <si>
    <t>CODO MACHO HEMBRA BRONCE 1/4 17001IC06001254J</t>
  </si>
  <si>
    <t>MEL06</t>
  </si>
  <si>
    <t>CODO MACHO HEMBRA BRONCE 3/8 17001IC06001254J</t>
  </si>
  <si>
    <t>MFT02</t>
  </si>
  <si>
    <t>T MACHO HEMBRA HEMBRA BRONCE 1/8 17001IC06001254J</t>
  </si>
  <si>
    <t>MFT04</t>
  </si>
  <si>
    <t>T MACHO HEMBRA HEMBRA BRONCE 1/4 17001IC06001254J</t>
  </si>
  <si>
    <t>MFT06</t>
  </si>
  <si>
    <t>T MACHO HEMBRA HEMBRA BRONCE 3/8 17001IC06001254J</t>
  </si>
  <si>
    <t>MML-010</t>
  </si>
  <si>
    <t>CODO BRONCE 1/8 BSPT 15091IC04046116U</t>
  </si>
  <si>
    <t>MML-020</t>
  </si>
  <si>
    <t>CODO BRONCE 1/4 BSPT 20001IC04206029X</t>
  </si>
  <si>
    <t>MML-030</t>
  </si>
  <si>
    <t>CODO BRONCE 3/8 BSPT 15091IC04046116U</t>
  </si>
  <si>
    <t>MML-040</t>
  </si>
  <si>
    <t>CODO BRONCE 1/2 BSPT 15091IC04046116U</t>
  </si>
  <si>
    <t>MMT-010</t>
  </si>
  <si>
    <t xml:space="preserve"> T BRONCE 1/8 BSPT 15091IC04046116U</t>
  </si>
  <si>
    <t>MMT-020</t>
  </si>
  <si>
    <t xml:space="preserve"> T BRONCE 1/4 BSPT 15091IC04046116U</t>
  </si>
  <si>
    <t>MMT-030</t>
  </si>
  <si>
    <t xml:space="preserve"> T BRONCE 3/8 BSPT 15091IC04046116U</t>
  </si>
  <si>
    <t>MMT-040</t>
  </si>
  <si>
    <t xml:space="preserve"> T BRONCE 1/2 BSPT 15091IC04046116U</t>
  </si>
  <si>
    <t>MOV-02</t>
  </si>
  <si>
    <t>180011004056284V VALVULA MECANICA ROSCA 1/8 BSP</t>
  </si>
  <si>
    <t>MSV86521PP</t>
  </si>
  <si>
    <t>18001IC04219682B VÁLVULA BOTÓN 5/2 ROSCA 1/8" BSP</t>
  </si>
  <si>
    <t>MSV86521TB</t>
  </si>
  <si>
    <t>18001IC04219682B VÁLVULA SELECTOR 5/2 ROSCA 1/8"BS</t>
  </si>
  <si>
    <t>MSV86522PP</t>
  </si>
  <si>
    <t>18001IC04219682B VÁLVULA BOTÓN 5/2 ROSCA 1/4" BSP</t>
  </si>
  <si>
    <t>MSV86522TB</t>
  </si>
  <si>
    <t>18001IC04219682B VÁLVULA SELECTOR 5/2 ROSCA 1/4" B</t>
  </si>
  <si>
    <t>MSV98321PP</t>
  </si>
  <si>
    <t>18001IC04219682B VÁLVULA BOTÓN 3/2 ROSCA 1/8" BSP</t>
  </si>
  <si>
    <t>MSV98321TB</t>
  </si>
  <si>
    <t>18001IC04219682B VÁLVULA SELECTOR 3/2 ROSCA 1/8" B</t>
  </si>
  <si>
    <t>MSV98322PP</t>
  </si>
  <si>
    <t>18001IC04219682B VÁLVULA BOTÓN 3/2 ROSCA 1/4" BSP</t>
  </si>
  <si>
    <t>MSV98322TB</t>
  </si>
  <si>
    <t>18001IC04219682B VÁLVULA SELECTOR 3/2 ROSCA 1/4" B</t>
  </si>
  <si>
    <t>N100-10</t>
  </si>
  <si>
    <t>TERMINAL MF NPT 1/8 X 1/4 MANG</t>
  </si>
  <si>
    <t>N100-100</t>
  </si>
  <si>
    <t>20001IC04026706K TERMINAL MF NPT 1 X 1 MANG</t>
  </si>
  <si>
    <t>N100-20</t>
  </si>
  <si>
    <t>TERMINAL MF NPT 1/4 X 1/4 MANG</t>
  </si>
  <si>
    <t>N100-30</t>
  </si>
  <si>
    <t>TERMINAL MF NPT 3/8 X 1/4 MANG</t>
  </si>
  <si>
    <t>N100-40</t>
  </si>
  <si>
    <t>TERMINAL MF NPT 1/4 X 3/8 MANG</t>
  </si>
  <si>
    <t>N100-50</t>
  </si>
  <si>
    <t>TERMINAL MF NPT 3/8 X 3/8 MANG</t>
  </si>
  <si>
    <t>N100-60</t>
  </si>
  <si>
    <t>TERMINAL MF NPT 1/2 X 3/8 MANG</t>
  </si>
  <si>
    <t>N100-70</t>
  </si>
  <si>
    <t>TERMINAL MF NPT 3/8 X 1/2 MANG</t>
  </si>
  <si>
    <t>N100-80</t>
  </si>
  <si>
    <t>TERMINAL MF NPT 1/2 X 1/2 MANG</t>
  </si>
  <si>
    <t>N100-90</t>
  </si>
  <si>
    <t>20001IC04026706K TERMINAL MF NPT 3/4 X 3/4 MANG</t>
  </si>
  <si>
    <t>NPAB-16</t>
  </si>
  <si>
    <t>17001IC04093839E  PISTOLA ARENADORA SALIDA ROSCA</t>
  </si>
  <si>
    <t>NY-1209</t>
  </si>
  <si>
    <t>16001IC04042849V TUBO POL 6 TRANSP 12 X 9 X 100</t>
  </si>
  <si>
    <t>PA-0604</t>
  </si>
  <si>
    <t>19001IC04030938U TUBO POL 6 TRANSP 6  X 4  X 200 M</t>
  </si>
  <si>
    <t>PA0604N</t>
  </si>
  <si>
    <t>21001IC04003760G TUBO POL 6 NEGRO 6X4X200 M</t>
  </si>
  <si>
    <t>PA-0806</t>
  </si>
  <si>
    <t>16001IC04042849V TUBO POL 6 TRANSP 8  X 6  X 100 M</t>
  </si>
  <si>
    <t>PA0806N</t>
  </si>
  <si>
    <t>21001IC04003760G  TUBO POL 6 NEGRO 8X6X100 M</t>
  </si>
  <si>
    <t>PA1/2N</t>
  </si>
  <si>
    <t>18001IC04047152P TUBO POL 6 NEGRO 1/2X9.5X100 M</t>
  </si>
  <si>
    <t>PA1/4N</t>
  </si>
  <si>
    <t>17001IC04156088A TUBO POL 6 NEGRO 1/4X4X200 M</t>
  </si>
  <si>
    <t>PA-1008</t>
  </si>
  <si>
    <t>16001IC04042849V TUBO POL 6 TRANSP 10 X 8 X 100 M</t>
  </si>
  <si>
    <t>PA1008N</t>
  </si>
  <si>
    <t>17001IC04156088A TUBO POL 6 NEGRO 10X8X100 M</t>
  </si>
  <si>
    <t>PA1209N</t>
  </si>
  <si>
    <t>21001IC04003760G  TUBO POL 6 NEGRO 12X9X100 M</t>
  </si>
  <si>
    <t>PA3/16N</t>
  </si>
  <si>
    <t>18001IC04006563Z TUBO POL 6 NEGRO 3/16 X 200 M</t>
  </si>
  <si>
    <t>PA3/8N</t>
  </si>
  <si>
    <t>21001IC04003760G TUBO POL 6 NEGRO 3/8X6.5X100 M</t>
  </si>
  <si>
    <t>PA5/16N</t>
  </si>
  <si>
    <t>18001IC04006563Z TUBO POL 6 NEGRO 5/16X6X100 M</t>
  </si>
  <si>
    <t>PA7/16N</t>
  </si>
  <si>
    <t>18001IC04006563Z TUBO POL 6 NEGRO 7/16X100 M</t>
  </si>
  <si>
    <t>PC10-G01</t>
  </si>
  <si>
    <t>19001IC04098450A RECTA PLÁSTICA R 1/8 BSPT X 10 MM</t>
  </si>
  <si>
    <t>PC10-G02</t>
  </si>
  <si>
    <t>19001IC04098450A RECTA PLÁSTICA R 1/4 BSPT X 10 MM</t>
  </si>
  <si>
    <t>PC10-G03</t>
  </si>
  <si>
    <t>19001IC04098450A RECTA PLÁSTICA R 3/8 BSPT X 10 MM</t>
  </si>
  <si>
    <t>PC10-G04</t>
  </si>
  <si>
    <t>19001IC04098450A RECTA PLÁSTICA R 1/2 BSPT X 10 MM</t>
  </si>
  <si>
    <t>PC12-G02</t>
  </si>
  <si>
    <t>19001IC04098450A RECTA PLÁSTICA R 1/4 BSPT X 12 MM</t>
  </si>
  <si>
    <t>PC12-G03</t>
  </si>
  <si>
    <t>19001IC04098450A RECTA PLÁSTICA R 3/8 BSPT X 12 MM</t>
  </si>
  <si>
    <t>PC12-G04</t>
  </si>
  <si>
    <t>19001IC04098450A RECTA PLÁSTICA R 1/2 BSPT X 12 MM</t>
  </si>
  <si>
    <t>PC6-G01</t>
  </si>
  <si>
    <t>20001IC04026706K RECTA PLÁSTICA R 1/8 BSPT X 6 MM</t>
  </si>
  <si>
    <t>PC6-G02</t>
  </si>
  <si>
    <t>19001IC04098450A RECTA PLÁSTICA R 1/4 BSPT X 6 MM</t>
  </si>
  <si>
    <t>PC8-G01</t>
  </si>
  <si>
    <t>19001IC04098450A RECTA PLÁSTICA R 1/8 BSPT X 8 MM</t>
  </si>
  <si>
    <t>PC8-G02</t>
  </si>
  <si>
    <t>19001IC04098450A RECTA PLÁSTICA R 1/4 BSPT X 8 MM</t>
  </si>
  <si>
    <t>PC8-G03</t>
  </si>
  <si>
    <t>19001IC04098450A RECTA PLÁSTICA R 3/8 BSPT X 8 MM</t>
  </si>
  <si>
    <t>PC8-G04</t>
  </si>
  <si>
    <t>19001IC04098450A RECTA PLÁSTICA R 1/2 BSPT X 8 MM</t>
  </si>
  <si>
    <t>PCH 1/4</t>
  </si>
  <si>
    <t>ACOPLE HIDRÁUL. 1/4 HEMBRA 1/4 BSP(BAYONETA)</t>
  </si>
  <si>
    <t>PCH-1/2</t>
  </si>
  <si>
    <t>ACOPLE HIDR. RH 1/2 NPT VALVULA EN PUNTA</t>
  </si>
  <si>
    <t>PL10-G01</t>
  </si>
  <si>
    <t xml:space="preserve"> 19001IC04098450A CODO PLÁSTICO R 1/8 BSPT X 10 MM</t>
  </si>
  <si>
    <t>PL10-G02</t>
  </si>
  <si>
    <t xml:space="preserve"> 19001IC04098450A CODO PLÁSTICO R 1/4 BSPT X 10 MM</t>
  </si>
  <si>
    <t>PL10-G03</t>
  </si>
  <si>
    <t xml:space="preserve"> 19001IC04098450A CODO PLÁSTICO R 3/8 BSPT X 10 MM</t>
  </si>
  <si>
    <t>PL10-G04</t>
  </si>
  <si>
    <t xml:space="preserve"> 19001IC04098450A CODO PLÁSTICO R 1/2 BSPT X 10 MM</t>
  </si>
  <si>
    <t>PL12-G02</t>
  </si>
  <si>
    <t>19001IC04098450A CODO PLÁSTICO R 1/4 BSPT X 12 MM</t>
  </si>
  <si>
    <t>PL12-G03</t>
  </si>
  <si>
    <t>19001IC04098450A CODO PLÁSTICO R 3/8 BSPT X 12 MM</t>
  </si>
  <si>
    <t>PL12-G04</t>
  </si>
  <si>
    <t xml:space="preserve"> 19001IC04098450A CODO PLÁSTICO R 1/2 BSPT X 12 MM</t>
  </si>
  <si>
    <t>PL6-G01</t>
  </si>
  <si>
    <t>19001IC04098450A CODO PLÁSTICO R 1/8 BSPT X 6 MM</t>
  </si>
  <si>
    <t>PL6-G02</t>
  </si>
  <si>
    <t xml:space="preserve"> 19001IC04098450A CODO PLÁSTICO R 1/4 BSPT X 6 MM</t>
  </si>
  <si>
    <t>PL8-G01</t>
  </si>
  <si>
    <t xml:space="preserve"> 19001IC04098450A CODO PLÁSTICO R 1/8 BSPT X 8 MM</t>
  </si>
  <si>
    <t>PL8-G02</t>
  </si>
  <si>
    <t xml:space="preserve"> 19001IC04098450A CODO PLÁSTICO R 1/4 BSPT X 8 MM</t>
  </si>
  <si>
    <t>PL8-G03</t>
  </si>
  <si>
    <t xml:space="preserve"> 19001IC04098450A CODO PLÁSTICO R 3/8 BSPT X 8 MM</t>
  </si>
  <si>
    <t>PL8-G04</t>
  </si>
  <si>
    <t xml:space="preserve"> 19001IC04098450A CODO PLÁSTICO R 1/2 BSPT X 6 MM</t>
  </si>
  <si>
    <t>PMF10-G01</t>
  </si>
  <si>
    <t>19001IC04098450A CUPLA REDUCCION ROSCA HEMBRA 1/8</t>
  </si>
  <si>
    <t>PMF10-G02</t>
  </si>
  <si>
    <t>19001IC04098450A CUPLA REDUCCION ROSCA HEMBRA 1/4</t>
  </si>
  <si>
    <t>PMF10-G03</t>
  </si>
  <si>
    <t>19001IC04098450A CUPLA REDUCCION ROSCA HEMBRA 3/8</t>
  </si>
  <si>
    <t>PMF10-G04</t>
  </si>
  <si>
    <t>19001IC04098450A CUPLA REDUCCION ROSCA HEMBRA 1/2</t>
  </si>
  <si>
    <t>PMF12-G02</t>
  </si>
  <si>
    <t>PMF12-G03</t>
  </si>
  <si>
    <t>PMF12-G04</t>
  </si>
  <si>
    <t>PMF6-G01</t>
  </si>
  <si>
    <t>PMF6-G02</t>
  </si>
  <si>
    <t>PMF8-G01</t>
  </si>
  <si>
    <t>PMF8-G02</t>
  </si>
  <si>
    <t>PMF8-G03</t>
  </si>
  <si>
    <t>PMF8-G04</t>
  </si>
  <si>
    <t>PNH 1/4</t>
  </si>
  <si>
    <t>PUNTA ACOPLE HIDRÁUL. 1/4 HERMBRA 1/4 BSP (BAYONE)</t>
  </si>
  <si>
    <t>PNH-1/2</t>
  </si>
  <si>
    <t>PTA ACOPLE RH 1/2 NPT</t>
  </si>
  <si>
    <t>PP-050F</t>
  </si>
  <si>
    <t>RACORD RH GIRATORIO 1/2 15091IC04072776F</t>
  </si>
  <si>
    <t>PP-050M</t>
  </si>
  <si>
    <t>RACORD RM 1/2  POLIP 15091IC04042776F</t>
  </si>
  <si>
    <t>PP-075F</t>
  </si>
  <si>
    <t>RACORD RH GIRATORIO 3/4 15091IC04072776F</t>
  </si>
  <si>
    <t>PP-075M</t>
  </si>
  <si>
    <t>RACORD RM 3/4  POLIP 15091IC04042776F</t>
  </si>
  <si>
    <t>PP-100F</t>
  </si>
  <si>
    <t>RACORD RH GIRATORIO 1' 15091IC04042776F</t>
  </si>
  <si>
    <t>PP-100M</t>
  </si>
  <si>
    <t>RACORD RM   1'   POLP 15091IC04042776F</t>
  </si>
  <si>
    <t>PP-150F</t>
  </si>
  <si>
    <t>RACORD RH GIRATORIO 1 1/2 15091IC04042776F</t>
  </si>
  <si>
    <t>PP-150M</t>
  </si>
  <si>
    <t>RACORD RM 1 1/2' 15091IC04042776F</t>
  </si>
  <si>
    <t>PP-200F</t>
  </si>
  <si>
    <t>RACORD RH GIRATORIO 2' 15091IC04042776F</t>
  </si>
  <si>
    <t>PP-200M</t>
  </si>
  <si>
    <t>RACORD RM 2' 15091IC04042776F</t>
  </si>
  <si>
    <t>PP-300F</t>
  </si>
  <si>
    <t>RACORD RH GIRATORIO 3' 15091IC04042776F</t>
  </si>
  <si>
    <t>PP-300M</t>
  </si>
  <si>
    <t>RACORD RM 3' 15091IC04042776F</t>
  </si>
  <si>
    <t>PVC1408</t>
  </si>
  <si>
    <t>17001IC06001254J MANGUERA PVC ROJA 14 X 8 X 50 MET</t>
  </si>
  <si>
    <t>PVC1595</t>
  </si>
  <si>
    <t>17001IC06001254J MANGUERA PVC ROJA 15,5 X 9,5 X 50</t>
  </si>
  <si>
    <t>QE01</t>
  </si>
  <si>
    <t>18001IC04219682B VÁLVULA ESCAPE RÁPIDO 1/8" BSP</t>
  </si>
  <si>
    <t>QE02</t>
  </si>
  <si>
    <t>18001IC04219682B VÁLVULA ESCAPE RÁPIDO 1/4" BSP</t>
  </si>
  <si>
    <t>QE03</t>
  </si>
  <si>
    <t>18001IC04219682B VÁLVULA ESCAPE RÁPIDO 3/8" BSP</t>
  </si>
  <si>
    <t>QE04</t>
  </si>
  <si>
    <t>18001IC04219682B VÁLVULA ESCAPE RÁPIDO 1/2" BSP</t>
  </si>
  <si>
    <t>SFSC-010</t>
  </si>
  <si>
    <t>17001IC06002680 N SILENCIADOR METALICO 1/8 BSPT</t>
  </si>
  <si>
    <t>SFSC-020</t>
  </si>
  <si>
    <t>20001IC04206029X SILENCIADOR METALICO 1/4 BSPT</t>
  </si>
  <si>
    <t>SFSC-030</t>
  </si>
  <si>
    <t>14 001 IC04 135282 N SILENCIADOR METALICO 3/8 BSPT</t>
  </si>
  <si>
    <t>SFSC-040</t>
  </si>
  <si>
    <t>14 001 IC04 135282 N SILENCIADOR METALICO 1/2 BSPT</t>
  </si>
  <si>
    <t>SL115</t>
  </si>
  <si>
    <t>14 001 IC04 079390 U ABRAZADERA  3'</t>
  </si>
  <si>
    <t>SL29</t>
  </si>
  <si>
    <t>18001IC04002454L ABRAZADERAS 1/2''</t>
  </si>
  <si>
    <t>SL34</t>
  </si>
  <si>
    <t>19001IC04012210D ABRAZADERA 3/4</t>
  </si>
  <si>
    <t>SL40</t>
  </si>
  <si>
    <t>19001IC04082393W  ABRAZADERA  1''</t>
  </si>
  <si>
    <t>SL550</t>
  </si>
  <si>
    <t>14 001 IC04 079390 U ABRAZADERA 4''</t>
  </si>
  <si>
    <t>SL60</t>
  </si>
  <si>
    <t>14 001 IC04 079390 U ABRAZADERA 1 1/2'</t>
  </si>
  <si>
    <t>SL76</t>
  </si>
  <si>
    <t>19001IC04012210D ABRAZADERA 2''</t>
  </si>
  <si>
    <t>SLA-010</t>
  </si>
  <si>
    <t>180011004056284V AMORTIGUADOR DE VALVULA 1/8 BSPT</t>
  </si>
  <si>
    <t>SLA-020</t>
  </si>
  <si>
    <t>180011004056284V AMORTIGUADOR DE VALVULA 1/4 BSPT</t>
  </si>
  <si>
    <t>SLC-010</t>
  </si>
  <si>
    <t>180011004056284V SILENC METAL 1/8 BSPT CORTO</t>
  </si>
  <si>
    <t>SLC-020</t>
  </si>
  <si>
    <t>180011004056284V SILENCIADOR METAL 1/4 BSPT CORTO</t>
  </si>
  <si>
    <t>SLC-030</t>
  </si>
  <si>
    <t>180011004056284V SILENCIADOR METAL 3/8 BSPT CORTO</t>
  </si>
  <si>
    <t>SLC-040</t>
  </si>
  <si>
    <t>180011004056284V SILENCIADOR METAL 1/2 BSPT CORTO</t>
  </si>
  <si>
    <t>SLR-010</t>
  </si>
  <si>
    <t>180011004056284V SILENCIADOR METAL 1/8 BSPT REGUL</t>
  </si>
  <si>
    <t>SLR-020</t>
  </si>
  <si>
    <t>180011004056284V SILENC METAL 1/4 BSPT REGULABLE</t>
  </si>
  <si>
    <t>SP008</t>
  </si>
  <si>
    <t>15091 IC04 063102 Y  MINI LUBRICADOR ROSCA 1/4</t>
  </si>
  <si>
    <t>SP009-10</t>
  </si>
  <si>
    <t>16001IC04120219J MINI VALV DE SEG CALIBRADA 1/4</t>
  </si>
  <si>
    <t>SP009-20</t>
  </si>
  <si>
    <t>15091 IC04 059871 J MINI VALV DE SEG CALIBRADA 3/8</t>
  </si>
  <si>
    <t>SP009-30</t>
  </si>
  <si>
    <t>18001IC04155358A MINI VALV DE SEG CALIBRADA 1/2</t>
  </si>
  <si>
    <t>SP009-40</t>
  </si>
  <si>
    <t>15091 IC04 059871 J MINI VALV DE SEG CALIBRADA 3/4</t>
  </si>
  <si>
    <t>SP011-10</t>
  </si>
  <si>
    <t>19001IC04208820R  VALVULA DE SEG 1/4</t>
  </si>
  <si>
    <t>SP011-20</t>
  </si>
  <si>
    <t>15091 IC04 063102 Y  VALVULA DE SEG 3/8</t>
  </si>
  <si>
    <t>SP011-30</t>
  </si>
  <si>
    <t>15091 IC04 063102 Y  VALVULA DE SEG 1/2</t>
  </si>
  <si>
    <t>SP011-40</t>
  </si>
  <si>
    <t>15091 IC04 063102 Y  VALVULA DE SEG 3/4</t>
  </si>
  <si>
    <t>SP016-10</t>
  </si>
  <si>
    <t>19001IC04179295H MINI VAL ESFERICA BCE H-H 1/4 BS</t>
  </si>
  <si>
    <t>SP016-20</t>
  </si>
  <si>
    <t>19001IC04103051H VAL ESFER H 1/4 MANG 8 MM</t>
  </si>
  <si>
    <t>SP016-30</t>
  </si>
  <si>
    <t>19001IC04103051H VÁLVULA ESFER H 1/4 M 1/4</t>
  </si>
  <si>
    <t>SP016-40</t>
  </si>
  <si>
    <t>19001IC04103051H VALV ESFER M 1/4 M 1/4</t>
  </si>
  <si>
    <t>SP016-50</t>
  </si>
  <si>
    <t>MINI VALV ESFER M 1/4 MANGU 8 MM</t>
  </si>
  <si>
    <t>SP016-60</t>
  </si>
  <si>
    <t>MINI VALV ESFER MANG 8 MM MANG 8 MM</t>
  </si>
  <si>
    <t>SP017-10</t>
  </si>
  <si>
    <t>VÁLVULA ESFÉRICA BRONCE HEN 3/8- HEMB 3/8</t>
  </si>
  <si>
    <t>SP017-20</t>
  </si>
  <si>
    <t>VÁLVULA ESFÉRICA  BRONCE HEMB 3/8- MANGUERA 3/8</t>
  </si>
  <si>
    <t>SP017-30</t>
  </si>
  <si>
    <t>VÁLVULA ESFÉRICA BRONCE HEMBRA 3/8- MACHO 3/8</t>
  </si>
  <si>
    <t>SP017-40</t>
  </si>
  <si>
    <t>VÁLVULA ESFÉRICA BRONCE MACHO 3/8- MACHO 3/8</t>
  </si>
  <si>
    <t>SP017-50</t>
  </si>
  <si>
    <t>VÁLVULA ESFÉRICA BRTONCE MACHO 3/8- MANGUERA 3/8</t>
  </si>
  <si>
    <t>SP017-60</t>
  </si>
  <si>
    <t>VÁLVULA ESFÉRICA BRONCE MANGUERA- MANGUERA 3/8</t>
  </si>
  <si>
    <t>SP-025</t>
  </si>
  <si>
    <t>18001IC04155358A REGULADOR CON MANOMETRO</t>
  </si>
  <si>
    <t>SP-037</t>
  </si>
  <si>
    <t>20001IC04164806Y MINI ROBINETE BCE H-M 1/4 BSP</t>
  </si>
  <si>
    <t>SP038-10</t>
  </si>
  <si>
    <t>21001IC04003760G AUTOM PARA COMPRESORES 220V 1 VIA</t>
  </si>
  <si>
    <t>SP038-20</t>
  </si>
  <si>
    <t>21001IC04003760G AUTOM P/COMPRESORES 220V 4 VIAS</t>
  </si>
  <si>
    <t>SP039-10</t>
  </si>
  <si>
    <t>19001IC04008486A AUTOM P/COMPRESORES 380V 1 VIA</t>
  </si>
  <si>
    <t>SP039-20</t>
  </si>
  <si>
    <t>19001IC04008486A AUTOM P/COMPRESORES 3/80V 4 VIAS</t>
  </si>
  <si>
    <t>SPB3/8-02</t>
  </si>
  <si>
    <t>19001IC04208820R  T ROSC CENT  R1/4 X 3/8</t>
  </si>
  <si>
    <t>SPC1/2-03</t>
  </si>
  <si>
    <t>19001IC04103051H RECTA ROSCA 3/8 MANG 1/2"</t>
  </si>
  <si>
    <t>SPC1/2-04</t>
  </si>
  <si>
    <t>19001IC04030938U RECTA PLÁST R 1/2 BSPT X 1/2 MANG</t>
  </si>
  <si>
    <t>SPC1/4-02</t>
  </si>
  <si>
    <t>20001IC04026706K RECTA PLÁST R 1/4 BSPT X 1/4 MANG</t>
  </si>
  <si>
    <t>SPC3/8-03</t>
  </si>
  <si>
    <t>18001IC04155358A RECTA PLÁST R 3/8 BSPT X 3/8 MANG</t>
  </si>
  <si>
    <t>SPC5/16-01</t>
  </si>
  <si>
    <t>17001IC06002680 N RECTA PLÁSTICA R 1/8 BSPT X 5/16</t>
  </si>
  <si>
    <t>SPC5/16-02</t>
  </si>
  <si>
    <t>17001IC06002680 N RECTA PLÁSTICA R 1/4 BSPT X 5/16</t>
  </si>
  <si>
    <t>SPE5/16</t>
  </si>
  <si>
    <t>17001IC06002680 N UNIÓN TRIPLE PLÁSTICA 5/16 MANGU</t>
  </si>
  <si>
    <t>SPKD06-04-01</t>
  </si>
  <si>
    <t>19001IC04098450A DISTRIBUIDOR ROSCA 1/8 X 6 MM X 4</t>
  </si>
  <si>
    <t>SPKD08-04-02</t>
  </si>
  <si>
    <t>19001IC04098450A DISTRIBUIDOR ROSCA 1/4 X 8 MM X 4</t>
  </si>
  <si>
    <t>SPKD08-06-02</t>
  </si>
  <si>
    <t>19001IC04098450A DISTRIBUIDOR ROSCA 1/4 X 8 MM X 6</t>
  </si>
  <si>
    <t>SPL1/2-02</t>
  </si>
  <si>
    <t>17001IC04156088A  CODO PLAS R 1/4 X 1/2 MANG</t>
  </si>
  <si>
    <t>SPL1/2-04</t>
  </si>
  <si>
    <t>17001IC04156088A  CODO PLAS R 1/2 X 1/2 MANG</t>
  </si>
  <si>
    <t>SPL1/4-01</t>
  </si>
  <si>
    <t>18001IC04181600M CODO PLÁST R 1/8 BSPT X 1/4 MANG</t>
  </si>
  <si>
    <t>SPL1/4-02</t>
  </si>
  <si>
    <t>18001IC04181600M CODO PLÁST R 1/4 BSPT X 1/4 MANG</t>
  </si>
  <si>
    <t>SPL3/8-02</t>
  </si>
  <si>
    <t>17001IC04156088A  CODO PLAS R 1/4 X 3/8 MANG</t>
  </si>
  <si>
    <t>SPL3/8-03</t>
  </si>
  <si>
    <t>17001IC04156088A  CODO PLAS R 3/8 X 3/8 MANG</t>
  </si>
  <si>
    <t>SPL5/16-01</t>
  </si>
  <si>
    <t>17001IC06002680 N CODO PLAST R1/8 BSPT X 5/16 MANG</t>
  </si>
  <si>
    <t>SPL5/16-02</t>
  </si>
  <si>
    <t>17001IC06002680 N CODO PLAST R1/4 BSPT X 5/16 MANG</t>
  </si>
  <si>
    <t>SPM1/2</t>
  </si>
  <si>
    <t>19001IC04094450A PASACHAPA 1/2"</t>
  </si>
  <si>
    <t>SPM1/4</t>
  </si>
  <si>
    <t>19001IC04094450A PASACHAPA 1/4"</t>
  </si>
  <si>
    <t>SPM3/8</t>
  </si>
  <si>
    <t>19001IC04094450A PASACHAPA 3/8"</t>
  </si>
  <si>
    <t>SPM5/16</t>
  </si>
  <si>
    <t>19001IC04094450A PASACHAPA 5/16</t>
  </si>
  <si>
    <t>SPSL-010</t>
  </si>
  <si>
    <t>17001IC04093839E SILENCIADOR PLASTICO 1/8 BSPT</t>
  </si>
  <si>
    <t>SPSL-020</t>
  </si>
  <si>
    <t>17001IC04093839E SILENCIADOR PLASTICO 1/4 BSPT</t>
  </si>
  <si>
    <t>SPSL-030</t>
  </si>
  <si>
    <t>14 001 IC04 135282 N SILENCIADOR PLASTICO 3/8 BSPT</t>
  </si>
  <si>
    <t>SPSL-040</t>
  </si>
  <si>
    <t>14 001 IC04 135282 N SILENCIADOR PLASTICO 1/2 BSPT</t>
  </si>
  <si>
    <t>SPU5/16</t>
  </si>
  <si>
    <t>18001IC04047152P UNIÓN DOBLE PLÁSTICA 5/16 MANGUE</t>
  </si>
  <si>
    <t>SPV5/16</t>
  </si>
  <si>
    <t>17001SIMI014920 X  UNION CODO PLASTICA 5/16 MANG</t>
  </si>
  <si>
    <t>SPX3/8-02</t>
  </si>
  <si>
    <t>19001IC04208820R BIFURCACION R 1/4 MANG 3/8</t>
  </si>
  <si>
    <t>SPY1/2</t>
  </si>
  <si>
    <t>19001IC04098450A BIFURCACIÓN 1/2"</t>
  </si>
  <si>
    <t>SPY1/4</t>
  </si>
  <si>
    <t>19001IC04098450A BIFURCACIÓN 1/4"</t>
  </si>
  <si>
    <t>SPY3/8</t>
  </si>
  <si>
    <t>19001IC04098450A BIFURCACIÓN 3/8"</t>
  </si>
  <si>
    <t>SPY5/16</t>
  </si>
  <si>
    <t>19001IC04098450A BIFURCACIÓN 5/16"</t>
  </si>
  <si>
    <t>ST-01</t>
  </si>
  <si>
    <t>18001IC04219682B VÁLVULA O 1/8 BSP</t>
  </si>
  <si>
    <t>ST-02</t>
  </si>
  <si>
    <t>18001IC04219682B VÁLVULA O 1/4 BSP</t>
  </si>
  <si>
    <t>ST-03</t>
  </si>
  <si>
    <t>18001IC04219682B VÁLVULA O 3/8 BSP</t>
  </si>
  <si>
    <t>ST-04</t>
  </si>
  <si>
    <t>18001IC04219682B VÁLVULA O 1/2 BSP</t>
  </si>
  <si>
    <t>ST-05</t>
  </si>
  <si>
    <t>18001IC04219682B VÁLVULA O 3/4 BSP</t>
  </si>
  <si>
    <t>TCA-010</t>
  </si>
  <si>
    <t>17001IC06006886C ADAPTADOR TECALEMITE</t>
  </si>
  <si>
    <t>TG-015</t>
  </si>
  <si>
    <t>PISTOLA INFLA Y MIDE</t>
  </si>
  <si>
    <t>TSV86521S</t>
  </si>
  <si>
    <t>18001IC04219682B VÁLVULA PALANCA 5/2 RETORNO POR M</t>
  </si>
  <si>
    <t>TSV86522S</t>
  </si>
  <si>
    <t>UF100</t>
  </si>
  <si>
    <t>19001IC04012210D AC 1/2 VUELTA  AMER RH 1''</t>
  </si>
  <si>
    <t>UF50</t>
  </si>
  <si>
    <t>17001IC04174253R AC 1/2 VUELTA  AMER RH 1/2'</t>
  </si>
  <si>
    <t>UF75</t>
  </si>
  <si>
    <t>19001IC04012210D AC 1/2 VUELTA  AMER RH 3/4''</t>
  </si>
  <si>
    <t>UHE050</t>
  </si>
  <si>
    <t>14 001 IC04 079390 U AC 1/2 VUELTA  AMER MANG 1/2</t>
  </si>
  <si>
    <t>UHE075</t>
  </si>
  <si>
    <t>18 001 IC04 091539 A AC 1/2 VUELTA  AMER MANG 3/4</t>
  </si>
  <si>
    <t>UHE100</t>
  </si>
  <si>
    <t>19001IC04012210D AC 1/2 VUELTA  AMER MANG 1'</t>
  </si>
  <si>
    <t>UM050</t>
  </si>
  <si>
    <t>17001IC04174253R AC 1/2 VUELTA  AMER RM 1/2'</t>
  </si>
  <si>
    <t>UM075</t>
  </si>
  <si>
    <t>19001IC04012210D AC 1/2 VUELTA  AMER RM 3/4'</t>
  </si>
  <si>
    <t>UM100</t>
  </si>
  <si>
    <t>18 001 IC04 091539 A AC 1/2 VUELTA  AMER RM 1'</t>
  </si>
  <si>
    <t>VCT-11</t>
  </si>
  <si>
    <t>11 001 IC04 228540 K TERRAJA PARA MAQUINA VIAL</t>
  </si>
  <si>
    <t>VE-010</t>
  </si>
  <si>
    <t>20001IC04218548R VALVULA ESFERICA PVC 1/2"</t>
  </si>
  <si>
    <t>VE-020</t>
  </si>
  <si>
    <t>20001IC04218548R VALVULA ESFERICA PVC 3/4"</t>
  </si>
  <si>
    <t>VE-030</t>
  </si>
  <si>
    <t>20001IC04218548R VALVULA ESFERICA PVC 1"</t>
  </si>
  <si>
    <t>VE-040</t>
  </si>
  <si>
    <t>14 001 IC04 129900 N VALVULA ESFERICA PVC 1 1/2"</t>
  </si>
  <si>
    <t>VE-050</t>
  </si>
  <si>
    <t>20001IC04218548R VALVULA ESFERICA PVC 2"</t>
  </si>
  <si>
    <t>VE115-B</t>
  </si>
  <si>
    <t>EXTENSOR VÀLVULA 115 MM PLÀSTICO</t>
  </si>
  <si>
    <t>VE-70B</t>
  </si>
  <si>
    <t>17001IC04093839E  EXTENSOR VALVULA PLASTICO 70 M</t>
  </si>
  <si>
    <t>PEDIDO INYECT GAS</t>
  </si>
  <si>
    <t>Descuentos por cantidad</t>
  </si>
  <si>
    <t>https://inyect-gas.com.ar/mi-cuenta/?redir=1</t>
  </si>
  <si>
    <t>0 a 50:</t>
  </si>
  <si>
    <t>Neto</t>
  </si>
  <si>
    <t>20 - 200</t>
  </si>
  <si>
    <t>Usuario:</t>
  </si>
  <si>
    <t>fabricamaxifer.com</t>
  </si>
  <si>
    <t>200 - 500</t>
  </si>
  <si>
    <t>Contraseña:</t>
  </si>
  <si>
    <t>hBTVAnX8FdMBxrV</t>
  </si>
  <si>
    <t>500 a mas</t>
  </si>
  <si>
    <t>MEDIAS PARA AGREGAR</t>
  </si>
  <si>
    <t>O Y R</t>
  </si>
  <si>
    <t>JUAN</t>
  </si>
  <si>
    <t>Minimo</t>
  </si>
  <si>
    <t>Mas barato</t>
  </si>
  <si>
    <t>RE 1013</t>
  </si>
  <si>
    <t>E12</t>
  </si>
  <si>
    <t>P</t>
  </si>
  <si>
    <t>RE 1012</t>
  </si>
  <si>
    <t>E10</t>
  </si>
  <si>
    <t>S</t>
  </si>
  <si>
    <t>RE 1011</t>
  </si>
  <si>
    <t>E09</t>
  </si>
  <si>
    <t>U</t>
  </si>
  <si>
    <t xml:space="preserve"> RE  1010</t>
  </si>
  <si>
    <t>E07</t>
  </si>
  <si>
    <t>X</t>
  </si>
  <si>
    <t>RE 1009</t>
  </si>
  <si>
    <t>E05</t>
  </si>
  <si>
    <t>M</t>
  </si>
  <si>
    <t>RE  1008</t>
  </si>
  <si>
    <t>E04</t>
  </si>
  <si>
    <t>RE 1007</t>
  </si>
  <si>
    <t>E03</t>
  </si>
  <si>
    <t>RE 1005</t>
  </si>
  <si>
    <t>E02</t>
  </si>
  <si>
    <t>RE 1004</t>
  </si>
  <si>
    <t>E17</t>
  </si>
  <si>
    <t>RE 1003</t>
  </si>
  <si>
    <t>E01</t>
  </si>
  <si>
    <t>RE 1002</t>
  </si>
  <si>
    <t>RE 1001</t>
  </si>
  <si>
    <t>RE 1104</t>
  </si>
  <si>
    <t>RE 1103</t>
  </si>
  <si>
    <t>RE 1102</t>
  </si>
  <si>
    <t>RE 1101</t>
  </si>
  <si>
    <t>RI 2010</t>
  </si>
  <si>
    <t>I06</t>
  </si>
  <si>
    <t>RI 2009</t>
  </si>
  <si>
    <t>I05</t>
  </si>
  <si>
    <t>RI 2008</t>
  </si>
  <si>
    <t>I04</t>
  </si>
  <si>
    <t>RI 2007</t>
  </si>
  <si>
    <t>I02</t>
  </si>
  <si>
    <t>RI 2006</t>
  </si>
  <si>
    <t>I01</t>
  </si>
  <si>
    <t>RI 2005</t>
  </si>
  <si>
    <t>I00</t>
  </si>
  <si>
    <t>RI 2004</t>
  </si>
  <si>
    <t>RI 2003</t>
  </si>
  <si>
    <t>I11</t>
  </si>
  <si>
    <t>RI 2002</t>
  </si>
  <si>
    <t>RI 2001</t>
  </si>
  <si>
    <t>I12</t>
  </si>
  <si>
    <t>CU 3010</t>
  </si>
  <si>
    <t>C01</t>
  </si>
  <si>
    <t>CU 3008</t>
  </si>
  <si>
    <t>C02</t>
  </si>
  <si>
    <t>CU 3006</t>
  </si>
  <si>
    <t>C03</t>
  </si>
  <si>
    <t>CU 3005</t>
  </si>
  <si>
    <t>C04</t>
  </si>
  <si>
    <t>CU 3004</t>
  </si>
  <si>
    <t>C05</t>
  </si>
  <si>
    <t>CU 3003</t>
  </si>
  <si>
    <t>C06</t>
  </si>
  <si>
    <t>CU 3001</t>
  </si>
  <si>
    <t>C10</t>
  </si>
  <si>
    <t>CU 3000</t>
  </si>
  <si>
    <t>RT 4013</t>
  </si>
  <si>
    <t>RT 4010</t>
  </si>
  <si>
    <t>RT 4009</t>
  </si>
  <si>
    <t>O01</t>
  </si>
  <si>
    <t>RT 4008</t>
  </si>
  <si>
    <t>O05</t>
  </si>
  <si>
    <t>RT 4007</t>
  </si>
  <si>
    <t>O03</t>
  </si>
  <si>
    <t>RT 4005</t>
  </si>
  <si>
    <t>RT 4006</t>
  </si>
  <si>
    <t>O06</t>
  </si>
  <si>
    <t>RT 4004</t>
  </si>
  <si>
    <t>RG 5001</t>
  </si>
  <si>
    <t>R01</t>
  </si>
  <si>
    <t>RG 5002</t>
  </si>
  <si>
    <t>R02</t>
  </si>
  <si>
    <t>PT 6000</t>
  </si>
  <si>
    <t>PT 5003</t>
  </si>
  <si>
    <t>p</t>
  </si>
  <si>
    <t>q</t>
  </si>
  <si>
    <t>s</t>
  </si>
  <si>
    <t>u</t>
  </si>
  <si>
    <t>v</t>
  </si>
  <si>
    <t>JULIO</t>
  </si>
  <si>
    <t>Pedido</t>
  </si>
  <si>
    <t>Elijo a:</t>
  </si>
  <si>
    <t>PEDIDO REGATONES</t>
  </si>
  <si>
    <t>Preveedor</t>
  </si>
  <si>
    <t>LOS PIBES:</t>
  </si>
  <si>
    <t>Pendiente</t>
  </si>
  <si>
    <t>Por el agregrado</t>
  </si>
  <si>
    <t>Arandelas</t>
  </si>
  <si>
    <t>Pulido</t>
  </si>
  <si>
    <t>Diámetro</t>
  </si>
  <si>
    <t>Cuerpo</t>
  </si>
  <si>
    <t>Terminación</t>
  </si>
  <si>
    <t>Forma</t>
  </si>
  <si>
    <t>Unidad</t>
  </si>
  <si>
    <t>Kg.</t>
  </si>
  <si>
    <t>Arandela de Aluminio</t>
  </si>
  <si>
    <t xml:space="preserve">1/8 W         </t>
  </si>
  <si>
    <t xml:space="preserve">       7.90x0.80</t>
  </si>
  <si>
    <t>Plana</t>
  </si>
  <si>
    <t>Redonda</t>
  </si>
  <si>
    <t>100gr.</t>
  </si>
  <si>
    <t xml:space="preserve">5/32 W        </t>
  </si>
  <si>
    <t xml:space="preserve">      10.00x0.80</t>
  </si>
  <si>
    <t>400gr.</t>
  </si>
  <si>
    <t xml:space="preserve">3/16 W        </t>
  </si>
  <si>
    <t xml:space="preserve">      11.50x0.80</t>
  </si>
  <si>
    <t xml:space="preserve">1/4 W         </t>
  </si>
  <si>
    <t xml:space="preserve">      13.25x0.80</t>
  </si>
  <si>
    <t xml:space="preserve">5/16 W        </t>
  </si>
  <si>
    <t xml:space="preserve">      16.00x0.80</t>
  </si>
  <si>
    <t xml:space="preserve">3/8 W         </t>
  </si>
  <si>
    <t xml:space="preserve">      17.60x0.80</t>
  </si>
  <si>
    <t xml:space="preserve">1/2 W         </t>
  </si>
  <si>
    <t xml:space="preserve">      25.00x0.80</t>
  </si>
  <si>
    <t>Arandela de Fibra</t>
  </si>
  <si>
    <t>Arandela de Polipropileno Traslucido</t>
  </si>
  <si>
    <t>1000 un.</t>
  </si>
  <si>
    <t xml:space="preserve">       7.90x1.50</t>
  </si>
  <si>
    <t>Millar</t>
  </si>
  <si>
    <t>Pedir</t>
  </si>
  <si>
    <t xml:space="preserve">      10.00x1.50</t>
  </si>
  <si>
    <t xml:space="preserve">      11.50x1.50</t>
  </si>
  <si>
    <t xml:space="preserve">      13.25x1.50</t>
  </si>
  <si>
    <t xml:space="preserve">      16.00x1.50</t>
  </si>
  <si>
    <t xml:space="preserve">      17.60x1.50</t>
  </si>
  <si>
    <t>Poliprop</t>
  </si>
  <si>
    <t>Cobre</t>
  </si>
  <si>
    <t>Aluminio</t>
  </si>
  <si>
    <t>Fibra</t>
  </si>
  <si>
    <t xml:space="preserve">3/32 W        </t>
  </si>
  <si>
    <t xml:space="preserve">M 6.0         </t>
  </si>
  <si>
    <t>PEDIDO OTIA</t>
  </si>
  <si>
    <t>LISTA DESPLEGABLE</t>
  </si>
  <si>
    <t>General</t>
  </si>
  <si>
    <t>JULIO 2024</t>
  </si>
  <si>
    <t xml:space="preserve"> </t>
  </si>
  <si>
    <t>Artículo nombre</t>
  </si>
  <si>
    <t>Precio c/u</t>
  </si>
  <si>
    <t>01011.5-06</t>
  </si>
  <si>
    <t>EN28752 ESPINA ELASTI. 1.5x 6</t>
  </si>
  <si>
    <t>01011.5-12</t>
  </si>
  <si>
    <t>EN28752 ESPINA ELASTI. 1.5x12</t>
  </si>
  <si>
    <t>01011.5-22</t>
  </si>
  <si>
    <t>EN28752 ESPINA ELASTI. 1.5x22</t>
  </si>
  <si>
    <t>01011.5-40</t>
  </si>
  <si>
    <t>EN28752 ESPINA ELASTI. 1.5x40</t>
  </si>
  <si>
    <t>010110-100</t>
  </si>
  <si>
    <t>EN28752 ESPINA ELAST. 10x100</t>
  </si>
  <si>
    <t>010110-110</t>
  </si>
  <si>
    <t>EN28752 ESPINA ELAST. 10x110</t>
  </si>
  <si>
    <t>010110-12</t>
  </si>
  <si>
    <t>EN28752 ESPINA ELAST. 10x 12</t>
  </si>
  <si>
    <t>010110-120</t>
  </si>
  <si>
    <t>EN28752 ESPINA ELAST. 10x120</t>
  </si>
  <si>
    <t>010110-140</t>
  </si>
  <si>
    <t>EN28752 ESPINA ELAST. 10x140</t>
  </si>
  <si>
    <t>010110-16</t>
  </si>
  <si>
    <t>EN28752 ESPINA ELAST. 10x16</t>
  </si>
  <si>
    <t>010110-160</t>
  </si>
  <si>
    <t>EN28752 ESPINA ELAST. 10x160</t>
  </si>
  <si>
    <t>010110-20</t>
  </si>
  <si>
    <t>EN28752 ESPINA ELAST. 10x20</t>
  </si>
  <si>
    <t>010110-22</t>
  </si>
  <si>
    <t>EN28752 ESPINA ELAST. 10x22</t>
  </si>
  <si>
    <t>010110-24</t>
  </si>
  <si>
    <t>EN28752 ESPINA ELAST. 10x24</t>
  </si>
  <si>
    <t>010110-25</t>
  </si>
  <si>
    <t>EN28752 ESPINA ELAST. 10x25</t>
  </si>
  <si>
    <t>010110-26</t>
  </si>
  <si>
    <t>EN28752 ESPINA ELAST. 10x26</t>
  </si>
  <si>
    <t>010110-28</t>
  </si>
  <si>
    <t>EN28752 ESPINA ELAST. 10x28</t>
  </si>
  <si>
    <t>010110-30</t>
  </si>
  <si>
    <t>EN28752 ESPINA ELAST. 10x30</t>
  </si>
  <si>
    <t>010110-32</t>
  </si>
  <si>
    <t>EN28752 ESPINA ELAST. 10x32</t>
  </si>
  <si>
    <t>010110-34</t>
  </si>
  <si>
    <t>EN28752 ESPINA ELAST. 10x34</t>
  </si>
  <si>
    <t>010110-36</t>
  </si>
  <si>
    <t>EN28752 ESPINA ELAST. 10x36</t>
  </si>
  <si>
    <t>010110-38</t>
  </si>
  <si>
    <t>EN28752 ESPINA ELAST. 10x38</t>
  </si>
  <si>
    <t>010110-40</t>
  </si>
  <si>
    <t>EN28752 ESPINA ELAST. 10x40</t>
  </si>
  <si>
    <t>010110-45</t>
  </si>
  <si>
    <t>EN28752 ESPINA ELAST. 10x45</t>
  </si>
  <si>
    <t>010110-55</t>
  </si>
  <si>
    <t>EN28752 ESPINA ELAST. 10x55</t>
  </si>
  <si>
    <t>010110-57</t>
  </si>
  <si>
    <t>EN28752 ESPINA ELAST. 10x57</t>
  </si>
  <si>
    <t>010110-65</t>
  </si>
  <si>
    <t>EN28752 ESPINA ELAST. 10x65</t>
  </si>
  <si>
    <t>010110-75</t>
  </si>
  <si>
    <t>EN28752 ESPINA ELAST. 10x75</t>
  </si>
  <si>
    <t>010110-85</t>
  </si>
  <si>
    <t>EN28752 ESPINA ELAST. 10x85</t>
  </si>
  <si>
    <t>010110-90</t>
  </si>
  <si>
    <t>EN28752 ESPINA ELAST. 10x90</t>
  </si>
  <si>
    <t>010110-95</t>
  </si>
  <si>
    <t>EN28752 ESPINA ELAST. 10x95</t>
  </si>
  <si>
    <t>010112-100</t>
  </si>
  <si>
    <t>D 1481 ESPINA ELAST.12x100</t>
  </si>
  <si>
    <t>010112-110</t>
  </si>
  <si>
    <t>D 1481 ESPINA ELAST. 12x110</t>
  </si>
  <si>
    <t>010112-120</t>
  </si>
  <si>
    <t>D 1481 ESPINA ELAST.12x120</t>
  </si>
  <si>
    <t>010112-180</t>
  </si>
  <si>
    <t>D 1481 ESPINA ELAST.12x180</t>
  </si>
  <si>
    <t>010112-20</t>
  </si>
  <si>
    <t>D 1481 ESPINA ELAST.12x20</t>
  </si>
  <si>
    <t>010112-30</t>
  </si>
  <si>
    <t>D 1481 ESPINA ELAST.12x30</t>
  </si>
  <si>
    <t>010112-32</t>
  </si>
  <si>
    <t>D 1481 ESPINA ELAST.12x32</t>
  </si>
  <si>
    <t>010112-36</t>
  </si>
  <si>
    <t>D 1481 ESPINA ELAST.12x36</t>
  </si>
  <si>
    <t>010112-40</t>
  </si>
  <si>
    <t>D 1481 ESPINA ELAST.12x40</t>
  </si>
  <si>
    <t>010112-45</t>
  </si>
  <si>
    <t>D 1481 ESPINA ELAST.12x45</t>
  </si>
  <si>
    <t>010112-50</t>
  </si>
  <si>
    <t>D 1481 ESPINA ELAST.12x50</t>
  </si>
  <si>
    <t>010112-55</t>
  </si>
  <si>
    <t>D 1481 ESPINA ELAST.12x55</t>
  </si>
  <si>
    <t>010112-60</t>
  </si>
  <si>
    <t>D 1481 ESPINA ELAST.12x60</t>
  </si>
  <si>
    <t>010112-65</t>
  </si>
  <si>
    <t>D 1481 ESPINA ELAST.12x65</t>
  </si>
  <si>
    <t>010112-70</t>
  </si>
  <si>
    <t>D 1481 ESPINA ELAST.12x70</t>
  </si>
  <si>
    <t>010112-75</t>
  </si>
  <si>
    <t>D 1481 ESPINA ELAST.12x75</t>
  </si>
  <si>
    <t>010112-80</t>
  </si>
  <si>
    <t>D 1481 ESPINA ELAST.12x80</t>
  </si>
  <si>
    <t>010112-85</t>
  </si>
  <si>
    <t>D 1481 ESPINA ELAST.12x85</t>
  </si>
  <si>
    <t>010112-90</t>
  </si>
  <si>
    <t>D 1481 ESPINA ELAST.12x90</t>
  </si>
  <si>
    <t>010112-95</t>
  </si>
  <si>
    <t>D 1481 ESPINA ELAST.12x95</t>
  </si>
  <si>
    <t>010113-100</t>
  </si>
  <si>
    <t>D 1481 ESPINA ELAST.13x100</t>
  </si>
  <si>
    <t>010113-120</t>
  </si>
  <si>
    <t>D 1481 ESPINA ELAST.13x120</t>
  </si>
  <si>
    <t>010113-24</t>
  </si>
  <si>
    <t>D 1481 ESPINA ELAST.13x24</t>
  </si>
  <si>
    <t>010113-30</t>
  </si>
  <si>
    <t>D 1481 ESPINA ELAST.13x30</t>
  </si>
  <si>
    <t>010113-32</t>
  </si>
  <si>
    <t>D 1481 ESPINA ELAST.13x32</t>
  </si>
  <si>
    <t>010113-40</t>
  </si>
  <si>
    <t>D 1481 ESPINA ELAST.13x40</t>
  </si>
  <si>
    <t>010113-50</t>
  </si>
  <si>
    <t>D 1481 ESPINA ELAST.13x50</t>
  </si>
  <si>
    <t>010113-60</t>
  </si>
  <si>
    <t>D 1481 ESPINA ELAST.13x60</t>
  </si>
  <si>
    <t>010113-70</t>
  </si>
  <si>
    <t>D 1481 ESPINA ELAST.13x70</t>
  </si>
  <si>
    <t>010113-80</t>
  </si>
  <si>
    <t>D 1481 ESPINA ELAST.13x80</t>
  </si>
  <si>
    <t>010113-90</t>
  </si>
  <si>
    <t>D 1481 ESPINA ELAST.13x90</t>
  </si>
  <si>
    <t>010114-100</t>
  </si>
  <si>
    <t>EN 28752  ESPINA 14x100</t>
  </si>
  <si>
    <t>010114-120</t>
  </si>
  <si>
    <t>D1481 ESPINA ELAST.14x120</t>
  </si>
  <si>
    <t>010114-30</t>
  </si>
  <si>
    <t>D 1481 ESPINA ELAST.14x30</t>
  </si>
  <si>
    <t>010114-40</t>
  </si>
  <si>
    <t>D 1481 ESPINA ELAST.14x40</t>
  </si>
  <si>
    <t>010114-50</t>
  </si>
  <si>
    <t>D 1481 ESPINA ELAST.14x50</t>
  </si>
  <si>
    <t>010114-60</t>
  </si>
  <si>
    <t>D 1481 ESPINA ELAST.14x60</t>
  </si>
  <si>
    <t>010114-70</t>
  </si>
  <si>
    <t>D 1481 ESPINA ELAST.14x70</t>
  </si>
  <si>
    <t>010114-80</t>
  </si>
  <si>
    <t>D 1481 ESPINA ELAST.14x80</t>
  </si>
  <si>
    <t>010114-90</t>
  </si>
  <si>
    <t>D 1481 ESPINA ELAST.14x90</t>
  </si>
  <si>
    <t>010116-100</t>
  </si>
  <si>
    <t>D 1481 ESPINA ELAST.16x100</t>
  </si>
  <si>
    <t>010116-21.5</t>
  </si>
  <si>
    <t>D 1481 ESPINA ELAST. 16x21.5 (x2.8)</t>
  </si>
  <si>
    <t>010116-30</t>
  </si>
  <si>
    <t>D 1481 ESPINA ELAST. 16x30</t>
  </si>
  <si>
    <t>010116-40</t>
  </si>
  <si>
    <t>D 1481 ESPINA ELAST.16x40</t>
  </si>
  <si>
    <t>010116-50</t>
  </si>
  <si>
    <t>D 1481 ESPINA ELAST.16x50</t>
  </si>
  <si>
    <t>010116-60</t>
  </si>
  <si>
    <t>D 1481 ESPINA ELAST.16x60</t>
  </si>
  <si>
    <t>010116-70</t>
  </si>
  <si>
    <t>D 1481 ESPINA ELAST.16x70</t>
  </si>
  <si>
    <t>010116-80</t>
  </si>
  <si>
    <t>D 1481 ESPINA ELAST.16x80</t>
  </si>
  <si>
    <t>01012.5-04</t>
  </si>
  <si>
    <t>EN28752 ESPINA ELAST. 2.5x4</t>
  </si>
  <si>
    <t>01012.5-06</t>
  </si>
  <si>
    <t>EN28752 ESPINA ELAST. 2.5x 6</t>
  </si>
  <si>
    <t>01012.5-08</t>
  </si>
  <si>
    <t>EN28752 ESPINA ELAST. 2.5x 8</t>
  </si>
  <si>
    <t>01012.5-10</t>
  </si>
  <si>
    <t>EN28752 ESPINA ELAST .2.5x10</t>
  </si>
  <si>
    <t>01012.5-12</t>
  </si>
  <si>
    <t>EN28752 ESPINA ELAST.2.5x12</t>
  </si>
  <si>
    <t>EN28752 ESPINA ELAST. 2.5x14</t>
  </si>
  <si>
    <t>EN28752 ESPINA ELAST. 2.5x16</t>
  </si>
  <si>
    <t>01012.5-18</t>
  </si>
  <si>
    <t>EN28752 ESPINA ELAST. 2.5x18</t>
  </si>
  <si>
    <t>01012.5-20</t>
  </si>
  <si>
    <t>EN28752 ESPINA ELAST. 2.5x20</t>
  </si>
  <si>
    <t>01012.5-22</t>
  </si>
  <si>
    <t>EN28752 ESPINA ELAST. 2.5x22</t>
  </si>
  <si>
    <t>01012.5-24</t>
  </si>
  <si>
    <t>EN28752 ESPINA ELAST. 2.5x24</t>
  </si>
  <si>
    <t>EN28752 ESPINA ELAST. 2.5x26</t>
  </si>
  <si>
    <t>01012.5-28</t>
  </si>
  <si>
    <t>EN28752 ESPINA ELAST. 2.5x28</t>
  </si>
  <si>
    <t>EN28752 ESPINA ELAST. 2.5x30</t>
  </si>
  <si>
    <t>01012-04</t>
  </si>
  <si>
    <t>EN28752 ESPINA ELAST. 2x4</t>
  </si>
  <si>
    <t>01012-06</t>
  </si>
  <si>
    <t>EN28752 ESPINA ELAST. 2x6</t>
  </si>
  <si>
    <t>01012-07</t>
  </si>
  <si>
    <t>EN28752 ESPINA ELAST. 2x7</t>
  </si>
  <si>
    <t>01012-08</t>
  </si>
  <si>
    <t>EN28752 ESPINA ELAST. 2x8</t>
  </si>
  <si>
    <t>01012-10</t>
  </si>
  <si>
    <t>EN28752 ESPINA ELAST. 2x10</t>
  </si>
  <si>
    <t>01012-14</t>
  </si>
  <si>
    <t>EN28752 ESPINA ELAST. 2x14</t>
  </si>
  <si>
    <t>01012-18</t>
  </si>
  <si>
    <t>EN28752 ESPINA ELAST. 2x18</t>
  </si>
  <si>
    <t>01012-22</t>
  </si>
  <si>
    <t>EN28752 ESPINA ELAST. 2x22</t>
  </si>
  <si>
    <t>01012-24</t>
  </si>
  <si>
    <t>EN28752 ESPINA ELAST. 2x24</t>
  </si>
  <si>
    <t>01012-26</t>
  </si>
  <si>
    <t>EN28752 ESPINA ELAST. 2x26</t>
  </si>
  <si>
    <t>01012-28</t>
  </si>
  <si>
    <t>EN28752 ESPINA ELAST. 2x28</t>
  </si>
  <si>
    <t>01012-30</t>
  </si>
  <si>
    <t>EN28752 ESPINA ELAST. 2x30</t>
  </si>
  <si>
    <t>01013.5-04</t>
  </si>
  <si>
    <t>EN28752 ESPINA ELAST. 3.5x 4</t>
  </si>
  <si>
    <t>01013.5-05</t>
  </si>
  <si>
    <t>EN28752 ESPINA ELAST. 3.5x 5</t>
  </si>
  <si>
    <t>01013.5-06</t>
  </si>
  <si>
    <t>EN28752 ESPINA ELAST. 3.5x 6</t>
  </si>
  <si>
    <t>01013.5-08</t>
  </si>
  <si>
    <t>EN28752 ESPINA ELAST. 3.5x 8</t>
  </si>
  <si>
    <t>01013.5-10</t>
  </si>
  <si>
    <t>EN28752 ESPINA ELAST. 3.5x10</t>
  </si>
  <si>
    <t>01013.5-10H</t>
  </si>
  <si>
    <t>EN28752 ESPINA ELAST. 3.5x10 H1331</t>
  </si>
  <si>
    <t>01013.5-12</t>
  </si>
  <si>
    <t>EN28752 ESPINA ELAST. 3.5x12</t>
  </si>
  <si>
    <t>01013.5-120</t>
  </si>
  <si>
    <t>EN28752 ESPINA ELAST. 3.5x120</t>
  </si>
  <si>
    <t>01013.5-14</t>
  </si>
  <si>
    <t>EN28752 ESPINA ELAST. 3.5x14</t>
  </si>
  <si>
    <t>01013.5-16</t>
  </si>
  <si>
    <t>EN28752 ESPINA ELAST. 3.5x16</t>
  </si>
  <si>
    <t>01013.5-16H</t>
  </si>
  <si>
    <t>ESPINA ELASTICA 3.5x16 H1331</t>
  </si>
  <si>
    <t>01013.5-18</t>
  </si>
  <si>
    <t>EN28752 ESPINA ELAST. 3.5x18</t>
  </si>
  <si>
    <t>01013.5-18H</t>
  </si>
  <si>
    <t>EN28752 ESPINA ELAST.3.5x18 H1331</t>
  </si>
  <si>
    <t>01013.5-20</t>
  </si>
  <si>
    <t>EN28752 ESPINA ELAST. 3.5x20</t>
  </si>
  <si>
    <t>EN28752 ESPINA ELAST. 3.5x20 H1331</t>
  </si>
  <si>
    <t>01013.5-22</t>
  </si>
  <si>
    <t>EN28752 ESPINA ELAST. 3.5x22</t>
  </si>
  <si>
    <t>01013.5-22H</t>
  </si>
  <si>
    <t>EN28752 ESPINA ELAST. 3.5x22 H1331</t>
  </si>
  <si>
    <t>01013.5-24</t>
  </si>
  <si>
    <t>EN28752 ESPINA ELAST. 3.5x24</t>
  </si>
  <si>
    <t>01013.5-26</t>
  </si>
  <si>
    <t>EN28752 ESPINA ELAST .3.5x26</t>
  </si>
  <si>
    <t>01013.5-26H</t>
  </si>
  <si>
    <t>EN28752 ESPINA ELAST. 3.5x26 H1331</t>
  </si>
  <si>
    <t>01013.5-28</t>
  </si>
  <si>
    <t>EN28752 ESPINA ELAST. 3.5x28</t>
  </si>
  <si>
    <t>EN28752 ESPINA ELAST. 3.5x30</t>
  </si>
  <si>
    <t>01013.5-32</t>
  </si>
  <si>
    <t>EN28752 ESPINA ELAST. 3.5x32</t>
  </si>
  <si>
    <t>01013.5-34</t>
  </si>
  <si>
    <t>EN28752 ESPINA ELAST. 3.5x34</t>
  </si>
  <si>
    <t>01013.5-36</t>
  </si>
  <si>
    <t>EN28752 ESPINA ELAST. 3.5x36</t>
  </si>
  <si>
    <t>01013.5-38</t>
  </si>
  <si>
    <t>EN28752 ESPINA ELAST. 3.5x38</t>
  </si>
  <si>
    <t>EN28752 ESPINA ELAST. 3.5x40</t>
  </si>
  <si>
    <t>01013.5-45</t>
  </si>
  <si>
    <t>EN28752 ESPINA ELAST. 3.5x45</t>
  </si>
  <si>
    <t>EN28752 ESPINA ELAST. 3.5x50</t>
  </si>
  <si>
    <t>01013.5-55</t>
  </si>
  <si>
    <t>EN28752 ESPINA ELAST. 3.5x55</t>
  </si>
  <si>
    <t>01013.5-60</t>
  </si>
  <si>
    <t>EN28752 ESPINA ELAST. 3.5x60</t>
  </si>
  <si>
    <t>01013.5-90</t>
  </si>
  <si>
    <t>EN28752 ESPINA ELAST. 3.5x90</t>
  </si>
  <si>
    <t>01013.85-20</t>
  </si>
  <si>
    <t>EN28752 ESPINA ELAST. 3.85x20</t>
  </si>
  <si>
    <t>01013-05</t>
  </si>
  <si>
    <t>EN28752 ESPINA ELAST. 3x5</t>
  </si>
  <si>
    <t>01013-06</t>
  </si>
  <si>
    <t>EN28752 ESPINA ELAST. 3x6</t>
  </si>
  <si>
    <t>01013-08</t>
  </si>
  <si>
    <t>EN28752 ESPINA ELAST. 3x8</t>
  </si>
  <si>
    <t>01013-10</t>
  </si>
  <si>
    <t>EN28752 ESPINA ELAST. 3x10</t>
  </si>
  <si>
    <t>01013-10H</t>
  </si>
  <si>
    <t>EN28752 ESPINA ELAST. 3x10 H1331</t>
  </si>
  <si>
    <t>01013-12</t>
  </si>
  <si>
    <t>EN28752 ESPINA ELAST. 3x12</t>
  </si>
  <si>
    <t>01013-12H</t>
  </si>
  <si>
    <t>EN28752 ESPINA ELAST. 3x12 H1331</t>
  </si>
  <si>
    <t>01013-16</t>
  </si>
  <si>
    <t>01013-16H</t>
  </si>
  <si>
    <t>EN28752 ESPINA ELAST. 3x16 H1331</t>
  </si>
  <si>
    <t>EN28752 ESPINA ELAST. 3x18</t>
  </si>
  <si>
    <t>01013-22</t>
  </si>
  <si>
    <t>EN28752 ESPINA ELAST. 3x22</t>
  </si>
  <si>
    <t>01013-24</t>
  </si>
  <si>
    <t>EN28752 ESPINA ELAST. 3x24</t>
  </si>
  <si>
    <t>01013-24ZM</t>
  </si>
  <si>
    <t>ESPINA ELAST.  3x24 Z.MECAN.</t>
  </si>
  <si>
    <t>01013-28</t>
  </si>
  <si>
    <t>EN28752 ESPINA ELAST. 3x28</t>
  </si>
  <si>
    <t>01013-30H</t>
  </si>
  <si>
    <t>EN28752 ESPINA ELAST. 3x30 H1331</t>
  </si>
  <si>
    <t>01013-32</t>
  </si>
  <si>
    <t>EN28752 ESPINA ELAST. 3x32</t>
  </si>
  <si>
    <t>01013-32Z</t>
  </si>
  <si>
    <t>D 1481 ESP.ELAST.Zin.3x32</t>
  </si>
  <si>
    <t>01013-34</t>
  </si>
  <si>
    <t>EN28752 ESPINA ELAST. 3x34</t>
  </si>
  <si>
    <t>01013-36H</t>
  </si>
  <si>
    <t>EN28752 ESPINA ELAST. 3x36 H1331</t>
  </si>
  <si>
    <t>01013-38</t>
  </si>
  <si>
    <t>EN28752 ESPINA ELAST. 3x38</t>
  </si>
  <si>
    <t>01013-38H</t>
  </si>
  <si>
    <t>EN28752 ESPINA ELAST. 3x38 H1331</t>
  </si>
  <si>
    <t>01013-40H</t>
  </si>
  <si>
    <t>EN28752 ESPINA ELAST. 3x40 H1331</t>
  </si>
  <si>
    <t>01013-50H</t>
  </si>
  <si>
    <t>EN28752 ESPINA ELAST. 3x50 H1331</t>
  </si>
  <si>
    <t>01014.5-06</t>
  </si>
  <si>
    <t>EN28752 ESPINA ELAST. 4.5x6</t>
  </si>
  <si>
    <t>01014.5-10</t>
  </si>
  <si>
    <t>EN28752 ESPINA ELAST. 4.5x10</t>
  </si>
  <si>
    <t>01014.5-12</t>
  </si>
  <si>
    <t>EN28752 ESPINA ELAST. 4.5x12</t>
  </si>
  <si>
    <t>01014.5-14</t>
  </si>
  <si>
    <t>EN28752 ESPINA ELAST. 4.5x14</t>
  </si>
  <si>
    <t>01014.5-15</t>
  </si>
  <si>
    <t>EN28752 ESPINA ELAST. 4.5x15</t>
  </si>
  <si>
    <t>01014.5-16</t>
  </si>
  <si>
    <t>EN28752 ESPINA ELAST. 4.5x16</t>
  </si>
  <si>
    <t>01014.5-18</t>
  </si>
  <si>
    <t>EN28752 ESPINA ELAST. 4.5x18</t>
  </si>
  <si>
    <t>EN28752 ESPINA ELAST. 4.5x20</t>
  </si>
  <si>
    <t>01014.5-22</t>
  </si>
  <si>
    <t>EN28752 ESPINA ELAST. 4.5x22</t>
  </si>
  <si>
    <t>01014.5-24</t>
  </si>
  <si>
    <t>EN28752 ESPINA ELAST. 4.5x24</t>
  </si>
  <si>
    <t>01014.5-26</t>
  </si>
  <si>
    <t>EN28752 ESPINA ELAST. 4.5x26</t>
  </si>
  <si>
    <t>01014.5-28</t>
  </si>
  <si>
    <t>EN28752 ESPINA ELAST. 4.5x28</t>
  </si>
  <si>
    <t>EN28752 ESPINA ELAST. 4.5x30</t>
  </si>
  <si>
    <t>01014.5-32</t>
  </si>
  <si>
    <t>EN28752 ESPINA ELAST. 4.5x32</t>
  </si>
  <si>
    <t>01014.5-34</t>
  </si>
  <si>
    <t>EN28752 ESPINA ELAST. 4.5x34</t>
  </si>
  <si>
    <t>01014.5-36</t>
  </si>
  <si>
    <t>EN28752 ESPINA ELAST. 4.5x36</t>
  </si>
  <si>
    <t>01014.5-38</t>
  </si>
  <si>
    <t>EN28752 ESPINA ELAST. 4.5x38</t>
  </si>
  <si>
    <t>EN28752 ESPINA ELAST. 4.5x40</t>
  </si>
  <si>
    <t>01014.5-45</t>
  </si>
  <si>
    <t>EN28752 ESPINA ELAST. 4.5x45</t>
  </si>
  <si>
    <t>EN28752 ESPINA ELAST. 4.5x50</t>
  </si>
  <si>
    <t>01014.5-55</t>
  </si>
  <si>
    <t>EN28752 ESPINA ELAST. 4.5x55</t>
  </si>
  <si>
    <t>01014.5-60</t>
  </si>
  <si>
    <t>EN28752 ESPINA ELAST. 4.5x60</t>
  </si>
  <si>
    <t>01014.5-65</t>
  </si>
  <si>
    <t>EN28752 ESPINA ELAST. 4.5x65</t>
  </si>
  <si>
    <t>01014.5-69</t>
  </si>
  <si>
    <t>EN28752 ESPINA ELAST. 4.5x69</t>
  </si>
  <si>
    <t>01014.5-70</t>
  </si>
  <si>
    <t>EN28752 ESPINA ELAST. 4.5x70</t>
  </si>
  <si>
    <t>01014.5-75</t>
  </si>
  <si>
    <t>EN28752 ESPINA ELAST. 4.5x75</t>
  </si>
  <si>
    <t>01014.5-90</t>
  </si>
  <si>
    <t>EN28752 ESPINA ELAST. 4.5x90</t>
  </si>
  <si>
    <t>01014-04</t>
  </si>
  <si>
    <t>EN28752 ESPINA ELAST. 4x4</t>
  </si>
  <si>
    <t>01014-04.5</t>
  </si>
  <si>
    <t>EN28752 ESPINA ELAST. 4x4.5</t>
  </si>
  <si>
    <t>01014-05</t>
  </si>
  <si>
    <t>EN28752 ESPINA ELAST. 4x5</t>
  </si>
  <si>
    <t>01014-06</t>
  </si>
  <si>
    <t>EN28752 ESPINA ELAST. 4x6</t>
  </si>
  <si>
    <t>01014-08</t>
  </si>
  <si>
    <t>EN28752 ESPINA ELAST. 4x8</t>
  </si>
  <si>
    <t xml:space="preserve">01014-08Z </t>
  </si>
  <si>
    <t>EN28752 ESPINA ELAST. 4x8 Z.Am.</t>
  </si>
  <si>
    <t>01014-10</t>
  </si>
  <si>
    <t>EN28752 ESPINA ELAST. 4x10</t>
  </si>
  <si>
    <t>01014-12</t>
  </si>
  <si>
    <t>EN28752 ESPINA ELAST. 4x12</t>
  </si>
  <si>
    <t>01014-14</t>
  </si>
  <si>
    <t>EN28752 ESPINA ELAST. 4x14</t>
  </si>
  <si>
    <t>01014-16</t>
  </si>
  <si>
    <t>EN28752 ESPINA ELAST. 4x16</t>
  </si>
  <si>
    <t>01014-18</t>
  </si>
  <si>
    <t>EN28752 ESPINA ELAST. 4x18</t>
  </si>
  <si>
    <t>01014-20ZA</t>
  </si>
  <si>
    <t>EN28752 ESPINA ELAST. 4x20 Z.Am</t>
  </si>
  <si>
    <t>01014-22</t>
  </si>
  <si>
    <t>EN28752 ESPINA ELAST. 4x22</t>
  </si>
  <si>
    <t>01014-23</t>
  </si>
  <si>
    <t>EN28752 ESPINA ELAST. 4x23</t>
  </si>
  <si>
    <t>01014-24</t>
  </si>
  <si>
    <t>EN28752 ESPINA ELAST. 4x24</t>
  </si>
  <si>
    <t>01014-27</t>
  </si>
  <si>
    <t>EN28752 ESPINA ELAST. 4x27</t>
  </si>
  <si>
    <t>01014-28</t>
  </si>
  <si>
    <t>EN28752 ESPINA ELAST. 4x28</t>
  </si>
  <si>
    <t>01014-30H</t>
  </si>
  <si>
    <t>ESPINA ELASTICA 4x30 H1331</t>
  </si>
  <si>
    <t>01014-32</t>
  </si>
  <si>
    <t>EN28752 ESPINA ELAST. 4x32</t>
  </si>
  <si>
    <t>01014-34</t>
  </si>
  <si>
    <t>EN28752 ESPINA ELAST. 4x34</t>
  </si>
  <si>
    <t>01014-36</t>
  </si>
  <si>
    <t>EN28752 ESPINA ELAST. 4x36</t>
  </si>
  <si>
    <t>01014-38</t>
  </si>
  <si>
    <t>EN28752 ESPINA ELAST. 4x38</t>
  </si>
  <si>
    <t>01014-40</t>
  </si>
  <si>
    <t>ESPINA ELASTICA 4x40 H1331</t>
  </si>
  <si>
    <t>01014-45</t>
  </si>
  <si>
    <t>EN28752 ESPINA ELAST. 4x45</t>
  </si>
  <si>
    <t>01014-50H</t>
  </si>
  <si>
    <t>ESPINA ELASTICA 4x50 H1331</t>
  </si>
  <si>
    <t>01014-55</t>
  </si>
  <si>
    <t>EN28752 ESPINA ELAST. 4x55</t>
  </si>
  <si>
    <t>01014-60</t>
  </si>
  <si>
    <t>EN28752 ESPINA ELAST. 4x60</t>
  </si>
  <si>
    <t>01014-70</t>
  </si>
  <si>
    <t>EN28752 ESPINA ELAST. 4x70</t>
  </si>
  <si>
    <t>01015-07</t>
  </si>
  <si>
    <t>EN28752 ESPINA ELAST. 5x7</t>
  </si>
  <si>
    <t>01015-08</t>
  </si>
  <si>
    <t>EN28752 ESPINA ELAST. 5x8</t>
  </si>
  <si>
    <t>01015-10</t>
  </si>
  <si>
    <t>EN28752 ESPINA ELAST. 5x10</t>
  </si>
  <si>
    <t>01015-12</t>
  </si>
  <si>
    <t>EN28752 ESPINA ELAST. 5x12</t>
  </si>
  <si>
    <t>01015-14</t>
  </si>
  <si>
    <t>EN28752 ESPINA ELAST. 5x14</t>
  </si>
  <si>
    <t>01015-16</t>
  </si>
  <si>
    <t>EN28752 ESPINA ELAST. 5x16</t>
  </si>
  <si>
    <t>01015-18</t>
  </si>
  <si>
    <t>EN28752 ESPINA ELAST. 5x18</t>
  </si>
  <si>
    <t>01015-20</t>
  </si>
  <si>
    <t>EN28752 ESPINA ELAST. 5x20</t>
  </si>
  <si>
    <t>01015-20H</t>
  </si>
  <si>
    <t>ESPINA ELASTICA 5x20 H1331</t>
  </si>
  <si>
    <t>01015-22</t>
  </si>
  <si>
    <t>EN28752 ESPINA ELAST. 5x22</t>
  </si>
  <si>
    <t>01015-22H</t>
  </si>
  <si>
    <t>ESPINA ELASTICA 5x22 H1331</t>
  </si>
  <si>
    <t>01015-23</t>
  </si>
  <si>
    <t>EN28752 ESPINA ELAST. 5x23</t>
  </si>
  <si>
    <t>01015-26</t>
  </si>
  <si>
    <t>EN28752 ESPINA ELAST. 5x26</t>
  </si>
  <si>
    <t>01015-28</t>
  </si>
  <si>
    <t>EN28752 ESPINA ELAST. 5x28</t>
  </si>
  <si>
    <t>01015-32</t>
  </si>
  <si>
    <t>EN28752 ESPINA ELAST. 5x32</t>
  </si>
  <si>
    <t>01015-34</t>
  </si>
  <si>
    <t>EN28752 ESPINA ELAST. 5x34</t>
  </si>
  <si>
    <t>01015-36</t>
  </si>
  <si>
    <t>EN28752 ESPINA ELAST. 5x36</t>
  </si>
  <si>
    <t>01015-38</t>
  </si>
  <si>
    <t>EN28752 ESPINA ELAST. 5x38</t>
  </si>
  <si>
    <t>01015-38H</t>
  </si>
  <si>
    <t>EN28752 ESPINA ELAST. 5x38 H1331</t>
  </si>
  <si>
    <t>01015-40H</t>
  </si>
  <si>
    <t>EN28752 ESPINA ELAST. 5x40 H1331</t>
  </si>
  <si>
    <t>01015-45</t>
  </si>
  <si>
    <t>EN28752 ESPINA ELAST. 5x45</t>
  </si>
  <si>
    <t>01015-55</t>
  </si>
  <si>
    <t>EN28752 ESPINA ELAST. 5x55</t>
  </si>
  <si>
    <t>01015-60H</t>
  </si>
  <si>
    <t>ESPINA ELASTICA 5x60 H1331</t>
  </si>
  <si>
    <t>01015-65</t>
  </si>
  <si>
    <t>EN28752 ESPINA ELAST. 5x65</t>
  </si>
  <si>
    <t>01015-75</t>
  </si>
  <si>
    <t>EN28752 ESPINA ELAST. 5x75</t>
  </si>
  <si>
    <t>01015-80H</t>
  </si>
  <si>
    <t>ESPINA ELASTICA 5x80 H1331</t>
  </si>
  <si>
    <t>01016-10</t>
  </si>
  <si>
    <t>EN28752 ESPINA ELAST. 6x10</t>
  </si>
  <si>
    <t>01016-100</t>
  </si>
  <si>
    <t>EN28752 ESPINA ELAST. 6x100</t>
  </si>
  <si>
    <t>01016-10H</t>
  </si>
  <si>
    <t>ESPINA ELASTICA 6x10 H1331</t>
  </si>
  <si>
    <t>01016-12</t>
  </si>
  <si>
    <t>EN28752 ESPINA ELAST. 6x12</t>
  </si>
  <si>
    <t>01016-14</t>
  </si>
  <si>
    <t>EN28752 ESPINA ELAST. 6x14</t>
  </si>
  <si>
    <t>01016-16</t>
  </si>
  <si>
    <t>EN28752 ESPINA ELAST. 6x16</t>
  </si>
  <si>
    <t>01016-18</t>
  </si>
  <si>
    <t>EN28752 ESPINA ELAST. 6x18</t>
  </si>
  <si>
    <t>01016-20</t>
  </si>
  <si>
    <t>EN28752 ESPINA ELAST. 6x20</t>
  </si>
  <si>
    <t>01016-20ZA</t>
  </si>
  <si>
    <t>EN28752 ESPINA ELAST. 6x20 Z.Am.</t>
  </si>
  <si>
    <t>01016-22</t>
  </si>
  <si>
    <t>EN28752 ESPINA ELAST. 6x22</t>
  </si>
  <si>
    <t>01016-22ZA</t>
  </si>
  <si>
    <t>EN28752 ESPINA ELAST. 6x22 Z.Am.</t>
  </si>
  <si>
    <t>01016-23</t>
  </si>
  <si>
    <t>EN28752 ESPINA ELAST. 6x23</t>
  </si>
  <si>
    <t>01016-24</t>
  </si>
  <si>
    <t>EN28752 ESPINA ELAST. 6x24</t>
  </si>
  <si>
    <t>01016-26</t>
  </si>
  <si>
    <t>EN28752 ESPINA ELAST. 6x26</t>
  </si>
  <si>
    <t>01016-27</t>
  </si>
  <si>
    <t>EN28752 ESPINA ELAST. 6x27</t>
  </si>
  <si>
    <t>01016-28</t>
  </si>
  <si>
    <t>EN28752 ESPINA ELAST. 6x28</t>
  </si>
  <si>
    <t>01016-29</t>
  </si>
  <si>
    <t>EN28752 ESPINA ELAST. 6x29</t>
  </si>
  <si>
    <t>01016-30H</t>
  </si>
  <si>
    <t>ESPINA ELASTICA 6x30 H1331</t>
  </si>
  <si>
    <t>01016-32</t>
  </si>
  <si>
    <t>EN28752 ESPINA ELAST. 6x32</t>
  </si>
  <si>
    <t>01016-32H</t>
  </si>
  <si>
    <t>ESPINA ELASTICA  6x32  H1331</t>
  </si>
  <si>
    <t>01016-34</t>
  </si>
  <si>
    <t>EN28752 ESPINA ELAST. 6x34</t>
  </si>
  <si>
    <t>01016-34H</t>
  </si>
  <si>
    <t>ESPINA ELASTICA 6x34 H1331</t>
  </si>
  <si>
    <t>01016-36</t>
  </si>
  <si>
    <t>EN28752 ESPINA ELAST. 6x36</t>
  </si>
  <si>
    <t>01016-36H</t>
  </si>
  <si>
    <t>ESPINA ELASTICA 6x36 H1331</t>
  </si>
  <si>
    <t>01016-38</t>
  </si>
  <si>
    <t>EN28752 ESPINA ELAST. 6x38</t>
  </si>
  <si>
    <t>01016-38H</t>
  </si>
  <si>
    <t>ESPINA ELASTICA 6x38 H1331</t>
  </si>
  <si>
    <t>01016-40H</t>
  </si>
  <si>
    <t>ESPINA ELASTICA 6x40 H1331</t>
  </si>
  <si>
    <t>01016-45</t>
  </si>
  <si>
    <t>EN28752 ESPINA ELAST. 6x45</t>
  </si>
  <si>
    <t>01016-45H</t>
  </si>
  <si>
    <t>ESPINA ELASTICA  6x45  H1331</t>
  </si>
  <si>
    <t>01016-50</t>
  </si>
  <si>
    <t>ESPINA ELASTICA 6x50 H1331</t>
  </si>
  <si>
    <t>01016-55</t>
  </si>
  <si>
    <t>EN28752 ESPINA ELAST. 6x55</t>
  </si>
  <si>
    <t>01016-55H</t>
  </si>
  <si>
    <t>ESPINA ELASTICA 6x55 H1331</t>
  </si>
  <si>
    <t>01016-60H</t>
  </si>
  <si>
    <t>ESPINA ELASTICA 6x60 H1331</t>
  </si>
  <si>
    <t>01016-65</t>
  </si>
  <si>
    <t>EN28752 ESPINA ELAST. 6x65</t>
  </si>
  <si>
    <t>01016-65H</t>
  </si>
  <si>
    <t>ESPINA ELASTICA  6x65  H1331</t>
  </si>
  <si>
    <t>01016-75</t>
  </si>
  <si>
    <t>EN28752 ESPINA ELAST. 6x75</t>
  </si>
  <si>
    <t>01016-80H</t>
  </si>
  <si>
    <t>ESPINA ELASTICA  6x80  H1331</t>
  </si>
  <si>
    <t>01016-85</t>
  </si>
  <si>
    <t>EN28752 ESPINA ELAST. 6x85</t>
  </si>
  <si>
    <t>01016-90</t>
  </si>
  <si>
    <t>EN28752 ESPINA ELAST. 6x90</t>
  </si>
  <si>
    <t>01016-95</t>
  </si>
  <si>
    <t>EN28752 ESPINA ELAST. 6x95</t>
  </si>
  <si>
    <t>01017-100</t>
  </si>
  <si>
    <t>EN28752 ESPINA ELAST. 7x100</t>
  </si>
  <si>
    <t>01017-12</t>
  </si>
  <si>
    <t>EN28752 ESPINA ELAST. 7x12</t>
  </si>
  <si>
    <t>01017-16</t>
  </si>
  <si>
    <t>EN28752 ESPINA ELAST. 7x16</t>
  </si>
  <si>
    <t>01017-18</t>
  </si>
  <si>
    <t>EN28752 ESPINA ELAST. 7x18</t>
  </si>
  <si>
    <t>01017-20</t>
  </si>
  <si>
    <t>EN28752 ESPINA ELAST. 7x20</t>
  </si>
  <si>
    <t>01017-22</t>
  </si>
  <si>
    <t>EN28752 ESPINA ELAST. 7x22</t>
  </si>
  <si>
    <t>01017-24</t>
  </si>
  <si>
    <t>EN28752 ESPINA ELAST. 7x24</t>
  </si>
  <si>
    <t>01017-26</t>
  </si>
  <si>
    <t>EN28752 ESPINA ELAST. 7x26</t>
  </si>
  <si>
    <t>01017-28</t>
  </si>
  <si>
    <t>EN28752 ESPINA ELAST. 7x28</t>
  </si>
  <si>
    <t>01017-30</t>
  </si>
  <si>
    <t>EN28752 ESPINA ELAST. 7x30</t>
  </si>
  <si>
    <t>01017-36</t>
  </si>
  <si>
    <t>EN28752 ESPINA ELAST. 7x36</t>
  </si>
  <si>
    <t>01017-38</t>
  </si>
  <si>
    <t>EN28752 ESPINA ELAST. 7x38</t>
  </si>
  <si>
    <t>01017-45</t>
  </si>
  <si>
    <t>EN28752 ESPINA ELAST. 7x45</t>
  </si>
  <si>
    <t>01017-55</t>
  </si>
  <si>
    <t>EN28752 ESPINA ELAST. 7x55</t>
  </si>
  <si>
    <t>01017-65</t>
  </si>
  <si>
    <t>EN28752 ESPINA ELAST. 7x65</t>
  </si>
  <si>
    <t>01017-70</t>
  </si>
  <si>
    <t>EN28752 ESPINA ELAST. 7x70</t>
  </si>
  <si>
    <t>01017-75</t>
  </si>
  <si>
    <t>EN28752 ESPINA ELAST. 7x75</t>
  </si>
  <si>
    <t>01017-80</t>
  </si>
  <si>
    <t>EN28752 ESPINA ELAST. 7x80</t>
  </si>
  <si>
    <t>01017-85</t>
  </si>
  <si>
    <t>EN28752 ESPINA ELAST. 7x85</t>
  </si>
  <si>
    <t>01017-90</t>
  </si>
  <si>
    <t>EN28752 ESPINA ELAST. 7x90</t>
  </si>
  <si>
    <t>01017-95</t>
  </si>
  <si>
    <t>EN28752 ESPINA ELAST. 7x95</t>
  </si>
  <si>
    <t>01018-110</t>
  </si>
  <si>
    <t>EN28752 ESPINA ELAST. 8x110</t>
  </si>
  <si>
    <t>01018-12</t>
  </si>
  <si>
    <t>EN28752 ESPINA ELAST. 8x12</t>
  </si>
  <si>
    <t>01018-120</t>
  </si>
  <si>
    <t>EN28752 ESPINA ELAST. 8x120</t>
  </si>
  <si>
    <t>01018-13</t>
  </si>
  <si>
    <t>EN28752 ESPINA ELAST. 8x13</t>
  </si>
  <si>
    <t>01018-140</t>
  </si>
  <si>
    <t>EN28752 ESPINA ELAST. 8x140</t>
  </si>
  <si>
    <t>01018-16</t>
  </si>
  <si>
    <t>EN28752 ESPINA ELAST. 8x16</t>
  </si>
  <si>
    <t>01018-18</t>
  </si>
  <si>
    <t>EN28752 ESPINA ELAST. 8x18</t>
  </si>
  <si>
    <t>01018-19</t>
  </si>
  <si>
    <t>EN28752 ESPINA ELAST. 8x19</t>
  </si>
  <si>
    <t>01018-20</t>
  </si>
  <si>
    <t>EN28752 ESPINA ELAST. 8x20</t>
  </si>
  <si>
    <t>01018-22</t>
  </si>
  <si>
    <t>EN28752 ESPINA ELAST. 8x22</t>
  </si>
  <si>
    <t>01018-24</t>
  </si>
  <si>
    <t>EN28752 ESPINA ELAST. 8x24</t>
  </si>
  <si>
    <t>01018-26</t>
  </si>
  <si>
    <t>EN28752 ESPINA ELAST. 8x26</t>
  </si>
  <si>
    <t>01018-28</t>
  </si>
  <si>
    <t>EN28752 ESPINA ELAST. 8x28</t>
  </si>
  <si>
    <t>01018-30</t>
  </si>
  <si>
    <t>EN28752 ESPINA ELAST. 8x30</t>
  </si>
  <si>
    <t>01018-32</t>
  </si>
  <si>
    <t>EN28752 ESPINA ELAST. 8x32</t>
  </si>
  <si>
    <t>01018-34</t>
  </si>
  <si>
    <t>EN28752 ESPINA ELAST. 8x34</t>
  </si>
  <si>
    <t>01018-34ZM</t>
  </si>
  <si>
    <t>EN28752 ESPINA ELAST. 8x34 Z.Mec.</t>
  </si>
  <si>
    <t>01018-36</t>
  </si>
  <si>
    <t>EN28752 ESPINA ELAST. 8x36</t>
  </si>
  <si>
    <t>01018-38</t>
  </si>
  <si>
    <t>EN28752 ESPINA ELAST. 8x38</t>
  </si>
  <si>
    <t>01018-45</t>
  </si>
  <si>
    <t>EN28752 ESPINA ELAST. 8x45</t>
  </si>
  <si>
    <t>01018-50</t>
  </si>
  <si>
    <t>ESPINA ELASTICA 8x50 H1331</t>
  </si>
  <si>
    <t>01018-55</t>
  </si>
  <si>
    <t>EN28752 ESPINA ELAST. 8x55</t>
  </si>
  <si>
    <t>01018-65</t>
  </si>
  <si>
    <t>EN28752 ESPINA ELAST. 8x65</t>
  </si>
  <si>
    <t>01018-75</t>
  </si>
  <si>
    <t>EN28752 ESPINA ELAST. 8x75</t>
  </si>
  <si>
    <t>01018-85</t>
  </si>
  <si>
    <t>EN28752 ESPINA ELAST. 8x85</t>
  </si>
  <si>
    <t>01018-90</t>
  </si>
  <si>
    <t>EN28752 ESPINA ELAST. 8x90</t>
  </si>
  <si>
    <t>01018-95</t>
  </si>
  <si>
    <t>EN28752 ESPINA ELAST. 8x95</t>
  </si>
  <si>
    <t>01019-100</t>
  </si>
  <si>
    <t>ESPINA ELASTICA  9x100x2</t>
  </si>
  <si>
    <t>01019-110</t>
  </si>
  <si>
    <t>ESPINA ELASTICA  9x110x2</t>
  </si>
  <si>
    <t>01019-120</t>
  </si>
  <si>
    <t>ESPINA ELASTICA  9x120x2</t>
  </si>
  <si>
    <t>01019-24</t>
  </si>
  <si>
    <t>ESPINA ELASTICA  9x24x2</t>
  </si>
  <si>
    <t>01019-25</t>
  </si>
  <si>
    <t>ESPINA ELASTICA  9x25x2</t>
  </si>
  <si>
    <t>01019-25.4</t>
  </si>
  <si>
    <t>ESPINA ELASTICA  9x25.4x2</t>
  </si>
  <si>
    <t>01019-30</t>
  </si>
  <si>
    <t>ESPINA ELASTICA  9x30x2</t>
  </si>
  <si>
    <t>01019-33</t>
  </si>
  <si>
    <t>ESPINA ELASTICA  9x33x2</t>
  </si>
  <si>
    <t>01019-38</t>
  </si>
  <si>
    <t>ESPINA ELASTICA  9x38x2</t>
  </si>
  <si>
    <t>01019-39</t>
  </si>
  <si>
    <t>ESPINA ELASTICA  9x39x2</t>
  </si>
  <si>
    <t>01019-40</t>
  </si>
  <si>
    <t>ESPINA ELASTICA  9x40x2</t>
  </si>
  <si>
    <t>01019-50</t>
  </si>
  <si>
    <t>ESPINA ELASTICA  9x50x2</t>
  </si>
  <si>
    <t>01019-55</t>
  </si>
  <si>
    <t>ESPINA ELASTICA  9x55x2</t>
  </si>
  <si>
    <t>01019-60</t>
  </si>
  <si>
    <t>ESPINA ELASTICA  9x60x2</t>
  </si>
  <si>
    <t>01019-70</t>
  </si>
  <si>
    <t>ESPINA ELASTICA  9x70x2</t>
  </si>
  <si>
    <t>01019-75</t>
  </si>
  <si>
    <t>ESPINA ELASTICA  9x75x2</t>
  </si>
  <si>
    <t>01019-80</t>
  </si>
  <si>
    <t>ESPINA ELASTICA  9x80x2</t>
  </si>
  <si>
    <t>01019-90</t>
  </si>
  <si>
    <t>ESPINA ELASTICA  9x90x2</t>
  </si>
  <si>
    <t>010210-24</t>
  </si>
  <si>
    <t>D7346 ESPINA    10x24x1 1CH</t>
  </si>
  <si>
    <t>010210-30</t>
  </si>
  <si>
    <t>D7346 ESPINA    10x30x1</t>
  </si>
  <si>
    <t>010210-48</t>
  </si>
  <si>
    <t>D7346 ESPINA    10x48x1</t>
  </si>
  <si>
    <t>010210-57.5</t>
  </si>
  <si>
    <t>D7346 ESPINA    10x57.5x1</t>
  </si>
  <si>
    <t>010210-72</t>
  </si>
  <si>
    <t>D7346 ESPINA    10x72x1</t>
  </si>
  <si>
    <t>010211-15</t>
  </si>
  <si>
    <t>D7346 ESPINA    11x15x1</t>
  </si>
  <si>
    <t>010211-22</t>
  </si>
  <si>
    <t>D7346 ESPINA    11x22x1</t>
  </si>
  <si>
    <t>010211-38</t>
  </si>
  <si>
    <t>D7346 ESPINA    11x38x1</t>
  </si>
  <si>
    <t>010212-15</t>
  </si>
  <si>
    <t>D7346 ESPINA    12x15x1</t>
  </si>
  <si>
    <t>010212-25</t>
  </si>
  <si>
    <t>D7346 ESPINA  12x25x1</t>
  </si>
  <si>
    <t>010212-30</t>
  </si>
  <si>
    <t>D7346 ESPINA    12x30x1</t>
  </si>
  <si>
    <t>010212-40</t>
  </si>
  <si>
    <t>D7346 ESPINA    12x40x1</t>
  </si>
  <si>
    <t>010214-14</t>
  </si>
  <si>
    <t>D7346 ESPINA    14x14x1.5</t>
  </si>
  <si>
    <t>010221-28</t>
  </si>
  <si>
    <t>D7346 ESPINA    21x28x2 1 Ch.</t>
  </si>
  <si>
    <t>010221-50</t>
  </si>
  <si>
    <t>D7346 ESPINA    21x50x2 1 Ch.</t>
  </si>
  <si>
    <t>010221-65</t>
  </si>
  <si>
    <t>D7346 ESPINA    21x65x2 1 Ch.</t>
  </si>
  <si>
    <t>01023-15</t>
  </si>
  <si>
    <t>D7346 ESPINA    3x15x0.3</t>
  </si>
  <si>
    <t>01024.5-14</t>
  </si>
  <si>
    <t>D7346 ESPINA    4.5x14x0.5</t>
  </si>
  <si>
    <t>01024-12</t>
  </si>
  <si>
    <t>D7346 ESPINA    4x12x0.5</t>
  </si>
  <si>
    <t>01024-14</t>
  </si>
  <si>
    <t>D7346 ESPINA    4x14x0.5</t>
  </si>
  <si>
    <t>01024-26</t>
  </si>
  <si>
    <t>D7346 ESPINA    4x26x0.5</t>
  </si>
  <si>
    <t>01026-14</t>
  </si>
  <si>
    <t>D7346 ESPINA    6x14x0.8</t>
  </si>
  <si>
    <t>01026-16</t>
  </si>
  <si>
    <t>D7346 ESPINA    6x16x0.8</t>
  </si>
  <si>
    <t>01026-26</t>
  </si>
  <si>
    <t>D7346 ESPINA    6x26x0.8</t>
  </si>
  <si>
    <t>01026-27</t>
  </si>
  <si>
    <t>D7346 ESPINA    6x27x0.8</t>
  </si>
  <si>
    <t>01026-40</t>
  </si>
  <si>
    <t>D7346 ESPINA    6x40x0.8</t>
  </si>
  <si>
    <t>01026-80</t>
  </si>
  <si>
    <t xml:space="preserve">D7346 ESPINA    6x80x0.8 </t>
  </si>
  <si>
    <t>01028-18</t>
  </si>
  <si>
    <t>D7346 ESPINA    8x18x0.8</t>
  </si>
  <si>
    <t>01028-24</t>
  </si>
  <si>
    <t>D7346 ESPINA    8x24x0.8</t>
  </si>
  <si>
    <t>01028-30</t>
  </si>
  <si>
    <t>D7346 ESPINA    8x30x0.8</t>
  </si>
  <si>
    <t>01028-40</t>
  </si>
  <si>
    <t>D7346 ESPINA    8x40x0.8</t>
  </si>
  <si>
    <t>01028-55</t>
  </si>
  <si>
    <t>D7346 ESPINA    8x55x0.8</t>
  </si>
  <si>
    <t>01028-57.5</t>
  </si>
  <si>
    <t>D7346 ESPINA    8x57.5x0.8</t>
  </si>
  <si>
    <t>01031.25-6.4</t>
  </si>
  <si>
    <t>SJ 496 ESPINA  1.25x6.4</t>
  </si>
  <si>
    <t>01031.58-11.11</t>
  </si>
  <si>
    <t>SJ 496 ESPINA  1.58x11.11</t>
  </si>
  <si>
    <t>01031.58-12.7</t>
  </si>
  <si>
    <t>SJ 496 ESPINA  1.58x12.70</t>
  </si>
  <si>
    <t>01031.58-14.29</t>
  </si>
  <si>
    <t>SJ 496 ESPINA  1.58x14.29</t>
  </si>
  <si>
    <t>01031.58-15.88</t>
  </si>
  <si>
    <t>SJ 496 ESPINA  1.58x15.88</t>
  </si>
  <si>
    <t>01031.58-17.46</t>
  </si>
  <si>
    <t>SJ 496 ESPINA  1.58x17.46</t>
  </si>
  <si>
    <t>01031.58-18</t>
  </si>
  <si>
    <t>SJ 496 ESPINA  1.58x18</t>
  </si>
  <si>
    <t>01031.58-19.05</t>
  </si>
  <si>
    <t>SJ 496 ESPINA  1.58x19.05</t>
  </si>
  <si>
    <t>01031.58-20.63</t>
  </si>
  <si>
    <t>SJ 496 ESPINA  1.58x20.63</t>
  </si>
  <si>
    <t>01031.58-22.22</t>
  </si>
  <si>
    <t>SJ 496 ESPINA  1.58x22.22</t>
  </si>
  <si>
    <t>01031.58-38.1</t>
  </si>
  <si>
    <t>SJ 496 ESPINA  1.58x38.10</t>
  </si>
  <si>
    <t>01031.58-6.35</t>
  </si>
  <si>
    <t>SJ 496 ESPINA  1.58x 6.35</t>
  </si>
  <si>
    <t>01031.58-7.94</t>
  </si>
  <si>
    <t>SJ 496 ESPINA  1.58x 7.94</t>
  </si>
  <si>
    <t>01031.58-9.52</t>
  </si>
  <si>
    <t>SJ 496 ESPINA  1.58x 9.52</t>
  </si>
  <si>
    <t>01031.98-11.11</t>
  </si>
  <si>
    <t>SJ 496 ESPINA  1.98x11.11</t>
  </si>
  <si>
    <t>01031.98-12</t>
  </si>
  <si>
    <t>SJ 496 ESPINA  1.98x12</t>
  </si>
  <si>
    <t>01031.98-12.7</t>
  </si>
  <si>
    <t>SJ 496 ESPINA  1.98x12.70</t>
  </si>
  <si>
    <t>01031.98-14.29</t>
  </si>
  <si>
    <t>SJ 496 ESPINA  1.98x14.29</t>
  </si>
  <si>
    <t>01031.98-15</t>
  </si>
  <si>
    <t>SJ 496 ESPINA  1.98x15</t>
  </si>
  <si>
    <t>01031.98-15.8</t>
  </si>
  <si>
    <t>SJ 496 ESPINA  1.98x15.88</t>
  </si>
  <si>
    <t>01031.98-17.46</t>
  </si>
  <si>
    <t>SJ 496 ESPINA  1.98x17.46</t>
  </si>
  <si>
    <t>01031.98-18</t>
  </si>
  <si>
    <t>SJ 496 ESPINA  1.98x18</t>
  </si>
  <si>
    <t>01031.98-19.05</t>
  </si>
  <si>
    <t>SJ 496 ESPINA  1.98x19.05</t>
  </si>
  <si>
    <t>01031.98-20.63</t>
  </si>
  <si>
    <t>SJ 496 ESPINA  1.98x20.63</t>
  </si>
  <si>
    <t>01031.98-22.22</t>
  </si>
  <si>
    <t>SJ 496 ESPINA  1.98x22.22</t>
  </si>
  <si>
    <t>01031.98-23.81</t>
  </si>
  <si>
    <t>SJ 496 ESPINA  1.98x23.81</t>
  </si>
  <si>
    <t>01031.98-25.4</t>
  </si>
  <si>
    <t>SJ 496 ESPINA  1.98x25.40</t>
  </si>
  <si>
    <t>01031.98-28.57</t>
  </si>
  <si>
    <t>SJ 496 ESPINA  1.98x28.57</t>
  </si>
  <si>
    <t>01031.98-31.7</t>
  </si>
  <si>
    <t>SJ 496 ESPINA  1.98x31.75</t>
  </si>
  <si>
    <t>01031.98-5.5</t>
  </si>
  <si>
    <t>SJ 496 ESPINA  1.98x 5.50</t>
  </si>
  <si>
    <t>01031.98-6.35</t>
  </si>
  <si>
    <t>SJ 496 ESPINA  1.98x 6.35</t>
  </si>
  <si>
    <t>01031.98-7</t>
  </si>
  <si>
    <t>SJ 496 ESPINA  1.98x 7</t>
  </si>
  <si>
    <t>01031.98-7.94</t>
  </si>
  <si>
    <t>SJ 496 ESPINA  1.98x 7.94</t>
  </si>
  <si>
    <t>01031.98-9.52</t>
  </si>
  <si>
    <t>SJ 496 ESPINA  1.98x 9.52</t>
  </si>
  <si>
    <t>010311.11-20.4</t>
  </si>
  <si>
    <t>SJ 496 ESPINA 11.11x20.4</t>
  </si>
  <si>
    <t>010311.11-25.4</t>
  </si>
  <si>
    <t>SJ 496 ESPINA 11.11x25.4</t>
  </si>
  <si>
    <t>010311.11-50.8</t>
  </si>
  <si>
    <t>SJ 496 ESPINA 11.11x50.8</t>
  </si>
  <si>
    <t>010311.11-63.5</t>
  </si>
  <si>
    <t>SJ 496 ESPINA 11.11x63.5</t>
  </si>
  <si>
    <t>010312.7-15.88</t>
  </si>
  <si>
    <t>SJ 496 ESPINA  12.7x15.88</t>
  </si>
  <si>
    <t>010312.7-22.22</t>
  </si>
  <si>
    <t>SJ 496 ESPINA  12.7x22.22</t>
  </si>
  <si>
    <t>010312.7-25.4</t>
  </si>
  <si>
    <t>SJ 496 ESPINA  12.7x25.4</t>
  </si>
  <si>
    <t>010312.7-31.75</t>
  </si>
  <si>
    <t>SJ 496 ESPINA  12.7x31.75</t>
  </si>
  <si>
    <t>010312.7-44.45</t>
  </si>
  <si>
    <t>SJ 496 ESPINA  12.7x44.45</t>
  </si>
  <si>
    <t>010312.7-50.8</t>
  </si>
  <si>
    <t>SJ 496 ESPINA  12.7x50.8</t>
  </si>
  <si>
    <t>010312.7-63.5</t>
  </si>
  <si>
    <t>SJ 496 ESPINA  12.7x63.5</t>
  </si>
  <si>
    <t>010312.7-63.5H</t>
  </si>
  <si>
    <t>SJ 496 ESPINA 12.7x63.5 H1331</t>
  </si>
  <si>
    <t>01032.38-11.11</t>
  </si>
  <si>
    <t>SJ 496 ESPINA  2.38x11.11</t>
  </si>
  <si>
    <t>01032.38-12.7</t>
  </si>
  <si>
    <t>SJ 496 ESPINA  2.38x12.70</t>
  </si>
  <si>
    <t>01032.38-14.29</t>
  </si>
  <si>
    <t>SJ 496 ESPINA  2.38x14.29</t>
  </si>
  <si>
    <t>01032.38-15.88</t>
  </si>
  <si>
    <t>SJ 496 ESPINA  2.38x15.88</t>
  </si>
  <si>
    <t>01032.38-17.46</t>
  </si>
  <si>
    <t>SJ 496 ESPINA  2.38x17.46</t>
  </si>
  <si>
    <t>01032.38-19.05</t>
  </si>
  <si>
    <t>SJ 496 ESPINA  2.38x19.05</t>
  </si>
  <si>
    <t>01032.38-20.63</t>
  </si>
  <si>
    <t>SJ 496 ESPINA  2.38x20.63</t>
  </si>
  <si>
    <t>01032.38-22.22</t>
  </si>
  <si>
    <t>SJ 496 ESPINA  2.38x22.22</t>
  </si>
  <si>
    <t>01032.38-23.81</t>
  </si>
  <si>
    <t>SJ 496 ESPINA  2.38x23.81</t>
  </si>
  <si>
    <t>01032.38-25.4</t>
  </si>
  <si>
    <t>SJ 496 ESPINA  2.38x25.40</t>
  </si>
  <si>
    <t>01032.38-28.1</t>
  </si>
  <si>
    <t>SJ 496 ESPINA  2.38x28.10</t>
  </si>
  <si>
    <t>01032.38-28.57</t>
  </si>
  <si>
    <t>SJ 496 ESPINA  2.38x28.57</t>
  </si>
  <si>
    <t>01032.38-30</t>
  </si>
  <si>
    <t>SJ 496 ESPINA  2.38x30</t>
  </si>
  <si>
    <t>01032.38-33</t>
  </si>
  <si>
    <t>SJ 496 ESPINA  2.38x33</t>
  </si>
  <si>
    <t>01032.38-6.35</t>
  </si>
  <si>
    <t>SJ 496 ESPINA  2.38x 6.35</t>
  </si>
  <si>
    <t>01032.38-7.94</t>
  </si>
  <si>
    <t>SJ 496 ESPINA  2.38x 7.94</t>
  </si>
  <si>
    <t>01032.38-9.52</t>
  </si>
  <si>
    <t>SJ 496 ESPINA  2.38x 9.52</t>
  </si>
  <si>
    <t>01033.17-11.11</t>
  </si>
  <si>
    <t>SJ 496 ESPINA  3.17x11.11</t>
  </si>
  <si>
    <t>01033.17-12.7</t>
  </si>
  <si>
    <t>SJ 496 ESPINA  3.17x12.70</t>
  </si>
  <si>
    <t>01033.17-14.29</t>
  </si>
  <si>
    <t>SJ 496 ESPINA  3.17x14.29</t>
  </si>
  <si>
    <t>01033.17-15.88</t>
  </si>
  <si>
    <t>SJ 496 ESPINA  3.17x15.88</t>
  </si>
  <si>
    <t>01033.17-16.5</t>
  </si>
  <si>
    <t>SJ 496 ESPINA  3.17x16.50</t>
  </si>
  <si>
    <t>01033.17-17</t>
  </si>
  <si>
    <t>SJ 496 ESPINA  3.17x17</t>
  </si>
  <si>
    <t>01033.17-17.46</t>
  </si>
  <si>
    <t>SJ 496 ESPINA  3.17x17.46</t>
  </si>
  <si>
    <t>01033.17-19.05</t>
  </si>
  <si>
    <t>SJ 496 ESPINA  3.17x19.05</t>
  </si>
  <si>
    <t>01033.17-20.63</t>
  </si>
  <si>
    <t>SJ 496 ESPINA  3.17x20.63</t>
  </si>
  <si>
    <t>01033.17-22.22</t>
  </si>
  <si>
    <t>SJ 496 ESPINA  3.17x22.22</t>
  </si>
  <si>
    <t>01033.17-22.22Z</t>
  </si>
  <si>
    <t>SJ 496 ESPINA Z3.17x22.22</t>
  </si>
  <si>
    <t>01033.17-23.81</t>
  </si>
  <si>
    <t>SJ 496 ESPINA  3.17x23.81</t>
  </si>
  <si>
    <t>01033.17-25.4</t>
  </si>
  <si>
    <t>SJ 496 ESPINA  3.17x25.40</t>
  </si>
  <si>
    <t>01033.17-28.57</t>
  </si>
  <si>
    <t>SJ 496 ESPINA  3.17x28.57</t>
  </si>
  <si>
    <t>01033.17-31.75</t>
  </si>
  <si>
    <t>SJ 496 ESPINA  3.17x31.75</t>
  </si>
  <si>
    <t>01033.17-34.92</t>
  </si>
  <si>
    <t>SJ 496 ESPINA  3.17x34.92</t>
  </si>
  <si>
    <t>01033.17-38.1</t>
  </si>
  <si>
    <t>SJ 496 ESPINA  3.17x38.1</t>
  </si>
  <si>
    <t>01033.17-41.27</t>
  </si>
  <si>
    <t>SJ 496 ESPINA  3.17x41.27</t>
  </si>
  <si>
    <t>01033.17-43</t>
  </si>
  <si>
    <t>SJ 496 ESPINA  3.17x43</t>
  </si>
  <si>
    <t>01033.17-44.45</t>
  </si>
  <si>
    <t>SJ 496 ESPINA  3.17x44.45</t>
  </si>
  <si>
    <t>01033.17-45</t>
  </si>
  <si>
    <t>SJ 496 ESPINA  3.17x45</t>
  </si>
  <si>
    <t>01033.17-50.8</t>
  </si>
  <si>
    <t>SJ 496 ESPINA  3.17x50.8</t>
  </si>
  <si>
    <t>01033.17-6.35</t>
  </si>
  <si>
    <t>SJ 496 ESPINA  3.17x 6.35</t>
  </si>
  <si>
    <t>01033.17-7.94</t>
  </si>
  <si>
    <t>SJ 496 ESPINA  3.17x 7.94</t>
  </si>
  <si>
    <t>01033.17-9.52</t>
  </si>
  <si>
    <t>SJ 496 ESPINA  3.17x 9.52</t>
  </si>
  <si>
    <t>01033.96-11.11</t>
  </si>
  <si>
    <t>SJ 496 ESPINA  3.96x11.11</t>
  </si>
  <si>
    <t>01033.96-12.7</t>
  </si>
  <si>
    <t>SJ 496 ESPINA  3.96x12.70</t>
  </si>
  <si>
    <t>01033.96-14.29</t>
  </si>
  <si>
    <t>SJ 496 ESPINA  3.96x14.29</t>
  </si>
  <si>
    <t>01033.96-15.88</t>
  </si>
  <si>
    <t>SJ 496 ESPINA  3.96x15.88</t>
  </si>
  <si>
    <t>01033.96-17.2</t>
  </si>
  <si>
    <t>SJ 496 ESPINA  3.96x17.20</t>
  </si>
  <si>
    <t>01033.96-17.46</t>
  </si>
  <si>
    <t>SJ 496 ESPINA  3.96x17.46</t>
  </si>
  <si>
    <t>01033.96-19.05</t>
  </si>
  <si>
    <t>SJ 496 ESPINA  3.96x19.05</t>
  </si>
  <si>
    <t>01033.96-20.63</t>
  </si>
  <si>
    <t>SJ 496 ESPINA  3.96x20.63</t>
  </si>
  <si>
    <t>01033.96-20.63Z</t>
  </si>
  <si>
    <t>SJ 496 ESPINA  3.96x20.63 Z.</t>
  </si>
  <si>
    <t>01033.96-22.22</t>
  </si>
  <si>
    <t>SJ 496 ESPINA  3.96x22.22</t>
  </si>
  <si>
    <t>01033.96-23.81</t>
  </si>
  <si>
    <t>SJ 496 ESPINA  3.96x23.81</t>
  </si>
  <si>
    <t>01033.96-25.4</t>
  </si>
  <si>
    <t>SJ 496 ESPINA  3.96x25.40</t>
  </si>
  <si>
    <t>01033.96-28.57</t>
  </si>
  <si>
    <t>SJ 496 ESPINA  3.96x28.57</t>
  </si>
  <si>
    <t>01033.96-31.75</t>
  </si>
  <si>
    <t>SJ 496 ESPINA  3.96x31.75</t>
  </si>
  <si>
    <t>01033.96-33.4</t>
  </si>
  <si>
    <t>SJ 496 ESPINA  3.96x33.40</t>
  </si>
  <si>
    <t>01033.96-34.92</t>
  </si>
  <si>
    <t>SJ 496 ESPINA  3.96x34.92</t>
  </si>
  <si>
    <t>01033.96-38.1</t>
  </si>
  <si>
    <t>SJ 496 ESPINA  3.96x38.10</t>
  </si>
  <si>
    <t>01033.96-4.92</t>
  </si>
  <si>
    <t>SJ 496 ESPINA  3.96x 4.92</t>
  </si>
  <si>
    <t>01033.96-44.45</t>
  </si>
  <si>
    <t>SJ 496 ESPINA  3.96x44.45</t>
  </si>
  <si>
    <t>01033.96-50.8</t>
  </si>
  <si>
    <t>SJ 496 ESPINA  3.96x50.80</t>
  </si>
  <si>
    <t>01033.96-9.52</t>
  </si>
  <si>
    <t>SJ 496 ESPINA  3.96x9.52</t>
  </si>
  <si>
    <t>01034.76-11.11</t>
  </si>
  <si>
    <t>SJ 496 ESPINA  4.76x11.11</t>
  </si>
  <si>
    <t>01034.76-12.7</t>
  </si>
  <si>
    <t>SJ 496 ESPINA  4.76x12.70</t>
  </si>
  <si>
    <t>01034.76-15.88</t>
  </si>
  <si>
    <t>SJ 496 ESPINA  4.76x15.88</t>
  </si>
  <si>
    <t>01034.76-17.46</t>
  </si>
  <si>
    <t>SJ 496 ESPINA  4.76x17.46</t>
  </si>
  <si>
    <t>01034.76-19.05</t>
  </si>
  <si>
    <t>SJ 496 ESPINA  4.76x19.05</t>
  </si>
  <si>
    <t>01034.76-20.63</t>
  </si>
  <si>
    <t>SJ 496 ESPINA  4.76x20.63</t>
  </si>
  <si>
    <t>01034.76-22.22</t>
  </si>
  <si>
    <t>SJ 496 ESPINA  4.76x22.22</t>
  </si>
  <si>
    <t>01034.76-23.81</t>
  </si>
  <si>
    <t>SJ 496 ESPINA  4.76x23.81</t>
  </si>
  <si>
    <t>01034.76-25.4</t>
  </si>
  <si>
    <t>SJ 496 ESPINA  4.76x25.40</t>
  </si>
  <si>
    <t>01034.76-28.57</t>
  </si>
  <si>
    <t>SJ 496 ESPINA  4.76x28.57</t>
  </si>
  <si>
    <t>01034.76-31.75</t>
  </si>
  <si>
    <t>SJ 496 ESPINA  4.76x31.75</t>
  </si>
  <si>
    <t>01034.76-34.92</t>
  </si>
  <si>
    <t>SJ 496 ESPINA  4.76x34.92</t>
  </si>
  <si>
    <t>01034.76-38.1</t>
  </si>
  <si>
    <t>SJ 496 ESPINA  4.76x38.10</t>
  </si>
  <si>
    <t>01034.76-41.27</t>
  </si>
  <si>
    <t>SJ 496 ESPINA  4.76x41.27</t>
  </si>
  <si>
    <t>01034.76-44.45</t>
  </si>
  <si>
    <t>SJ 496 ESPINA  4.76x44.45</t>
  </si>
  <si>
    <t>01034.76-47.62</t>
  </si>
  <si>
    <t>SJ 496 ESPINA  4.76x47.62</t>
  </si>
  <si>
    <t>01034.76-50.8</t>
  </si>
  <si>
    <t>SJ 496 ESPINA  4.76x50.80</t>
  </si>
  <si>
    <t>01034.76-57.15</t>
  </si>
  <si>
    <t>SJ 496 ESPINA  4.76x57.15</t>
  </si>
  <si>
    <t>01034.76-6.35</t>
  </si>
  <si>
    <t>SJ 496 ESPINA  4.76x 6.35</t>
  </si>
  <si>
    <t>01034.76-63.5</t>
  </si>
  <si>
    <t>SJ 496 ESPINA  4.76x63.50</t>
  </si>
  <si>
    <t>01034.76-65</t>
  </si>
  <si>
    <t>SJ 496 ESPINA  4.76x65</t>
  </si>
  <si>
    <t>01034.76-70</t>
  </si>
  <si>
    <t>SJ 496 ESPINA  4.76x70</t>
  </si>
  <si>
    <t>01034.76-9.52</t>
  </si>
  <si>
    <t>SJ 496 ESPINA  4.76x 9.52</t>
  </si>
  <si>
    <t>01035.56-12.7</t>
  </si>
  <si>
    <t>SJ 496 ESPINA  5.56x12.70</t>
  </si>
  <si>
    <t>01035.56-14.29</t>
  </si>
  <si>
    <t>SJ 496 ESPINA  5.56x14.29</t>
  </si>
  <si>
    <t>01035.56-15.88</t>
  </si>
  <si>
    <t>SJ 496 ESPINA  5.56x15.88</t>
  </si>
  <si>
    <t>01035.56-17.46</t>
  </si>
  <si>
    <t>SJ 496 ESPINA  5.56x17.46</t>
  </si>
  <si>
    <t>01035.56-19.05</t>
  </si>
  <si>
    <t>SJ 496 ESPINA  5.56x19.05</t>
  </si>
  <si>
    <t>01035.56-20.63</t>
  </si>
  <si>
    <t>SJ 496 ESPINA  5.56x20.63</t>
  </si>
  <si>
    <t>01035.56-22.22</t>
  </si>
  <si>
    <t>SJ 496 ESPINA  5.56x22.22</t>
  </si>
  <si>
    <t>01035.56-23.81</t>
  </si>
  <si>
    <t>SJ 496 ESPINA  5.56x23.81</t>
  </si>
  <si>
    <t>01035.56-25.4</t>
  </si>
  <si>
    <t>SJ 496 ESPINA  5.56x25.40</t>
  </si>
  <si>
    <t>01035.56-28.57</t>
  </si>
  <si>
    <t>SJ 496 ESPINA  5.56x28.57</t>
  </si>
  <si>
    <t>01035.56-31.75</t>
  </si>
  <si>
    <t>SJ 496 ESPINA  5.56x31.75</t>
  </si>
  <si>
    <t>01035.56-34.92</t>
  </si>
  <si>
    <t>SJ 496 ESPINA  5.56x34.92</t>
  </si>
  <si>
    <t>01035.56-38.1</t>
  </si>
  <si>
    <t>SJ 496 ESPINA  5.56x38.10</t>
  </si>
  <si>
    <t>01035.56-41.27</t>
  </si>
  <si>
    <t>SJ 496 ESPINA  5.56x41.27</t>
  </si>
  <si>
    <t>01035.56-44.45</t>
  </si>
  <si>
    <t>SJ 496 ESPINA  5.56x44.45</t>
  </si>
  <si>
    <t>01035.56-47.62</t>
  </si>
  <si>
    <t>SJ 496 ESPINA  5.56x47.62</t>
  </si>
  <si>
    <t>01035.56-50.8</t>
  </si>
  <si>
    <t>SJ 496 ESPINA  5.56x50.80</t>
  </si>
  <si>
    <t>01035.56-57.15</t>
  </si>
  <si>
    <t>SJ 496 ESPINA  5.56x57.15</t>
  </si>
  <si>
    <t>01035.56-63.5</t>
  </si>
  <si>
    <t>SJ 496 ESPINA  5.56x63.50</t>
  </si>
  <si>
    <t>01035.56-69.85</t>
  </si>
  <si>
    <t>SJ 496 ESPINA  5.56x69.85</t>
  </si>
  <si>
    <t>01035.56-76.2</t>
  </si>
  <si>
    <t>SJ 496 ESPINA  5.56x76.20</t>
  </si>
  <si>
    <t>01035.82-38.1</t>
  </si>
  <si>
    <t>SJ 496 ESPINA  5.82x38.10</t>
  </si>
  <si>
    <t>01036.35-101.5</t>
  </si>
  <si>
    <t>SJ 496 ESPINA  6.35x101.5</t>
  </si>
  <si>
    <t>01036.35-12.7</t>
  </si>
  <si>
    <t>SJ 496 ESPINA  6.35x12.70</t>
  </si>
  <si>
    <t>01036.35-14.29</t>
  </si>
  <si>
    <t>SJ 496 ESPINA  6.35x14.29</t>
  </si>
  <si>
    <t>01036.35-14.5</t>
  </si>
  <si>
    <t>SJ 496 ESPINA  6.35x14.5</t>
  </si>
  <si>
    <t>01036.35-15.88</t>
  </si>
  <si>
    <t>SJ 496 ESPINA  6.35x15.88</t>
  </si>
  <si>
    <t>01036.35-17.46</t>
  </si>
  <si>
    <t>SJ 496 ESPINA  6.35x17.46</t>
  </si>
  <si>
    <t>01036.35-19.05</t>
  </si>
  <si>
    <t>SJ 496 ESPINA  6.35x19.05</t>
  </si>
  <si>
    <t>01036.35-20.63</t>
  </si>
  <si>
    <t>SJ 496 ESPINA  6.35x20.63</t>
  </si>
  <si>
    <t>01036.35-22.22</t>
  </si>
  <si>
    <t>SJ 496 ESPINA  6.35x22.22</t>
  </si>
  <si>
    <t>01036.35-23.81</t>
  </si>
  <si>
    <t>SJ 496 ESPINA  6.35x23.81</t>
  </si>
  <si>
    <t>01036.35-25.4</t>
  </si>
  <si>
    <t>SJ 496 ESPINA  6.35x25.40</t>
  </si>
  <si>
    <t>01036.35-28.57</t>
  </si>
  <si>
    <t>SJ 496 ESPINA  6.35x28.57</t>
  </si>
  <si>
    <t>01036.35-31.75</t>
  </si>
  <si>
    <t>SJ 496 ESPINA  6.35x31.75</t>
  </si>
  <si>
    <t>01036.35-34.92</t>
  </si>
  <si>
    <t>SJ 496 ESPINA  6.35x34.92</t>
  </si>
  <si>
    <t>01036.35-38.1</t>
  </si>
  <si>
    <t>SJ 496 ESPINA  6.35x38.10</t>
  </si>
  <si>
    <t>01036.35-41.27</t>
  </si>
  <si>
    <t>SJ 496 ESPINA  6.35x41.27</t>
  </si>
  <si>
    <t>01036.35-44.45</t>
  </si>
  <si>
    <t>SJ 496 ESPINA  6.35x44.45</t>
  </si>
  <si>
    <t>01036.35-47.62</t>
  </si>
  <si>
    <t>SJ 496 ESPINA  6.35x47.62</t>
  </si>
  <si>
    <t>01036.35-50.8</t>
  </si>
  <si>
    <t>SJ 496 ESPINA  6.35x50.80</t>
  </si>
  <si>
    <t>01036.35-55</t>
  </si>
  <si>
    <t>SJ 496 ESPINA  6.35x55</t>
  </si>
  <si>
    <t>01036.35-57.15</t>
  </si>
  <si>
    <t>SJ 496 ESPINA  6.35x57.15</t>
  </si>
  <si>
    <t>01036.35-6.35</t>
  </si>
  <si>
    <t>SJ 496 ESPINA  6.35x 6.35</t>
  </si>
  <si>
    <t>01036.35-60</t>
  </si>
  <si>
    <t>SJ 496 ESPINA  6.35x60</t>
  </si>
  <si>
    <t>01036.35-63.5</t>
  </si>
  <si>
    <t>SJ 496 ESPINA  6.35x63.50</t>
  </si>
  <si>
    <t>01036.35-69.85</t>
  </si>
  <si>
    <t>SJ 496 ESPINA  6.35x69.85</t>
  </si>
  <si>
    <t>01036.35-7.94</t>
  </si>
  <si>
    <t>SJ 496 ESPINA  6.35x 7.94</t>
  </si>
  <si>
    <t>01036.35-76.2</t>
  </si>
  <si>
    <t>SJ 496 ESPINA  6.35x76.20</t>
  </si>
  <si>
    <t>01036.35-82.55</t>
  </si>
  <si>
    <t>SJ 496 ESPINA  6.35x82.55</t>
  </si>
  <si>
    <t>01036.35-88.9</t>
  </si>
  <si>
    <t>SJ 496 ESPINA  6.35x88.90</t>
  </si>
  <si>
    <t>01036.35-9.52</t>
  </si>
  <si>
    <t>SJ 496 ESPINA  6.35x 9.52</t>
  </si>
  <si>
    <t>01037.94-12.7</t>
  </si>
  <si>
    <t>SJ 496 ESPINA  7.94x12.70</t>
  </si>
  <si>
    <t>01037.94-19.05</t>
  </si>
  <si>
    <t>SJ 496 ESPINA  7.94x19.05</t>
  </si>
  <si>
    <t>01037.94-22.22</t>
  </si>
  <si>
    <t>SJ 496 ESPINA  7.94x22.22</t>
  </si>
  <si>
    <t>01037.94-25.4</t>
  </si>
  <si>
    <t>SJ 496 ESPINA  7.94x25.40</t>
  </si>
  <si>
    <t>01037.94-31.75</t>
  </si>
  <si>
    <t>SJ 496 ESPINA  7.94x31.75</t>
  </si>
  <si>
    <t>01037.94-38.1</t>
  </si>
  <si>
    <t>SJ 496 ESPINA  7.94x38.10</t>
  </si>
  <si>
    <t>01037.94-44.45</t>
  </si>
  <si>
    <t>SJ 496 ESPINA  7.94x44.45</t>
  </si>
  <si>
    <t>01037.94-50.8</t>
  </si>
  <si>
    <t>SJ 496 ESPINA  7.94x50.80</t>
  </si>
  <si>
    <t>01037.94-57.15</t>
  </si>
  <si>
    <t>SJ 496 ESPINA  7.94x57.15</t>
  </si>
  <si>
    <t>01037.94-63.5</t>
  </si>
  <si>
    <t>SJ 496 ESPINA  7.94x63.50</t>
  </si>
  <si>
    <t>01037.94-76.2</t>
  </si>
  <si>
    <t>SJ 496 ESPINA  7.94x76.20</t>
  </si>
  <si>
    <t>01039.53-10</t>
  </si>
  <si>
    <t>SJ 496 ESPINA  9.53x10</t>
  </si>
  <si>
    <t>01039.53-101.6</t>
  </si>
  <si>
    <t>SJ 496 ESPINA  9.53x101.6</t>
  </si>
  <si>
    <t>01039.53-20.63</t>
  </si>
  <si>
    <t>SJ 496 ESPINA  9.53x20.63</t>
  </si>
  <si>
    <t>01039.53-22.22</t>
  </si>
  <si>
    <t>SJ 496 ESPINA  9.53x22.22</t>
  </si>
  <si>
    <t>01039.53-23.81</t>
  </si>
  <si>
    <t>SJ 496 ESPINA  9.53x23.81</t>
  </si>
  <si>
    <t>01039.53-25.4</t>
  </si>
  <si>
    <t>SJ 496 ESPINA  9.53x25.40</t>
  </si>
  <si>
    <t>01039.53-28.57</t>
  </si>
  <si>
    <t>SJ 496 ESPINA  9.53x28.57</t>
  </si>
  <si>
    <t>01039.53-31.75</t>
  </si>
  <si>
    <t>SJ 496 ESPINA  9.53x31.75</t>
  </si>
  <si>
    <t>01039.53-34.92</t>
  </si>
  <si>
    <t>SJ 496 ESPINA  9.53x34.92</t>
  </si>
  <si>
    <t>01039.53-38.1</t>
  </si>
  <si>
    <t>SJ 496 ESPINA  9.53x38.10</t>
  </si>
  <si>
    <t>01039.53-41.27</t>
  </si>
  <si>
    <t>SJ 496 ESPINA  9.53x41.27</t>
  </si>
  <si>
    <t>01039.53-44.45</t>
  </si>
  <si>
    <t>SJ 496 ESPINA  9.53x44.45</t>
  </si>
  <si>
    <t>01039.53-47.62</t>
  </si>
  <si>
    <t>SJ 496 ESPINA  9.53x47.62</t>
  </si>
  <si>
    <t>01039.53-50.8</t>
  </si>
  <si>
    <t>SJ 496 ESPINA  9.53x50.80</t>
  </si>
  <si>
    <t>01039.53-57.15</t>
  </si>
  <si>
    <t>SJ 496 ESPINA  9.53x57.15</t>
  </si>
  <si>
    <t>01039.53-63.5</t>
  </si>
  <si>
    <t>SJ 496 ESPINA  9.53x63.50</t>
  </si>
  <si>
    <t>01039.53-69.85</t>
  </si>
  <si>
    <t>SJ 496 ESPINA  9.53x69.85</t>
  </si>
  <si>
    <t>01039.53-7.94</t>
  </si>
  <si>
    <t>SJ 496 ESPINA  9.53x 7.94</t>
  </si>
  <si>
    <t>01039.53-76.2</t>
  </si>
  <si>
    <t>SJ 496 ESPINA  9.53x76.20</t>
  </si>
  <si>
    <t>01039.53-82.55</t>
  </si>
  <si>
    <t>SJ 496 ESPINA  9.53x82.55</t>
  </si>
  <si>
    <t>01039.53-88.9</t>
  </si>
  <si>
    <t>SJ 496 ESPINA  9.53x88.90</t>
  </si>
  <si>
    <t>01039.53-95.25</t>
  </si>
  <si>
    <t>SJ 496 ESPINA  9.53x95.25</t>
  </si>
  <si>
    <t>01043.17-14.29</t>
  </si>
  <si>
    <t>SJ 496 ESPINA 3.17x14.29x0.3</t>
  </si>
  <si>
    <t>01043.17-15</t>
  </si>
  <si>
    <t>SJ 496 ESPINA 3.17x15x0.3</t>
  </si>
  <si>
    <t>01043.17-17</t>
  </si>
  <si>
    <t>SJ 496 ESPINA 3.17x17x0.3</t>
  </si>
  <si>
    <t>01043.17-19.05</t>
  </si>
  <si>
    <t>SJ 496 ESPINA 3.17x19.05x0.3</t>
  </si>
  <si>
    <t>01043.17-31.75</t>
  </si>
  <si>
    <t>SJ 496 ESPINA 3.17x31.75x0.3</t>
  </si>
  <si>
    <t>01043.17-8</t>
  </si>
  <si>
    <t>SJ 496 ESPINA 3.17x8x0.3</t>
  </si>
  <si>
    <t>01044.76-63.5</t>
  </si>
  <si>
    <t>SJ 496 ESPINA 4.76x63.50x0.7</t>
  </si>
  <si>
    <t>010510-65-1.2</t>
  </si>
  <si>
    <t xml:space="preserve">ESPINA ELASTICA  10x65x1.2 </t>
  </si>
  <si>
    <t>010510-72-1.2</t>
  </si>
  <si>
    <t>ESPINA ELASTICA 10x72x1.2</t>
  </si>
  <si>
    <t>010512-15-1.5</t>
  </si>
  <si>
    <t xml:space="preserve">ESPINA ELASTICA 12x15x1.5 </t>
  </si>
  <si>
    <t>010512-30-2</t>
  </si>
  <si>
    <t>ESPINA ELASTICA  12x30x2</t>
  </si>
  <si>
    <t>010512-32-2</t>
  </si>
  <si>
    <t>ESPINA ELASTICA  12x32x2</t>
  </si>
  <si>
    <t>010512-36-2</t>
  </si>
  <si>
    <t>ESPINA ELASTICA  12x36x2</t>
  </si>
  <si>
    <t>010512-40-1.5</t>
  </si>
  <si>
    <t>ESPINA ELASTICA 12x40x1.5</t>
  </si>
  <si>
    <t>010512-45-2</t>
  </si>
  <si>
    <t>ESPINA ELASTICA  12x45x2</t>
  </si>
  <si>
    <t>010512-55-2</t>
  </si>
  <si>
    <t>ESPINA ELASTICA  12x55x2</t>
  </si>
  <si>
    <t>010512-85-2</t>
  </si>
  <si>
    <t>ESPINA ELASTICA  12x85x2</t>
  </si>
  <si>
    <t>010515-15-1.5</t>
  </si>
  <si>
    <t>ESPINA ELASTICA 15x15x1.5</t>
  </si>
  <si>
    <t>01053.5-32AG</t>
  </si>
  <si>
    <t>ESPINA C/2AGUJ.3.5x32x0.6</t>
  </si>
  <si>
    <t>01053.5-36AG</t>
  </si>
  <si>
    <t>ESPINA C/2AGUJ.3.5x36x0.6</t>
  </si>
  <si>
    <t>01053.5-38AG</t>
  </si>
  <si>
    <t>ESPINA C/2AGUJ.3.5x38x0.6</t>
  </si>
  <si>
    <t>01053.5-40AG</t>
  </si>
  <si>
    <t>ESPINA C/2AGUJ.3.5x40x0.6</t>
  </si>
  <si>
    <t>01054-16AG</t>
  </si>
  <si>
    <t>ESPINA C/2 AGUJ. 4x16x0.5</t>
  </si>
  <si>
    <t>01056-15-1H</t>
  </si>
  <si>
    <t>ESPINA ELASTICA 6x15x1 H1331</t>
  </si>
  <si>
    <t>01056-19.5Z</t>
  </si>
  <si>
    <t>ESPINA ELASTICA Z6x19.5x1</t>
  </si>
  <si>
    <t>01056-30-1</t>
  </si>
  <si>
    <t>ESPINA ELASTICA   6x30x1</t>
  </si>
  <si>
    <t>01056-32-1</t>
  </si>
  <si>
    <t>ESPINA ELASTICA   6x32x1</t>
  </si>
  <si>
    <t>01056-40-1</t>
  </si>
  <si>
    <t>ESPINA ELASTICA   6x40x1</t>
  </si>
  <si>
    <t>01056-45-1</t>
  </si>
  <si>
    <t>ESPINA ELASTICA   6x45x1</t>
  </si>
  <si>
    <t>01056-50-1</t>
  </si>
  <si>
    <t>ESPINA ELASTICA   6x50x1</t>
  </si>
  <si>
    <t>01056-65-1</t>
  </si>
  <si>
    <t>ESPINA ELASTICA   6x65x1</t>
  </si>
  <si>
    <t>01056-70-1</t>
  </si>
  <si>
    <t>ESPINA ELASTICA   6x70x1</t>
  </si>
  <si>
    <t>01056-80-1</t>
  </si>
  <si>
    <t>ESPINA ELASTICA   6x80x1</t>
  </si>
  <si>
    <t>01057-22-1.2</t>
  </si>
  <si>
    <t>ESPINA ELASTICA  7x22x1.2</t>
  </si>
  <si>
    <t>01057-23.5-1</t>
  </si>
  <si>
    <t>ESPINA ELASTICA  7x23.5x1</t>
  </si>
  <si>
    <t>01057-24-1.2</t>
  </si>
  <si>
    <t>ESPINA ELASTICA  7x24x1.2</t>
  </si>
  <si>
    <t>01057-35-1.2</t>
  </si>
  <si>
    <t>ESPINA ELASTICA  7x35x1.2</t>
  </si>
  <si>
    <t>01057-45-1</t>
  </si>
  <si>
    <t>ESPINA ELASTICA  7x45x1</t>
  </si>
  <si>
    <t>01057-45-1.2</t>
  </si>
  <si>
    <t>ESPINA ELASTICA  7x45x1.2</t>
  </si>
  <si>
    <t>01057-65-1.2</t>
  </si>
  <si>
    <t>ESPINA ELASTICA  7x65x1.2</t>
  </si>
  <si>
    <t>01057-70-1.2</t>
  </si>
  <si>
    <t>ESPINA ELASTICA  7x70x1.2</t>
  </si>
  <si>
    <t>01057-80-1.2</t>
  </si>
  <si>
    <t>ESPINA ELASTICA  7x80x1.2</t>
  </si>
  <si>
    <t>01058-45-1.2</t>
  </si>
  <si>
    <t>ESPINA ELASTICA  8x45x1.2</t>
  </si>
  <si>
    <t>01058-50-1</t>
  </si>
  <si>
    <t>ESPINA ELASTICA  8x50x1 Fosf:</t>
  </si>
  <si>
    <t>01058-51-1.2</t>
  </si>
  <si>
    <t>ESPINA ELASTICA  8x51x1.2</t>
  </si>
  <si>
    <t>01058-57.5-1</t>
  </si>
  <si>
    <t>ESPINA ELASTICA  8x57.5x1</t>
  </si>
  <si>
    <t>01058-60.9-1</t>
  </si>
  <si>
    <t>ESPINA ELASTICA  8x60.9x1</t>
  </si>
  <si>
    <t>01058-65-1</t>
  </si>
  <si>
    <t>ESPINA ELASTICA  8x65x1</t>
  </si>
  <si>
    <t>01058-70-1</t>
  </si>
  <si>
    <t>ESPINA ELASTICA  8x70x1</t>
  </si>
  <si>
    <t>01058-70-1.2</t>
  </si>
  <si>
    <t>ESPINA ELASTICA  8x70x1.2</t>
  </si>
  <si>
    <t>01058-8-1</t>
  </si>
  <si>
    <t>ESPINA ELASTICA  8x8x1</t>
  </si>
  <si>
    <t>01059-30-1</t>
  </si>
  <si>
    <t>ESPINA ELASTICA  9x30x1</t>
  </si>
  <si>
    <t>01059-36-1</t>
  </si>
  <si>
    <t>ESPINA ELASTICA  9x36x1</t>
  </si>
  <si>
    <t>01059-39-1</t>
  </si>
  <si>
    <t>ESPINA ELASTICA  9x39x1</t>
  </si>
  <si>
    <t>01059-40-1</t>
  </si>
  <si>
    <t>ESPINA ELASTICA  9x40x1</t>
  </si>
  <si>
    <t>01059-59-1</t>
  </si>
  <si>
    <t>ESPINA ELASTICA  9x59x1</t>
  </si>
  <si>
    <t>01059-60-1</t>
  </si>
  <si>
    <t>ESPINA ELASTICA  9x60x1</t>
  </si>
  <si>
    <t>01112.5-18</t>
  </si>
  <si>
    <t>D8750 ESP.ESPIRALADA  2.5x18</t>
  </si>
  <si>
    <t>01113.5-22</t>
  </si>
  <si>
    <t>D8750 ESP.ESPIRALADA 3.5x22</t>
  </si>
  <si>
    <t>01113-20</t>
  </si>
  <si>
    <t>D8750 ESP.ESPIRALADA 3x20</t>
  </si>
  <si>
    <t>01113-24</t>
  </si>
  <si>
    <t>D8750 ESP.ESPIRALADA 3x24</t>
  </si>
  <si>
    <t>01113-28</t>
  </si>
  <si>
    <t>D8750 ESP.ESPIRALADA 3x28</t>
  </si>
  <si>
    <t>01113-32</t>
  </si>
  <si>
    <t>D8750 ESP.ESPIRALADA 3x32</t>
  </si>
  <si>
    <t>01114-20</t>
  </si>
  <si>
    <t>D8750 ESP.ESPIRALADA 4x20</t>
  </si>
  <si>
    <t>01114-24</t>
  </si>
  <si>
    <t>D8750 ESP.ESPIRALADA 4x24</t>
  </si>
  <si>
    <t>01114-30</t>
  </si>
  <si>
    <t>D8750 ESP.ESPIRALADA 4x30</t>
  </si>
  <si>
    <t>01114-50</t>
  </si>
  <si>
    <t>D8750 ESP.ESPIRALADA 4x50</t>
  </si>
  <si>
    <t>01115-24</t>
  </si>
  <si>
    <t>D8750 ESP.ESPIRALADA 5x24</t>
  </si>
  <si>
    <t>01115-28</t>
  </si>
  <si>
    <t>D8750 ESP.ESPIRALADA 5x28</t>
  </si>
  <si>
    <t>01115-32</t>
  </si>
  <si>
    <t>D8750 ESP.ESPIRALADA 5x32</t>
  </si>
  <si>
    <t>011310-30</t>
  </si>
  <si>
    <t>D1481 ESPINA INOX. 10x30</t>
  </si>
  <si>
    <t>011310-40</t>
  </si>
  <si>
    <t>D1481 ESPINA INOX. 10x40</t>
  </si>
  <si>
    <t>011310-50</t>
  </si>
  <si>
    <t>D1481 ESPINA INOX. 10x50</t>
  </si>
  <si>
    <t>011310-70</t>
  </si>
  <si>
    <t>D1481 ESPINA INOX. 10x70</t>
  </si>
  <si>
    <t>011310-80</t>
  </si>
  <si>
    <t>D1481 ESPINA INOX. 10x80</t>
  </si>
  <si>
    <t>01132.5-10</t>
  </si>
  <si>
    <t>D1481 ESPINA INOX. 2.5x10</t>
  </si>
  <si>
    <t>01132.5-12</t>
  </si>
  <si>
    <t>D1481 ESPINA INOX. 2.5x12</t>
  </si>
  <si>
    <t>01132.5-14</t>
  </si>
  <si>
    <t>D1481 ESPINA INOX. 2.5x14</t>
  </si>
  <si>
    <t>01132.5-15</t>
  </si>
  <si>
    <t>D1481 ESPINA INOX. 2.5x15</t>
  </si>
  <si>
    <t>01132.5-16</t>
  </si>
  <si>
    <t>D1481 ESPINA INOX. 2.5x16</t>
  </si>
  <si>
    <t>01132.5-18</t>
  </si>
  <si>
    <t>D1481 ESPINA INOX. 2.5x18</t>
  </si>
  <si>
    <t>01132.5-20</t>
  </si>
  <si>
    <t>D1481 ESPINA INOX. 2.5x20</t>
  </si>
  <si>
    <t>01132.5-22</t>
  </si>
  <si>
    <t>D1481 ESPINA INOX. 2.5x22</t>
  </si>
  <si>
    <t>01132.5-24</t>
  </si>
  <si>
    <t>D1481 ESPINA INOX. 2.5x24</t>
  </si>
  <si>
    <t>01132.5-26</t>
  </si>
  <si>
    <t>D1481 ESPINA INOX. 2.5x26</t>
  </si>
  <si>
    <t>01132.5-28</t>
  </si>
  <si>
    <t>D1481 ESPINA INOX. 2.5x28</t>
  </si>
  <si>
    <t>01132.5-30</t>
  </si>
  <si>
    <t>D1481 ESPINA INOX. 2.5x30</t>
  </si>
  <si>
    <t>01132.5-6</t>
  </si>
  <si>
    <t>D1481 ESPINA INOX. 2.5x 6</t>
  </si>
  <si>
    <t>01132.5-8</t>
  </si>
  <si>
    <t>D1481 ESPINA INOX. 2.5x8</t>
  </si>
  <si>
    <t>01132-10</t>
  </si>
  <si>
    <t>D1481 ESPINA INOX. 2x10</t>
  </si>
  <si>
    <t>01132-12</t>
  </si>
  <si>
    <t>D1481 ESPINA INOX. 2x12</t>
  </si>
  <si>
    <t>01132-14</t>
  </si>
  <si>
    <t>D1481 ESPINA INOX. 2x14</t>
  </si>
  <si>
    <t>01132-16</t>
  </si>
  <si>
    <t>D1481 ESPINA INOX. 2x16</t>
  </si>
  <si>
    <t>01132-18</t>
  </si>
  <si>
    <t>D1481 ESPINA INOX. 2x18</t>
  </si>
  <si>
    <t>01132-20</t>
  </si>
  <si>
    <t>D1481 ESPINA INOX. 2x20</t>
  </si>
  <si>
    <t>01132-22</t>
  </si>
  <si>
    <t>D1481 ESPINA INOX. 2x22</t>
  </si>
  <si>
    <t>01132-24</t>
  </si>
  <si>
    <t>D1481 ESPINA INOX. 2x24</t>
  </si>
  <si>
    <t>01132-26</t>
  </si>
  <si>
    <t>D1481 ESPINA INOX. 2x26</t>
  </si>
  <si>
    <t>01132-28</t>
  </si>
  <si>
    <t>D1481 ESPINA INOX. 2x28</t>
  </si>
  <si>
    <t>01132-30</t>
  </si>
  <si>
    <t>D1481 ESPINA INOX. 2x30</t>
  </si>
  <si>
    <t>01132-8</t>
  </si>
  <si>
    <t>D1481 ESPINA INOX. 2x8</t>
  </si>
  <si>
    <t>01133-10</t>
  </si>
  <si>
    <t>D1481 ESPINA INOX. 3x10</t>
  </si>
  <si>
    <t>01133-12</t>
  </si>
  <si>
    <t>D1481 ESPINA INOX. 3x12</t>
  </si>
  <si>
    <t>01133-14</t>
  </si>
  <si>
    <t>D1481 ESPINA INOX. 3x14</t>
  </si>
  <si>
    <t>01133-16</t>
  </si>
  <si>
    <t>D1481 ESPINA INOX. 3x16</t>
  </si>
  <si>
    <t>01133-18</t>
  </si>
  <si>
    <t>D1481 ESPINA INOX. 3x18</t>
  </si>
  <si>
    <t>01133-20</t>
  </si>
  <si>
    <t>D1481 ESPINA INOX. 3x20</t>
  </si>
  <si>
    <t>01133-22</t>
  </si>
  <si>
    <t>D1481 ESPINA INOX. 3x22</t>
  </si>
  <si>
    <t>01133-24</t>
  </si>
  <si>
    <t>D1481 ESPINA INOX. 3x24</t>
  </si>
  <si>
    <t>01133-26</t>
  </si>
  <si>
    <t>D1481 ESPINA INOX. 3x26</t>
  </si>
  <si>
    <t>01133-28</t>
  </si>
  <si>
    <t>D1481 ESPINA INOX. 3x28</t>
  </si>
  <si>
    <t>01133-30</t>
  </si>
  <si>
    <t>D1481 ESPINA INOX. 3x30</t>
  </si>
  <si>
    <t>01133-32</t>
  </si>
  <si>
    <t>D1481 ESPINA INOX. 3x32</t>
  </si>
  <si>
    <t>01133-34</t>
  </si>
  <si>
    <t>D1481 ESPINA INOX. 3x34</t>
  </si>
  <si>
    <t>01133-36</t>
  </si>
  <si>
    <t>D1481 ESPINA INOX. 3x36</t>
  </si>
  <si>
    <t>01133-38</t>
  </si>
  <si>
    <t>D1481 ESPINA INOX. 3x38</t>
  </si>
  <si>
    <t>01133-40</t>
  </si>
  <si>
    <t>D1481 ESPINA INOX. 3x40</t>
  </si>
  <si>
    <t>01133-45</t>
  </si>
  <si>
    <t>D1481 ESPINA INOX. 3x45</t>
  </si>
  <si>
    <t>01133-50</t>
  </si>
  <si>
    <t>D1481 ESPINA INOX. 3x50</t>
  </si>
  <si>
    <t>01133-8</t>
  </si>
  <si>
    <t>D1481 ESPINA INOX. 3x8</t>
  </si>
  <si>
    <t>01134-10</t>
  </si>
  <si>
    <t>D1481 ESPINA INOX. 4x10</t>
  </si>
  <si>
    <t>01134-12</t>
  </si>
  <si>
    <t>D1481 ESPINA INOX. 4x12</t>
  </si>
  <si>
    <t>01134-14</t>
  </si>
  <si>
    <t>D1481 ESPINA INOX. 4x14</t>
  </si>
  <si>
    <t>01134-16</t>
  </si>
  <si>
    <t>D1481 ESPINA INOX. 4x16</t>
  </si>
  <si>
    <t>01134-18</t>
  </si>
  <si>
    <t>D1481 ESPINA INOX. 4x18</t>
  </si>
  <si>
    <t>01134-20</t>
  </si>
  <si>
    <t>D1481 ESPINA INOX. 4x20</t>
  </si>
  <si>
    <t>01134-22</t>
  </si>
  <si>
    <t>D1481 ESPINA INOX. 4x22</t>
  </si>
  <si>
    <t>01134-24</t>
  </si>
  <si>
    <t>D1481 ESPINA INOX. 4x24</t>
  </si>
  <si>
    <t>01134-26</t>
  </si>
  <si>
    <t>D1481 ESPINA INOX. 4x26</t>
  </si>
  <si>
    <t>01134-28</t>
  </si>
  <si>
    <t>D1481 ESPINA INOX. 4x28</t>
  </si>
  <si>
    <t>01134-30</t>
  </si>
  <si>
    <t>D1481 ESPINA INOX. 4x30</t>
  </si>
  <si>
    <t>01134-32</t>
  </si>
  <si>
    <t>D1481 ESPINA INOX. 4x32</t>
  </si>
  <si>
    <t>01134-34</t>
  </si>
  <si>
    <t>D1481 ESPINA INOX. 4x34</t>
  </si>
  <si>
    <t>01134-36</t>
  </si>
  <si>
    <t>D1481 ESPINA INOX. 4x36</t>
  </si>
  <si>
    <t>01134-38</t>
  </si>
  <si>
    <t>D1481 ESPINA INOX. 4x38</t>
  </si>
  <si>
    <t>01134-40</t>
  </si>
  <si>
    <t>D1481 ESPINA INOX. 4x40</t>
  </si>
  <si>
    <t>01134-45</t>
  </si>
  <si>
    <t>D1481 ESPINA INOX. 4x45</t>
  </si>
  <si>
    <t>01134-50</t>
  </si>
  <si>
    <t>D1481 ESPINA INOX. 4x50</t>
  </si>
  <si>
    <t>01134-8</t>
  </si>
  <si>
    <t>D1481 ESPINA INOX. 4x8</t>
  </si>
  <si>
    <t>01135-10</t>
  </si>
  <si>
    <t>D1481 ESPINA INOX. 5x10</t>
  </si>
  <si>
    <t>01135-12</t>
  </si>
  <si>
    <t>D1481 ESPINA INOX. 5x12</t>
  </si>
  <si>
    <t>01135-14</t>
  </si>
  <si>
    <t>D1481 ESPINA INOX. 5x14</t>
  </si>
  <si>
    <t>01135-16</t>
  </si>
  <si>
    <t>D1481 ESPINA INOX. 5x16</t>
  </si>
  <si>
    <t>01135-18</t>
  </si>
  <si>
    <t>D1481 ESPINA INOX. 5x18</t>
  </si>
  <si>
    <t>01135-20</t>
  </si>
  <si>
    <t>D1481 ESPINA INOX. 5x20</t>
  </si>
  <si>
    <t>01135-22</t>
  </si>
  <si>
    <t>D1481 ESPINA INOX. 5x22</t>
  </si>
  <si>
    <t>01135-24</t>
  </si>
  <si>
    <t>D1481 ESPINA INOX. 5x24</t>
  </si>
  <si>
    <t>01135-26</t>
  </si>
  <si>
    <t>D1481 ESPINA INOX. 5x26</t>
  </si>
  <si>
    <t>01135-28</t>
  </si>
  <si>
    <t>D1481 ESPINA INOX. 5x28</t>
  </si>
  <si>
    <t>01135-30</t>
  </si>
  <si>
    <t>D1481 ESPINA INOX. 5x30</t>
  </si>
  <si>
    <t>01135-32</t>
  </si>
  <si>
    <t>D1481 ESPINA INOX. 5x32</t>
  </si>
  <si>
    <t>01135-34</t>
  </si>
  <si>
    <t>D1481 ESPINA INOX. 5x34</t>
  </si>
  <si>
    <t>01135-36</t>
  </si>
  <si>
    <t>D1481 ESPINA INOX. 5x36</t>
  </si>
  <si>
    <t>01135-38</t>
  </si>
  <si>
    <t>D1481 ESPINA INOX. 5x38</t>
  </si>
  <si>
    <t>01135-40</t>
  </si>
  <si>
    <t>D1481 ESPINA INOX. 5x40</t>
  </si>
  <si>
    <t>01135-45</t>
  </si>
  <si>
    <t>D1481 ESPINA INOX. 5x45</t>
  </si>
  <si>
    <t>01135-50</t>
  </si>
  <si>
    <t>D1481 ESPINA INOX. 5x50</t>
  </si>
  <si>
    <t>01135-60</t>
  </si>
  <si>
    <t>D1481 ESPINA INOX. 5x60</t>
  </si>
  <si>
    <t>01135-70</t>
  </si>
  <si>
    <t>D1481 ESPINA INOX. 5x70</t>
  </si>
  <si>
    <t>01135-80</t>
  </si>
  <si>
    <t>D1481 ESPINA INOX. 5x80</t>
  </si>
  <si>
    <t>01136-12</t>
  </si>
  <si>
    <t>D1481 ESPINA INOX. 6x12</t>
  </si>
  <si>
    <t>01136-14</t>
  </si>
  <si>
    <t>D1481 ESPINA INOX. 6x14</t>
  </si>
  <si>
    <t>01136-16</t>
  </si>
  <si>
    <t>D1481 ESPINA INOX. 6x16</t>
  </si>
  <si>
    <t>01136-18</t>
  </si>
  <si>
    <t>D1481 ESPINA INOX. 6x18</t>
  </si>
  <si>
    <t>01136-20</t>
  </si>
  <si>
    <t>D1481 ESPINA INOX. 6x20</t>
  </si>
  <si>
    <t>01136-22</t>
  </si>
  <si>
    <t>D1481 ESPINA INOX. 6x22</t>
  </si>
  <si>
    <t>01136-24</t>
  </si>
  <si>
    <t>D1481 ESPINA INOX. 6x24</t>
  </si>
  <si>
    <t>01136-26</t>
  </si>
  <si>
    <t>D1481 ESPINA INOX. 6x26</t>
  </si>
  <si>
    <t>01136-28</t>
  </si>
  <si>
    <t>D1481 ESPINA INOX. 6x28</t>
  </si>
  <si>
    <t>01136-30</t>
  </si>
  <si>
    <t>D1481 ESPINA INOX. 6x30</t>
  </si>
  <si>
    <t>01136-32</t>
  </si>
  <si>
    <t>D1481 ESPINA INOX. 6x32</t>
  </si>
  <si>
    <t>01136-34</t>
  </si>
  <si>
    <t>D1481 ESPINA INOX. 6x34</t>
  </si>
  <si>
    <t>01136-36</t>
  </si>
  <si>
    <t>D1481 ESPINA INOX. 6x36</t>
  </si>
  <si>
    <t>01136-38</t>
  </si>
  <si>
    <t>D1481 ESPINA INOX. 6x38</t>
  </si>
  <si>
    <t>01136-40</t>
  </si>
  <si>
    <t>D1481 ESPINA INOX. 6x40</t>
  </si>
  <si>
    <t>01136-45</t>
  </si>
  <si>
    <t>D1481 ESPINA INOX. 6x45</t>
  </si>
  <si>
    <t>01136-50</t>
  </si>
  <si>
    <t>D1481 ESPINA INOX. 6x50</t>
  </si>
  <si>
    <t>01136-55</t>
  </si>
  <si>
    <t>D1481 ESPINA INOX. 6x55</t>
  </si>
  <si>
    <t>01136-60</t>
  </si>
  <si>
    <t>D1481 ESPINA INOX. 6x60</t>
  </si>
  <si>
    <t>01136-70</t>
  </si>
  <si>
    <t>D1481 ESPINA INOX. 6x70</t>
  </si>
  <si>
    <t>01136-80</t>
  </si>
  <si>
    <t>D1481 ESPINA INOX. 6x80</t>
  </si>
  <si>
    <t>01136-90</t>
  </si>
  <si>
    <t>D1481 ESPINA INOX. 6x90</t>
  </si>
  <si>
    <t>01138-100</t>
  </si>
  <si>
    <t>D1481 ESPINA INOX. 8x100</t>
  </si>
  <si>
    <t>01138-16</t>
  </si>
  <si>
    <t>D1481 ESPINA INOX. 8x16</t>
  </si>
  <si>
    <t>01138-20</t>
  </si>
  <si>
    <t>D1481 ESPINA INOX. 8x20</t>
  </si>
  <si>
    <t>01138-22</t>
  </si>
  <si>
    <t>D1481 ESPINA INOX. 8x22</t>
  </si>
  <si>
    <t>01138-24</t>
  </si>
  <si>
    <t>D1481 ESPINA INOX. 8x24</t>
  </si>
  <si>
    <t>01138-26</t>
  </si>
  <si>
    <t>D1481 ESPINA INOX. 8x26</t>
  </si>
  <si>
    <t>01138-30</t>
  </si>
  <si>
    <t>D1481 ESPINA INOX. 8x30</t>
  </si>
  <si>
    <t>01138-32</t>
  </si>
  <si>
    <t>D1481 ESPINA INOX. 8x32</t>
  </si>
  <si>
    <t>01138-34</t>
  </si>
  <si>
    <t>D1481 ESPINA INOX. 8x34</t>
  </si>
  <si>
    <t>01138-36</t>
  </si>
  <si>
    <t>D1481 ESPINA INOX. 8x36</t>
  </si>
  <si>
    <t>01138-38</t>
  </si>
  <si>
    <t>D1481 ESPINA INOX. 8x38</t>
  </si>
  <si>
    <t>01138-40</t>
  </si>
  <si>
    <t>D1481 ESPINA INOX. 8x40</t>
  </si>
  <si>
    <t>01138-45</t>
  </si>
  <si>
    <t>D1481 ESPINA INOX. 8x45</t>
  </si>
  <si>
    <t>01138-50</t>
  </si>
  <si>
    <t>D1481 ESPINA INOX. 8x50</t>
  </si>
  <si>
    <t>01138-55</t>
  </si>
  <si>
    <t>D1481 ESPINA INOX. 8x55</t>
  </si>
  <si>
    <t>01138-60</t>
  </si>
  <si>
    <t>D1481 ESPINA INOX. 8x60</t>
  </si>
  <si>
    <t>01138-65</t>
  </si>
  <si>
    <t>D1481 ESPINA INOX. 8x65</t>
  </si>
  <si>
    <t>01138-70</t>
  </si>
  <si>
    <t>D1481 ESPINA INOX. 8x70</t>
  </si>
  <si>
    <t>01138-75</t>
  </si>
  <si>
    <t>D1481 ESPINA INOX. 8x75</t>
  </si>
  <si>
    <t>01138-80</t>
  </si>
  <si>
    <t>D1481 ESPINA INOX. 8x80</t>
  </si>
  <si>
    <t>01138-90</t>
  </si>
  <si>
    <t>D1481 ESPINA INOX. 8x90</t>
  </si>
  <si>
    <t>0130000-1</t>
  </si>
  <si>
    <t>ESP.CONICA N° 000   3.17x25.4</t>
  </si>
  <si>
    <t>0130000-11/2</t>
  </si>
  <si>
    <t>ESP.CONICA N° 000   3.17x38.1</t>
  </si>
  <si>
    <t>0130000-11/4</t>
  </si>
  <si>
    <t>ESP.CONICA N° 000   3.17x31.7</t>
  </si>
  <si>
    <t>0130000-13/4</t>
  </si>
  <si>
    <t>ESP.CONICA N° 000   3.17x44.45</t>
  </si>
  <si>
    <t>0130000-2</t>
  </si>
  <si>
    <t>ESP.CONICA N° 000   3.17x50.8</t>
  </si>
  <si>
    <t>0130000-3/4</t>
  </si>
  <si>
    <t>ESP.CONICA N° 000   3.17x19.05</t>
  </si>
  <si>
    <t>013000-1</t>
  </si>
  <si>
    <t>ESP.CONICA N° 00   3.5x25.4</t>
  </si>
  <si>
    <t>013000-11/2</t>
  </si>
  <si>
    <t>ESP.CONICA N° 00   3.5x38.1</t>
  </si>
  <si>
    <t>013000-11/4</t>
  </si>
  <si>
    <t>ESP.CONICA N° 00   3.5x31.75</t>
  </si>
  <si>
    <t>013000-13/4</t>
  </si>
  <si>
    <t>ESP.CONICA N° 00   3.5x44.45</t>
  </si>
  <si>
    <t>013000-2</t>
  </si>
  <si>
    <t>ESP.CONICA N° 00   3.5x50.8</t>
  </si>
  <si>
    <t>013000-3/4</t>
  </si>
  <si>
    <t>ESP.CONICA N° 00   3.5x19.05</t>
  </si>
  <si>
    <t>01300-1</t>
  </si>
  <si>
    <t>ESP.CONICA N° 0   3.9x25.4</t>
  </si>
  <si>
    <t>01300-11/2</t>
  </si>
  <si>
    <t>ESP.CONICA N° 0   3.9x38.1</t>
  </si>
  <si>
    <t>01300-11/4</t>
  </si>
  <si>
    <t>ESP.CONICA N° 0   3.9x31.75</t>
  </si>
  <si>
    <t>01300-13/4</t>
  </si>
  <si>
    <t>ESP.CONICA N° 0   3.9x44.45</t>
  </si>
  <si>
    <t>01300-2</t>
  </si>
  <si>
    <t>ESP.CONICA N° 0   3.9x50.8</t>
  </si>
  <si>
    <t>013010-21/2</t>
  </si>
  <si>
    <t>ESP.CONICA N° 10   17.9x63.5</t>
  </si>
  <si>
    <t>013010-23/4</t>
  </si>
  <si>
    <t>ESP.CONICA N° 10   17.9x69.8</t>
  </si>
  <si>
    <t>013010-31/4</t>
  </si>
  <si>
    <t>ESP.CONICA N° 10   17.9x82.5</t>
  </si>
  <si>
    <t>013010-6</t>
  </si>
  <si>
    <t>ESP.CONICA N° 10   17.9x152.4</t>
  </si>
  <si>
    <t>01301-1</t>
  </si>
  <si>
    <t>ESP.CONICA N° 1   4.3x25.4</t>
  </si>
  <si>
    <t>01301-11/2</t>
  </si>
  <si>
    <t>ESP.CONICA N° 1   4.3x38.1</t>
  </si>
  <si>
    <t>01301-11/4</t>
  </si>
  <si>
    <t>ESP.CONICA N° 1   4.3x31.75</t>
  </si>
  <si>
    <t>01301-13/4</t>
  </si>
  <si>
    <t>ESP.CONICA N° 1   4.3x44.45</t>
  </si>
  <si>
    <t>01301-2</t>
  </si>
  <si>
    <t>ESP.CONICA N° 1   4.3x50.8</t>
  </si>
  <si>
    <t>01301-21/2</t>
  </si>
  <si>
    <t>ESP.CONICA N° 1   4.3x63.5</t>
  </si>
  <si>
    <t>01301-21/4</t>
  </si>
  <si>
    <t>ESP.CONICA N° 1   4.3x57.1</t>
  </si>
  <si>
    <t>01302-1</t>
  </si>
  <si>
    <t>ESP.CONICA N° 2   4.7x25.4</t>
  </si>
  <si>
    <t>01302-11/2</t>
  </si>
  <si>
    <t>ESP.CONICA N° 2   4.7x38.1</t>
  </si>
  <si>
    <t>01302-11/4</t>
  </si>
  <si>
    <t>ESP.CONICA N° 2   4.7x31.75</t>
  </si>
  <si>
    <t>01302-13/4</t>
  </si>
  <si>
    <t>ESP.CONICA N° 2   4.7x44.45</t>
  </si>
  <si>
    <t>01302-2</t>
  </si>
  <si>
    <t>ESP.CONICA N° 2   4.7x50.8</t>
  </si>
  <si>
    <t>01302-21/2</t>
  </si>
  <si>
    <t>ESP.CONICA N° 2   4.7x63.5</t>
  </si>
  <si>
    <t>01302-21/4</t>
  </si>
  <si>
    <t>ESP.CONICA N° 2   4.7x57.1</t>
  </si>
  <si>
    <t>01302-23/4</t>
  </si>
  <si>
    <t>ESP.CONICA N° 2   4.7x69.8</t>
  </si>
  <si>
    <t>01302-3</t>
  </si>
  <si>
    <t>ESP.CONICA N° 2   4.7x76.2</t>
  </si>
  <si>
    <t>01303-1</t>
  </si>
  <si>
    <t>ESP.CONICA N° 3   5.5x25.4</t>
  </si>
  <si>
    <t>01303-11/2</t>
  </si>
  <si>
    <t>ESP.CONICA N° 3   5.5x38.1</t>
  </si>
  <si>
    <t>01303-11/4</t>
  </si>
  <si>
    <t>ESP.CONICA N° 3   5.5x31.75</t>
  </si>
  <si>
    <t>01303-13/4</t>
  </si>
  <si>
    <t>ESP.CONICA N° 3   5.5x44.45</t>
  </si>
  <si>
    <t>01303-2</t>
  </si>
  <si>
    <t>ESP.CONICA N° 3   5.5x50.8</t>
  </si>
  <si>
    <t>01303-21/2</t>
  </si>
  <si>
    <t>ESP.CONICA N° 3   5.5x63.5</t>
  </si>
  <si>
    <t>01303-21/4</t>
  </si>
  <si>
    <t>ESP.CONICA N° 3   5.5x57.1</t>
  </si>
  <si>
    <t>01303-23/4</t>
  </si>
  <si>
    <t>ESP.CONICA N° 3   5.5x69.8</t>
  </si>
  <si>
    <t>01303-3</t>
  </si>
  <si>
    <t>ESP.CONICA N° 3   5.5x76.2</t>
  </si>
  <si>
    <t>01303-31/2</t>
  </si>
  <si>
    <t>ESP.CONICA N° 3   5.5x88.9</t>
  </si>
  <si>
    <t>01303-31/4</t>
  </si>
  <si>
    <t>ESP.CONICA N° 3   5.5x82.5</t>
  </si>
  <si>
    <t>01304-1</t>
  </si>
  <si>
    <t>ESP.CONICA N° 4   6.4x25.4</t>
  </si>
  <si>
    <t>01304-11/2</t>
  </si>
  <si>
    <t>ESP.CONICA N° 4   6.4x38.1</t>
  </si>
  <si>
    <t>01304-11/4</t>
  </si>
  <si>
    <t>ESP.CONICA N° 4   6.4x31.75</t>
  </si>
  <si>
    <t>01304-13/4</t>
  </si>
  <si>
    <t>ESP.CONICA N° 4   6.4x44.45</t>
  </si>
  <si>
    <t>01304-2</t>
  </si>
  <si>
    <t>ESP.CONICA N° 4   6.4x50.8</t>
  </si>
  <si>
    <t>01304-21/2</t>
  </si>
  <si>
    <t>ESP.CONICA N° 4   6.4x63.5</t>
  </si>
  <si>
    <t>01304-21/4</t>
  </si>
  <si>
    <t>ESP.CONICA N° 4   6.4x57.1</t>
  </si>
  <si>
    <t>01304-23/4</t>
  </si>
  <si>
    <t>ESP.CONICA N° 4   6.4x69.8</t>
  </si>
  <si>
    <t>01304-3</t>
  </si>
  <si>
    <t>ESP.CONICA N° 4   6.4x76.2</t>
  </si>
  <si>
    <t>01304-31/2</t>
  </si>
  <si>
    <t>ESP.CONICA N° 4   6.4x88.9</t>
  </si>
  <si>
    <t>01304-31/4</t>
  </si>
  <si>
    <t>ESP.CONICA N° 4   6.4x82.5</t>
  </si>
  <si>
    <t>01304-33/4</t>
  </si>
  <si>
    <t>ESP.CONICA N° 4   6.4x95.2</t>
  </si>
  <si>
    <t>01304-4</t>
  </si>
  <si>
    <t>ESP.CONICA N° 4   6.4x101.6</t>
  </si>
  <si>
    <t>01304-41/2</t>
  </si>
  <si>
    <t>ESP.CONICA N° 4   6.4x114.3</t>
  </si>
  <si>
    <t>01305-11/2</t>
  </si>
  <si>
    <t>ESP.CONICA N° 5   7.5x38.1</t>
  </si>
  <si>
    <t>01305-11/4</t>
  </si>
  <si>
    <t>ESP.CONICA N° 5   7.5x31.7</t>
  </si>
  <si>
    <t>01305-13/4</t>
  </si>
  <si>
    <t>ESP.CONICA N° 5   7.5x44.45</t>
  </si>
  <si>
    <t>01305-2</t>
  </si>
  <si>
    <t>ESP.CONICA N° 5   7.5x50.8</t>
  </si>
  <si>
    <t>01305-21/2</t>
  </si>
  <si>
    <t>ESP.CONICA N° 5   7.5x63.5</t>
  </si>
  <si>
    <t>01305-21/4</t>
  </si>
  <si>
    <t>ESP.CONICA N° 5   7.5x57.1</t>
  </si>
  <si>
    <t>01305-23/4</t>
  </si>
  <si>
    <t>ESP.CONICA N° 5   7.5x69.8</t>
  </si>
  <si>
    <t>01305-3</t>
  </si>
  <si>
    <t>ESP.CONICA N° 5   7.5x76.2</t>
  </si>
  <si>
    <t>01305-31/2</t>
  </si>
  <si>
    <t>ESP.CONICA N° 5   7.5x88.9</t>
  </si>
  <si>
    <t>01305-31/4</t>
  </si>
  <si>
    <t>ESP.CONICA N° 5   7.5x82.5</t>
  </si>
  <si>
    <t>01305-33/4</t>
  </si>
  <si>
    <t>ESP.CONICA N° 5   7.5x95.2</t>
  </si>
  <si>
    <t>01305-4</t>
  </si>
  <si>
    <t>ESP.CONICA N° 5   7.5x101.6</t>
  </si>
  <si>
    <t>01305-41/2</t>
  </si>
  <si>
    <t>ESP.CONICA N° 5   7.5x114.3</t>
  </si>
  <si>
    <t>01306-11/2</t>
  </si>
  <si>
    <t>ESP.CONICA N° 6   8.7x38.1</t>
  </si>
  <si>
    <t>01306-11/4</t>
  </si>
  <si>
    <t>ESP.CONICA N° 6   8.7x31.75</t>
  </si>
  <si>
    <t>01306-13/4</t>
  </si>
  <si>
    <t>ESP.CONICA N° 6   8.7x44.45</t>
  </si>
  <si>
    <t>01306-2</t>
  </si>
  <si>
    <t>ESP.CONICA N° 6   8.7x50.8</t>
  </si>
  <si>
    <t>01306-21/2</t>
  </si>
  <si>
    <t>ESP.CONICA N° 6   8.7x63.5</t>
  </si>
  <si>
    <t>01306-21/4</t>
  </si>
  <si>
    <t>ESP.CONICA N° 6   8.7x57.1</t>
  </si>
  <si>
    <t>01306-23/4</t>
  </si>
  <si>
    <t>ESP.CONICA N° 6   8.7x69.8</t>
  </si>
  <si>
    <t>01306-3</t>
  </si>
  <si>
    <t>ESP.CONICA N° 6   8.7x76.2</t>
  </si>
  <si>
    <t>01306-31/2</t>
  </si>
  <si>
    <t>ESP.CONICA N° 6   8.7x88.9</t>
  </si>
  <si>
    <t>01306-31/4</t>
  </si>
  <si>
    <t>ESP.CONICA N° 6   8.7x82.5</t>
  </si>
  <si>
    <t>01306-33/4</t>
  </si>
  <si>
    <t>ESP.CONICA N° 6   8.7x95.2</t>
  </si>
  <si>
    <t>01306-4</t>
  </si>
  <si>
    <t>ESP.CONICA N° 6   8.7x101.6</t>
  </si>
  <si>
    <t>01306-41/2</t>
  </si>
  <si>
    <t>ESP.CONICA N° 6   8.7x114.3</t>
  </si>
  <si>
    <t>01306-41/4</t>
  </si>
  <si>
    <t>ESP.CONICA N° 6   8.7x107.9</t>
  </si>
  <si>
    <t>01306-43/4</t>
  </si>
  <si>
    <t>ESP.CONICA N° 6   8.7x120.6</t>
  </si>
  <si>
    <t>01306-5</t>
  </si>
  <si>
    <t>ESP.CONICA N° 6   8.7x127</t>
  </si>
  <si>
    <t>01307-2</t>
  </si>
  <si>
    <t>ESP.CONICA N° 7   10.3x50.8</t>
  </si>
  <si>
    <t>01307-21/2</t>
  </si>
  <si>
    <t>ESP.CONICA N° 7   10.3x63.5</t>
  </si>
  <si>
    <t>01307-21/4</t>
  </si>
  <si>
    <t>ESP.CONICA N° 7   10.3x57.1</t>
  </si>
  <si>
    <t>01307-23/4</t>
  </si>
  <si>
    <t>ESP.CONICA N° 7   10.3x69.8</t>
  </si>
  <si>
    <t>01307-3</t>
  </si>
  <si>
    <t>ESP.CONICA N° 7   10.3x76.2</t>
  </si>
  <si>
    <t>01307-31/2</t>
  </si>
  <si>
    <t>ESP.CONICA N° 7   10.3x88.9</t>
  </si>
  <si>
    <t>01307-31/4</t>
  </si>
  <si>
    <t>ESP.CONICA N° 7   10.3x82.5</t>
  </si>
  <si>
    <t>01307-33/4</t>
  </si>
  <si>
    <t>ESP.CONICA N° 7   10.3x95.2</t>
  </si>
  <si>
    <t>01307-4</t>
  </si>
  <si>
    <t>ESP.CONICA N° 7   10.3x101.6</t>
  </si>
  <si>
    <t>01307-41/2</t>
  </si>
  <si>
    <t>ESP.CONICA N° 7   10.3x114.3</t>
  </si>
  <si>
    <t>01307-41/4</t>
  </si>
  <si>
    <t>ESP.CONICA N° 7   10.3x107.9</t>
  </si>
  <si>
    <t>01307-5</t>
  </si>
  <si>
    <t>ESP.CONICA N° 7   10.3x127</t>
  </si>
  <si>
    <t>01308-2</t>
  </si>
  <si>
    <t>ESP.CONICA N° 8   12.7x50.8</t>
  </si>
  <si>
    <t>01308-21/2</t>
  </si>
  <si>
    <t>ESP.CONICA N° 8   12.7x63.5</t>
  </si>
  <si>
    <t>01308-23/4</t>
  </si>
  <si>
    <t>ESP.CONICA N° 8   12.7x69.8</t>
  </si>
  <si>
    <t>01308-3</t>
  </si>
  <si>
    <t>ESP.CONICA N° 8   12.7x76.2</t>
  </si>
  <si>
    <t>01308-31/2</t>
  </si>
  <si>
    <t>ESP.CONICA N° 8   12.7x88.9</t>
  </si>
  <si>
    <t>01308-31/4</t>
  </si>
  <si>
    <t>ESP.CONICA N° 8   12.7x82.5</t>
  </si>
  <si>
    <t>01308-33/4</t>
  </si>
  <si>
    <t>ESP.CONICA N° 8   12.7x95.2</t>
  </si>
  <si>
    <t>01308-4</t>
  </si>
  <si>
    <t>ESP.CONICA N° 8   12.7x101.6</t>
  </si>
  <si>
    <t>01308-41/2</t>
  </si>
  <si>
    <t>ESP.CONICA N° 8   12.7x114.3</t>
  </si>
  <si>
    <t>01308-41/4</t>
  </si>
  <si>
    <t>ESP.CONICA N° 8   12.7x107.9</t>
  </si>
  <si>
    <t>01308-43/4</t>
  </si>
  <si>
    <t>ESP.CONICA N° 8   12.7x120.6</t>
  </si>
  <si>
    <t>01308-5</t>
  </si>
  <si>
    <t>ESP.CONICA N° 8   12.7x127</t>
  </si>
  <si>
    <t>01309-51/2</t>
  </si>
  <si>
    <t>ESP.CONICA N° 9   15.08x139.7</t>
  </si>
  <si>
    <t>01401.5-10</t>
  </si>
  <si>
    <t>CHAVETA PARTIDA LT.1.5x10</t>
  </si>
  <si>
    <t>01401.5-15</t>
  </si>
  <si>
    <t>CHAVETA PARTIDA LT.1.5x15</t>
  </si>
  <si>
    <t>01401.5-20</t>
  </si>
  <si>
    <t>CHAVETA PARTIDA LT.1.5x20</t>
  </si>
  <si>
    <t>01401.5-25</t>
  </si>
  <si>
    <t>CHAVETA PARTIDA LT.1.5x25</t>
  </si>
  <si>
    <t>01401.5-30</t>
  </si>
  <si>
    <t>CHAVETA PARTIDA LT.1.5x30</t>
  </si>
  <si>
    <t>01401.5-35</t>
  </si>
  <si>
    <t>CHAVETA PARTIDA LT.1.5x35</t>
  </si>
  <si>
    <t>01401.5-40</t>
  </si>
  <si>
    <t>CHAVETA PARTIDA LT.1.5x40</t>
  </si>
  <si>
    <t>01401.5-45</t>
  </si>
  <si>
    <t>CHAVETA PARTIDA LT.1.5x45</t>
  </si>
  <si>
    <t>01401.5-50</t>
  </si>
  <si>
    <t>CHAVETA PARTIDA LT.1.5x50</t>
  </si>
  <si>
    <t>014010-100</t>
  </si>
  <si>
    <t>IRAM 5146 CHAVETA  10x100</t>
  </si>
  <si>
    <t>014010-130</t>
  </si>
  <si>
    <t>IRAM 5146 CHAVETA  10x130</t>
  </si>
  <si>
    <t>014010-50</t>
  </si>
  <si>
    <t>IRAM 5146 CHAVETA   10x50</t>
  </si>
  <si>
    <t>014010-60</t>
  </si>
  <si>
    <t>IRAM 5146 CHAVETA   10x60</t>
  </si>
  <si>
    <t>014010-70</t>
  </si>
  <si>
    <t>IRAM 5146 CHAVETA  10x70</t>
  </si>
  <si>
    <t>014010-80</t>
  </si>
  <si>
    <t>IRAM 5146 CHAVETA   10x80</t>
  </si>
  <si>
    <t>014010-90</t>
  </si>
  <si>
    <t>IRAM 5146 CHAVETA   10x90</t>
  </si>
  <si>
    <t>01401-10</t>
  </si>
  <si>
    <t>CHAVETA PARTIDA L.T. 1x10</t>
  </si>
  <si>
    <t>01401-15</t>
  </si>
  <si>
    <t>CHAVETA PARTIDA L.T. 1x15</t>
  </si>
  <si>
    <t>01401-20</t>
  </si>
  <si>
    <t>CHAVETA PARTIDA L.T. 1x20</t>
  </si>
  <si>
    <t>01401-25</t>
  </si>
  <si>
    <t>CHAVETA PARTIDA L.T. 1x25</t>
  </si>
  <si>
    <t>01401-30</t>
  </si>
  <si>
    <t>CHAVETA PARTIDA L.T. 1x30</t>
  </si>
  <si>
    <t>01401-35</t>
  </si>
  <si>
    <t>CHAVETA PARTIDA L.T. 1x35</t>
  </si>
  <si>
    <t>01401-40</t>
  </si>
  <si>
    <t>CHAVETA PARTIDA L.T. 1x40</t>
  </si>
  <si>
    <t>01401-45</t>
  </si>
  <si>
    <t>CHAVETA PARTIDA L.T. 1x45</t>
  </si>
  <si>
    <t>01401-50</t>
  </si>
  <si>
    <t>CHAVETA PARTIDA L.T. 1x50</t>
  </si>
  <si>
    <t>01402.5-15</t>
  </si>
  <si>
    <t>CHAVETA PARTIDA LT.2.5x15</t>
  </si>
  <si>
    <t>01402.5-20</t>
  </si>
  <si>
    <t>CHAVETA PARTIDA LT.2.5x20</t>
  </si>
  <si>
    <t>01402.5-25</t>
  </si>
  <si>
    <t>CHAVETA PARTIDA LT.2.5x25</t>
  </si>
  <si>
    <t>01402.5-30</t>
  </si>
  <si>
    <t>CHAVETA PARTIDA LT.2.5x30</t>
  </si>
  <si>
    <t>01402.5-35</t>
  </si>
  <si>
    <t>CHAVETA PARTIDA LT.2.5x35</t>
  </si>
  <si>
    <t>01402.5-40</t>
  </si>
  <si>
    <t>CHAVETA PARTIDA LT.2.5x40</t>
  </si>
  <si>
    <t>01402.5-45</t>
  </si>
  <si>
    <t>CHAVETA PARTIDA LT.2.5x45</t>
  </si>
  <si>
    <t>01402.5-50</t>
  </si>
  <si>
    <t>CHAVETA PARTIDA LT.2.5x50</t>
  </si>
  <si>
    <t>01402.5-55</t>
  </si>
  <si>
    <t>CHAVETA PARTIDA LT.2.5x55</t>
  </si>
  <si>
    <t>01402.5-60</t>
  </si>
  <si>
    <t>CHAVETA PARTIDA LT.2.5x60</t>
  </si>
  <si>
    <t>01402.5-65</t>
  </si>
  <si>
    <t>CHAVETA PARTIDA LT.2.5x65</t>
  </si>
  <si>
    <t>01402.5-70</t>
  </si>
  <si>
    <t>CHAVETA PARTIDA LT.2.5x70</t>
  </si>
  <si>
    <t>01402.5-80</t>
  </si>
  <si>
    <t>CHAVETA PARTIDA LT.2.5x80</t>
  </si>
  <si>
    <t>01402-15</t>
  </si>
  <si>
    <t>CHAVETA PARTIDA L.T. 2x15</t>
  </si>
  <si>
    <t>01402-20</t>
  </si>
  <si>
    <t>CHAVETA PARTIDA L.T. 2x20</t>
  </si>
  <si>
    <t>01402-25</t>
  </si>
  <si>
    <t>CHAVETA PARTIDA L.T. 2x25</t>
  </si>
  <si>
    <t>01402-30</t>
  </si>
  <si>
    <t>CHAVETA PARTIDA L.T. 2x30</t>
  </si>
  <si>
    <t>01402-35</t>
  </si>
  <si>
    <t>CHAVETA PARTIDA L.T. 2x35</t>
  </si>
  <si>
    <t>01402-40</t>
  </si>
  <si>
    <t>CHAVETA PARTIDA L.T. 2x40</t>
  </si>
  <si>
    <t>01402-45</t>
  </si>
  <si>
    <t>CHAVETA PARTIDA L.T. 2x45</t>
  </si>
  <si>
    <t>01402-50</t>
  </si>
  <si>
    <t>CHAVETA PARTIDA L.T. 2x50</t>
  </si>
  <si>
    <t>01402-55</t>
  </si>
  <si>
    <t>CHAVETA PARTIDA L.T. 2x55</t>
  </si>
  <si>
    <t>01402-60</t>
  </si>
  <si>
    <t>CHAVETA PARTIDA L.T. 2x60</t>
  </si>
  <si>
    <t>01402-65</t>
  </si>
  <si>
    <t>CHAVETA PARTIDA L.T. 2x65</t>
  </si>
  <si>
    <t>01402-70</t>
  </si>
  <si>
    <t>CHAVETA PARTIDA L.T. 2x70</t>
  </si>
  <si>
    <t>01403.5-20</t>
  </si>
  <si>
    <t>CHAVETA PARTIDA LT.3.5x20</t>
  </si>
  <si>
    <t>01403.5-25</t>
  </si>
  <si>
    <t>CHAVETA PARTIDA LT.3.5x25</t>
  </si>
  <si>
    <t>01403.5-30</t>
  </si>
  <si>
    <t>CHAVETA PARTIDA LT.3.5x30</t>
  </si>
  <si>
    <t>01403.5-35</t>
  </si>
  <si>
    <t>CHAVETA PARTIDA LT.3.5x35</t>
  </si>
  <si>
    <t>01403.5-40</t>
  </si>
  <si>
    <t>CHAVETA PARTIDA LT.3.5x40</t>
  </si>
  <si>
    <t>01403.5-45</t>
  </si>
  <si>
    <t>CHAVETA PARTIDA LT.3.5x45</t>
  </si>
  <si>
    <t>01403.5-50</t>
  </si>
  <si>
    <t>CHAVETA PARTIDA LT.3.5x50</t>
  </si>
  <si>
    <t>01403.5-55</t>
  </si>
  <si>
    <t>CHAVETA PARTIDA LT.3.5x55</t>
  </si>
  <si>
    <t>01403.5-60</t>
  </si>
  <si>
    <t>CHAVETA PARTIDA LT.3.5x60</t>
  </si>
  <si>
    <t>01403.5-65</t>
  </si>
  <si>
    <t>CHAVETA PARTIDA LT.3.5x65</t>
  </si>
  <si>
    <t>01403.5-70</t>
  </si>
  <si>
    <t>CHAVETA PARTIDA LT.3.5x70</t>
  </si>
  <si>
    <t>01403.5-75</t>
  </si>
  <si>
    <t>CHAVETA PARTIDA LT.3.5x75</t>
  </si>
  <si>
    <t>01403.5-80</t>
  </si>
  <si>
    <t>CHAVETA PARTIDA LT.3.5x80</t>
  </si>
  <si>
    <t>01403.5-85</t>
  </si>
  <si>
    <t>CHAVETA PARTIDA LT.3.5x85</t>
  </si>
  <si>
    <t>01403.5-90</t>
  </si>
  <si>
    <t>CHAVETA PARTIDA LT.3.5x90</t>
  </si>
  <si>
    <t>01403-20</t>
  </si>
  <si>
    <t>CHAVETA PARTIDA L.T. 3x20</t>
  </si>
  <si>
    <t>01403-25</t>
  </si>
  <si>
    <t>CHAVETA PARTIDA L.T. 3x25</t>
  </si>
  <si>
    <t>01403-30</t>
  </si>
  <si>
    <t>CHAVETA PARTIDA L.T. 3x30</t>
  </si>
  <si>
    <t>01403-35</t>
  </si>
  <si>
    <t>CHAVETA PARTIDA L.T. 3x35</t>
  </si>
  <si>
    <t>01403-40</t>
  </si>
  <si>
    <t>CHAVETA PARTIDA L.T. 3x40</t>
  </si>
  <si>
    <t>01403-45</t>
  </si>
  <si>
    <t>CHAVETA PARTIDA L.T. 3x45</t>
  </si>
  <si>
    <t>01403-50</t>
  </si>
  <si>
    <t>CHAVETA PARTIDA L.T. 3x50</t>
  </si>
  <si>
    <t>01403-55</t>
  </si>
  <si>
    <t>CHAVETA PARTIDA L.T. 3x55</t>
  </si>
  <si>
    <t>01403-60</t>
  </si>
  <si>
    <t>CHAVETA PARTIDA L.T. 3x60</t>
  </si>
  <si>
    <t>01403-65</t>
  </si>
  <si>
    <t>CHAVETA PARTIDA L.T. 3x65</t>
  </si>
  <si>
    <t>01403-70</t>
  </si>
  <si>
    <t>CHAVETA PARTIDA L.T. 3x70</t>
  </si>
  <si>
    <t>01403-80</t>
  </si>
  <si>
    <t>CHAVETA PARTIDA L.T. 3x80</t>
  </si>
  <si>
    <t>01403-90</t>
  </si>
  <si>
    <t>CHAVETA PARTIDA L.T. 3x90</t>
  </si>
  <si>
    <t>01404.5-100</t>
  </si>
  <si>
    <t>CHAVETA PARTIDA LT4.5x100</t>
  </si>
  <si>
    <t>01404.5-25</t>
  </si>
  <si>
    <t>CHAVETA PARTIDA LT.4.5x25</t>
  </si>
  <si>
    <t>01404.5-30</t>
  </si>
  <si>
    <t>CHAVETA PARTIDA LT.4.5x30</t>
  </si>
  <si>
    <t>01404.5-35</t>
  </si>
  <si>
    <t>CHAVETA PARTIDA LT.4.5x35</t>
  </si>
  <si>
    <t>01404.5-40</t>
  </si>
  <si>
    <t>CHAVETA PARTIDA LT.4.5x40</t>
  </si>
  <si>
    <t>01404.5-45</t>
  </si>
  <si>
    <t>CHAVETA PARTIDA LT.4.5x45</t>
  </si>
  <si>
    <t>01404.5-50</t>
  </si>
  <si>
    <t>CHAVETA PARTIDA LT.4.5x50</t>
  </si>
  <si>
    <t>01404.5-55</t>
  </si>
  <si>
    <t>CHAVETA PARTIDA LT.4.5x55</t>
  </si>
  <si>
    <t>01404.5-60</t>
  </si>
  <si>
    <t>CHAVETA PARTIDA LT.4.5x60</t>
  </si>
  <si>
    <t>01404.5-65</t>
  </si>
  <si>
    <t>CHAVETA PARTIDA LT.4.5x65</t>
  </si>
  <si>
    <t>01404.5-70</t>
  </si>
  <si>
    <t>CHAVETA PARTIDA LT.4.5x70</t>
  </si>
  <si>
    <t>01404.5-75</t>
  </si>
  <si>
    <t>CHAVETA PARTIDA LT.4.5x75</t>
  </si>
  <si>
    <t>01404.5-80</t>
  </si>
  <si>
    <t>CHAVETA PARTIDA LT.4.5x80</t>
  </si>
  <si>
    <t>01404.5-85</t>
  </si>
  <si>
    <t>CHAVETA PARTIDA LT.4.5x85</t>
  </si>
  <si>
    <t>01404-20</t>
  </si>
  <si>
    <t>CHAVETA PARTIDA L.T. 4x20</t>
  </si>
  <si>
    <t>01404-25</t>
  </si>
  <si>
    <t>CHAVETA PARTIDA L.T. 4x25</t>
  </si>
  <si>
    <t>01404-30</t>
  </si>
  <si>
    <t>CHAVETA PARTIDA L.T. 4x30</t>
  </si>
  <si>
    <t>01404-35</t>
  </si>
  <si>
    <t>CHAVETA PARTIDA L.T. 4x35</t>
  </si>
  <si>
    <t>01404-40</t>
  </si>
  <si>
    <t>CHAVETA PARTIDA L.T. 4x40</t>
  </si>
  <si>
    <t>01404-45</t>
  </si>
  <si>
    <t>CHAVETA PARTIDA L.T. 4x45</t>
  </si>
  <si>
    <t>01404-50</t>
  </si>
  <si>
    <t>CHAVETA PARTIDA L.T. 4x50</t>
  </si>
  <si>
    <t>01404-55</t>
  </si>
  <si>
    <t>CHAVETA PARTIDA L.T. 4x55</t>
  </si>
  <si>
    <t>01404-60</t>
  </si>
  <si>
    <t>CHAVETA PARTIDA L.T. 4x60</t>
  </si>
  <si>
    <t>01404-65</t>
  </si>
  <si>
    <t>CHAVETA PARTIDA L.T. 4x65</t>
  </si>
  <si>
    <t>01404-70</t>
  </si>
  <si>
    <t>CHAVETA PARTIDA L.T. 4x70</t>
  </si>
  <si>
    <t>01404-75</t>
  </si>
  <si>
    <t>CHAVETA PARTIDA L.T. 4x75</t>
  </si>
  <si>
    <t>01404-80</t>
  </si>
  <si>
    <t>CHAVETA PARTIDA L.T. 4x80</t>
  </si>
  <si>
    <t>01404-85</t>
  </si>
  <si>
    <t>CHAVETA PARTIDA L.T. 4x85</t>
  </si>
  <si>
    <t>01405.5-45</t>
  </si>
  <si>
    <t>CHAVETA PARTIDA LT.5.5x45</t>
  </si>
  <si>
    <t>01405.5-55</t>
  </si>
  <si>
    <t>CHAVETA PARTIDA LT.5.5x55</t>
  </si>
  <si>
    <t>01405.5-65</t>
  </si>
  <si>
    <t>CHAVETA PARTIDA LT.5.5x65</t>
  </si>
  <si>
    <t>01405-100</t>
  </si>
  <si>
    <t>CHAVETA PARTIDA L.T.5x100</t>
  </si>
  <si>
    <t>01405-25</t>
  </si>
  <si>
    <t>CHAVETA PARTIDA L.T. 5x25</t>
  </si>
  <si>
    <t>01405-30</t>
  </si>
  <si>
    <t>CHAVETA PARTIDA L.T. 5x30</t>
  </si>
  <si>
    <t>01405-35</t>
  </si>
  <si>
    <t>CHAVETA PARTIDA L.T. 5x35</t>
  </si>
  <si>
    <t>01405-40</t>
  </si>
  <si>
    <t>CHAVETA PARTIDA L.T. 5x40</t>
  </si>
  <si>
    <t>01405-45</t>
  </si>
  <si>
    <t>CHAVETA PARTIDA L.T. 5x45</t>
  </si>
  <si>
    <t>01405-50</t>
  </si>
  <si>
    <t>CHAVETA PARTIDA L.T. 5x50</t>
  </si>
  <si>
    <t>01405-55</t>
  </si>
  <si>
    <t>CHAVETA PARTIDA L.T. 5x55</t>
  </si>
  <si>
    <t>01405-60</t>
  </si>
  <si>
    <t>CHAVETA PARTIDA L.T. 5x60</t>
  </si>
  <si>
    <t>01405-65</t>
  </si>
  <si>
    <t>CHAVETA PARTIDA L.T. 5x65</t>
  </si>
  <si>
    <t>01405-70</t>
  </si>
  <si>
    <t>CHAVETA PARTIDA L.T. 5x70</t>
  </si>
  <si>
    <t>01405-75</t>
  </si>
  <si>
    <t>CHAVETA PARTIDA L.T. 5x75</t>
  </si>
  <si>
    <t>01405-80</t>
  </si>
  <si>
    <t>CHAVETA PARTIDA L.T. 5x80</t>
  </si>
  <si>
    <t>01405-85</t>
  </si>
  <si>
    <t>CHAVETA PARTIDA L.T. 5x85</t>
  </si>
  <si>
    <t>01405-90</t>
  </si>
  <si>
    <t>CHAVETA PARTIDA L.T. 5x90</t>
  </si>
  <si>
    <t>01406.5-40</t>
  </si>
  <si>
    <t>CHAVETA PARTIDA LT.6.5x40</t>
  </si>
  <si>
    <t>01406.5-45</t>
  </si>
  <si>
    <t>CHAVETA PARTIDA LT.6.5x45</t>
  </si>
  <si>
    <t>01406.5-50</t>
  </si>
  <si>
    <t>CHAVETA PARTIDA LT.6.5x50</t>
  </si>
  <si>
    <t>01406.5-70</t>
  </si>
  <si>
    <t>CHAVETA PARTIDA L.T. 6.5x70</t>
  </si>
  <si>
    <t>01406-100</t>
  </si>
  <si>
    <t>CHAVETA PARTIDA L.T.6x100</t>
  </si>
  <si>
    <t>01406-110</t>
  </si>
  <si>
    <t>CHAVETA PARTIDA L.T.6x110</t>
  </si>
  <si>
    <t>01406-120</t>
  </si>
  <si>
    <t>CHAVETA PARTIDA L.T.6x120</t>
  </si>
  <si>
    <t>01406-35</t>
  </si>
  <si>
    <t>CHAVETA PARTIDA L.T. 6x35</t>
  </si>
  <si>
    <t>01406-40</t>
  </si>
  <si>
    <t>CHAVETA PARTIDA L.T. 6x40</t>
  </si>
  <si>
    <t>01406-45</t>
  </si>
  <si>
    <t>CHAVETA PARTIDA L.T. 6x45</t>
  </si>
  <si>
    <t>01406-50</t>
  </si>
  <si>
    <t>CHAVETA PARTIDA L.T. 6x50</t>
  </si>
  <si>
    <t>01406-55</t>
  </si>
  <si>
    <t>CHAVETA PARTIDA L.T. 6x55</t>
  </si>
  <si>
    <t>01406-60</t>
  </si>
  <si>
    <t>CHAVETA PARTIDA L.T. 6x60</t>
  </si>
  <si>
    <t>01406-65</t>
  </si>
  <si>
    <t>CHAVETA PARTIDA L.T. 6x65</t>
  </si>
  <si>
    <t>01406-70</t>
  </si>
  <si>
    <t>CHAVETA PARTIDA L.T. 6x70</t>
  </si>
  <si>
    <t>01406-75</t>
  </si>
  <si>
    <t>CHAVETA PARTIDA L.T. 6x75</t>
  </si>
  <si>
    <t>01406-80</t>
  </si>
  <si>
    <t>CHAVETA PARTIDA L.T. 6x80</t>
  </si>
  <si>
    <t>01406-85</t>
  </si>
  <si>
    <t>CHAVETA PARTIDA L.T. 6x85</t>
  </si>
  <si>
    <t>01406-90</t>
  </si>
  <si>
    <t>CHAVETA PARTIDA L.T. 6x90</t>
  </si>
  <si>
    <t>01407.5-70</t>
  </si>
  <si>
    <t>CHAVETA PARTIDA L.T. 7.5x70</t>
  </si>
  <si>
    <t>01407.5-95</t>
  </si>
  <si>
    <t>CHAVETA PARTIDA LT.  7.5x95</t>
  </si>
  <si>
    <t>01407-100</t>
  </si>
  <si>
    <t>CHAVETA PARTIDA L.T.7x100</t>
  </si>
  <si>
    <t>01407-120</t>
  </si>
  <si>
    <t>CHAVETA PARTIDA L.T.7x120</t>
  </si>
  <si>
    <t>01407-40</t>
  </si>
  <si>
    <t>CHAVETA PARTIDA L.T. 7x40</t>
  </si>
  <si>
    <t>01407-45</t>
  </si>
  <si>
    <t>CHAVETA PARTIDA L.T.7x45</t>
  </si>
  <si>
    <t>01407-50</t>
  </si>
  <si>
    <t>CHAVETA PARTIDA L.T. 7x50</t>
  </si>
  <si>
    <t>01407-55</t>
  </si>
  <si>
    <t>CHAVETA PARTIDA L.T. 7x55</t>
  </si>
  <si>
    <t>01407-60</t>
  </si>
  <si>
    <t>CHAVETA PARTIDA L.T. 7x60</t>
  </si>
  <si>
    <t>01407-65</t>
  </si>
  <si>
    <t>CHAVETA PARTIDA L.T. 7x65</t>
  </si>
  <si>
    <t>01407-70</t>
  </si>
  <si>
    <t>CHAVETA PARTIDA L.T. 7x70</t>
  </si>
  <si>
    <t>01407-75</t>
  </si>
  <si>
    <t>CHAVETA PARTIDA L.T. 7x75</t>
  </si>
  <si>
    <t>01407-80</t>
  </si>
  <si>
    <t>CHAVETA PARTIDA L.T. 7x80</t>
  </si>
  <si>
    <t>01407-85</t>
  </si>
  <si>
    <t>CHAVETA PARTIDA L.T. 7x85</t>
  </si>
  <si>
    <t>01407-90</t>
  </si>
  <si>
    <t>CHAVETA PARTIDA L.T. 7x90</t>
  </si>
  <si>
    <t>01408-100</t>
  </si>
  <si>
    <t>CHAVETA PARTIDA L.T.8x100</t>
  </si>
  <si>
    <t>01408-110</t>
  </si>
  <si>
    <t>CHAVETA PARTIDA L.T.8x110</t>
  </si>
  <si>
    <t>01408-120</t>
  </si>
  <si>
    <t>CHAVETA PARTIDA L.T.8x120</t>
  </si>
  <si>
    <t>01408-40</t>
  </si>
  <si>
    <t>CHAVETA PARTIDA L.T. 8x40</t>
  </si>
  <si>
    <t>01408-45</t>
  </si>
  <si>
    <t>CHAVETA PARTIDA L.T. 8x45</t>
  </si>
  <si>
    <t>01408-50</t>
  </si>
  <si>
    <t>CHAVETA PARTIDA L.T. 8x50</t>
  </si>
  <si>
    <t>01408-55</t>
  </si>
  <si>
    <t>CHAVETA PARTIDA L.T. 8x55</t>
  </si>
  <si>
    <t>01408-60</t>
  </si>
  <si>
    <t>CHAVETA PARTIDA L.T. 8x60</t>
  </si>
  <si>
    <t>01408-65</t>
  </si>
  <si>
    <t>CHAVETA PARTIDA L.T. 8x65</t>
  </si>
  <si>
    <t>01408-70</t>
  </si>
  <si>
    <t>CHAVETA PARTIDA L.T. 8x70</t>
  </si>
  <si>
    <t>01408-75</t>
  </si>
  <si>
    <t>CHAVETA PARTIDA L.T. 8x75</t>
  </si>
  <si>
    <t>01408-80</t>
  </si>
  <si>
    <t>CHAVETA PARTIDA L.T. 8x80</t>
  </si>
  <si>
    <t>01408-85</t>
  </si>
  <si>
    <t>CHAVETA PARTIDA L.T. 8x85</t>
  </si>
  <si>
    <t>01408-90</t>
  </si>
  <si>
    <t>CHAVETA PARTIDA L.T. 8x90</t>
  </si>
  <si>
    <t>01409.5-70</t>
  </si>
  <si>
    <t>IRAM 5416 CHAVETA  9.5x70</t>
  </si>
  <si>
    <t>015010-100H8</t>
  </si>
  <si>
    <t>D6325 PERNO POSIC. 10x100 h8</t>
  </si>
  <si>
    <t>015010-100M6</t>
  </si>
  <si>
    <t>D6325 PERNO POSIC. 10x100</t>
  </si>
  <si>
    <t>015010-110H8</t>
  </si>
  <si>
    <t>D6325 PERNO POSIC. 10x110 h8</t>
  </si>
  <si>
    <t>015010-110M6</t>
  </si>
  <si>
    <t>D6325 PERNO POSIC. 10x110</t>
  </si>
  <si>
    <t>015010-120M6</t>
  </si>
  <si>
    <t>D6325 PERNO POSIC. 10x120</t>
  </si>
  <si>
    <t>015010-130M6</t>
  </si>
  <si>
    <t>D6325 PERNO POSIC. 10x130</t>
  </si>
  <si>
    <t>015010-140M6</t>
  </si>
  <si>
    <t>D6325 PERNO POSIC. 10x140</t>
  </si>
  <si>
    <t>015010-15M6</t>
  </si>
  <si>
    <t>D6325 PERNO POSIC. 10x15</t>
  </si>
  <si>
    <t>015010-20H8</t>
  </si>
  <si>
    <t>D6325 PERNO POSIC. 10x20 h8</t>
  </si>
  <si>
    <t>015010-20M6</t>
  </si>
  <si>
    <t>D6325 PERNO POSIC. 10x20</t>
  </si>
  <si>
    <t>015010-25H8</t>
  </si>
  <si>
    <t>D6325 PERNO POSIC. 10x25 h8</t>
  </si>
  <si>
    <t>015010-25M6</t>
  </si>
  <si>
    <t>D6325 PERNO POSIC. 10x25</t>
  </si>
  <si>
    <t>015010-30H8</t>
  </si>
  <si>
    <t>D6325 PERNO POSIC. 10x30 h8</t>
  </si>
  <si>
    <t>015010-30M6</t>
  </si>
  <si>
    <t>D6325 PERNO POSIC. 10x30</t>
  </si>
  <si>
    <t>015010-35H8</t>
  </si>
  <si>
    <t>D6325 PERNO POSIC. 10x35 h8</t>
  </si>
  <si>
    <t>015010-35M6</t>
  </si>
  <si>
    <t>D6325 PERNO POSIC. 10x35</t>
  </si>
  <si>
    <t>015010-40H8</t>
  </si>
  <si>
    <t>D6325 PERNO POSIC. 10x40 h8</t>
  </si>
  <si>
    <t>015010-40M6</t>
  </si>
  <si>
    <t>D6325 PERNO POSIC. 10x40</t>
  </si>
  <si>
    <t>015010-45H8</t>
  </si>
  <si>
    <t>D6325 PERNO POSIC. 10x45 h8</t>
  </si>
  <si>
    <t>015010-45M6</t>
  </si>
  <si>
    <t>D6325 PERNO POSIC. 10x45</t>
  </si>
  <si>
    <t>015010-50H8</t>
  </si>
  <si>
    <t>D6325 PERNO POSIC. 10x50 h8</t>
  </si>
  <si>
    <t>015010-50M6</t>
  </si>
  <si>
    <t>D6325 PERNO POSIC. 10x50</t>
  </si>
  <si>
    <t>015010-55H8</t>
  </si>
  <si>
    <t>D6325 PERNO POSIC. 10x55 h8</t>
  </si>
  <si>
    <t>015010-55M6</t>
  </si>
  <si>
    <t>D6325 PERNO POSIC. 10x55</t>
  </si>
  <si>
    <t>015010-60H8</t>
  </si>
  <si>
    <t>D6325 PERNO POSIC. 10x60 h8</t>
  </si>
  <si>
    <t>015010-60M6</t>
  </si>
  <si>
    <t>D6325 PERNO POSIC. 10x60</t>
  </si>
  <si>
    <t>015010-70H8</t>
  </si>
  <si>
    <t>D6325 PERNO POSIC. 10x70 h8</t>
  </si>
  <si>
    <t>015010-70M6</t>
  </si>
  <si>
    <t>D6325 PERNO POSIC. 10x70</t>
  </si>
  <si>
    <t>015010-80M6</t>
  </si>
  <si>
    <t>D6325 PERNO POSIC. 10x80</t>
  </si>
  <si>
    <t>015010-90M6</t>
  </si>
  <si>
    <t>D6325 PERNO POSIC. 10x90</t>
  </si>
  <si>
    <t>015011-45M6</t>
  </si>
  <si>
    <t>D6325 PERNO POSIC. 11x45</t>
  </si>
  <si>
    <t>015012-100H8</t>
  </si>
  <si>
    <t>D6325 PERNO POSIC. 12x100 h8</t>
  </si>
  <si>
    <t>015012-100M6</t>
  </si>
  <si>
    <t>D6325 PERNO POSIC. 12x100</t>
  </si>
  <si>
    <t>015012-110M6</t>
  </si>
  <si>
    <t>D6325 PERNO POSIC. 12x110</t>
  </si>
  <si>
    <t>015012-120M6</t>
  </si>
  <si>
    <t>D6325 PERNO POSIC. 12x120</t>
  </si>
  <si>
    <t>015012-130M6</t>
  </si>
  <si>
    <t>D6325 PERNO POSIC. 12x130</t>
  </si>
  <si>
    <t>015012-140M6</t>
  </si>
  <si>
    <t>D6325 PERNO POSIC. 12x140</t>
  </si>
  <si>
    <t>015012-20H8</t>
  </si>
  <si>
    <t>D6325 PERNO POSIC. 12x20 h8</t>
  </si>
  <si>
    <t>015012-20M6</t>
  </si>
  <si>
    <t>D6325 PERNO POSIC. 12x20</t>
  </si>
  <si>
    <t>015012-25H8</t>
  </si>
  <si>
    <t>D6325 PERNO POSIC. 12x25 h8</t>
  </si>
  <si>
    <t>015012-25M6</t>
  </si>
  <si>
    <t>D6325 PERNO POSIC. 12x25</t>
  </si>
  <si>
    <t>015012-30H8</t>
  </si>
  <si>
    <t>D6325 PERNO POSIC. 12x30 h8</t>
  </si>
  <si>
    <t>015012-30M6</t>
  </si>
  <si>
    <t>D6325 PERNO POSIC. 12x30</t>
  </si>
  <si>
    <t>015012-35H8</t>
  </si>
  <si>
    <t>D6325 PERNO POSIC. 12x35 h8</t>
  </si>
  <si>
    <t>015012-35M6</t>
  </si>
  <si>
    <t>D6325 PERNO POSIC. 12x35</t>
  </si>
  <si>
    <t>015012-40H8</t>
  </si>
  <si>
    <t>D6325 PERNO POSIC. 12x40  h8</t>
  </si>
  <si>
    <t>015012-40M6</t>
  </si>
  <si>
    <t>D6325 PERNO POSIC. 12x40</t>
  </si>
  <si>
    <t>015012-45H8</t>
  </si>
  <si>
    <t>D6325 PERNO POSIC. 12x45 h8</t>
  </si>
  <si>
    <t>015012-45M6</t>
  </si>
  <si>
    <t>D6325 PERNO POSIC. 12x45</t>
  </si>
  <si>
    <t>015012-50H8</t>
  </si>
  <si>
    <t>D6325 PERNO POSIC. 12x50 h8</t>
  </si>
  <si>
    <t>015012-50M6</t>
  </si>
  <si>
    <t>D6325 PERNO POSIC. 12x50</t>
  </si>
  <si>
    <t>015012-60H8</t>
  </si>
  <si>
    <t>D6325 PERNO POSIC. 12x60 h8</t>
  </si>
  <si>
    <t>015012-60M6</t>
  </si>
  <si>
    <t>D6325 PERNO POSIC. 12x60</t>
  </si>
  <si>
    <t>015012-70M6</t>
  </si>
  <si>
    <t>D6325 PERNO POSIC. 12x70</t>
  </si>
  <si>
    <t>015012-80H8</t>
  </si>
  <si>
    <t>D6325 PERNO POSIC. 12x80 h8</t>
  </si>
  <si>
    <t>015012-80M6</t>
  </si>
  <si>
    <t>D6325 PERNO POSIC. 12x80</t>
  </si>
  <si>
    <t>015012-90M6</t>
  </si>
  <si>
    <t>D6325 PERNO POSIC. 12x90</t>
  </si>
  <si>
    <t>015013-130H8</t>
  </si>
  <si>
    <t>D6325 PERNO POSIC. 13x130 h8</t>
  </si>
  <si>
    <t>015013-50M6</t>
  </si>
  <si>
    <t>D6325 PERNO POSIC. 13x50</t>
  </si>
  <si>
    <t>015013-70H8</t>
  </si>
  <si>
    <t>D6325 PERNO POSIC. 13x70 h8</t>
  </si>
  <si>
    <t>015014-100M6</t>
  </si>
  <si>
    <t>D6325 PERNO POSIC. 14x100</t>
  </si>
  <si>
    <t>015014-110M6</t>
  </si>
  <si>
    <t>D6325 PERNO POSIC. 14x110</t>
  </si>
  <si>
    <t>015014-120M6</t>
  </si>
  <si>
    <t>D6325 PERNO POSIC. 14x120</t>
  </si>
  <si>
    <t>015014-25H8</t>
  </si>
  <si>
    <t>D6325 PERNO POSIC. 14x25 h8</t>
  </si>
  <si>
    <t>015014-30M6</t>
  </si>
  <si>
    <t>D6325 PERNO POSIC. 14x30</t>
  </si>
  <si>
    <t>015014-40M6</t>
  </si>
  <si>
    <t>D6325 PERNO POSIC. 14x40</t>
  </si>
  <si>
    <t>015014-45M6</t>
  </si>
  <si>
    <t>D6325 PERNO POSIC. 14x45</t>
  </si>
  <si>
    <t>015014-50M6</t>
  </si>
  <si>
    <t>D6325 PERNO POSIC. 14x50</t>
  </si>
  <si>
    <t>015014-60M6</t>
  </si>
  <si>
    <t>D6325 PERNO POSIC. 14x60</t>
  </si>
  <si>
    <t>015014-70M6</t>
  </si>
  <si>
    <t>D6325 PERNO POSIC. 14x70</t>
  </si>
  <si>
    <t>015014-80M6</t>
  </si>
  <si>
    <t>D6325 PERNO POSIC. 14x80</t>
  </si>
  <si>
    <t>015014-90M6</t>
  </si>
  <si>
    <t>D6325 PERNO POSIC. 14x90</t>
  </si>
  <si>
    <t>015015-40M6</t>
  </si>
  <si>
    <t>D6325 PERNO POSIC. 15x40</t>
  </si>
  <si>
    <t>015015-50M6</t>
  </si>
  <si>
    <t>D6325 PERNO POSIC. 15x50</t>
  </si>
  <si>
    <t>015015-70M6</t>
  </si>
  <si>
    <t>D6325 PERNO POSIC. 15x70</t>
  </si>
  <si>
    <t>015016-100H8</t>
  </si>
  <si>
    <t>D6325 PERNO POSIC. 16x100 h8</t>
  </si>
  <si>
    <t>015016-100M6</t>
  </si>
  <si>
    <t>D6325 PERNO POSIC. 16x100</t>
  </si>
  <si>
    <t>015016-110M6</t>
  </si>
  <si>
    <t>D6325 PERNO POSIC. 16x110</t>
  </si>
  <si>
    <t>015016-120M6</t>
  </si>
  <si>
    <t>D6325 PERNO POSIC. 16x120</t>
  </si>
  <si>
    <t>015016-140M6</t>
  </si>
  <si>
    <t>D6325 PERNO POSIC. 16x140</t>
  </si>
  <si>
    <t>015016-25M6</t>
  </si>
  <si>
    <t>D6325 PERNO POSIC. 16x25</t>
  </si>
  <si>
    <t>015016-30M6</t>
  </si>
  <si>
    <t>D6325 PERNO POSIC. 16x30</t>
  </si>
  <si>
    <t>015016-35M6</t>
  </si>
  <si>
    <t>D6325 PERNO POSIC. 16x35</t>
  </si>
  <si>
    <t>015016-40M6</t>
  </si>
  <si>
    <t>D6325 PERNO POSIC. 16x40</t>
  </si>
  <si>
    <t>015016-45M6</t>
  </si>
  <si>
    <t>D6325 PERNO POSIC. 16x45</t>
  </si>
  <si>
    <t>015016-50M6</t>
  </si>
  <si>
    <t>D6325 PERNO POSIC. 16x50</t>
  </si>
  <si>
    <t>015016-60H8</t>
  </si>
  <si>
    <t>D6325 PERNO POSIC. 16x60 h8</t>
  </si>
  <si>
    <t>015016-60M6</t>
  </si>
  <si>
    <t>D6325 PERNO POSIC. 16x60</t>
  </si>
  <si>
    <t>015016-70M6</t>
  </si>
  <si>
    <t>D6325 PERNO POSIC. 16x70</t>
  </si>
  <si>
    <t>015016-80H8</t>
  </si>
  <si>
    <t>D6325 PERNO POSIC. 16x80 h8</t>
  </si>
  <si>
    <t>015016-80M6</t>
  </si>
  <si>
    <t>D6325 PERNO POSIC. 16x80</t>
  </si>
  <si>
    <t>015016-90M6</t>
  </si>
  <si>
    <t>D6325 PERNO POSIC. 16x90</t>
  </si>
  <si>
    <t>015018-45M6</t>
  </si>
  <si>
    <t>D6325 PERNO POSIC. 18x45</t>
  </si>
  <si>
    <t>015018-50M6</t>
  </si>
  <si>
    <t>D6325 PERNO POSIC. 18x50</t>
  </si>
  <si>
    <t>015018-80M6</t>
  </si>
  <si>
    <t>D6325 PERNO POSIC. 18x80</t>
  </si>
  <si>
    <t>015020-100M6</t>
  </si>
  <si>
    <t>D6325 PERNO POSIC. 20x100</t>
  </si>
  <si>
    <t>015020-120M6</t>
  </si>
  <si>
    <t>D6325 PERNO POSIC. 20x120</t>
  </si>
  <si>
    <t>015020-140M6</t>
  </si>
  <si>
    <t>D6325 PERNO POSIC. 20 x 140</t>
  </si>
  <si>
    <t>015020-40M6</t>
  </si>
  <si>
    <t>D6325 PERNO POSIC. 20x40</t>
  </si>
  <si>
    <t>015020-50M6</t>
  </si>
  <si>
    <t>D6325 PERNO POSIC. 20x50</t>
  </si>
  <si>
    <t>015020-60M6</t>
  </si>
  <si>
    <t>D6325 PERNO POSIC. 20x60</t>
  </si>
  <si>
    <t>015020-70M6</t>
  </si>
  <si>
    <t>D6325 PERNO POSIC. 20x70</t>
  </si>
  <si>
    <t>015020-80M6</t>
  </si>
  <si>
    <t>D6325 PERNO POSIC. 20x80</t>
  </si>
  <si>
    <t>015020-90M6</t>
  </si>
  <si>
    <t>D6325 PERNO POSIC. 20x90</t>
  </si>
  <si>
    <t>01503-10H8</t>
  </si>
  <si>
    <t>D6325 PERNO POSIC. 3x10 h8</t>
  </si>
  <si>
    <t>01503-10M6</t>
  </si>
  <si>
    <t>D6325 PERNO POSIC. 3x10</t>
  </si>
  <si>
    <t>01503-15H8</t>
  </si>
  <si>
    <t>D6325 PERNO POSIC. 3x15 h8</t>
  </si>
  <si>
    <t>01503-15M6</t>
  </si>
  <si>
    <t>D6325 PERNO POSIC. 3x15</t>
  </si>
  <si>
    <t>01503-20H8</t>
  </si>
  <si>
    <t>D6325 PERNO POSIC. 3x20 H8</t>
  </si>
  <si>
    <t>01503-20M6</t>
  </si>
  <si>
    <t>D6325 PERNO POSIC. 3x20</t>
  </si>
  <si>
    <t>01503-23.5H8</t>
  </si>
  <si>
    <t>D6325 PERNO POSIC. 3x23.5h8</t>
  </si>
  <si>
    <t>01503-25H8</t>
  </si>
  <si>
    <t>D6325 PERNO POSIC 3x25H8</t>
  </si>
  <si>
    <t>01503-25M6</t>
  </si>
  <si>
    <t>D6325 PERNO POSIC. 3x25</t>
  </si>
  <si>
    <t>01503-30M6</t>
  </si>
  <si>
    <t>D6325 PERNO POSIC. 3x30</t>
  </si>
  <si>
    <t>01503-35M6</t>
  </si>
  <si>
    <t>D6325 PERNO POSIC. 3x35</t>
  </si>
  <si>
    <t>01503-40M6</t>
  </si>
  <si>
    <t>D6325 PERNO POSIC. 3x40</t>
  </si>
  <si>
    <t>01503-45M6</t>
  </si>
  <si>
    <t>D6325 PERNO POSIC. 3x45</t>
  </si>
  <si>
    <t>01503-50M6</t>
  </si>
  <si>
    <t>D6325 PERNO POSIC. 3x50</t>
  </si>
  <si>
    <t>01503-60M6</t>
  </si>
  <si>
    <t>D6325 PERNO POSIC. 3x60</t>
  </si>
  <si>
    <t>01504-10H8</t>
  </si>
  <si>
    <t>D6325 PERNO POSIC. 4x10 h8</t>
  </si>
  <si>
    <t>01504-10M6</t>
  </si>
  <si>
    <t>D6325 PERNO POSIC. 4x10</t>
  </si>
  <si>
    <t>01504-15H8</t>
  </si>
  <si>
    <t>D6325 PERNO POSIC. 4x15 h8</t>
  </si>
  <si>
    <t>01504-15M6</t>
  </si>
  <si>
    <t>D6325 PERNO POSIC. 4x15</t>
  </si>
  <si>
    <t>01504-20H8</t>
  </si>
  <si>
    <t>D6325 PERNO POSIC. 4x20 h8</t>
  </si>
  <si>
    <t>01504-20M6</t>
  </si>
  <si>
    <t>D6325 PERNO POSIC. 4x20</t>
  </si>
  <si>
    <t>01504-25H8</t>
  </si>
  <si>
    <t>D6325 PERNO POSIC. 4x25 h8</t>
  </si>
  <si>
    <t>01504-25M6</t>
  </si>
  <si>
    <t>D6325 PERNO POSIC. 4x25</t>
  </si>
  <si>
    <t>01504-30H8</t>
  </si>
  <si>
    <t>D6325 PERNO POSIC. 4x30 h8</t>
  </si>
  <si>
    <t>01504-30M6</t>
  </si>
  <si>
    <t>D6325 PERNO POSIC. 4x30</t>
  </si>
  <si>
    <t>01504-35H8</t>
  </si>
  <si>
    <t>D6325 PERNO POSIC. 4x35 h8</t>
  </si>
  <si>
    <t>01504-35M6</t>
  </si>
  <si>
    <t>D6325 PERNO POSIC. 4x35</t>
  </si>
  <si>
    <t>01504-40H8</t>
  </si>
  <si>
    <t>D6325 PERNO POSIC. 4x40 h8</t>
  </si>
  <si>
    <t>01504-40M6</t>
  </si>
  <si>
    <t>D6325 PERNO POSIC. 4x40</t>
  </si>
  <si>
    <t>01504-45M6</t>
  </si>
  <si>
    <t>D6325 PERNO POSIC. 4x45</t>
  </si>
  <si>
    <t>01504-50H8</t>
  </si>
  <si>
    <t>D6325 PERNO POSIC. 4x50 h8</t>
  </si>
  <si>
    <t>01504-50M6</t>
  </si>
  <si>
    <t>D6325 PERNO POSIC. 4x50</t>
  </si>
  <si>
    <t>01504-60M6</t>
  </si>
  <si>
    <t>D6325 PERNO POSIC. 4x60</t>
  </si>
  <si>
    <t>01504-70M6</t>
  </si>
  <si>
    <t>D6325 PERNO POSIC. 4x70</t>
  </si>
  <si>
    <t>01504-80M6</t>
  </si>
  <si>
    <t>D6325 PERNO POSIC. 4x80</t>
  </si>
  <si>
    <t>01505-100H8</t>
  </si>
  <si>
    <t>D6325 PERNO POSIC. 5x100 h8</t>
  </si>
  <si>
    <t>01505-100M6</t>
  </si>
  <si>
    <t>D6325 PERNO POSIC. 5x100</t>
  </si>
  <si>
    <t>01505-10H8</t>
  </si>
  <si>
    <t>D6325 PERNO POSIC. 5x10 h8</t>
  </si>
  <si>
    <t>01505-10M6</t>
  </si>
  <si>
    <t>D6325 PERNO POSIC. 5x10</t>
  </si>
  <si>
    <t>01505-15H8</t>
  </si>
  <si>
    <t>D6325 PERNO POSIC. 5x15 h8</t>
  </si>
  <si>
    <t>01505-15M6</t>
  </si>
  <si>
    <t>D6325 PERNO POSIC. 5x15</t>
  </si>
  <si>
    <t>01505-20H8</t>
  </si>
  <si>
    <t>D6325 PERNO POSIC. 5x20 h8</t>
  </si>
  <si>
    <t>01505-20M6</t>
  </si>
  <si>
    <t>D6325 PERNO POSIC. 5x20</t>
  </si>
  <si>
    <t>01505-25H8</t>
  </si>
  <si>
    <t>D6325 PERNO POSIC. 5x25 h8</t>
  </si>
  <si>
    <t>01505-25M6</t>
  </si>
  <si>
    <t>D6325 PERNO POSIC. 5x25</t>
  </si>
  <si>
    <t>01505-30H8</t>
  </si>
  <si>
    <t>D6325 PERNO POSIC. 5x30 h8</t>
  </si>
  <si>
    <t>01505-30M6</t>
  </si>
  <si>
    <t>D6325 PERNO POSIC. 5x30</t>
  </si>
  <si>
    <t>01505-35H8</t>
  </si>
  <si>
    <t>D6325 PERNO POSIC. 5x35 h8</t>
  </si>
  <si>
    <t>01505-35M6</t>
  </si>
  <si>
    <t>D6325 PERNO POSIC. 5x35</t>
  </si>
  <si>
    <t>01505-40H8</t>
  </si>
  <si>
    <t>D6325 PERNO POSIC. 5x40 h8</t>
  </si>
  <si>
    <t>01505-40M6</t>
  </si>
  <si>
    <t>D6325 PERNO POSIC. 5x40</t>
  </si>
  <si>
    <t>01505-45M6</t>
  </si>
  <si>
    <t>D6325 PERNO POSIC. 5x45</t>
  </si>
  <si>
    <t>01505-50H8</t>
  </si>
  <si>
    <t>D6325 PERNO POSIC. 5x50 h8</t>
  </si>
  <si>
    <t>01505-50M6</t>
  </si>
  <si>
    <t>D6325 PERNO POSIC. 5x50</t>
  </si>
  <si>
    <t>01505-60M6</t>
  </si>
  <si>
    <t>D6325 PERNO POSIC. 5x60</t>
  </si>
  <si>
    <t>01505-70H8</t>
  </si>
  <si>
    <t>D6325 PERNO POSIC. 5x70 h8</t>
  </si>
  <si>
    <t>01505-70M6</t>
  </si>
  <si>
    <t>D6325 PERNO POSIC. 5x70</t>
  </si>
  <si>
    <t>01505-80M6</t>
  </si>
  <si>
    <t>D6325 PERNO POSIC. 5x80</t>
  </si>
  <si>
    <t>01505-90M6</t>
  </si>
  <si>
    <t>D6325 PERNO POSIC. 5x90</t>
  </si>
  <si>
    <t>01506-100H8</t>
  </si>
  <si>
    <t>D6325 PERNO POSIC. 6x100 h8</t>
  </si>
  <si>
    <t>01506-100M6</t>
  </si>
  <si>
    <t>D6325 PERNO POSIC. 6x100</t>
  </si>
  <si>
    <t>01506-10H8</t>
  </si>
  <si>
    <t>D6325 PERNO POSIC. 6x10 h8</t>
  </si>
  <si>
    <t>01506-10M6</t>
  </si>
  <si>
    <t>D6325 PERNO POSIC. 6x10</t>
  </si>
  <si>
    <t>01506-15H8</t>
  </si>
  <si>
    <t>D6325  PERNO POSIC.6x15 h8</t>
  </si>
  <si>
    <t>01506-15M6</t>
  </si>
  <si>
    <t>D6325 PERNO POSIC. 6x15</t>
  </si>
  <si>
    <t>01506-20H8</t>
  </si>
  <si>
    <t>D6325 PERNO POSIC. 6x20 h8</t>
  </si>
  <si>
    <t>01506-20M6</t>
  </si>
  <si>
    <t>D6325 PERNO POSIC. 6x20</t>
  </si>
  <si>
    <t>01506-25H8</t>
  </si>
  <si>
    <t>D6325 PERNO POSIC. 6x25 h8</t>
  </si>
  <si>
    <t>01506-25M6</t>
  </si>
  <si>
    <t>D6325 PERNO POSIC. 6x25</t>
  </si>
  <si>
    <t>01506-30H8</t>
  </si>
  <si>
    <t>D6325 PERNO POSIC. 6x30 h8</t>
  </si>
  <si>
    <t>01506-30M6</t>
  </si>
  <si>
    <t>D6325 PERNO POSIC. 6x30</t>
  </si>
  <si>
    <t>01506-35H8</t>
  </si>
  <si>
    <t>D6325 PERNO POSIC. 6x35 h8</t>
  </si>
  <si>
    <t>01506-35M6</t>
  </si>
  <si>
    <t>D6325 PERNO POSIC. 6x35</t>
  </si>
  <si>
    <t>01506-40H8</t>
  </si>
  <si>
    <t>D6325 PERNO POSIC. 6x40 h8</t>
  </si>
  <si>
    <t>01506-40M6</t>
  </si>
  <si>
    <t>D6325 PERNO POSIC. 6x40</t>
  </si>
  <si>
    <t>01506-45H8</t>
  </si>
  <si>
    <t>D6325 PERNO POSIC. 6x45 h8</t>
  </si>
  <si>
    <t>01506-45M6</t>
  </si>
  <si>
    <t>D6325 PERNO POSIC. 6x45</t>
  </si>
  <si>
    <t>01506-50H8</t>
  </si>
  <si>
    <t>D6325 PERNO POSIC. 6x50 h8</t>
  </si>
  <si>
    <t>01506-50M6</t>
  </si>
  <si>
    <t>D6325 PERNO POSIC. 6x50</t>
  </si>
  <si>
    <t>01506-55M6</t>
  </si>
  <si>
    <t>D6325 PERNO POSIC. 6x55</t>
  </si>
  <si>
    <t>01506-60H8</t>
  </si>
  <si>
    <t>D6325 PERNO POSIC. 6x60 h8</t>
  </si>
  <si>
    <t>01506-60M6</t>
  </si>
  <si>
    <t>D6325 PERNO POSIC. 6x60</t>
  </si>
  <si>
    <t>01506-70M6</t>
  </si>
  <si>
    <t>D6325 PERNO POSIC. 6x70</t>
  </si>
  <si>
    <t>01506-80H8</t>
  </si>
  <si>
    <t>D6325 PERNO POSIC. 6x80 h8</t>
  </si>
  <si>
    <t>01506-80M6</t>
  </si>
  <si>
    <t>D6325 PERNO POSIC. 6x80</t>
  </si>
  <si>
    <t>01506-90M6</t>
  </si>
  <si>
    <t>D6325 PERNO POSIC. 6x90</t>
  </si>
  <si>
    <t>01508-100M6</t>
  </si>
  <si>
    <t>D6325 PERNO POSIC. 8x100</t>
  </si>
  <si>
    <t>01508-110M6</t>
  </si>
  <si>
    <t>D6325 PERNO POSIC. 8x110</t>
  </si>
  <si>
    <t>01508-120H8</t>
  </si>
  <si>
    <t>D6325 PERNO POSIC. 8x120 h8</t>
  </si>
  <si>
    <t>01508-120M6</t>
  </si>
  <si>
    <t>D6325 PERNO POSIC. 8x120</t>
  </si>
  <si>
    <t>01508-15H8</t>
  </si>
  <si>
    <t>D6325 PERNO POSIC. 8x15 h8</t>
  </si>
  <si>
    <t>01508-15M6</t>
  </si>
  <si>
    <t>D6325 PERNO POSIC. 8x15</t>
  </si>
  <si>
    <t>01508-20H8</t>
  </si>
  <si>
    <t>D6325 PERNO POSIC. 8x20 h8</t>
  </si>
  <si>
    <t>01508-20M6</t>
  </si>
  <si>
    <t>D6325 PERNO POSIC. 8x20</t>
  </si>
  <si>
    <t>01508-25H8</t>
  </si>
  <si>
    <t>D6325 PERNO POSIC. 8x25 h8</t>
  </si>
  <si>
    <t>01508-25M6</t>
  </si>
  <si>
    <t>D6325 PERNO POSIC. 8x25</t>
  </si>
  <si>
    <t>01508-30H8</t>
  </si>
  <si>
    <t>D6325 PERNO POSIC  8x30 h8</t>
  </si>
  <si>
    <t>01508-30M6</t>
  </si>
  <si>
    <t>D6325 PERNO POSIC. 8x30</t>
  </si>
  <si>
    <t>01508-35H8</t>
  </si>
  <si>
    <t>D6325 PERNO POSIC. 8x35 h8</t>
  </si>
  <si>
    <t>01508-35M6</t>
  </si>
  <si>
    <t>D6325 PERNO POSIC. 8x35</t>
  </si>
  <si>
    <t>01508-40H8</t>
  </si>
  <si>
    <t>D6325 PERNO POSIC. 8x40 h8</t>
  </si>
  <si>
    <t>01508-40M6</t>
  </si>
  <si>
    <t>D6325 PERNO POSIC. 8x40</t>
  </si>
  <si>
    <t>01508-45H8</t>
  </si>
  <si>
    <t>D6325 PERNO POSIC. 8x45 h8</t>
  </si>
  <si>
    <t>01508-45M6</t>
  </si>
  <si>
    <t>D6325 PERNO POSIC. 8x45</t>
  </si>
  <si>
    <t>01508-50H8</t>
  </si>
  <si>
    <t>D6325 PERNO POSIC. 8x50 h8</t>
  </si>
  <si>
    <t>01508-50M6</t>
  </si>
  <si>
    <t>D6325 PERNO POSIC. 8x50</t>
  </si>
  <si>
    <t>01508-60H8</t>
  </si>
  <si>
    <t>D6325 PERNO POSIC. 8x60 h8</t>
  </si>
  <si>
    <t>01508-60M6</t>
  </si>
  <si>
    <t>D6325 PERNO POSIC. 8x60</t>
  </si>
  <si>
    <t>01508-70H8</t>
  </si>
  <si>
    <t>D 6325 PERNO POSIC 8x70 h8</t>
  </si>
  <si>
    <t>01508-70M6</t>
  </si>
  <si>
    <t>D6325 PERNO POSIC. 8x70</t>
  </si>
  <si>
    <t>01508-80H8</t>
  </si>
  <si>
    <t>D6325 PERNO POSIC. 8x80 h8</t>
  </si>
  <si>
    <t>01508-80M6</t>
  </si>
  <si>
    <t>D6325 PERNO POSIC. 8x80</t>
  </si>
  <si>
    <t>01508-90M6</t>
  </si>
  <si>
    <t>D6325 PERNO POSIC. 8x90</t>
  </si>
  <si>
    <t>01509-20M6</t>
  </si>
  <si>
    <t>D6325 PERNO POSIC. 9x20</t>
  </si>
  <si>
    <t>01509-40M6</t>
  </si>
  <si>
    <t>D6325 PERNO POSIC. 9x40</t>
  </si>
  <si>
    <t>01509-70M6</t>
  </si>
  <si>
    <t>D6325 PERNO POSIC. 9x70</t>
  </si>
  <si>
    <t>015210-100</t>
  </si>
  <si>
    <t>DIN 7979 PERNO c/extrac.10x100</t>
  </si>
  <si>
    <t>015210-20</t>
  </si>
  <si>
    <t>DIN 7979 PERNO c/extrac.10x20</t>
  </si>
  <si>
    <t>015210-25</t>
  </si>
  <si>
    <t>DIN 7979 PERNO c/extrac.10x25</t>
  </si>
  <si>
    <t>015210-30</t>
  </si>
  <si>
    <t>DIN 7979 PERNO c/extrac.10x30</t>
  </si>
  <si>
    <t>015210-32</t>
  </si>
  <si>
    <t>DIN 7979 PERNO c/extrac.10x32</t>
  </si>
  <si>
    <t>015210-35</t>
  </si>
  <si>
    <t>DIN 7979 PERNO c/extrac.10x35</t>
  </si>
  <si>
    <t>015210-40</t>
  </si>
  <si>
    <t>DIN 7979 PERNO c/extrac.10x40</t>
  </si>
  <si>
    <t>015210-45</t>
  </si>
  <si>
    <t>DIN 7979 PERNO c/extrac.10x45</t>
  </si>
  <si>
    <t>015210-50</t>
  </si>
  <si>
    <t>DIN 7979 PERNO c/extrac.10x50</t>
  </si>
  <si>
    <t>015210-55</t>
  </si>
  <si>
    <t>DIN 7979 PERNO c/extrac.10x55</t>
  </si>
  <si>
    <t>015210-60</t>
  </si>
  <si>
    <t>DIN 7979 PERNO c/extrac.10x60</t>
  </si>
  <si>
    <t>015210-65</t>
  </si>
  <si>
    <t>DIN 7979 PERNO c/extrac.10x65</t>
  </si>
  <si>
    <t>015210-70</t>
  </si>
  <si>
    <t>DIN 7979 PERNO c/extrac.10x70</t>
  </si>
  <si>
    <t>015210-80</t>
  </si>
  <si>
    <t>DIN 7979 PERNO c/extrac.10x80</t>
  </si>
  <si>
    <t>015210-90</t>
  </si>
  <si>
    <t>DIN 7979 PERNO c/extrac.10x90</t>
  </si>
  <si>
    <t>015212-100</t>
  </si>
  <si>
    <t>DIN 7979 PERNO c/extrac.12x100</t>
  </si>
  <si>
    <t>015212-30</t>
  </si>
  <si>
    <t>DIN 7979 PERNO c/extrac.12x30</t>
  </si>
  <si>
    <t>015212-35</t>
  </si>
  <si>
    <t>DIN 7979 PERNO c/extrac.12x35</t>
  </si>
  <si>
    <t>015212-40</t>
  </si>
  <si>
    <t>DIN 7979 PERNO c/extrac.12x40</t>
  </si>
  <si>
    <t>015212-45</t>
  </si>
  <si>
    <t>DIN 7979 PERNO c/extrac.12x45</t>
  </si>
  <si>
    <t>015212-50</t>
  </si>
  <si>
    <t>DIN 7979 PERNO c/extrac.12x50</t>
  </si>
  <si>
    <t>015212-55</t>
  </si>
  <si>
    <t>DIN 7979 PERNO c/extrac.12x55</t>
  </si>
  <si>
    <t>015212-60</t>
  </si>
  <si>
    <t>DIN 7979 PERNO c/extrac.12x60</t>
  </si>
  <si>
    <t>015212-65</t>
  </si>
  <si>
    <t>DIN 7979 PERNO c/extrac.12x65</t>
  </si>
  <si>
    <t>015212-70</t>
  </si>
  <si>
    <t>DIN 7979 PERNO c/extrac.12x70</t>
  </si>
  <si>
    <t>015212-80</t>
  </si>
  <si>
    <t>DIN 7979 PERNO c/extrac.12x80</t>
  </si>
  <si>
    <t>015212-85</t>
  </si>
  <si>
    <t>DIN 7979 PERNO c/extrac.12x85</t>
  </si>
  <si>
    <t>015212-90</t>
  </si>
  <si>
    <t>DIN 7979 PERNO c/extrac.12x90</t>
  </si>
  <si>
    <t>015214-30</t>
  </si>
  <si>
    <t>DIN 7979 PERNO c/extrac.14x30</t>
  </si>
  <si>
    <t>015214-60</t>
  </si>
  <si>
    <t>DIN 7979 PERNO c/extrac.14x60</t>
  </si>
  <si>
    <t>015214-70</t>
  </si>
  <si>
    <t>DIN 7979 PERNO c/extrac.14x70</t>
  </si>
  <si>
    <t>015214-80</t>
  </si>
  <si>
    <t>DIN 7979 PERNO c/extrac.14x80</t>
  </si>
  <si>
    <t>015216-30</t>
  </si>
  <si>
    <t>DIN 7979 PERNO c/extrac.16x30</t>
  </si>
  <si>
    <t>015216-40</t>
  </si>
  <si>
    <t>DIN 7979 PERNO c/extrac.16x40</t>
  </si>
  <si>
    <t>015216-45</t>
  </si>
  <si>
    <t>DIN 7979 PERNO c/extrac.16x45</t>
  </si>
  <si>
    <t>015216-50</t>
  </si>
  <si>
    <t>DIN 7979 PERNO c/extrac.16x50</t>
  </si>
  <si>
    <t>015216-55</t>
  </si>
  <si>
    <t>DIN 7979 PERNO c/extrac.16x55</t>
  </si>
  <si>
    <t>015216-60</t>
  </si>
  <si>
    <t>DIN 7979 PERNO c/extrac.16x60</t>
  </si>
  <si>
    <t>015216-65</t>
  </si>
  <si>
    <t>DIN 7979 PERNO c/extrac.16x65</t>
  </si>
  <si>
    <t>015216-70</t>
  </si>
  <si>
    <t>DIN 7979 PERNO c/extrac.16x70</t>
  </si>
  <si>
    <t>015216-80</t>
  </si>
  <si>
    <t>DIN 7979 PERNO c/extrac.16x80</t>
  </si>
  <si>
    <t>015216-90</t>
  </si>
  <si>
    <t>DIN 7979 PERNO c/extrac.16x90</t>
  </si>
  <si>
    <t>015220-100</t>
  </si>
  <si>
    <t>DIN 7979 PERNO c/extrac.20x100</t>
  </si>
  <si>
    <t>015220-110</t>
  </si>
  <si>
    <t>DIN 7979 PERNO c/extrac.20x110</t>
  </si>
  <si>
    <t>015220-40</t>
  </si>
  <si>
    <t>DIN 7979 PERNO c/extrac.20x40</t>
  </si>
  <si>
    <t>015220-50</t>
  </si>
  <si>
    <t>DIN 7979 PERNO c/extrac.20x50</t>
  </si>
  <si>
    <t>015220-60</t>
  </si>
  <si>
    <t>DIN 7979 PERNO c/extrac.20x60</t>
  </si>
  <si>
    <t>015220-65</t>
  </si>
  <si>
    <t>DIN 7979 PERNO c/extrac.20x65</t>
  </si>
  <si>
    <t>015220-70</t>
  </si>
  <si>
    <t>DIN 7979 PERNO c/ectrac.20x70</t>
  </si>
  <si>
    <t>015220-80</t>
  </si>
  <si>
    <t>DIN 7979 PERNO c/extrac.20x80</t>
  </si>
  <si>
    <t>015220-90</t>
  </si>
  <si>
    <t>DIN 7979 PERNO c/extrac.20x90</t>
  </si>
  <si>
    <t>01526-15</t>
  </si>
  <si>
    <t>DIN 7979 PERNO c/extrac. 6x15</t>
  </si>
  <si>
    <t>01526-16</t>
  </si>
  <si>
    <t>DIN 7979 PERNO c/extrac. 6x16</t>
  </si>
  <si>
    <t>01526-20</t>
  </si>
  <si>
    <t>DIN 7979 PERNO c/extrac. 6x20</t>
  </si>
  <si>
    <t>01526-24</t>
  </si>
  <si>
    <t>DIN 7979 PERNO c/extrac. 6x24</t>
  </si>
  <si>
    <t>01526-25</t>
  </si>
  <si>
    <t>DIN 7979 PERNO c/extrac. 6x25</t>
  </si>
  <si>
    <t>01526-28</t>
  </si>
  <si>
    <t>DIN 7979 PERNO c/extrac. 6x28</t>
  </si>
  <si>
    <t>01526-30</t>
  </si>
  <si>
    <t>DIN 7979 PERNO c/extrac. 6x30</t>
  </si>
  <si>
    <t>01526-32</t>
  </si>
  <si>
    <t>DIN 7979 PERNO c/extrac. 6x32</t>
  </si>
  <si>
    <t>01526-35</t>
  </si>
  <si>
    <t>DIN 7979 PERNO c/extrac. 6x35</t>
  </si>
  <si>
    <t>01526-40</t>
  </si>
  <si>
    <t>DIN 7979 PERNO c/extrac. 6x40</t>
  </si>
  <si>
    <t>01526-45</t>
  </si>
  <si>
    <t>DIN 7979 PERNO c/extrac. 6x45</t>
  </si>
  <si>
    <t>01526-50</t>
  </si>
  <si>
    <t>DIN 7979 PERNO c/extrac. 6x50</t>
  </si>
  <si>
    <t>01526-55</t>
  </si>
  <si>
    <t>DIN 7979 PERNO c/extrac. 6x55</t>
  </si>
  <si>
    <t>01526-60</t>
  </si>
  <si>
    <t>DIN 7979 PERNO c/extrac. 6x60</t>
  </si>
  <si>
    <t>01526-80</t>
  </si>
  <si>
    <t>DIN 7979 PERNO c/extrac. 6x80</t>
  </si>
  <si>
    <t>01528-100</t>
  </si>
  <si>
    <t>DIN 7979 PERNO c/extrac. 8x100</t>
  </si>
  <si>
    <t>01528-20</t>
  </si>
  <si>
    <t>DIN 7979 PERNO c/extrac. 8x20</t>
  </si>
  <si>
    <t>01528-24</t>
  </si>
  <si>
    <t>DIN 7979 PERNO c/extrac. 8x24</t>
  </si>
  <si>
    <t>01528-25</t>
  </si>
  <si>
    <t>DIN 7979 PERNO c/extrac. 8x25</t>
  </si>
  <si>
    <t>01528-30</t>
  </si>
  <si>
    <t>DIN 7979 PERNO c/extrac. 8x30</t>
  </si>
  <si>
    <t>01528-32</t>
  </si>
  <si>
    <t>DIN 7979 PERNO c/extrac. 8x32</t>
  </si>
  <si>
    <t>01528-35</t>
  </si>
  <si>
    <t>DIN 7979 PERNO c/extrac. 8x35</t>
  </si>
  <si>
    <t>01528-36</t>
  </si>
  <si>
    <t>DIN 7979 PERNO c/extrac. 8x36</t>
  </si>
  <si>
    <t>01528-40</t>
  </si>
  <si>
    <t>DIN 7979 PERNO c/extrac. 8x40</t>
  </si>
  <si>
    <t>01528-45</t>
  </si>
  <si>
    <t>DIN 7979 PERNO c/extrac. 8x45</t>
  </si>
  <si>
    <t>01528-50</t>
  </si>
  <si>
    <t>DIN 7979 PERNO c/extrac. 8x50</t>
  </si>
  <si>
    <t>01528-55</t>
  </si>
  <si>
    <t>DIN 7979 PERNO c/extrac. 8x55</t>
  </si>
  <si>
    <t>01528-60</t>
  </si>
  <si>
    <t>DIN 7979 PERNO c/extrac. 8x60</t>
  </si>
  <si>
    <t>01528-70</t>
  </si>
  <si>
    <t>DIN 7979 PERNO c/extrac. 8x70</t>
  </si>
  <si>
    <t>01528-80</t>
  </si>
  <si>
    <t>DIN 7979 PERNO c/extrac. 8x80</t>
  </si>
  <si>
    <t>01528-85</t>
  </si>
  <si>
    <t>DIN 7979 PERNO c/extrac. 8x85</t>
  </si>
  <si>
    <t>01528-90</t>
  </si>
  <si>
    <t>DIN 7979 PERNO c/extrac. 8x90</t>
  </si>
  <si>
    <t>0201SA10</t>
  </si>
  <si>
    <t>A2093 R.PLATILLO  10x5.2x0.5</t>
  </si>
  <si>
    <t>0201SA12.5</t>
  </si>
  <si>
    <t>A2093 R.PLATILLO 12.5x6.2x0.7</t>
  </si>
  <si>
    <t>0201SA14</t>
  </si>
  <si>
    <t>A2093 R.PLATILLO  14x7.2x0.8</t>
  </si>
  <si>
    <t>0201SA16</t>
  </si>
  <si>
    <t>A2093 R.PLATILLO 16x8.2x0.9</t>
  </si>
  <si>
    <t>0201SA18</t>
  </si>
  <si>
    <t>A2093 R.PLATILLO  18x9.2x1</t>
  </si>
  <si>
    <t>0201SA20</t>
  </si>
  <si>
    <t>A2093 R.PLATILLO  20x10.2x1.1</t>
  </si>
  <si>
    <t>0201SA22.5</t>
  </si>
  <si>
    <t>A2093 R.PLATILLO 22.5x11.2x1.2</t>
  </si>
  <si>
    <t>0201SA25</t>
  </si>
  <si>
    <t>A2093 R.PLATILLO  25x12.2x1.5</t>
  </si>
  <si>
    <t>0201SA25H</t>
  </si>
  <si>
    <t>A2093 R.PLATILLO 25x12.2x1.5 H1331</t>
  </si>
  <si>
    <t>0201SA28</t>
  </si>
  <si>
    <t xml:space="preserve">A2093 R.PLATILLO 28x14.2x1.5 </t>
  </si>
  <si>
    <t>0201SA28H</t>
  </si>
  <si>
    <t>A2093 R.PLATILLO  28x14.2x1.5 H1331</t>
  </si>
  <si>
    <t>0201SA31.5</t>
  </si>
  <si>
    <t>A2093 R.PLATILLO 31.5x16.3x1.7</t>
  </si>
  <si>
    <t>0201SA35.5</t>
  </si>
  <si>
    <t>A2093 R.PLATILLO 35.5x18.3x2</t>
  </si>
  <si>
    <t>0201SA40</t>
  </si>
  <si>
    <t>A2093 R.PLATILLO  40x20.4x2.25</t>
  </si>
  <si>
    <t>0201SA40H</t>
  </si>
  <si>
    <t>A2093 R.PLATILLO 40x20,4x2,25 H1331</t>
  </si>
  <si>
    <t>0201SA45</t>
  </si>
  <si>
    <t>A2093 R.PLATILLO 45x22.5x2.5</t>
  </si>
  <si>
    <t>0201SA50</t>
  </si>
  <si>
    <t>A2093 R.PLATILLO  50x25.4x3</t>
  </si>
  <si>
    <t>0201SA56</t>
  </si>
  <si>
    <t>A2093 R.PLATILLO  56x28.5x3</t>
  </si>
  <si>
    <t>0201SA71</t>
  </si>
  <si>
    <t>A2093 RES.PLAT.   71x36x4</t>
  </si>
  <si>
    <t>0201SA8</t>
  </si>
  <si>
    <t>A2093 R.PLATILLO   8x4.2x0.4</t>
  </si>
  <si>
    <t>0201SB10</t>
  </si>
  <si>
    <t>B2093 R.PLATILLO  10x5.2x0.4</t>
  </si>
  <si>
    <t>0201SB12.5</t>
  </si>
  <si>
    <t>B2093 R.PLATILLO 12.5x6.2x0.5</t>
  </si>
  <si>
    <t>0201SB14</t>
  </si>
  <si>
    <t>B2093 R.PLATILLO  14x7.2x0.5</t>
  </si>
  <si>
    <t>0201SB14H</t>
  </si>
  <si>
    <t>B2093 R.PLATILLO 14x7.2x0.5 H1331</t>
  </si>
  <si>
    <t>0201SB16</t>
  </si>
  <si>
    <t>B2093 R.PLATILLO  16x8.2x0.6</t>
  </si>
  <si>
    <t>0201SB18</t>
  </si>
  <si>
    <t>B2093 R.PLATILLO  18x9.2x0.7</t>
  </si>
  <si>
    <t>0201SB20</t>
  </si>
  <si>
    <t>B2093 R.PLATILLO  20x10.2x0.8</t>
  </si>
  <si>
    <t>0201SB22.5</t>
  </si>
  <si>
    <t>B2093 R.PLATILLO  22.5x11.2x0.8</t>
  </si>
  <si>
    <t>0201SB25</t>
  </si>
  <si>
    <t>B2093 R.PLATILLO  25x12.2x0.9</t>
  </si>
  <si>
    <t>0201SB25H</t>
  </si>
  <si>
    <t>PLATILLO SB 25x12.2x0.9  H1331</t>
  </si>
  <si>
    <t>0201SB28</t>
  </si>
  <si>
    <t>B2093 R.PLATILLO   28x14.2x1</t>
  </si>
  <si>
    <t>0201SB31.5</t>
  </si>
  <si>
    <t>B2093R.PLATILLO  31.5x16.3x1.2</t>
  </si>
  <si>
    <t>0201SB35.5</t>
  </si>
  <si>
    <t>B2093R.PLATILLO  35.5x18.3x1.2</t>
  </si>
  <si>
    <t>0201SB40</t>
  </si>
  <si>
    <t>B2093 R.PLATILLO  40x20.4x1.5</t>
  </si>
  <si>
    <t>0201SB45</t>
  </si>
  <si>
    <t>B2093R.PLATILLO  45x22.5x1.75</t>
  </si>
  <si>
    <t>0201SB50</t>
  </si>
  <si>
    <t>B2093 R.PLATILLO   50x25.4x2</t>
  </si>
  <si>
    <t>0201SB56</t>
  </si>
  <si>
    <t>B2093 R.PLATILLO  56x28.5x2</t>
  </si>
  <si>
    <t>0201SB56H</t>
  </si>
  <si>
    <t>B2093 R.PLATILLO  56x28.5x2 H1331</t>
  </si>
  <si>
    <t>0201SB63</t>
  </si>
  <si>
    <t>B2093 R.PLATILLO   63x31x2.5</t>
  </si>
  <si>
    <t>0201SB71</t>
  </si>
  <si>
    <t>B2093 R.PLATILLO   71x36x2.5</t>
  </si>
  <si>
    <t>0201SB8</t>
  </si>
  <si>
    <t>B2093 R.PLATILLO   8x4.2x0.3</t>
  </si>
  <si>
    <t>0201SB80</t>
  </si>
  <si>
    <t>B2093 RES.PLAT.   80x41x3</t>
  </si>
  <si>
    <t>020212-5.2-2</t>
  </si>
  <si>
    <t>PLATILLO ESPEC.12x5.2x0.2</t>
  </si>
  <si>
    <t>020212-5.2-5</t>
  </si>
  <si>
    <t>PLATILLO ESPEC.12x5.2x0.5</t>
  </si>
  <si>
    <t>020212-5.2-6</t>
  </si>
  <si>
    <t>PLATILLO ESPEC.12x5.2x0.6</t>
  </si>
  <si>
    <t>020212-5.5</t>
  </si>
  <si>
    <t>ARAND.PRISIONERA 12x5.5x1.2</t>
  </si>
  <si>
    <t>020212-6.5</t>
  </si>
  <si>
    <t>ARANDELA CONICA 12x6.5x1.2</t>
  </si>
  <si>
    <t>020214-5.5</t>
  </si>
  <si>
    <t>ARANDELA CONICA 14x5.5x1.2</t>
  </si>
  <si>
    <t>020214-5.5ZB</t>
  </si>
  <si>
    <t>ARANDELA CONICA 14x5.5x1.2 Zinc Blanco</t>
  </si>
  <si>
    <t>020215.8-8.4</t>
  </si>
  <si>
    <t>ARANDELA CONICA 15.8x8.4x1.1</t>
  </si>
  <si>
    <t>020215-6</t>
  </si>
  <si>
    <t>PLATILLO ESPEC. 15x6x0.7</t>
  </si>
  <si>
    <t>020215-8.5</t>
  </si>
  <si>
    <t>ARANDELA CONICA 15x8.5x1.8</t>
  </si>
  <si>
    <t>020216-1.9</t>
  </si>
  <si>
    <t>ARANDELA PRISIONERA 16x7.4x1.9</t>
  </si>
  <si>
    <t>020216-5</t>
  </si>
  <si>
    <t>ARANDELA CONICA 16x5x1.2</t>
  </si>
  <si>
    <t>020216-5ZU</t>
  </si>
  <si>
    <t>ARANDELA CONICA 16x5x1.2 Z.Azul</t>
  </si>
  <si>
    <t>020216-7.4-1.2</t>
  </si>
  <si>
    <t>ARANDELA CONICA 16x7.4x1.2</t>
  </si>
  <si>
    <t>020216-7.4-1.4</t>
  </si>
  <si>
    <t>ARANDELA PRISIONERA 16x7.4x1.4</t>
  </si>
  <si>
    <t>020216-7.4-2</t>
  </si>
  <si>
    <t>ARANDELA CONICA 16x7.4x2</t>
  </si>
  <si>
    <t>020216-8.4</t>
  </si>
  <si>
    <t>ARANDELA CONICA 16x8.4x1.4</t>
  </si>
  <si>
    <t>020216-8.4D</t>
  </si>
  <si>
    <t>ARANDELA CONICA 16x8.4x1.4 Dacr</t>
  </si>
  <si>
    <t>020216-8.4Z</t>
  </si>
  <si>
    <t>ARANDELA CONICA 16x8.4x1.4 Zinc.Blanco</t>
  </si>
  <si>
    <t>020216-8.4ZA</t>
  </si>
  <si>
    <t>ARANDELA CONICA 16x8.4x1.4 Z.Am</t>
  </si>
  <si>
    <t>020216-8.4ZM</t>
  </si>
  <si>
    <t>ARANDELA CONICA 16x8.4x1.4 Z.Mec.</t>
  </si>
  <si>
    <t>020216-8-1.9</t>
  </si>
  <si>
    <t>ARANDELA CONICA 16x8.4x1.9</t>
  </si>
  <si>
    <t>020216-8-2</t>
  </si>
  <si>
    <t>ARANDELA CONICA 16x8.4x2</t>
  </si>
  <si>
    <t>020217-7.3</t>
  </si>
  <si>
    <t>PLATILLO ESPEC. 17x7.3x0.9</t>
  </si>
  <si>
    <t>020218-10.3</t>
  </si>
  <si>
    <t>ARANDELA DE CIERRE 18.5x10.3x2</t>
  </si>
  <si>
    <t>020218-8.5</t>
  </si>
  <si>
    <t>ARANDELA CONICA 18x8.5x1</t>
  </si>
  <si>
    <t>020220-10-1</t>
  </si>
  <si>
    <t>ARANDELA CONICA 20x10.2x1</t>
  </si>
  <si>
    <t>020220-10-1.75</t>
  </si>
  <si>
    <t>ARANDELA CONICA 20x10.2x1.75</t>
  </si>
  <si>
    <t>020220-10-2.6</t>
  </si>
  <si>
    <t>ARANDELA CONICA 20x10.2x2.6</t>
  </si>
  <si>
    <t>020220-6.2</t>
  </si>
  <si>
    <t>ARAND.CONICA 20x6.2x1.2 Z.Mecanico</t>
  </si>
  <si>
    <t>020220-9.5</t>
  </si>
  <si>
    <t>ARAND.CONICA 20x9.5x1.1</t>
  </si>
  <si>
    <t>020222-11</t>
  </si>
  <si>
    <t>ARANDELA CONICA 22.5x11.2x1.25</t>
  </si>
  <si>
    <t>020222-11-0.6</t>
  </si>
  <si>
    <t>PLATILLO ESPEC. 22.5x11.2x0.6</t>
  </si>
  <si>
    <t>020222-12</t>
  </si>
  <si>
    <t>PLATILLO ESPEC. 22.5x12.2x0.8</t>
  </si>
  <si>
    <t>020222-8</t>
  </si>
  <si>
    <t>ARANDELA CONICA 22x8.5x2.5</t>
  </si>
  <si>
    <t>020222-8-1.5</t>
  </si>
  <si>
    <t>ARANDELA CONICA 22x8.5x1.5</t>
  </si>
  <si>
    <t>020222-8-1.5H</t>
  </si>
  <si>
    <t>ARANDELA CONICA 22x8.5x1.5 H1331</t>
  </si>
  <si>
    <t>020223-10.5</t>
  </si>
  <si>
    <t>ARANDELA CONICA 23x10.5x1.25</t>
  </si>
  <si>
    <t>020223-10.5H</t>
  </si>
  <si>
    <t>ARANDELA CONICA 23x10.5x1.25 H1331</t>
  </si>
  <si>
    <t>020223-10.7</t>
  </si>
  <si>
    <t>ARANDELA CONICA 23x10.7x2</t>
  </si>
  <si>
    <t>020223-8.2</t>
  </si>
  <si>
    <t>PLATILLO ESPEC.23x8.2x0.7</t>
  </si>
  <si>
    <t>020223-8.2ZB</t>
  </si>
  <si>
    <t>PLATILLO 23x8.2x0.7 zinc.</t>
  </si>
  <si>
    <t>020224-12.5</t>
  </si>
  <si>
    <t>ARANDELA CONICA 24x12.5x1.2</t>
  </si>
  <si>
    <t>020224-13</t>
  </si>
  <si>
    <t>ARANDELA CONICA 24x13x2.8</t>
  </si>
  <si>
    <t>020224-13-2</t>
  </si>
  <si>
    <t>ARANDELA CONICA 24x13x2.5</t>
  </si>
  <si>
    <t>020224-13-3.2</t>
  </si>
  <si>
    <t>ARANDELA CONICA 24x13x3.2</t>
  </si>
  <si>
    <t>020225-11</t>
  </si>
  <si>
    <t>ARANDELA CONICA 25.5x11.5x1.5</t>
  </si>
  <si>
    <t>020225-12-2.5</t>
  </si>
  <si>
    <t>ARANDELA CONICA 25x12.5x2.5</t>
  </si>
  <si>
    <t>020225-12-3.4</t>
  </si>
  <si>
    <t>ARANDELA CONICA  25x12.5x3.4</t>
  </si>
  <si>
    <t>020225-15</t>
  </si>
  <si>
    <t>ARANDELA CONICA 25x15x0.8</t>
  </si>
  <si>
    <t>020225-8.2</t>
  </si>
  <si>
    <t>PLATILLO ESPEC.25x8.2x1</t>
  </si>
  <si>
    <t>020226-8.2</t>
  </si>
  <si>
    <t>PLATILLO ESP. 26x8.2x1</t>
  </si>
  <si>
    <t>020227-10</t>
  </si>
  <si>
    <t>ARANDELA CONICA 27x10.7x1.75</t>
  </si>
  <si>
    <t>020227-10-2.8</t>
  </si>
  <si>
    <t>ARANDELA CONICA 27x10.7x2.8</t>
  </si>
  <si>
    <t>020227-17</t>
  </si>
  <si>
    <t>PLATILLO ESPEC. 27x17x0.6</t>
  </si>
  <si>
    <t>020228-10.2</t>
  </si>
  <si>
    <t>PLATILLO ESPEC. 28x10.2x1</t>
  </si>
  <si>
    <t>020228-13</t>
  </si>
  <si>
    <t>ARANDELA CONICA 28.5x13.5x1.5</t>
  </si>
  <si>
    <t>020230-12</t>
  </si>
  <si>
    <t>ARANDELA CONICA 30x12x3.7</t>
  </si>
  <si>
    <t>020230-12ZM</t>
  </si>
  <si>
    <t>ARANDELA CONICA 30x12x3.7 Zinc. Mec.</t>
  </si>
  <si>
    <t>020231.5-1.7</t>
  </si>
  <si>
    <t>PLATILLO E.31.5x20.2x1.75</t>
  </si>
  <si>
    <t>020231.5-16.3</t>
  </si>
  <si>
    <t>PLATILLO E.31.5x16.3x2</t>
  </si>
  <si>
    <t>020231.5-20</t>
  </si>
  <si>
    <t>PLATILLO ESP. 31.5x20x0.7</t>
  </si>
  <si>
    <t>020232-17-1.25</t>
  </si>
  <si>
    <t>ARANDELA CONICA 32x17.9x1.25</t>
  </si>
  <si>
    <t>020232-17-1.75</t>
  </si>
  <si>
    <t>ARANDELA CONICA 32x17.9x1.75</t>
  </si>
  <si>
    <t>020232-17-3</t>
  </si>
  <si>
    <t>ARANDELA CONICA 32x17.9x3</t>
  </si>
  <si>
    <t>020234-12</t>
  </si>
  <si>
    <t>PLATILLO ESPEC. 34x11.7x1.2</t>
  </si>
  <si>
    <t>020234-16.3</t>
  </si>
  <si>
    <t>PLATILLO ESPEC. 34x16.3x2</t>
  </si>
  <si>
    <t>020234-17</t>
  </si>
  <si>
    <t>ARANDELA CONICA 34x17x1.5</t>
  </si>
  <si>
    <t>020234-17-2.5</t>
  </si>
  <si>
    <t>ARANDELA CONICA 34x17x2.5</t>
  </si>
  <si>
    <t>020234-17H</t>
  </si>
  <si>
    <t>ARANDELA CONICA 34x17x1.5 H1331</t>
  </si>
  <si>
    <t>020234-20-1</t>
  </si>
  <si>
    <t>ARANDELA CONICA 34.5x20.5x1</t>
  </si>
  <si>
    <t>020234-20-3</t>
  </si>
  <si>
    <t>ARANDELA CONICA 34.5x20.5x3</t>
  </si>
  <si>
    <t>020236-17.4</t>
  </si>
  <si>
    <t>ARANDELA CONICA 36x17.4x2</t>
  </si>
  <si>
    <t>020240-16.3</t>
  </si>
  <si>
    <t>PLATILLO ESP. 40x16.3x1.5</t>
  </si>
  <si>
    <t>020240-16.3-2</t>
  </si>
  <si>
    <t>PLATILLO ESP. 40x16.3x2</t>
  </si>
  <si>
    <t>020240-20.4</t>
  </si>
  <si>
    <t>PLATILLO ESP. 40x20.4x2.5</t>
  </si>
  <si>
    <t>020240-20-1</t>
  </si>
  <si>
    <t>PLATILLO ESPEC. 40x20.4x1</t>
  </si>
  <si>
    <t>020240-21-2</t>
  </si>
  <si>
    <t>ARANDELA CONICA 40x21x2</t>
  </si>
  <si>
    <t>020240-23-4</t>
  </si>
  <si>
    <t>ARANDELA CONICA 40x23x4</t>
  </si>
  <si>
    <t>020242-22.5</t>
  </si>
  <si>
    <t>PLATILLO ESP. 41.5x22.5x2.5</t>
  </si>
  <si>
    <t>020244-30</t>
  </si>
  <si>
    <t>PLATILLO ESPEC. 44x30x1.25</t>
  </si>
  <si>
    <t>020250-20.3</t>
  </si>
  <si>
    <t>PLATILLO ESPEC. 50x20.3x2.5</t>
  </si>
  <si>
    <t>020250-20.4</t>
  </si>
  <si>
    <t>PLATILLO ESPEC. 50x20.4x2</t>
  </si>
  <si>
    <t>020250-25.4</t>
  </si>
  <si>
    <t>PLATILLO ESPEC. 50x25.4x2x4</t>
  </si>
  <si>
    <t>020252.8-28</t>
  </si>
  <si>
    <t>PLATILLO ESPEC. 52.8x28x0.8</t>
  </si>
  <si>
    <t>020255-28.5</t>
  </si>
  <si>
    <t>PLATILLO ESPEC. 55x28.5x2</t>
  </si>
  <si>
    <t>020256-28.5</t>
  </si>
  <si>
    <t>PLATILLO 56x28.5x3 h:1.2</t>
  </si>
  <si>
    <t>020256-32.5</t>
  </si>
  <si>
    <t>PLATILLO ESPEC. 56x32.5x2</t>
  </si>
  <si>
    <t>020260-20.5</t>
  </si>
  <si>
    <t>PLATILLO 60x20.5x3</t>
  </si>
  <si>
    <t>020263-31</t>
  </si>
  <si>
    <t>PLATILLO ESPEC. 63x31x1.75</t>
  </si>
  <si>
    <t>020263-34.2</t>
  </si>
  <si>
    <t>PLATILLO ESPEC. 63x34.2x2.5</t>
  </si>
  <si>
    <t>02027-3.2</t>
  </si>
  <si>
    <t>ARANDELA CONICA 7x3.2x0.7</t>
  </si>
  <si>
    <t>02029.7-6.5</t>
  </si>
  <si>
    <t>PLATILLO ESPEC. 9.7x6.5x0.1</t>
  </si>
  <si>
    <t>02029-4.3</t>
  </si>
  <si>
    <t>ARANDELA CONICA 9x4.3x0.7</t>
  </si>
  <si>
    <t>02029-4.3-1</t>
  </si>
  <si>
    <t>ARANDELA CONICA 9x4.3x1</t>
  </si>
  <si>
    <t>022010-4.3AI</t>
  </si>
  <si>
    <t>ARANDELA C.Inox10x4.3x0.8</t>
  </si>
  <si>
    <t>022011-5.3AI</t>
  </si>
  <si>
    <t>ARANDELA C.Inox11x5.3x1.2</t>
  </si>
  <si>
    <t>022012-5.3AI</t>
  </si>
  <si>
    <t>ARANDELA C.Inox12x5.3x0.7</t>
  </si>
  <si>
    <t>022014-6.4AI</t>
  </si>
  <si>
    <t>DIN 6796 CONICA Inox14x6.4x1.5</t>
  </si>
  <si>
    <t>022015-8.5AI</t>
  </si>
  <si>
    <t>ARANDELA C.Inox15x8.5x1.8</t>
  </si>
  <si>
    <t>022018-8.4AI</t>
  </si>
  <si>
    <t>ARANDELA C.Inox. 18x8.4x1</t>
  </si>
  <si>
    <t>022022-10AI</t>
  </si>
  <si>
    <t>ARANDELA C.Inox.22x10.5x1.2</t>
  </si>
  <si>
    <t>022025-10AI</t>
  </si>
  <si>
    <t>ARANDELA Inox.25x10x1</t>
  </si>
  <si>
    <t>022029-13</t>
  </si>
  <si>
    <t>D6796 CONICA 29x13x3 AISI 420</t>
  </si>
  <si>
    <t>022030-12AI</t>
  </si>
  <si>
    <t>ARANDELA C.Inox.30x12.5x3.5</t>
  </si>
  <si>
    <t>022040-21AI</t>
  </si>
  <si>
    <t>ARANDELA C.Inox.40x21x2</t>
  </si>
  <si>
    <t>022058-31AI</t>
  </si>
  <si>
    <t>ARANDELA C.Inox.  58x31x3</t>
  </si>
  <si>
    <t>022058-31-AI</t>
  </si>
  <si>
    <t>ARANDELA C.Inox.  58x31x1</t>
  </si>
  <si>
    <t>02207-3.2AI</t>
  </si>
  <si>
    <t>ARANDELA C.Inox.7x3.2x0.7</t>
  </si>
  <si>
    <t>02208-3.2AI</t>
  </si>
  <si>
    <t>ARANDELA C.Inox.8x3.2x0.8</t>
  </si>
  <si>
    <t>022111-5.3ZM</t>
  </si>
  <si>
    <t>D6796 CONICA 11x5.3x1.2 Zinc. Mecanico</t>
  </si>
  <si>
    <t>022114-6.4</t>
  </si>
  <si>
    <t>D6796 CONICA 14x6.4x1.5</t>
  </si>
  <si>
    <t>022118-8.4</t>
  </si>
  <si>
    <t>D6796 CONICA 18x8.4x2</t>
  </si>
  <si>
    <t>022123-10.5</t>
  </si>
  <si>
    <t>D6796 CONICA 23x10.5x2.5</t>
  </si>
  <si>
    <t>022129-13</t>
  </si>
  <si>
    <t>D6796 CONICA 29x13x3</t>
  </si>
  <si>
    <t>02234497/001</t>
  </si>
  <si>
    <t>AR.FIJACION S/PLANO FOSF.</t>
  </si>
  <si>
    <t>02234497/001H</t>
  </si>
  <si>
    <t>AR. FIJACION S/PLANO H1331</t>
  </si>
  <si>
    <t>023036-24</t>
  </si>
  <si>
    <t>ARAND.COMPENS.    36x24x2</t>
  </si>
  <si>
    <t>023036-24ZM</t>
  </si>
  <si>
    <t>ARAND.COMPENS. 36x24x2 Z.Mec.</t>
  </si>
  <si>
    <t>023036-25.5</t>
  </si>
  <si>
    <t>ARAND.COMPENS.  36x25.5x0.9</t>
  </si>
  <si>
    <t>023037-27</t>
  </si>
  <si>
    <t>ARAND.COMPENS.  37x27x1.5</t>
  </si>
  <si>
    <t>023038-26</t>
  </si>
  <si>
    <t>ARAND.COMPENS.  38x26x1.5</t>
  </si>
  <si>
    <t>023046-30</t>
  </si>
  <si>
    <t>ARAND.COMPENS. 46x30x1.25</t>
  </si>
  <si>
    <t>023050-34</t>
  </si>
  <si>
    <t>ARAND.COMPENS.  50x34x1.2</t>
  </si>
  <si>
    <t>023052-37</t>
  </si>
  <si>
    <t>ARAND.COMPENS.  52x37x1.5</t>
  </si>
  <si>
    <t>023052-37H</t>
  </si>
  <si>
    <t>ARAND.COMPENS. 52x37x1.5 H1331</t>
  </si>
  <si>
    <t>023053-34</t>
  </si>
  <si>
    <t>ARAND.COMPENS.  53x34x1.2</t>
  </si>
  <si>
    <t>023057-37</t>
  </si>
  <si>
    <t>ARAND.COMPENS. 57x37x1.75</t>
  </si>
  <si>
    <t>023063-45</t>
  </si>
  <si>
    <t>ARAND.COMPENS.  63x45x1.7</t>
  </si>
  <si>
    <t>023068-48</t>
  </si>
  <si>
    <t>ARAND.COMPENS.  68x48x1.7</t>
  </si>
  <si>
    <t>023073-52</t>
  </si>
  <si>
    <t>ARAND.COMPENS. 73x52x1.7</t>
  </si>
  <si>
    <t>023083-59</t>
  </si>
  <si>
    <t>ARAND.COMPENS.  83x59x1.7</t>
  </si>
  <si>
    <t>024013.5-10</t>
  </si>
  <si>
    <t>MUELLE ONDULADO 13.5x10x0.1</t>
  </si>
  <si>
    <t>024013-10-0.25</t>
  </si>
  <si>
    <t>MUELLE ONDULADO 13.5x10x0.25</t>
  </si>
  <si>
    <t>024016-10</t>
  </si>
  <si>
    <t>MUELLE ONDULADO 16x10x0.3</t>
  </si>
  <si>
    <t>024035-30</t>
  </si>
  <si>
    <t>MUELLE ONDULADO 35x30x0.5</t>
  </si>
  <si>
    <t>024044-36</t>
  </si>
  <si>
    <t>MUELLE VAC9 44x36x0.7</t>
  </si>
  <si>
    <t>024044-37</t>
  </si>
  <si>
    <t>MUELLE VAT13  44x37x0.7</t>
  </si>
  <si>
    <t>024046-30.5</t>
  </si>
  <si>
    <t>MUELLE ONDULADO 46x30.5x0.3</t>
  </si>
  <si>
    <t>024046-38</t>
  </si>
  <si>
    <t>MUELLE DIVAT13  46x38x0.7</t>
  </si>
  <si>
    <t>MTA6000 COMP.COJINETE  55  19.3x25.8x0.3</t>
  </si>
  <si>
    <t>MTA6001 COMP.  20x27x0.4</t>
  </si>
  <si>
    <t>MTA N°610242 15.5x21.2x0.3</t>
  </si>
  <si>
    <t>0241610242H</t>
  </si>
  <si>
    <t>MTA N°610242 15.5x21.2x0.3 H1331</t>
  </si>
  <si>
    <t>MTA Nø610315  17.5x25x0.3</t>
  </si>
  <si>
    <t>MTA6200 COMP.COJINETE  59  22.5x29.7x0.3</t>
  </si>
  <si>
    <t>MTA6201 COMP.COJINETE  65  24.5x31.7x0.35</t>
  </si>
  <si>
    <t>MTA6202 COMP.COJINETE  70  28x34.5x0.4</t>
  </si>
  <si>
    <t>MTA6203 COMP.COJINETE  SN  33x39.1x0.3</t>
  </si>
  <si>
    <t>MTA6204 COMP.COJINETE  80  40x46.5x0.4</t>
  </si>
  <si>
    <t>MTA6205 COMP.COJINETE  90  44x51x0.4</t>
  </si>
  <si>
    <t>MTA6206 COMP.COJINETE100 51x61x0.5</t>
  </si>
  <si>
    <t>MTA6207 COMP.COJINETE 112  61x71x0.4</t>
  </si>
  <si>
    <t>MTA6208 COMP.COJINETE 120  71x79x0.5</t>
  </si>
  <si>
    <t>MTA6209 COMP.COJINETE 125  74x84x0.65</t>
  </si>
  <si>
    <t>MTA6308 COMP.COJINETE 132  79x89x0.5</t>
  </si>
  <si>
    <t>MTA6309 COMP.COJINETE 150  89x99x0.6</t>
  </si>
  <si>
    <t>MTA6310 COMP.COJINETE 160  99x109x0.6</t>
  </si>
  <si>
    <t>MTA6311 COMP.COJINETE 180  109x119x0.6</t>
  </si>
  <si>
    <t>MTA 6312 COMP.COJINETE 200 119x129x0.6</t>
  </si>
  <si>
    <t>024212-6</t>
  </si>
  <si>
    <t>CONICA MOLETEADA 12x6x1 Zinc.Am</t>
  </si>
  <si>
    <t>024212-6ZB</t>
  </si>
  <si>
    <t>CONICA MOLETEADA 12x6x1 Zinc.Blanco</t>
  </si>
  <si>
    <t>024218-8</t>
  </si>
  <si>
    <t>CONICA MOLETEADA 18x8x1.2 Zinc.Am</t>
  </si>
  <si>
    <t>024218-8ZB</t>
  </si>
  <si>
    <t>CONICA MOLETEADA 18x8x1.2 Zinc Azul</t>
  </si>
  <si>
    <t>024221-10</t>
  </si>
  <si>
    <t>CONICA MOLETEADA 21x10x1.2 Zinc.Azul</t>
  </si>
  <si>
    <t>024221-10Z</t>
  </si>
  <si>
    <t>CONICA MOLETEADA 21x10x1.2  zinc amarillo</t>
  </si>
  <si>
    <t>024227-12</t>
  </si>
  <si>
    <t>CONICA MOLETEADA 27x12x1.7 Zi.Azul</t>
  </si>
  <si>
    <t>D 127 ARANDELA GROWER 12</t>
  </si>
  <si>
    <t>D 127 ARANDELA GROWER  14</t>
  </si>
  <si>
    <t>D 127 ARANDELA GROWER  18</t>
  </si>
  <si>
    <t>D 127 ARANDELA GROWER  20</t>
  </si>
  <si>
    <t>D 127 ARANDELA GROWER  22</t>
  </si>
  <si>
    <t>03013.5</t>
  </si>
  <si>
    <t>D 127 ARANDELA GROWER 3.5</t>
  </si>
  <si>
    <t>D 127 ARANDELA GROWER   6</t>
  </si>
  <si>
    <t>D 127 ARANDELA GROWER   7</t>
  </si>
  <si>
    <t>D7980 ARANDELA GROWER 14</t>
  </si>
  <si>
    <t>D7980 ARANDELA GROWER 16</t>
  </si>
  <si>
    <t>D7980 ARANDELA GROWER 18</t>
  </si>
  <si>
    <t>03022.5</t>
  </si>
  <si>
    <t>D7980 ARANDELA GROWER 2.5</t>
  </si>
  <si>
    <t>D7980 ARANDELA GROWER 20</t>
  </si>
  <si>
    <t>D7980 ARANDELA GROWER 22</t>
  </si>
  <si>
    <t>D7980 ARANDELA GROWER 3</t>
  </si>
  <si>
    <t>03023.5</t>
  </si>
  <si>
    <t>D7980 ARANDELA GROWER 3.5</t>
  </si>
  <si>
    <t>UNI ARANDELA GROWER       1</t>
  </si>
  <si>
    <t>030517/8</t>
  </si>
  <si>
    <t>UNI ARANDELA GROWER    17/8</t>
  </si>
  <si>
    <t>03053/4</t>
  </si>
  <si>
    <t>UNI ARANDELA GROWER      3/4</t>
  </si>
  <si>
    <t>03055/8</t>
  </si>
  <si>
    <t>UNI ARANDELA GROWER      5/8</t>
  </si>
  <si>
    <t>03057/32</t>
  </si>
  <si>
    <t>UNI ARAND. GROWER     7/32</t>
  </si>
  <si>
    <t>03057/8</t>
  </si>
  <si>
    <t>UNI ARANDELA GROWER      7/8</t>
  </si>
  <si>
    <t>03103/4</t>
  </si>
  <si>
    <t>ARANDELA GROWER DOBLE 3/4</t>
  </si>
  <si>
    <t>03105/8</t>
  </si>
  <si>
    <t>ARANDELA GROWER DOBLE 5/8</t>
  </si>
  <si>
    <t>ARANDELA GROWER CONICA 12</t>
  </si>
  <si>
    <t>032010N</t>
  </si>
  <si>
    <t>ARANDELA OTIA DIN 137 A 10</t>
  </si>
  <si>
    <t>032010ZA</t>
  </si>
  <si>
    <t>ARANDELA DIN 137 A 10 Zinc.Am.</t>
  </si>
  <si>
    <t>ARANDELA DIN 137 A  2</t>
  </si>
  <si>
    <t>03202.3</t>
  </si>
  <si>
    <t>ARANDELA DIN 137 A 2.3</t>
  </si>
  <si>
    <t>03202.6</t>
  </si>
  <si>
    <t>ARANDELA DIN 137 A  2.6</t>
  </si>
  <si>
    <t>ARANDELA DIN 137 A  3</t>
  </si>
  <si>
    <t>03203.5</t>
  </si>
  <si>
    <t>ARANDELA DIN 137 A 3.5</t>
  </si>
  <si>
    <t>03204N</t>
  </si>
  <si>
    <t xml:space="preserve">ARANDELA OTIA DIN 137 A 4 </t>
  </si>
  <si>
    <t>03205N</t>
  </si>
  <si>
    <t xml:space="preserve">ARANDELA OTIA DIN 137 A 5  </t>
  </si>
  <si>
    <t>03206N</t>
  </si>
  <si>
    <t>ARANDELA OTIA DIN 137 A 6</t>
  </si>
  <si>
    <t>03206Z</t>
  </si>
  <si>
    <t>ARANDELA DIN 137 A 6 Zinc.Am.</t>
  </si>
  <si>
    <t>ARANDELA DIN 137 A  7</t>
  </si>
  <si>
    <t>03207Z</t>
  </si>
  <si>
    <t>ARANDELA DIN 137 A 7 Zinc.</t>
  </si>
  <si>
    <t>03208N</t>
  </si>
  <si>
    <t>ARANDELA OTIA DIN 137 A 8</t>
  </si>
  <si>
    <t>03208Z</t>
  </si>
  <si>
    <t>ARANDELA DIN 137 A 8 Zinc.</t>
  </si>
  <si>
    <t>032110-18</t>
  </si>
  <si>
    <t>ARANDELA DIN 137 B  10x18</t>
  </si>
  <si>
    <t>032110N</t>
  </si>
  <si>
    <t>ARANDELA OTIA DIN 137 B 10</t>
  </si>
  <si>
    <t>ARANDELA DIN 137 B   12</t>
  </si>
  <si>
    <t>ARANDELA DIN 137 B   14</t>
  </si>
  <si>
    <t>032116NH</t>
  </si>
  <si>
    <t>ARANDELA OTIA D137 B 16 H1331</t>
  </si>
  <si>
    <t>ARANDELA DIN 137 B   18</t>
  </si>
  <si>
    <t>ARANDELA DIN 137 B    20</t>
  </si>
  <si>
    <t>ARANDELA DIN 137 B    22</t>
  </si>
  <si>
    <t>ARANDELA DIN 137 B    24</t>
  </si>
  <si>
    <t>ARANDELA DIN 137 B    27</t>
  </si>
  <si>
    <t>ARANDELA DIN 137 B    30</t>
  </si>
  <si>
    <t>ARANDELA DIN 137 B     4</t>
  </si>
  <si>
    <t>ARANDELA DIN 137 B     5</t>
  </si>
  <si>
    <t>03216N</t>
  </si>
  <si>
    <t>ARANDELA OTIA DIN 137 B 6</t>
  </si>
  <si>
    <t>ARANDELA DIN 137 B     7</t>
  </si>
  <si>
    <t>03217N</t>
  </si>
  <si>
    <t>ARANDELA OTIA DIN 137 B 7</t>
  </si>
  <si>
    <t>03218-17</t>
  </si>
  <si>
    <t>ARANDELA DIN 137 B     8x17</t>
  </si>
  <si>
    <t>03218-17Z</t>
  </si>
  <si>
    <t>ARANDELA DIN 137 B 8x17 Zinc.</t>
  </si>
  <si>
    <t>03218N</t>
  </si>
  <si>
    <t>ARANDELA OTIA DIN 137 B 8</t>
  </si>
  <si>
    <t>032410-6</t>
  </si>
  <si>
    <t>Tipo 137B ARANDELA 10x6.5x0.5</t>
  </si>
  <si>
    <t>032412-6</t>
  </si>
  <si>
    <t>Tipo 137A ARANDELA 12.7x6.35x0.38</t>
  </si>
  <si>
    <t>032414-7</t>
  </si>
  <si>
    <t>Tipo 137B ARANDELA 14x7.4x0.3</t>
  </si>
  <si>
    <t>032416-10ZU</t>
  </si>
  <si>
    <t>Tipo 137A 16x10.5x0.3 Z.AZUL</t>
  </si>
  <si>
    <t>032417-8</t>
  </si>
  <si>
    <t>Tipo 137B ARANDELA 17x8x0.8 Zincada</t>
  </si>
  <si>
    <t>032417-8.5</t>
  </si>
  <si>
    <t>Tipo 137A ARANDELA 17x8.5x0.5</t>
  </si>
  <si>
    <t>032418-10.5</t>
  </si>
  <si>
    <t>Tipo 137A ARANDELA 18x10.5x0.5</t>
  </si>
  <si>
    <t>032418-10-03</t>
  </si>
  <si>
    <t>Tipo 137A ARANDELA 18x10.5x0.3</t>
  </si>
  <si>
    <t>032421-9</t>
  </si>
  <si>
    <t>DIN 6904 ARANDELA  21x9.3x1</t>
  </si>
  <si>
    <t>032422-13-0</t>
  </si>
  <si>
    <t>Tipo 137A ARANDELA 22x13x0.5</t>
  </si>
  <si>
    <t>032422-13-0H</t>
  </si>
  <si>
    <t>Tipo 137A ARANDELA 22x13x0.5 H1331</t>
  </si>
  <si>
    <t>032422-13-1</t>
  </si>
  <si>
    <t>Tipo 137B ARANDELA 22x13x1.5</t>
  </si>
  <si>
    <t>032422-13-1Z</t>
  </si>
  <si>
    <t>Tipo 137B AR.Zi.22x13x1.5</t>
  </si>
  <si>
    <t>032426-17</t>
  </si>
  <si>
    <t>Tipo 137A ARANDELA 26x17x0.6</t>
  </si>
  <si>
    <t>032428-14</t>
  </si>
  <si>
    <t>Tipo 137B ARANDELA 28.4x14.8x0.50</t>
  </si>
  <si>
    <t>032430-17</t>
  </si>
  <si>
    <t>Tipo 137B ARANDELA 30x17x1</t>
  </si>
  <si>
    <t>03246-3</t>
  </si>
  <si>
    <t>Tipo 137A  ARANDELA 6x3x0.2 Zinc.Azul</t>
  </si>
  <si>
    <t>03247-4</t>
  </si>
  <si>
    <t>Tipo 137A ARANDELA 7.8x4.4x0.5</t>
  </si>
  <si>
    <t>03249-5</t>
  </si>
  <si>
    <t>Tipo 137A ARANDELA 9.5x5.5x0.5</t>
  </si>
  <si>
    <t>033912-5</t>
  </si>
  <si>
    <t>CONICA DENTADA 12.2x5.2x0.8 Zincada</t>
  </si>
  <si>
    <t>033914-5.1</t>
  </si>
  <si>
    <t>CONICA DENTADA 14x5.1x1 ZM</t>
  </si>
  <si>
    <t>033914-5.3</t>
  </si>
  <si>
    <t>CONICA DENTADA 14x5.3x0.7</t>
  </si>
  <si>
    <t>033914-6</t>
  </si>
  <si>
    <t>CONICA DENTADA 14x6.2x0.7</t>
  </si>
  <si>
    <t>033914-6ZCA</t>
  </si>
  <si>
    <t>CONICA DENTADA 14.2x6.2x0.7 Zinc.Cr.Amarillo</t>
  </si>
  <si>
    <t>033915-4</t>
  </si>
  <si>
    <t>CONICA DENTADA   15x4x0.7</t>
  </si>
  <si>
    <t>033918-5.3</t>
  </si>
  <si>
    <t>CONICA DENTADA 18x5.3x0.8</t>
  </si>
  <si>
    <t>033918-6.5</t>
  </si>
  <si>
    <t>CONICA DENTADA 18x6.5x0.8</t>
  </si>
  <si>
    <t>033922-10</t>
  </si>
  <si>
    <t>CONICA DENTADA 22x10.5x1</t>
  </si>
  <si>
    <t>033922-8.2</t>
  </si>
  <si>
    <t>CONICA DENTADA 22x8.5x1.2</t>
  </si>
  <si>
    <t>033922-8.4</t>
  </si>
  <si>
    <t>CONICA DENTADA   22x8.4x1</t>
  </si>
  <si>
    <t>033924-12</t>
  </si>
  <si>
    <t>CONICA DENTADA 24x12x1.20</t>
  </si>
  <si>
    <t>033926-10.5</t>
  </si>
  <si>
    <t>CONICA DENTADA  26x10.5x1</t>
  </si>
  <si>
    <t>033926-8.3</t>
  </si>
  <si>
    <t>CONICA DENTADA 26x8.3x1.8</t>
  </si>
  <si>
    <t>033926-8.5</t>
  </si>
  <si>
    <t>CONICA DENTADA   26x8.5x1</t>
  </si>
  <si>
    <t>033932-13</t>
  </si>
  <si>
    <t>CONICA DENTADA   32x13.2x1.2</t>
  </si>
  <si>
    <t>03399-3.2</t>
  </si>
  <si>
    <t>CONICA DENTADA  9x3.2x0.5</t>
  </si>
  <si>
    <t>ARANDELA SCHNOOR       10</t>
  </si>
  <si>
    <t>ARANDELA SCHNOOR       12</t>
  </si>
  <si>
    <t>ARANDELA SCHNOOR       14</t>
  </si>
  <si>
    <t>ARANDELA SCHNOOR       16</t>
  </si>
  <si>
    <t>ARANDELA SCHNOOR       18</t>
  </si>
  <si>
    <t>03402.5</t>
  </si>
  <si>
    <t>ARANDELA SCHNOOR      2.5</t>
  </si>
  <si>
    <t>ARANDELA SCHNOOR       20</t>
  </si>
  <si>
    <t>ARANDELA SCHNOOR       24</t>
  </si>
  <si>
    <t>ARANDELA SCHNOOR        3</t>
  </si>
  <si>
    <t>ARANDELA SCHNOOR       30</t>
  </si>
  <si>
    <t>ARANDELA SCHNOOR        4</t>
  </si>
  <si>
    <t>ARANDELA SCHNOOR        5</t>
  </si>
  <si>
    <t>03405PA</t>
  </si>
  <si>
    <t>ARANDELA SCHNOOR Pas.Am.5</t>
  </si>
  <si>
    <t>ARANDELA SCHNOOR        6</t>
  </si>
  <si>
    <t>ARANDELA SCHNOOR        8</t>
  </si>
  <si>
    <t>ARANDELA SCHNOOR AISI 304 INOX. 4</t>
  </si>
  <si>
    <t>035010.5</t>
  </si>
  <si>
    <t>D6797 ARAND.ESTRELLA 10.5A</t>
  </si>
  <si>
    <t>035012.5</t>
  </si>
  <si>
    <t>D6797 ARAND.ESTRELLA 12.5 A</t>
  </si>
  <si>
    <t>035014.5</t>
  </si>
  <si>
    <t>D6797 ARAND.ESTRELLA 14.5A</t>
  </si>
  <si>
    <t>035016.5</t>
  </si>
  <si>
    <t>D6797 ARAND.ESTRELLA 16.5A</t>
  </si>
  <si>
    <t>D6797 ARAND.ESTRELLA  19A</t>
  </si>
  <si>
    <t>D6797 ARAND.ESTRELLA  21A</t>
  </si>
  <si>
    <t>D6797 ARAND.ESTRELLA  23A</t>
  </si>
  <si>
    <t>D6797 ARAND.ESTRELLA  25A</t>
  </si>
  <si>
    <t>D6797 ARAND.ESTRELLA  28A</t>
  </si>
  <si>
    <t>03503.2</t>
  </si>
  <si>
    <t>D6797 ARAND.ESTRELLA 3.2A</t>
  </si>
  <si>
    <t>03503/16</t>
  </si>
  <si>
    <t>Tipo 6797 ESTRELLA 3/16 A</t>
  </si>
  <si>
    <t>D6797 ARAND.ESTRELLA  31A</t>
  </si>
  <si>
    <t>03504.3</t>
  </si>
  <si>
    <t>D6797 ARAND.ESTRELLA 4.3A</t>
  </si>
  <si>
    <t>03505.3</t>
  </si>
  <si>
    <t>D6797 ARAND.ESTRELLA 5.3A</t>
  </si>
  <si>
    <t>03506.4</t>
  </si>
  <si>
    <t>D6797 ARAND.ESTRELLA 6.4A</t>
  </si>
  <si>
    <t>03507.4</t>
  </si>
  <si>
    <t>D6797 ARAND.ESTRELLA 7.4A</t>
  </si>
  <si>
    <t>03508.4</t>
  </si>
  <si>
    <t>D6797 ARAND.ESTRELLA 8.4A</t>
  </si>
  <si>
    <t>035110.5</t>
  </si>
  <si>
    <t>D6797 ARAND.ESTRELLA 10.5J</t>
  </si>
  <si>
    <t>035112.5</t>
  </si>
  <si>
    <t>D6797 ARAN.ESTRELLA 12.5  J</t>
  </si>
  <si>
    <t>035113.2</t>
  </si>
  <si>
    <t>D6797 ARAND.ESTRELLA 13.2J</t>
  </si>
  <si>
    <t>035114.5</t>
  </si>
  <si>
    <t>D6797 ARAND.ESTRELLA 14.5J</t>
  </si>
  <si>
    <t>035116.5</t>
  </si>
  <si>
    <t>D6797 ARAND.ESTRELLA 16.5J</t>
  </si>
  <si>
    <t>D6797 ARAND.ESTRELLA  19J</t>
  </si>
  <si>
    <t>D6797 ARAND.ESTRELLA  21J</t>
  </si>
  <si>
    <t>D6797 ARAND.ESTRELLA  23J</t>
  </si>
  <si>
    <t>D6797 ARAND.ESTRELLA  25J</t>
  </si>
  <si>
    <t>D6797 ARAND.ESTRELLA  28J</t>
  </si>
  <si>
    <t>03513.2</t>
  </si>
  <si>
    <t>D6797 ARAND.ESTRELLA 3.2J</t>
  </si>
  <si>
    <t>D6797 ARAND.ESTRELLA  31J</t>
  </si>
  <si>
    <t>03514.3</t>
  </si>
  <si>
    <t>D6797 ARAND.ESTRELLA 4.3J</t>
  </si>
  <si>
    <t>03515.3</t>
  </si>
  <si>
    <t>D6797 ARAND.ESTRELLA 5.3J</t>
  </si>
  <si>
    <t>03516.4</t>
  </si>
  <si>
    <t>D6797 ARAND.ESTRELLA 6.4J</t>
  </si>
  <si>
    <t>03518.4</t>
  </si>
  <si>
    <t>D6797 ARAND.ESTRELLA 8.4J</t>
  </si>
  <si>
    <t>035210.5</t>
  </si>
  <si>
    <t>D6797 ARAN.ESTRELLA 10.5V</t>
  </si>
  <si>
    <t>03523.2</t>
  </si>
  <si>
    <t>D6797 ARAND.ESTRELLA 3.2V</t>
  </si>
  <si>
    <t>03525.3</t>
  </si>
  <si>
    <t>D6797 ARAND.ESTRELLA 5.3V</t>
  </si>
  <si>
    <t>03526.4</t>
  </si>
  <si>
    <t>D6797 ARAND.ESTRELLA 6.4V</t>
  </si>
  <si>
    <t>035310.5</t>
  </si>
  <si>
    <t>D6798 ESTRELLA 10.5A INOX. AISI 304</t>
  </si>
  <si>
    <t>035314.5</t>
  </si>
  <si>
    <t>D6798 ESTRELLA 14.5 A INOX. AISI 304</t>
  </si>
  <si>
    <t>035316.5</t>
  </si>
  <si>
    <t>D6798 ESTRELLA 16.5A INOX. AISI 304</t>
  </si>
  <si>
    <t>D6798 ESTRELLA 19A INOX. AISI 304</t>
  </si>
  <si>
    <t>D6798 ESTRELLA 21A INOX. AISI 304</t>
  </si>
  <si>
    <t>D6798 ESTRELLA 23A INOX. AISI 304</t>
  </si>
  <si>
    <t>D6798 ESTRELLA 25A INOX. AISI 304</t>
  </si>
  <si>
    <t>D6798 ESTRELLA 28A INOX. AISI 304</t>
  </si>
  <si>
    <t>D6798 ESTRELLA 31A INOX. AISI 304</t>
  </si>
  <si>
    <t>03535.3</t>
  </si>
  <si>
    <t>D6798 ESTRELLA 5.3A INOX. AISI 304</t>
  </si>
  <si>
    <t>03538.4</t>
  </si>
  <si>
    <t>D6798 ESTRELLA 8.4A INOX. AISI 304</t>
  </si>
  <si>
    <t>035510.5</t>
  </si>
  <si>
    <t>D6798 ARAN.ESTRELLA 10.5A</t>
  </si>
  <si>
    <t>035511.5</t>
  </si>
  <si>
    <t>D6798 AR.ESTRELLA 11.5 A (7/16)</t>
  </si>
  <si>
    <t>035512.5</t>
  </si>
  <si>
    <t>D6798 ARAN.ESTRELLA 12.5 A</t>
  </si>
  <si>
    <t>035513.2</t>
  </si>
  <si>
    <t>D6798 ARAN.ESTRELLA 13.2A</t>
  </si>
  <si>
    <t>035514.5</t>
  </si>
  <si>
    <t>D6798 ARAND.ESTRELLA 14.5A</t>
  </si>
  <si>
    <t>035516.5</t>
  </si>
  <si>
    <t>D6798 ARAND.ESTRELLA 16.5A</t>
  </si>
  <si>
    <t>D6798 ARAND.ESTRELLA  19A zinc</t>
  </si>
  <si>
    <t>03552.2</t>
  </si>
  <si>
    <t>D6798 ARAND.ESTRELLA 2.2A</t>
  </si>
  <si>
    <t>03552.5</t>
  </si>
  <si>
    <t>D6798 ARAND.ESTRELLA 2.5A</t>
  </si>
  <si>
    <t>03552.7</t>
  </si>
  <si>
    <t>D6798 ARAND.ESTRELLA 2.7A</t>
  </si>
  <si>
    <t>03552.8</t>
  </si>
  <si>
    <t>D6798 ARAND.ESTRELLA 2.8A</t>
  </si>
  <si>
    <t>D6798 ARAND.ESTRELLA  21A</t>
  </si>
  <si>
    <t>D6798 ARAND.ESTRELLA  23A</t>
  </si>
  <si>
    <t>D6798 ARAND.ESTRELLA  25A</t>
  </si>
  <si>
    <t>D6798 ARAND.ESTRELLA  26A</t>
  </si>
  <si>
    <t>D6798 ARAND.ESTRELLA  28A</t>
  </si>
  <si>
    <t>03553.2</t>
  </si>
  <si>
    <t>D6798 ARAND.ESTRELLA 3.2A</t>
  </si>
  <si>
    <t>03553.7</t>
  </si>
  <si>
    <t>D6798 ARAND.ESTRELLA 3.7A</t>
  </si>
  <si>
    <t>D6798 ARAND.ESTRELLA  31A</t>
  </si>
  <si>
    <t>03554.3</t>
  </si>
  <si>
    <t>D6798 ARAND.ESTRELLA 4.3A</t>
  </si>
  <si>
    <t>03555.1</t>
  </si>
  <si>
    <t>D6798 ARAND.ESTRELLA 5.1A</t>
  </si>
  <si>
    <t>03555.3</t>
  </si>
  <si>
    <t>D6798 ARAND.ESTRELLA 5.3A</t>
  </si>
  <si>
    <t>03556.4</t>
  </si>
  <si>
    <t>D6798 ARAND.ESTRELLA 6.4A</t>
  </si>
  <si>
    <t>03557.4</t>
  </si>
  <si>
    <t>D6798 ARAND.ESTRELLA 7.4A</t>
  </si>
  <si>
    <t>03558.2</t>
  </si>
  <si>
    <t>D6798 ARAND.ESTRELLA 8.2A</t>
  </si>
  <si>
    <t>03558.4</t>
  </si>
  <si>
    <t>D6798 ARAND.ESTRELLA 8.4A</t>
  </si>
  <si>
    <t>03559.5</t>
  </si>
  <si>
    <t>D6798 AR.ESTRELLA  9.5 (3/8) A</t>
  </si>
  <si>
    <t>035610.5</t>
  </si>
  <si>
    <t>D6798 ARAND.ESTRELLA 10.5J</t>
  </si>
  <si>
    <t>035611.5</t>
  </si>
  <si>
    <t>D6798 AR.ESTRELLA 11.5 J (7/16)</t>
  </si>
  <si>
    <t>035612.5</t>
  </si>
  <si>
    <t>D6798 ARAND.ESTRELLA 12.5 J</t>
  </si>
  <si>
    <t>035613.2</t>
  </si>
  <si>
    <t>D6798 ARAND.ESTRELLA 13.2J</t>
  </si>
  <si>
    <t>035614.5</t>
  </si>
  <si>
    <t>D6798 ARAND.ESTRELLA 14.5J</t>
  </si>
  <si>
    <t>035616.5</t>
  </si>
  <si>
    <t>D6798 ARAND.ESTRELLA 16.5J</t>
  </si>
  <si>
    <t>D6798 ARAND.ESTRELLA  19J</t>
  </si>
  <si>
    <t>03562.2</t>
  </si>
  <si>
    <t>D6798 ARAND.ESTRELLA 2.2J</t>
  </si>
  <si>
    <t>03562.5</t>
  </si>
  <si>
    <t>D6798 ARAND.ESTRELLA 2.5J</t>
  </si>
  <si>
    <t>03562.7</t>
  </si>
  <si>
    <t>D6798 ARAND.ESTRELLA 2.7J</t>
  </si>
  <si>
    <t>03562.8</t>
  </si>
  <si>
    <t>D6798 ARAND.ESTRELLA 2.8J</t>
  </si>
  <si>
    <t>D6798 ARAND.ESTRELLA  21J</t>
  </si>
  <si>
    <t>D6798 ARAND.ESTRELLA  23J</t>
  </si>
  <si>
    <t>D6798 ARAND.ESTRELLA  25J</t>
  </si>
  <si>
    <t>D6798 ARAND.ESTRELLA  26J</t>
  </si>
  <si>
    <t>D6798 ARAND.ESTRELLA  28J</t>
  </si>
  <si>
    <t>03563.2</t>
  </si>
  <si>
    <t>D6798 ARAND.ESTRELLA 3.2J</t>
  </si>
  <si>
    <t>03563.7</t>
  </si>
  <si>
    <t>D6798 ARAND.ESTRELLA 3.7J</t>
  </si>
  <si>
    <t>D6798 ARAND.ESTRELLA  31J</t>
  </si>
  <si>
    <t>03564.3</t>
  </si>
  <si>
    <t>D6798 ARAND.ESTRELLA 4.3J</t>
  </si>
  <si>
    <t>03565.1</t>
  </si>
  <si>
    <t>D6798 ARAND.ESTRELLA 5.1J</t>
  </si>
  <si>
    <t>03565.3</t>
  </si>
  <si>
    <t>D6798 ARAND.ESTRELLA 5.3J</t>
  </si>
  <si>
    <t>03566.4</t>
  </si>
  <si>
    <t>D6798 ARAND.ESTRELLA 6.4J</t>
  </si>
  <si>
    <t>03567.4</t>
  </si>
  <si>
    <t>D6798 ARAND.ESTRELLA 7.4J</t>
  </si>
  <si>
    <t>03568.2</t>
  </si>
  <si>
    <t>D6798 ARAN.ESTRELLA  8.2 J</t>
  </si>
  <si>
    <t>03568.4</t>
  </si>
  <si>
    <t>D6798 ARAND.ESTRELLA 8.4J</t>
  </si>
  <si>
    <t>03569.5</t>
  </si>
  <si>
    <t>D6798 AR.ESTRELLA 9.5 (3/8) J</t>
  </si>
  <si>
    <t>035710.5</t>
  </si>
  <si>
    <t>D6798 ARAND.ESTRELLA 10.5V</t>
  </si>
  <si>
    <t>035712.5</t>
  </si>
  <si>
    <t>D6798 ARAND.ESTRELLA 12.5V</t>
  </si>
  <si>
    <t>035714.5</t>
  </si>
  <si>
    <t>D6798 ARAND.ESTRELLA 14.5V</t>
  </si>
  <si>
    <t>035716.5</t>
  </si>
  <si>
    <t>D6798 ARAND.ESTRELLA 16.5V</t>
  </si>
  <si>
    <t>03573.2</t>
  </si>
  <si>
    <t>D6798 ARAND.ESTRELLA 3.2V</t>
  </si>
  <si>
    <t>03573.7</t>
  </si>
  <si>
    <t>D6798 ARAND.ESTRELLA 3.7V</t>
  </si>
  <si>
    <t>03574.3</t>
  </si>
  <si>
    <t>D6798 ARAND.ESTRELLA 4.3V</t>
  </si>
  <si>
    <t>03575.3</t>
  </si>
  <si>
    <t>D6798 ARAND.ESTRELLA 5.3V</t>
  </si>
  <si>
    <t>03576.4</t>
  </si>
  <si>
    <t>D6798 ARAND.ESTRELLA 6.4V</t>
  </si>
  <si>
    <t>03578.4</t>
  </si>
  <si>
    <t>D6798 ARAND.ESTRELLA 8.4V</t>
  </si>
  <si>
    <t>D6907 ARAND.PRISIONERA 10</t>
  </si>
  <si>
    <t>D6907 ARAND.PRISIONERA 12</t>
  </si>
  <si>
    <t>D6907 ARAND.PRISIONERA  4</t>
  </si>
  <si>
    <t>D6907 ARAND.PRISIONERA  5</t>
  </si>
  <si>
    <t>D6907 ARAND.PRISIONERA  6</t>
  </si>
  <si>
    <t>D6907 ARAND.PRISIONERA  7</t>
  </si>
  <si>
    <t>D6907 ARAND.PRISIONERA  8</t>
  </si>
  <si>
    <t>038018-5</t>
  </si>
  <si>
    <t>AR.DOBLE DENTADO 18x5x0.8</t>
  </si>
  <si>
    <t>038018-6</t>
  </si>
  <si>
    <t>AR.DOBLE DENTADO 18x6x0.8</t>
  </si>
  <si>
    <t>038020-6</t>
  </si>
  <si>
    <t>AR.DOBLE DENTADO   20x6x1</t>
  </si>
  <si>
    <t>038022-8</t>
  </si>
  <si>
    <t>AR.DOBLE DENTADO   22x8x1</t>
  </si>
  <si>
    <t>038026-10</t>
  </si>
  <si>
    <t>AR.DOBLE DENTADO  26x10x1</t>
  </si>
  <si>
    <t>038032-13</t>
  </si>
  <si>
    <t>AR.DOBLE DENTADO  32x13x1.2</t>
  </si>
  <si>
    <t>D472 ANILLO OTIA 13 I H1331</t>
  </si>
  <si>
    <t>0401019N</t>
  </si>
  <si>
    <t>D472 ANILLO OTIA 19 I</t>
  </si>
  <si>
    <t>0401020N</t>
  </si>
  <si>
    <t>D472 ANILLO OTIA 20 I</t>
  </si>
  <si>
    <t>0401022I</t>
  </si>
  <si>
    <t>DIN 472 ANILLO ø 22 I</t>
  </si>
  <si>
    <t>0401022N</t>
  </si>
  <si>
    <t>D472 ANILLO OTIA 22 I</t>
  </si>
  <si>
    <t>0401024NH</t>
  </si>
  <si>
    <t>D472 ANILLO OTIA 24 I H1331</t>
  </si>
  <si>
    <t>0401025N</t>
  </si>
  <si>
    <t>D472 ANILLO OTIA 25 I</t>
  </si>
  <si>
    <t>D472 ANILLO SEGUR.   26 I</t>
  </si>
  <si>
    <t>D472 ANILLO SEGUR.   28 I</t>
  </si>
  <si>
    <t>0401028N</t>
  </si>
  <si>
    <t>D472 ANILLO OTIA 30 I H1331</t>
  </si>
  <si>
    <t>0401032N</t>
  </si>
  <si>
    <t>D472 ANILLO OTIA 35 I H1331</t>
  </si>
  <si>
    <t>0401036NH</t>
  </si>
  <si>
    <t>D472 ANILLO OTIA 36 I H1331</t>
  </si>
  <si>
    <t>0401038N</t>
  </si>
  <si>
    <t>D472 ANILLO OTIA 38 I</t>
  </si>
  <si>
    <t>0401040NH</t>
  </si>
  <si>
    <t>D472 ANILLO OTIA 40 I H1331</t>
  </si>
  <si>
    <t>D472 ANILLO SEGUR.   44 I</t>
  </si>
  <si>
    <t>0401058N</t>
  </si>
  <si>
    <t>D472 ANILLO OTIA 58 I</t>
  </si>
  <si>
    <t>D472 ANILLO SEGUR.   77/78 I</t>
  </si>
  <si>
    <t>D472 ANILLO SEGUR.   92 I</t>
  </si>
  <si>
    <t>D472 ANILLO SEGUR.   97/98 I</t>
  </si>
  <si>
    <t>D472 ANILLO SEGUR.  102 I</t>
  </si>
  <si>
    <t>D472 ANILLO SEGUR.  107/108 I</t>
  </si>
  <si>
    <t>D472 ANILLO SEGUR.  110 I</t>
  </si>
  <si>
    <t>D472 ANILLO SEGUR.  112 I</t>
  </si>
  <si>
    <t>D472 ANILLO SEGUR.  115 I</t>
  </si>
  <si>
    <t>D472 ANILLO SEGUR.  117/118 I</t>
  </si>
  <si>
    <t>D472 ANILLO SEGUR.  120 I</t>
  </si>
  <si>
    <t>D472 ANILLO SEGUR.  122 I</t>
  </si>
  <si>
    <t>D472 ANILLO SEGUR.  125 I</t>
  </si>
  <si>
    <t>D472 ANILLO SEGUR.  127/128 I</t>
  </si>
  <si>
    <t>D472 ANILLO SEGUR.  130 I</t>
  </si>
  <si>
    <t>D472 ANILLO SEGUR.  132 I</t>
  </si>
  <si>
    <t>D472 ANILLO SEGUR.  135 I</t>
  </si>
  <si>
    <t>D472 ANILLO SEGUR.  137/138 I</t>
  </si>
  <si>
    <t>D472 ANILLO SEGUR.  140 I</t>
  </si>
  <si>
    <t>D472 ANILLO SEGUR.  142 I</t>
  </si>
  <si>
    <t>D472 ANILLO SEGUR.  145 I</t>
  </si>
  <si>
    <t>D472 ANILLO SEGUR.  147/148 I</t>
  </si>
  <si>
    <t>D472 ANILLO SEGUR.  150 I</t>
  </si>
  <si>
    <t>D472 ANILLO SEGUR.  155 I</t>
  </si>
  <si>
    <t>D472 ANILLO SEGUR.  160 I</t>
  </si>
  <si>
    <t>D472 ANILLO SEGUR.  165 I</t>
  </si>
  <si>
    <t>D472 ANILLO SEGUR.  170 I</t>
  </si>
  <si>
    <t>D472 ANILLO SEGUR.  175 I</t>
  </si>
  <si>
    <t>D472 ANILLO SEGUR.  180 I</t>
  </si>
  <si>
    <t>D472 ANILLO SEGUR.  185 I</t>
  </si>
  <si>
    <t>D472 ANILLO SEGUR.  190 I</t>
  </si>
  <si>
    <t>D472 ANILLO SEGUR.  195 I</t>
  </si>
  <si>
    <t>D472 ANILLO SEGUR.  200 I</t>
  </si>
  <si>
    <t>D472 ANILLO SEGUR.  205 I</t>
  </si>
  <si>
    <t>D472 ANILLO SEGUR.  210 I</t>
  </si>
  <si>
    <t>D472 ANILLO SEGUR.  215 I</t>
  </si>
  <si>
    <t>D472 ANILLO SEGUR.  220 I</t>
  </si>
  <si>
    <t>D472 ANILLO SEGUR.  225 I</t>
  </si>
  <si>
    <t>D472 ANILLO SEGUR.  230 I</t>
  </si>
  <si>
    <t>D472 ANILLO SEGUR.  235 I</t>
  </si>
  <si>
    <t>D472 ANILLO SEGUR.  240 I</t>
  </si>
  <si>
    <t>D472 ANILLO SEGUR.  245 I</t>
  </si>
  <si>
    <t>D472 ANILLO SEGUR.  250 I</t>
  </si>
  <si>
    <t>D472 ANILLO SEGUR.  255 I</t>
  </si>
  <si>
    <t>D472 ANILLO SEGUR.  260 I</t>
  </si>
  <si>
    <t>D472 ANILLO SEGUR.  265 I</t>
  </si>
  <si>
    <t>D472 ANILLO SEGUR.  270 I</t>
  </si>
  <si>
    <t>D472 ANILLO SEGUR.  275 I</t>
  </si>
  <si>
    <t>D472 ANILLO SEGUR.  280 I</t>
  </si>
  <si>
    <t>D472 ANILLO SEGUR.  285 I</t>
  </si>
  <si>
    <t>D472 ANILLO SEGUR.  290 I</t>
  </si>
  <si>
    <t>D472 ANILLO SEGUR.  295 I</t>
  </si>
  <si>
    <t>D472 ANILLO SEGUR.  300 I</t>
  </si>
  <si>
    <t>D472 ANILLO SEGUR.  310 I</t>
  </si>
  <si>
    <t>D472 ANILLO SEGUR.  320 I</t>
  </si>
  <si>
    <t>D472 ANILLO SEGUR.  340 I</t>
  </si>
  <si>
    <t>D472 ANILLO SEGUR.  360 I</t>
  </si>
  <si>
    <t>D471 ANILLO SEG.16Ax1.5</t>
  </si>
  <si>
    <t>D471 ANILLO SEG.17Ax1.2</t>
  </si>
  <si>
    <t>D471 ANILLO SEG.19Ax1.75</t>
  </si>
  <si>
    <t>D471 ANILLO SEG. 20Ax1.75</t>
  </si>
  <si>
    <t>D471 ANILLO SEG. 25Ax2</t>
  </si>
  <si>
    <t>040225-1.5</t>
  </si>
  <si>
    <t>D471 ANILLO SEG. 25Ax1.5</t>
  </si>
  <si>
    <t>D471 ANILLO SEG. 27Ax2</t>
  </si>
  <si>
    <t>D471 ANILLO SEG. 28Ax2</t>
  </si>
  <si>
    <t>D471 ANILLO SEG. 29Ax2</t>
  </si>
  <si>
    <t>D471 ANILLO SEG. 30Ax2</t>
  </si>
  <si>
    <t>D471 ANILLO SEG. 32Ax2</t>
  </si>
  <si>
    <t>D471 ANILLO SEG. 35Ax2.5</t>
  </si>
  <si>
    <t>D471 ANILLO SEG. 38Ax2.5</t>
  </si>
  <si>
    <t>D471 ANILLO SEG. 40Ax2.5</t>
  </si>
  <si>
    <t>D471 ANILLO SEG. 45Ax2.5</t>
  </si>
  <si>
    <t>D471 ANILLO SEG. 48Ax2.5</t>
  </si>
  <si>
    <t>D471 ANILLO SEG. 65 Ax4</t>
  </si>
  <si>
    <t>D471 ANILLO SEG. 70 Ax4</t>
  </si>
  <si>
    <t>D471 ANILLO SEG. 75 Ax4</t>
  </si>
  <si>
    <t>D471 ANILLO OTIA 8 A</t>
  </si>
  <si>
    <t>0403010N</t>
  </si>
  <si>
    <t>D471 ANILLO SEGUR.   11 A</t>
  </si>
  <si>
    <t>0403014NH</t>
  </si>
  <si>
    <t>D471 ANILLO OTIA 14 A H1331</t>
  </si>
  <si>
    <t>0403015N</t>
  </si>
  <si>
    <t>D471 ANILLO SEGUR.   17 A</t>
  </si>
  <si>
    <t>D471 ANILLO OTIA 17 A  H1331</t>
  </si>
  <si>
    <t>D471 ANILLO OTIA 18 A H1331</t>
  </si>
  <si>
    <t>D471 ANILLO OTIA 19 A H1331</t>
  </si>
  <si>
    <t>D471 ANILLO SEGUR.   20 A</t>
  </si>
  <si>
    <t>D471 ANILLO OTIA 20 A  H1331</t>
  </si>
  <si>
    <t>0403021N</t>
  </si>
  <si>
    <t>D471 ANILLO OTIA 21 A</t>
  </si>
  <si>
    <t>D471 ANILLO SEGUR.   24 A</t>
  </si>
  <si>
    <t>D471 ANILLO OTIA 25 A H1331</t>
  </si>
  <si>
    <t>D471 ANILLO SEGUR.  29 A</t>
  </si>
  <si>
    <t>D471 ANILLO SEGUR.  30 A</t>
  </si>
  <si>
    <t>D471 ANILLO SEGUR.  31 A</t>
  </si>
  <si>
    <t>0403032N</t>
  </si>
  <si>
    <t>D471 ANILLO OTIA 32 A</t>
  </si>
  <si>
    <t>D471 ANILLO SEGUR.   34 A</t>
  </si>
  <si>
    <t>D471 ANILLO SEGUR.   35 A</t>
  </si>
  <si>
    <t>0403045N</t>
  </si>
  <si>
    <t>D471 ANILLO OTIA 45 A</t>
  </si>
  <si>
    <t>0403048N</t>
  </si>
  <si>
    <t>D471 ANILLO OTIA 48 A</t>
  </si>
  <si>
    <t>D471 ANILLO SEGUR.   72 A</t>
  </si>
  <si>
    <t>D471 ANILLO SEGUR.   77 A</t>
  </si>
  <si>
    <t>D471 ANILLO SEGUR.   78 A</t>
  </si>
  <si>
    <t>D471 ANILLO SEGUR.   80 A</t>
  </si>
  <si>
    <t>D471 ANILLO SEGUR.   82 A</t>
  </si>
  <si>
    <t>D471 ANILLO SEGUR.   85 A</t>
  </si>
  <si>
    <t>D471 ANILLO SEGUR.   87 A</t>
  </si>
  <si>
    <t>D471 ANILLO SEGUR.   90 A</t>
  </si>
  <si>
    <t>D471 ANILLO SEGUR.   92 A</t>
  </si>
  <si>
    <t>D471 ANILLO SEGUR.   95 A</t>
  </si>
  <si>
    <t>D471 ANILLO SEGUR.   97/98 A</t>
  </si>
  <si>
    <t>D471 ANILLO SEGUR.  100 A</t>
  </si>
  <si>
    <t>D471 ANILLO SEGUR.  102 A</t>
  </si>
  <si>
    <t>D471 ANILLO SEGUR.  107/108 A</t>
  </si>
  <si>
    <t>D471 ANILLO SEGUR.  110 A</t>
  </si>
  <si>
    <t>D471 ANILLO SEGUR.  112 A</t>
  </si>
  <si>
    <t>D471 ANILLO SEGUR.  115 A</t>
  </si>
  <si>
    <t>D471 ANILLO SEGUR.  117/118 A</t>
  </si>
  <si>
    <t>D471 ANILLO SEGUR.  120 A</t>
  </si>
  <si>
    <t>D471 ANILLO SEGUR.  122 A</t>
  </si>
  <si>
    <t>D471 ANILLO SEGUR.  125 A</t>
  </si>
  <si>
    <t>D471 ANILLO SEGUR.  127/128 A</t>
  </si>
  <si>
    <t>D471 ANILLO SEGUR.  130 A</t>
  </si>
  <si>
    <t>D471 ANILLO SEGUR.  132 A</t>
  </si>
  <si>
    <t>D471 ANILLO SEGUR.  135 A</t>
  </si>
  <si>
    <t>D471 ANILLO SEGUR.  137/138 A</t>
  </si>
  <si>
    <t>D471 ANILLO SEGUR.  140 A</t>
  </si>
  <si>
    <t>D471 ANILLO SEGUR.  142 A</t>
  </si>
  <si>
    <t>D471 ANILLO SEGUR.  145 A</t>
  </si>
  <si>
    <t>D471 ANILLO SEGUR.  147/148 A</t>
  </si>
  <si>
    <t>D471 ANILLO SEGUR.  165 A</t>
  </si>
  <si>
    <t>D471 ANILLO SEGUR.  170 A</t>
  </si>
  <si>
    <t>D471 ANILLO SEGUR.  175 A</t>
  </si>
  <si>
    <t>D471 ANILLO SEGUR.  178 A</t>
  </si>
  <si>
    <t>D471 ANILLO SEGUR.  180 A</t>
  </si>
  <si>
    <t>D471 ANILLO SEGUR.  185 A</t>
  </si>
  <si>
    <t>D471 ANILLO SEGUR.  190 A</t>
  </si>
  <si>
    <t>D471 ANILLO SEGUR.  195 A</t>
  </si>
  <si>
    <t>D471 ANILLO SEGUR.  200 A</t>
  </si>
  <si>
    <t>D471 ANILLO SEGUR.  205 A</t>
  </si>
  <si>
    <t>D471 ANILLO SEGUR.  210 A</t>
  </si>
  <si>
    <t>D471 ANILLO SEGUR.  215 A</t>
  </si>
  <si>
    <t>D471 ANILLO SEGUR.  220 A</t>
  </si>
  <si>
    <t>D471 ANILLO SEGUR.  225 A</t>
  </si>
  <si>
    <t>D471 ANILLO SEGUR.  230 A</t>
  </si>
  <si>
    <t>D471 ANILLO SEGUR.  235 A</t>
  </si>
  <si>
    <t>D471 ANILLO SEGUR.  240 A</t>
  </si>
  <si>
    <t>D471 ANILLO SEGUR.  245 A</t>
  </si>
  <si>
    <t>D471 ANILLO SEGUR.  250 A</t>
  </si>
  <si>
    <t>D471 ANILLO SEGUR.  255 A</t>
  </si>
  <si>
    <t>D471 ANILLO SEGUR.  260 A</t>
  </si>
  <si>
    <t>D471 ANILLO SEGUR.  265 A</t>
  </si>
  <si>
    <t>D471 ANILLO SEGUR.  270 A</t>
  </si>
  <si>
    <t>D471 ANILLO SEGUR.  275 A</t>
  </si>
  <si>
    <t>D471 ANILLO SEGUR.  280 A</t>
  </si>
  <si>
    <t>D471 ANILLO SEGUR.  285 A</t>
  </si>
  <si>
    <t>D471 ANILLO SEGUR.  290 A</t>
  </si>
  <si>
    <t>D471 ANILLO SEGUR.  295 A</t>
  </si>
  <si>
    <t>D471 ANILLO SEGUR.  300 A</t>
  </si>
  <si>
    <t>D471 ANILLO SEGUR.  310 A</t>
  </si>
  <si>
    <t>D471 ANILLO SEGUR.  320 A</t>
  </si>
  <si>
    <t>D471 ANILLO SEGUR.  340 A</t>
  </si>
  <si>
    <t>D471 ANILLO SEGUR.  360 A</t>
  </si>
  <si>
    <t>D472 ANILLO SEG.24Ix1.5</t>
  </si>
  <si>
    <t>D472 ANILLO SEG.25Ix1.5</t>
  </si>
  <si>
    <t>D472 ANILLO SEG.27Ix1.5</t>
  </si>
  <si>
    <t>D472 ANILLO SEG.28Ix1.5</t>
  </si>
  <si>
    <t>D472 ANILLO SEG 75Ix3</t>
  </si>
  <si>
    <t>D472 ANILLO SEG 80Ix4</t>
  </si>
  <si>
    <t>D471 ANILLO SEG.INOX  4 A</t>
  </si>
  <si>
    <t>D471 ANILLO SEG.INOX  5 A</t>
  </si>
  <si>
    <t>D471 ANILLO SEG.INOX  6 A AISI 316L</t>
  </si>
  <si>
    <t>D471 ANILLO SEG.INOX  7 A</t>
  </si>
  <si>
    <t>D471 ANILLO SEG.INOX. 8 A  AISI 316 L</t>
  </si>
  <si>
    <t>D471 ANILLO SEG.INOX  9 A</t>
  </si>
  <si>
    <t>D471 ANILLO SEG.INOX.10 A</t>
  </si>
  <si>
    <t>D471 ANILLO SEG.INOX100 A</t>
  </si>
  <si>
    <t>D471 ANILLO SEG.INOX.11 A</t>
  </si>
  <si>
    <t>D471 ANILLO SEG.INOX.12 A</t>
  </si>
  <si>
    <t>D471 ANILLO SEG.INOX.13 A</t>
  </si>
  <si>
    <t>D471 ANILLO SEG.INOX.14 A</t>
  </si>
  <si>
    <t>D471 ANILLO SEG.INOX.15 A</t>
  </si>
  <si>
    <t>D471 ANILLO SEG.INOX.16 A</t>
  </si>
  <si>
    <t>D471 ANILLO SEG.INOX.17 A</t>
  </si>
  <si>
    <t>D471 ANILLO SEG.INOX.18 A</t>
  </si>
  <si>
    <t>D471 ANILLO SEG.INOX.19 A</t>
  </si>
  <si>
    <t>D471 ANILLO SEG.INOX.20 A</t>
  </si>
  <si>
    <t>D471 ANILLO SEG.INOX.21 A</t>
  </si>
  <si>
    <t>D471 ANILLO SEG.INOX.22 A</t>
  </si>
  <si>
    <t>D471 ANILLO SEG.INOX.23 A</t>
  </si>
  <si>
    <t>D471 ANILLO SEG.INOX.24 A</t>
  </si>
  <si>
    <t>D471 ANILLO SEG.INOX.25 A</t>
  </si>
  <si>
    <t>D471 ANILLO SEG.INOX.26 A</t>
  </si>
  <si>
    <t>D471 ANILLO SEG.INOX.27 A</t>
  </si>
  <si>
    <t>D471 ANILLO SEG.INOX.28 A</t>
  </si>
  <si>
    <t>D471 ANILLO SEG.INOX.29 A</t>
  </si>
  <si>
    <t>D471 ANILLO SEG.INOX.30 A</t>
  </si>
  <si>
    <t>D471 ANILLO SEG.INOX  31 A</t>
  </si>
  <si>
    <t>D471 ANILLO SEG.INOX.32 A</t>
  </si>
  <si>
    <t>D471 ANILLO SEG.INOX 33 A</t>
  </si>
  <si>
    <t>D471 ANILLO SEG.INOX.34 A</t>
  </si>
  <si>
    <t>D471 ANILLO SEG.INOX.35 A</t>
  </si>
  <si>
    <t>D471 ANILLO SEG.INOX.36 A</t>
  </si>
  <si>
    <t>040836F</t>
  </si>
  <si>
    <t>D471 ANILLO INOX.Fos.36 A</t>
  </si>
  <si>
    <t>D471 ANILLO SEG.INOX 37 A</t>
  </si>
  <si>
    <t>D471 ANILLO SEG.INOX.38 A X35 CrMo17</t>
  </si>
  <si>
    <t>D471 ANILLO SEG.INOX 39 A</t>
  </si>
  <si>
    <t>D471 ANILLO SEG.INOX.40 A</t>
  </si>
  <si>
    <t>040840F</t>
  </si>
  <si>
    <t>D471 ANILLO INOX.Fos.40 A</t>
  </si>
  <si>
    <t>D471 ANILLO SEG.INOX.42 A</t>
  </si>
  <si>
    <t>D471 ANILLO SEG.INOX.44 A</t>
  </si>
  <si>
    <t>D471 ANILLO SEG.INOX.45 A</t>
  </si>
  <si>
    <t>D471 ANILLO SEG.INOX 46 A</t>
  </si>
  <si>
    <t>D471 ANILLO SEG.INOX 47 A</t>
  </si>
  <si>
    <t>D471 ANILLO SEG.INOX.48 A</t>
  </si>
  <si>
    <t>D471 ANILLO SEG.INOX.50 A</t>
  </si>
  <si>
    <t>D471 ANILLO SEG.INOX.52 A</t>
  </si>
  <si>
    <t>D471 ANILLO SEG.INOX.55 A</t>
  </si>
  <si>
    <t>D471 ANILLO SEG.INOX 56 A</t>
  </si>
  <si>
    <t>D471 ANILLO SEG.INOX.58 A</t>
  </si>
  <si>
    <t>D471 ANILLO SEG.INOX.60 A</t>
  </si>
  <si>
    <t>D471 ANILLO SEG.INOX 62 A</t>
  </si>
  <si>
    <t>D471 ANILLO SEG.INOX.65 A</t>
  </si>
  <si>
    <t>D471 ANILLO SEG.INOX 68 A</t>
  </si>
  <si>
    <t>D471 ANILLO SEG.INOX.70 A</t>
  </si>
  <si>
    <t>D471 ANILLO SEG.INOX 72 A</t>
  </si>
  <si>
    <t>D471 ANILLO SEG.INOX.75 A</t>
  </si>
  <si>
    <t>D471 ANILLO SEG.INOX 78 A</t>
  </si>
  <si>
    <t>D471 ANILLO SEG.INOX.80 A</t>
  </si>
  <si>
    <t>D471 ANILLO SEG.INOX.82 A</t>
  </si>
  <si>
    <t>D471 ANILLO SEG.INOX.85 A</t>
  </si>
  <si>
    <t>D471 ANILLO SEG.INOX  87 A</t>
  </si>
  <si>
    <t>D471 ANILLO SEG.INOX.90 A</t>
  </si>
  <si>
    <t>D471 ANILLO SEG.INOX.92 A</t>
  </si>
  <si>
    <t>D471 ANILLO SEG.INOX.95 A</t>
  </si>
  <si>
    <t>D472 ANILLO SEG.INOX. 8 I</t>
  </si>
  <si>
    <t>D472 ANILLO SEG.INOX. 9 I</t>
  </si>
  <si>
    <t>D472 ANILLO SEG.INOX.10 I</t>
  </si>
  <si>
    <t>D472 ANILLO SEG.INOX.100 I</t>
  </si>
  <si>
    <t>D472 ANILLO SEG.INOX.11 I</t>
  </si>
  <si>
    <t>D472 ANILLO SEG.INOX.12 I</t>
  </si>
  <si>
    <t>D472 ANILLO SEG.INOX.13 I</t>
  </si>
  <si>
    <t>D472 ANILLO SEG.INOX.14 I</t>
  </si>
  <si>
    <t>D472 ANILLO SEG.INOX.15 I</t>
  </si>
  <si>
    <t>D472 ANILLO SEG.INOX.16 I</t>
  </si>
  <si>
    <t>D472 ANILLO SEG.INOX.17 I</t>
  </si>
  <si>
    <t>D472 ANILLO SEG.INOX.18 I</t>
  </si>
  <si>
    <t>D472 ANILLO SEG.INOX.19 I</t>
  </si>
  <si>
    <t>D472 ANILLO SEG.INOX.20 I</t>
  </si>
  <si>
    <t>D472 ANILLO SEG.INOX.21 I</t>
  </si>
  <si>
    <t>D472 ANILLO SEG.INOX.22 I</t>
  </si>
  <si>
    <t>D472 ANILLO SEG.INOX.23 I</t>
  </si>
  <si>
    <t>D472 ANILLO SEG.INOX.24 I</t>
  </si>
  <si>
    <t>D472 ANILLO SEG.INOX.25 I</t>
  </si>
  <si>
    <t>D472 ANILLO SEG.INOX.26 I</t>
  </si>
  <si>
    <t>D472 ANILLO SEG.INOX.28 I</t>
  </si>
  <si>
    <t>D472 ANILLO SEG.INOX.29 I</t>
  </si>
  <si>
    <t>D472 ANILLO SEG.INOX.30 I</t>
  </si>
  <si>
    <t>D472 ANILLO SEG.INOX.32 I</t>
  </si>
  <si>
    <t>D472 ANILLO SEG.INOX.33 I</t>
  </si>
  <si>
    <t>D472 ANILLO SEG.INOX.34 I</t>
  </si>
  <si>
    <t>D472 ANILLO SEG.INOX.35 I</t>
  </si>
  <si>
    <t>D472 ANILLO SEG.INOX.36 I</t>
  </si>
  <si>
    <t>D472 ANILLO SEG.INOX.37 I</t>
  </si>
  <si>
    <t>D472 ANILLO SEG.INOX.38 I</t>
  </si>
  <si>
    <t>D472 ANILLO SEG.INOX.40 I</t>
  </si>
  <si>
    <t>D472 ANILLO SEG.INOX.41 I</t>
  </si>
  <si>
    <t>D472 ANILLO SEG.INOX.42 I</t>
  </si>
  <si>
    <t>D472 ANILLO SEG.INOX.43 I</t>
  </si>
  <si>
    <t>D472 ANILLO SEG.INOX.44 I</t>
  </si>
  <si>
    <t>D472 ANILLO SEG.INOX.45 I</t>
  </si>
  <si>
    <t>D472 ANILLO SEG.INOX.46 I</t>
  </si>
  <si>
    <t>D472 ANILLO SEG.INOX.47 I</t>
  </si>
  <si>
    <t>D472 ANILLO SEG.INOX.48 I</t>
  </si>
  <si>
    <t>D472 ANILLO SEG.INOX.49 I</t>
  </si>
  <si>
    <t>D472 ANILLO SEG.INOX.50 I</t>
  </si>
  <si>
    <t>D472 ANILLO SEG.INOX.52 I</t>
  </si>
  <si>
    <t>D472 ANILLO SEG.INOX.55 I</t>
  </si>
  <si>
    <t>D472 ANILLO SEG.INOX.58 I</t>
  </si>
  <si>
    <t>D472 ANILLO SEG.INOX.60 I</t>
  </si>
  <si>
    <t>D472 ANILLO SEG.INOX.62 I</t>
  </si>
  <si>
    <t>D472 ANILLO SEG.INOX.65 I</t>
  </si>
  <si>
    <t>D472 ANILLO SEG.INOX.68 I</t>
  </si>
  <si>
    <t>D472 ANILLO SEG.INOX.70 I</t>
  </si>
  <si>
    <t>D472 ANILLO SEG.INOX.72 I</t>
  </si>
  <si>
    <t>D472 ANILLO SEG.INOX.75 I</t>
  </si>
  <si>
    <t>D472 ANILLO SEG.INOX 80 I</t>
  </si>
  <si>
    <t>D472 ANILLO SEG.INOX.82 I</t>
  </si>
  <si>
    <t>D472 ANILLO SEG.INOX.85 I</t>
  </si>
  <si>
    <t>D472 ANILLO SEG.INOX.90 I</t>
  </si>
  <si>
    <t>D472 ANILLO SEG.INOX.92 I</t>
  </si>
  <si>
    <t>D472 ANILLO SEG.INOX.95 I</t>
  </si>
  <si>
    <t>AN.SEGUR.ESP.xForma 10Ax0.6</t>
  </si>
  <si>
    <t>ANILLO C/TRABA 16x2.2x1.5</t>
  </si>
  <si>
    <t>AN.SEG.ESP.xEspes.17Ax1.4</t>
  </si>
  <si>
    <t>D471 AN.SEGUR.CURVO 19Ax1.2</t>
  </si>
  <si>
    <t>D471 AN.SEGUR.CURVO 28Ax1.5</t>
  </si>
  <si>
    <t>041028-1.7</t>
  </si>
  <si>
    <t>AN.SEG.ESP.xEspes.28Ax1.7</t>
  </si>
  <si>
    <t>ANILLO C/TRABA 54x8.8x1.5</t>
  </si>
  <si>
    <t>0410VAT2</t>
  </si>
  <si>
    <t>ANILLO CURVO VAT 2 24x1.1</t>
  </si>
  <si>
    <t>AN.SEG.ESP.xEspesor 22 I x1.3</t>
  </si>
  <si>
    <t>AN.SEG.ESP.xEspesor 25Ix0.5</t>
  </si>
  <si>
    <t>041125.4</t>
  </si>
  <si>
    <t>NAM1300 ANILLO SEG. 25.4I</t>
  </si>
  <si>
    <t>041125-1.3</t>
  </si>
  <si>
    <t>AN.SEG.ESP.xEspesor 25Ix1.3</t>
  </si>
  <si>
    <t>AN.SEGUR.ESP.xForma 31 IA</t>
  </si>
  <si>
    <t>T5002 ANILLO AJUSTE  35IA</t>
  </si>
  <si>
    <t>I1308 ANILLO SEG.+Pasaje 16 I</t>
  </si>
  <si>
    <t>I1308 ANILLO SEG.+Pasaje 17 I</t>
  </si>
  <si>
    <t>I1308 ANILLO SEG.+Pasaje 18 I</t>
  </si>
  <si>
    <t>I1308 ANILLO SEG.+Pasaje 19 I</t>
  </si>
  <si>
    <t>I1308 ANILLO SEG.+Pasaje 20 I</t>
  </si>
  <si>
    <t>I1308 ANILLO SEG.+Pasaje 22 I</t>
  </si>
  <si>
    <t>I1308 ANILLO SEG.+Pasaje 24 I</t>
  </si>
  <si>
    <t>I1308 ANILLO SEG.+Pasaje 25 I</t>
  </si>
  <si>
    <t>I1308 ANILLO SEG.+Pasaje 26 I</t>
  </si>
  <si>
    <t>I1308 ANILLO SEG.+Pasaje 27 I</t>
  </si>
  <si>
    <t>I1308 ANILLO SEG.+Pasaje 28 I</t>
  </si>
  <si>
    <t>I1308 ANILLO SEG.+Pasaje 30 I</t>
  </si>
  <si>
    <t>I1308 ANILLO SEG.+Pasaje 32 I</t>
  </si>
  <si>
    <t>I1308 ANILLO SEG.+Pasaje 33 I</t>
  </si>
  <si>
    <t>I1308 ANILLO SEG.+Pasaje 35 I</t>
  </si>
  <si>
    <t>I1308 ANILLO SEG.+Pasaje 36 I</t>
  </si>
  <si>
    <t>I1308 ANILLO SEG.+Pasaje 38 I</t>
  </si>
  <si>
    <t>I1308 ANILLO SEG.+Pasaje 40 I</t>
  </si>
  <si>
    <t>I1308 ANILLO SEG.+Pasaje 42 I</t>
  </si>
  <si>
    <t>I1308 ANILLO SEG.+Pasaje 45 I</t>
  </si>
  <si>
    <t>I1308 ANILLO SEG.+Pasaje 47 I</t>
  </si>
  <si>
    <t>I1308 ANILLO SEG.+Pasaje 48 I</t>
  </si>
  <si>
    <t>I1308 ANILLO SEG.+Pasaje 50 I</t>
  </si>
  <si>
    <t>I1308 ANILLO SEG.+Pasaje 52 I</t>
  </si>
  <si>
    <t>I1308 ANILLO SEG.+Pasaje 55 I</t>
  </si>
  <si>
    <t>I1308 ANILLO SEG.+Pasaje 58 I</t>
  </si>
  <si>
    <t>I1308 ANILLO SEG.+Pasaje 60 I</t>
  </si>
  <si>
    <t>I1308 ANILLO SEG.+Pasaje 62 I</t>
  </si>
  <si>
    <t>I1308 ANILLO SEG.+Pasaje 65 I</t>
  </si>
  <si>
    <t>I1308 ANILLO SEG.+Pasaje 68 I</t>
  </si>
  <si>
    <t>I1308 ANILLO SEG.+Pasaje 72 I</t>
  </si>
  <si>
    <t>I1308 ANILLO SEG.+Pasaje 80 I</t>
  </si>
  <si>
    <t>I1308 ANILLO SEG.+Pasaje 85 I</t>
  </si>
  <si>
    <t>A1408 AN.SEG.+Pasaje 12 A</t>
  </si>
  <si>
    <t>A1408 AN.SEG.+Pasaje 14 A</t>
  </si>
  <si>
    <t>A1408 AN.SEG.+Pasaje 15 A</t>
  </si>
  <si>
    <t>A1408 AN.SEG.+Pasaje 16 A</t>
  </si>
  <si>
    <t>A1408 AN.SEG.+Pasaje 17 A</t>
  </si>
  <si>
    <t>A1408 AN.SEG.+Pasaje 18 A</t>
  </si>
  <si>
    <t>A1408 AN.SEG.+Pasaje 20 A</t>
  </si>
  <si>
    <t>A1408 AN.SEG.+Pasaje 22 A</t>
  </si>
  <si>
    <t>A1408 AN.SEG.+Pasaje 24 A</t>
  </si>
  <si>
    <t>A1408 AN.SEG.+Pasaje 25 A</t>
  </si>
  <si>
    <t>A1408 AN.SEG.+Pasaje 28 A</t>
  </si>
  <si>
    <t>A1408 AN.SEG.+Pasaje 30 A</t>
  </si>
  <si>
    <t>A1408 AN.SEG.+Pasaje 32 A</t>
  </si>
  <si>
    <t>A1408 AN.SEG.+Pasaje 34 A</t>
  </si>
  <si>
    <t>A1408 AN.SEG.+Pasaje 35 A</t>
  </si>
  <si>
    <t>A1408 AN.SEG.+Pasaje 40 A</t>
  </si>
  <si>
    <t>A1408 AN.SEG.+Pasaje 42 A</t>
  </si>
  <si>
    <t>A1408 AN.SEG.+Pasaje 45 A</t>
  </si>
  <si>
    <t>A1408 AN.SEG.+Pasaje 48 A</t>
  </si>
  <si>
    <t>A1408 AN.SEG.+Pasaje 50 A</t>
  </si>
  <si>
    <t>A1408 AN.SEG.+Pasaje 55 A</t>
  </si>
  <si>
    <t>A1408 AN.SEG.+Pasaje 58 A</t>
  </si>
  <si>
    <t>A1408 AN.SEG.+Pasaje 60 A</t>
  </si>
  <si>
    <t>A1408 AN.SEG.+Pasaje 65 A</t>
  </si>
  <si>
    <t>A1408 AN.SEG.+Pasaje 70 A</t>
  </si>
  <si>
    <t>A1408 AN.SEG.+Pasaje 75 A</t>
  </si>
  <si>
    <t>A1408 AN.SEG.+Pasaje 85 A</t>
  </si>
  <si>
    <t>N55e ANILLO AJ.DIREC.10AD</t>
  </si>
  <si>
    <t>N55e ANILLO AJ.DIREC.11AD</t>
  </si>
  <si>
    <t>N55e ANILLO AJ.DIREC.12AD</t>
  </si>
  <si>
    <t>N55e ANILLO AJ.DIREC.3 AD</t>
  </si>
  <si>
    <t>N55e ANILLO AJ.DIREC.4 AD</t>
  </si>
  <si>
    <t>N55e ANILLO AJ.DIREC.5 AD</t>
  </si>
  <si>
    <t>N55e ANILLO AJ.DIREC.6 AD</t>
  </si>
  <si>
    <t>N55e ANILLO AJ.DIREC.7 AD</t>
  </si>
  <si>
    <t>N55e ANILLO AJ.DIREC.8 AD</t>
  </si>
  <si>
    <t>N55e ANILLO AJ.DIREC.9 AD</t>
  </si>
  <si>
    <t>D6799 RETEN SEGUR. 1.5 RS</t>
  </si>
  <si>
    <t>D6799 RETEN SEGUR. 1.9 RS</t>
  </si>
  <si>
    <t>D6799 RETEN SEGUR. 10 RS</t>
  </si>
  <si>
    <t>042010ZM</t>
  </si>
  <si>
    <t>D6799 RETEN SEGUR.10 RS Z.Mec.</t>
  </si>
  <si>
    <t>D6799 RETEN SEGUR. 2.3 RS</t>
  </si>
  <si>
    <t>04202.3ZM</t>
  </si>
  <si>
    <t>D6799 RETEN SEGUR.  2.3 Z.Mec.</t>
  </si>
  <si>
    <t>D6799 RETEN SEGUR.  24 RS</t>
  </si>
  <si>
    <t>D6799 RETEN SEGUR. 3.2 RS</t>
  </si>
  <si>
    <t>04203.2ZM</t>
  </si>
  <si>
    <t>D6799 RETEN SEGUR. 3.2 Z.Mec.</t>
  </si>
  <si>
    <t xml:space="preserve">D6799 RETEN SEGUR.   4 RS </t>
  </si>
  <si>
    <t>D6799 RETEN SEGUR. 4 RS H1331</t>
  </si>
  <si>
    <t>04206BCE</t>
  </si>
  <si>
    <t xml:space="preserve">D6799 RETEN DE BRONCE 6 RS </t>
  </si>
  <si>
    <t>D6799 RETEN SEGUR. 6 RS H1331</t>
  </si>
  <si>
    <t>04207BCE</t>
  </si>
  <si>
    <t>D6799 RETEN DE BRONCE 7 RS</t>
  </si>
  <si>
    <t>D6799 RETEN SEGUR. 7 RS H1331</t>
  </si>
  <si>
    <t>D6799 RETEN SEGUR. 8 RS H1331</t>
  </si>
  <si>
    <t>D6799 RETEN SEGUR. 9 RS H1331</t>
  </si>
  <si>
    <t>RETEN SEGUR. 10RS x1.23</t>
  </si>
  <si>
    <t>D6799 RETEN CURVO   12 RS</t>
  </si>
  <si>
    <t>04212.3U</t>
  </si>
  <si>
    <t>D6799 RETEN CURVO  2.3 RS Zinc.Azul</t>
  </si>
  <si>
    <t>04213.2</t>
  </si>
  <si>
    <t>D6799 RETEN CURVO  3.2 RS</t>
  </si>
  <si>
    <t>04213.68</t>
  </si>
  <si>
    <t>RETEN SEGURIDAD 9/64 RS</t>
  </si>
  <si>
    <t>04213.68Z</t>
  </si>
  <si>
    <t>RETEN 3.68 ZINCADO BLANCO</t>
  </si>
  <si>
    <t>04214.76</t>
  </si>
  <si>
    <t>RETEN SEGURIDAD 3/16 RS</t>
  </si>
  <si>
    <t>RETEN SEGUR.  5 RS x0.5</t>
  </si>
  <si>
    <t>04215-0.5</t>
  </si>
  <si>
    <t>D6799 RETEN CURVO 5RSx0.5 h:1.4</t>
  </si>
  <si>
    <t>04215-0.6</t>
  </si>
  <si>
    <t>D6799 RETEN CURVO 5RSx0.6 h:1.2</t>
  </si>
  <si>
    <t>04215-0.7</t>
  </si>
  <si>
    <t>D6799 RETEN CURVO 5RSx0.7 h:1.5</t>
  </si>
  <si>
    <t>04215-H1.8</t>
  </si>
  <si>
    <t>D6799 RETEN CURVO 5RSx0.5 h:1.8</t>
  </si>
  <si>
    <t>04216.35</t>
  </si>
  <si>
    <t>RETEN SEGURIDAD  1/4 RS</t>
  </si>
  <si>
    <t>04216ZA</t>
  </si>
  <si>
    <t>CLIP ALA 6 Zi.Cr.Am.</t>
  </si>
  <si>
    <t>04217.6</t>
  </si>
  <si>
    <t>RETEN SEGURIDAD  7.6</t>
  </si>
  <si>
    <t>RETEN TRABA             8</t>
  </si>
  <si>
    <t>0421RE12</t>
  </si>
  <si>
    <t>CLIP APOYO ESP.FOSF. RE12</t>
  </si>
  <si>
    <t>04271.5</t>
  </si>
  <si>
    <t>D6799 RET.ENCOL.INOX 1.5 RS</t>
  </si>
  <si>
    <t>04271.9</t>
  </si>
  <si>
    <t>D6799 RET.ENCOL.INOX 1.9 RS</t>
  </si>
  <si>
    <t>D6799 RET.ENCOL.INOX.10RS</t>
  </si>
  <si>
    <t>D6799 RET.ENCOL.INOX.12RS</t>
  </si>
  <si>
    <t>D6799 RETEN INOX.   15 RS</t>
  </si>
  <si>
    <t>D6799 RETEN INOX.   19 RS</t>
  </si>
  <si>
    <t>04272.3</t>
  </si>
  <si>
    <t>D6799 RET.ENCOL.INOX 2.3 RS</t>
  </si>
  <si>
    <t>D6799 RETEN INOX. 24 RS AISI 301</t>
  </si>
  <si>
    <t>04273.2</t>
  </si>
  <si>
    <t>D6799 RET.ENCOL.INOX 3.2 RS</t>
  </si>
  <si>
    <t>D6799 RETEN INOX.   30 RS</t>
  </si>
  <si>
    <t>D6799 RET.ENCOL.INOX. 4 RS</t>
  </si>
  <si>
    <t>D6799 RET.ENCOL.INOX.5 RS</t>
  </si>
  <si>
    <t>D6799 RET.ENCOL.INOX.6 RS</t>
  </si>
  <si>
    <t>D6799 RET.ENCOL.INOX.7 RS</t>
  </si>
  <si>
    <t>D6799 RET.ENCOL.INOX.8 RS</t>
  </si>
  <si>
    <t>D6799 RET.ENCOL.INOX.9 RS</t>
  </si>
  <si>
    <t>D6799 RET.EN COLUMNA  1.2</t>
  </si>
  <si>
    <t>04281.5</t>
  </si>
  <si>
    <t>D6799 RET.EN COLUMNA  1.5</t>
  </si>
  <si>
    <t>04281.9</t>
  </si>
  <si>
    <t>D6799 RET.EN COLUMNA  1.9</t>
  </si>
  <si>
    <t>D6799 RETEN EN COLUMNA 10</t>
  </si>
  <si>
    <t>04282.3</t>
  </si>
  <si>
    <t>D6799 RET.EN COLUMNA  2.3</t>
  </si>
  <si>
    <t>04283.2</t>
  </si>
  <si>
    <t>D6799 RET.EN COLUMNA  3.2</t>
  </si>
  <si>
    <t>D6799 RETEN EN COLUMNA  4</t>
  </si>
  <si>
    <t>D6799 RETEN EN COLUMNA  5</t>
  </si>
  <si>
    <t>D6799 RETEN EN COLUMNA  6</t>
  </si>
  <si>
    <t>D6799 RETEN EN COLUMNA  7</t>
  </si>
  <si>
    <t>D6799 RETEN EN COLUMNA  8</t>
  </si>
  <si>
    <t>D6799 RETEN EN COLUMNA  9</t>
  </si>
  <si>
    <t>RETENES ST diametro 3</t>
  </si>
  <si>
    <t>TRABA RETEN       5103/31</t>
  </si>
  <si>
    <t>TRABA RETEN       5103/37</t>
  </si>
  <si>
    <t>TRABA RETEN       5103/43</t>
  </si>
  <si>
    <t>TRABA RETEN       5103/50</t>
  </si>
  <si>
    <t>TRABA RETEN       5103/56</t>
  </si>
  <si>
    <t>TRABA RETEN       5103/62</t>
  </si>
  <si>
    <t>TRABA RETEN       5103/68</t>
  </si>
  <si>
    <t>TRABA RETEN       5103/75</t>
  </si>
  <si>
    <t>TRABA TRM 10</t>
  </si>
  <si>
    <t>044110ZM</t>
  </si>
  <si>
    <t>TRABA TRM 10x1 Zinc.Mec.</t>
  </si>
  <si>
    <t>TRABA TRM12</t>
  </si>
  <si>
    <t>044112ZM</t>
  </si>
  <si>
    <t>TRABA TRM 12 Zinc.Mec.</t>
  </si>
  <si>
    <t>TRABA TRM  8x0.8</t>
  </si>
  <si>
    <t>D983 ANILLO EXT.c/Patas 16 AP</t>
  </si>
  <si>
    <t>D983 ANILLO EXT.c/Patas 17 AP</t>
  </si>
  <si>
    <t>D983 ANILLO EXT.c/Patas 18 AP</t>
  </si>
  <si>
    <t>D983 ANILLO EXT.c/Patas 20 AP</t>
  </si>
  <si>
    <t>D983 ANILLO EXT.c/Patas 22 AP</t>
  </si>
  <si>
    <t>D983 ANILLO EXT.C/Patas 25 AP</t>
  </si>
  <si>
    <t>D983 ANILLO EXT.c/Patas 30 AP</t>
  </si>
  <si>
    <t>D983 ANILLO EXT.c/Patas 35 AP</t>
  </si>
  <si>
    <t>D983 ANILLO EXT.c/Patas 38 AP</t>
  </si>
  <si>
    <t>D983 ANILLO EXT.c/Patas 40 AP</t>
  </si>
  <si>
    <t>D983 ANILLO EXT.c/Patas 45 AP</t>
  </si>
  <si>
    <t>D983 ANILLO EXT.c/Patas 50 AP</t>
  </si>
  <si>
    <t>D983 ANILLO EXT.c/Patas 55 AP</t>
  </si>
  <si>
    <t>D983 ANILLO EXT.c/Patas 60 AP</t>
  </si>
  <si>
    <t>D983 ANILLO EXT.c/Patas 65 AP</t>
  </si>
  <si>
    <t>D983 ANILLO EXT.c/Patas 68 AP</t>
  </si>
  <si>
    <t>D983 ANILLO EXT.c/Patas 70 AP</t>
  </si>
  <si>
    <t>D983 ANILLO EXT.c/Patas 75 AP</t>
  </si>
  <si>
    <t>D983 ANILLO EXT.c/Patas 80 AP</t>
  </si>
  <si>
    <t>D983 ANILLO EXT.c/Patas 85 AP</t>
  </si>
  <si>
    <t>D984 ANILLO INT.C/Patas 16 IP</t>
  </si>
  <si>
    <t>D984 ANILLO INT.C/Patas 18 IP</t>
  </si>
  <si>
    <t>D984 ANILLO INT.C/Patas 19 IP</t>
  </si>
  <si>
    <t>D984 ANILLO INT.C/Patas 20 IP</t>
  </si>
  <si>
    <t>D984 ANILLO INT.C/Patas 22 IP</t>
  </si>
  <si>
    <t>D984 ANILLO INT.C/Patas 24 IP</t>
  </si>
  <si>
    <t>D984 ANILLO INT.C/Patas 25 IP</t>
  </si>
  <si>
    <t>D984 ANILLO INT.C/Patas 26 IP</t>
  </si>
  <si>
    <t>D984 ANILLO INT.C/Patas 28 IP</t>
  </si>
  <si>
    <t>D984 ANILLO INT.C/Patas 30 IP</t>
  </si>
  <si>
    <t>D984 ANILLO INT.C/Patas 32 IP</t>
  </si>
  <si>
    <t>D984 ANILLO INT.C/Patas 34 IP</t>
  </si>
  <si>
    <t>D984 ANILLO INT.C/Patas 35 IP</t>
  </si>
  <si>
    <t>D984 ANILLO INT.C/Patas 36 IP</t>
  </si>
  <si>
    <t>D984 ANILLO INT.C/Patas 38 IP</t>
  </si>
  <si>
    <t>D984 ANILLO INT.C/Patas 40 IP</t>
  </si>
  <si>
    <t>D984 ANILLO INT.C/Patas 42 IP</t>
  </si>
  <si>
    <t>D984 ANILLO INT.C/Patas 45 IP</t>
  </si>
  <si>
    <t>D984 ANILLO INT.C/Patas 47 IP</t>
  </si>
  <si>
    <t>D984 ANILLO INT.C/Patas 52 IP</t>
  </si>
  <si>
    <t>D984 ANILLO INT.C/Patas 58 IP</t>
  </si>
  <si>
    <t>D984 ANILLO INT.C/Patas 60 IP</t>
  </si>
  <si>
    <t>D984 ANILLO INT.C/Patas 62 IP</t>
  </si>
  <si>
    <t>D984 ANILLO INT.C/Patas 65 IP</t>
  </si>
  <si>
    <t>D984 ANILLO INT.C/Patas 68 IP</t>
  </si>
  <si>
    <t>D984 ANILLO INT.C/Patas 72 IP</t>
  </si>
  <si>
    <t>D984 ANILLO INT.C/Patas 75 IP</t>
  </si>
  <si>
    <t>D984 ANILLO INT.C/Patas 80 IP</t>
  </si>
  <si>
    <t>050110-13</t>
  </si>
  <si>
    <t>ARAND.COBRE  10x13x1.25</t>
  </si>
  <si>
    <t>050110-14</t>
  </si>
  <si>
    <t>ARAND.COBRE  10x14x1.25</t>
  </si>
  <si>
    <t>8*13</t>
  </si>
  <si>
    <t>050110-14-1.5</t>
  </si>
  <si>
    <t>ARAND.COBRE ESP.10x14x1.5</t>
  </si>
  <si>
    <t>9*14</t>
  </si>
  <si>
    <t>050110-14-2</t>
  </si>
  <si>
    <t>ARAND.COBRE ESP.10x14x2</t>
  </si>
  <si>
    <t>12*17</t>
  </si>
  <si>
    <t>050110-15</t>
  </si>
  <si>
    <t>ARAND.COBRE  10x15x1.25</t>
  </si>
  <si>
    <t>13*20</t>
  </si>
  <si>
    <t>050110-15-1</t>
  </si>
  <si>
    <t>D7603 ARAND.COBRE 10x15x1</t>
  </si>
  <si>
    <t>21*26</t>
  </si>
  <si>
    <t>050110-16</t>
  </si>
  <si>
    <t>ARAND.COBRE  10x16x1.25</t>
  </si>
  <si>
    <t>050110-16-1</t>
  </si>
  <si>
    <t>D7603 ARAND.COBRE 10x16x1</t>
  </si>
  <si>
    <t>050110-16-1.5</t>
  </si>
  <si>
    <t>ARAND.COBRE ESP.10x16x1.5</t>
  </si>
  <si>
    <t>050110-17</t>
  </si>
  <si>
    <t>ARAND.COBRE  10x17x1.25</t>
  </si>
  <si>
    <t>050110-18</t>
  </si>
  <si>
    <t>ARAND.COBRE  10x18x1.25</t>
  </si>
  <si>
    <t>050110-19</t>
  </si>
  <si>
    <t>ARAND.COBRE  10x19x1.25</t>
  </si>
  <si>
    <t>050110-19-1</t>
  </si>
  <si>
    <t>ARAND.COBRE ESP.10x19x1</t>
  </si>
  <si>
    <t>050110-19-2</t>
  </si>
  <si>
    <t>ARAND.COBRE ESP.10x19x2</t>
  </si>
  <si>
    <t>050110-20-0.5</t>
  </si>
  <si>
    <t>ARAND.COBRE ESP.10x20x0.5</t>
  </si>
  <si>
    <t>050110-20-1</t>
  </si>
  <si>
    <t>ARAND.COBRE ESP.10x20x1</t>
  </si>
  <si>
    <t>050110-20-2</t>
  </si>
  <si>
    <t>ARAND.COBRE ESP.10x20x2</t>
  </si>
  <si>
    <t>050110-21</t>
  </si>
  <si>
    <t>ARAND.COBRE  10x21x1.25</t>
  </si>
  <si>
    <t>050110-21-0.5</t>
  </si>
  <si>
    <t>ARAND.COBRE ESP.10x21x0.5</t>
  </si>
  <si>
    <t>050110-21-1</t>
  </si>
  <si>
    <t>ARAND.COBRE ESP.10x21x1</t>
  </si>
  <si>
    <t>050110-21-1.5</t>
  </si>
  <si>
    <t>ARAND.COBRE ESP.10x21x1.5</t>
  </si>
  <si>
    <t>050110-21-2</t>
  </si>
  <si>
    <t>ARAND.COBRE ESP.10x21x2</t>
  </si>
  <si>
    <t>050110-21C</t>
  </si>
  <si>
    <t>AR.COBRE CONICA 10x21x0.5</t>
  </si>
  <si>
    <t>050110-24</t>
  </si>
  <si>
    <t>ARAND.COBRE  10x24x1.25</t>
  </si>
  <si>
    <t>050110-25</t>
  </si>
  <si>
    <t>ARAND.COBRE  10x25x1.25</t>
  </si>
  <si>
    <t>050110-25-2</t>
  </si>
  <si>
    <t>ARAND.COBRE ESP.10x25x2</t>
  </si>
  <si>
    <t>050111.3-17</t>
  </si>
  <si>
    <t>ARAND.COBRE  11.3x17.5x1.25</t>
  </si>
  <si>
    <t>050111.5-26</t>
  </si>
  <si>
    <t>ARAND.COBRE  11.5x26x1.25</t>
  </si>
  <si>
    <t>050111.6-15</t>
  </si>
  <si>
    <t>ARAND.COBRE  11.6x15.7x1.25</t>
  </si>
  <si>
    <t>050111.7-22</t>
  </si>
  <si>
    <t>ARAND.COBRE  11.7x22x1.25</t>
  </si>
  <si>
    <t>050111-14</t>
  </si>
  <si>
    <t>ARAND.COBRE  11x14x1.25</t>
  </si>
  <si>
    <t>050111-15</t>
  </si>
  <si>
    <t>ARAND.COBRE  11x15x1.25</t>
  </si>
  <si>
    <t>050111-16</t>
  </si>
  <si>
    <t>ARAND.COBRE  11x16x1.25</t>
  </si>
  <si>
    <t>050111-17</t>
  </si>
  <si>
    <t>ARAND.COBRE  11x17x1.25</t>
  </si>
  <si>
    <t>050111-18</t>
  </si>
  <si>
    <t>ARAND.COBRE  11x18x1.25</t>
  </si>
  <si>
    <t>050111-18-1</t>
  </si>
  <si>
    <t>ARAND.COBRE ESP.11x18x1</t>
  </si>
  <si>
    <t>050111-19-2</t>
  </si>
  <si>
    <t>ARAND.COBRE ESP.11x19x2</t>
  </si>
  <si>
    <t>050112.7-16</t>
  </si>
  <si>
    <t>ARAND.COBRE  12.7x16x1.25</t>
  </si>
  <si>
    <t>050112.7-18</t>
  </si>
  <si>
    <t>ARAND.COBRE ESP.12.7x18x1.5</t>
  </si>
  <si>
    <t>050112.7-20</t>
  </si>
  <si>
    <t>ARAND.COBRE  12.7x20x1.25</t>
  </si>
  <si>
    <t>050112-15</t>
  </si>
  <si>
    <t>ARAND.COBRE  12x15x1.25</t>
  </si>
  <si>
    <t>050112-15-1</t>
  </si>
  <si>
    <t>ARAND.COBRE ESP.12x15x1</t>
  </si>
  <si>
    <t>050112-16</t>
  </si>
  <si>
    <t>ARAND.COBRE  12x16x1.25</t>
  </si>
  <si>
    <t>050112-16-1.5</t>
  </si>
  <si>
    <t>D7603 ARAN.COBRE 12x16x1.5</t>
  </si>
  <si>
    <t>050112-17</t>
  </si>
  <si>
    <t>ARAND.COBRE  12x17x1.25</t>
  </si>
  <si>
    <t>050112-18</t>
  </si>
  <si>
    <t>ARAND.COBRE  12x18x1.25</t>
  </si>
  <si>
    <t>050112-18-1.5</t>
  </si>
  <si>
    <t>D7603 ARAN.COBRE 12x18x1.5</t>
  </si>
  <si>
    <t>050112-19</t>
  </si>
  <si>
    <t>ARAND.COBRE  12x19x1.25</t>
  </si>
  <si>
    <t>050112-22.5</t>
  </si>
  <si>
    <t>ARAND.COBRE  12x22.5x1.25</t>
  </si>
  <si>
    <t>050112-24</t>
  </si>
  <si>
    <t>ARAND.COBRE  12x24x1.25</t>
  </si>
  <si>
    <t>050113.5-19</t>
  </si>
  <si>
    <t>ARAND.COBRE  13.5x19x1.25</t>
  </si>
  <si>
    <t>050113-16</t>
  </si>
  <si>
    <t>ARAND.COBRE  13x16x1.25</t>
  </si>
  <si>
    <t>050113-16-2</t>
  </si>
  <si>
    <t>ARAND.COBRE ESP.13x16x2</t>
  </si>
  <si>
    <t>050113-17</t>
  </si>
  <si>
    <t>ARAND.COBRE  13x17x1.25</t>
  </si>
  <si>
    <t>050113-18</t>
  </si>
  <si>
    <t>ARAND.COBRE  13x18x1.25</t>
  </si>
  <si>
    <t>050113-19</t>
  </si>
  <si>
    <t>ARAND.COBRE  13x19x1.25</t>
  </si>
  <si>
    <t>050113-20</t>
  </si>
  <si>
    <t>ARAND.COBRE  13x20x1.25</t>
  </si>
  <si>
    <t>050113-20-2</t>
  </si>
  <si>
    <t>ARAND.COBRE ESP.13x20x2</t>
  </si>
  <si>
    <t>050113-24</t>
  </si>
  <si>
    <t>ARAND.COBRE  13x24x1.25</t>
  </si>
  <si>
    <t>050113-27</t>
  </si>
  <si>
    <t>ARAND.COBRE  13x27x1.25</t>
  </si>
  <si>
    <t>050114.5-20</t>
  </si>
  <si>
    <t>ARAND.COBRE  14.5x20x1.25</t>
  </si>
  <si>
    <t>050114.5-28</t>
  </si>
  <si>
    <t>ARAND.COBRE  14.5x28x1.25</t>
  </si>
  <si>
    <t>050114-18</t>
  </si>
  <si>
    <t>ARAND.COBRE  14x18x1.25</t>
  </si>
  <si>
    <t>050114-18-2</t>
  </si>
  <si>
    <t>ARAND.COBRE ESP.14x18x2</t>
  </si>
  <si>
    <t>050114-19</t>
  </si>
  <si>
    <t>ARAND.COBRE  14x19x1.25</t>
  </si>
  <si>
    <t>050114-20</t>
  </si>
  <si>
    <t>ARAND.COBRE  14x20x1.25</t>
  </si>
  <si>
    <t>050114-20-1.5</t>
  </si>
  <si>
    <t>D7603 ARAN.COBRE 14x20x1.5</t>
  </si>
  <si>
    <t>050114-20-2</t>
  </si>
  <si>
    <t>ARAND.COBRE ESP.14x20x2</t>
  </si>
  <si>
    <t>050114-22</t>
  </si>
  <si>
    <t>ARAND.COBRE  14x22x1.25</t>
  </si>
  <si>
    <t>050114-24</t>
  </si>
  <si>
    <t>ARAND.COBRE  14x24x1.25</t>
  </si>
  <si>
    <t>050114-30</t>
  </si>
  <si>
    <t>ARAND.COBRE  14x30x1.25</t>
  </si>
  <si>
    <t>050115.7-21</t>
  </si>
  <si>
    <t>ARAND.COBRE ESP.15.7x21x2</t>
  </si>
  <si>
    <t>050115-18</t>
  </si>
  <si>
    <t>ARAND.COBRE  15x18x1.25</t>
  </si>
  <si>
    <t>050115-19</t>
  </si>
  <si>
    <t>ARAND.COBRE  15x19x1.25</t>
  </si>
  <si>
    <t>050115-20</t>
  </si>
  <si>
    <t>ARAND.COBRE  15x20x1.25</t>
  </si>
  <si>
    <t>050115-21</t>
  </si>
  <si>
    <t>ARAND.COBRE  15x21x1.25</t>
  </si>
  <si>
    <t>050115-21-1</t>
  </si>
  <si>
    <t>ARAND.COBRE ESP.15x21x1.5</t>
  </si>
  <si>
    <t>050115-21-2</t>
  </si>
  <si>
    <t>ARAND.COBRE ESP.15x21x2</t>
  </si>
  <si>
    <t>050115-30</t>
  </si>
  <si>
    <t>ARAND.COBRE  15x30x1.25</t>
  </si>
  <si>
    <t>050116.5-26</t>
  </si>
  <si>
    <t>ARAND.COBRE  16.5x26x1.25</t>
  </si>
  <si>
    <t>050116.5-28</t>
  </si>
  <si>
    <t>ARAND.COBRE  16.5x28x1.25</t>
  </si>
  <si>
    <t>050116-19</t>
  </si>
  <si>
    <t>ARAND.COBRE  16x19x1.25</t>
  </si>
  <si>
    <t>050116-20</t>
  </si>
  <si>
    <t>ARAND.COBRE  16x20x1.25</t>
  </si>
  <si>
    <t>050116-20-1.5</t>
  </si>
  <si>
    <t>D7603 ARAND.COBRE 16x20x1.5</t>
  </si>
  <si>
    <t>050116-21</t>
  </si>
  <si>
    <t>ARAND.COBRE  16x21x1.25</t>
  </si>
  <si>
    <t>050116-21.5-1</t>
  </si>
  <si>
    <t>ARAND.COBRE ESP.16x21.5x1</t>
  </si>
  <si>
    <t>050116-22</t>
  </si>
  <si>
    <t>ARAND.COBRE  16x22x1.25</t>
  </si>
  <si>
    <t>050116-22-1</t>
  </si>
  <si>
    <t>D7603 ARAND.COBRE 16x22x1.5</t>
  </si>
  <si>
    <t>050116-22-2</t>
  </si>
  <si>
    <t>ARAND.COBRE ESP.16x22x2</t>
  </si>
  <si>
    <t>050116-24</t>
  </si>
  <si>
    <t>ARAND.COBRE  16x24x1.25</t>
  </si>
  <si>
    <t>050116-32</t>
  </si>
  <si>
    <t>ARAND.COBRE  16x32x1.25</t>
  </si>
  <si>
    <t>050117-21</t>
  </si>
  <si>
    <t>ARAND.COBRE  17x21x1.25</t>
  </si>
  <si>
    <t>050117-22</t>
  </si>
  <si>
    <t>ARAND.COBRE  17x22x1.25</t>
  </si>
  <si>
    <t>050117-23</t>
  </si>
  <si>
    <t>ARAND.COBRE  17x23x1.25</t>
  </si>
  <si>
    <t>050117-23-2</t>
  </si>
  <si>
    <t>ARAND.COBRE ESP.17x23x2</t>
  </si>
  <si>
    <t>050117-24</t>
  </si>
  <si>
    <t>ARAND.COBRE  17x24x1.25</t>
  </si>
  <si>
    <t>050117-34</t>
  </si>
  <si>
    <t>ARAND.COBRE  17x34x1.25</t>
  </si>
  <si>
    <t>050118-22</t>
  </si>
  <si>
    <t>ARAND.COBRE  18x22x1.25</t>
  </si>
  <si>
    <t>050118-23</t>
  </si>
  <si>
    <t>ARAND.COBRE  18x23x1.25</t>
  </si>
  <si>
    <t>050118-24</t>
  </si>
  <si>
    <t>ARAND.COBRE  18x24x1.25</t>
  </si>
  <si>
    <t>050119-23</t>
  </si>
  <si>
    <t>ARAND.COBRE  19x23x1.25</t>
  </si>
  <si>
    <t>050119-24</t>
  </si>
  <si>
    <t>ARAND.COBRE  19x24x1.25</t>
  </si>
  <si>
    <t>050119-24-2</t>
  </si>
  <si>
    <t>ARAND.COBRE ESP.19x24x2</t>
  </si>
  <si>
    <t>050119-25.5</t>
  </si>
  <si>
    <t>ARAND.COBRE  19x25.5x1.25</t>
  </si>
  <si>
    <t>050119-25.5-1.5</t>
  </si>
  <si>
    <t>ARAND.COBRE ESP.19x25.5x1.5</t>
  </si>
  <si>
    <t>050119-27</t>
  </si>
  <si>
    <t>ARAND.COBRE  19x27x1.25</t>
  </si>
  <si>
    <t>050119-38</t>
  </si>
  <si>
    <t>ARAND.COBRE  19x38x1.25</t>
  </si>
  <si>
    <t>05012.5-6</t>
  </si>
  <si>
    <t>ARAND.COBRE  2.5x6x1.25</t>
  </si>
  <si>
    <t>050120-24</t>
  </si>
  <si>
    <t>ARAND.COBRE  20x24x1.25</t>
  </si>
  <si>
    <t>050120-25</t>
  </si>
  <si>
    <t>ARAND.COBRE  20x25x1.25</t>
  </si>
  <si>
    <t>050120-26</t>
  </si>
  <si>
    <t>ARAND.COBRE  20x26x1.25</t>
  </si>
  <si>
    <t>050120-28</t>
  </si>
  <si>
    <t>ARAND.COBRE  20x28x1.25</t>
  </si>
  <si>
    <t>050120-30</t>
  </si>
  <si>
    <t>ARAND.COBRE  20x30x1.25</t>
  </si>
  <si>
    <t>050121-25.5</t>
  </si>
  <si>
    <t>ARAND.COBRE  21x25.5x1.25</t>
  </si>
  <si>
    <t>050121-26</t>
  </si>
  <si>
    <t>ARAND.COBRE  21x26x1.25</t>
  </si>
  <si>
    <t>050121-27</t>
  </si>
  <si>
    <t>ARAND.COBRE  21x27x1.25</t>
  </si>
  <si>
    <t>050121-31</t>
  </si>
  <si>
    <t>ARAND.COBRE  21x31x1.25</t>
  </si>
  <si>
    <t>050122.5-29</t>
  </si>
  <si>
    <t>ARAND.COBRE  22.5x29x1.25</t>
  </si>
  <si>
    <t>050122.5-37</t>
  </si>
  <si>
    <t>ARAND.COBRE  22.5x37x1.25</t>
  </si>
  <si>
    <t>050122-26</t>
  </si>
  <si>
    <t>ARAND.COBRE  22x26x1.25</t>
  </si>
  <si>
    <t>050122-27</t>
  </si>
  <si>
    <t>ARAND.COBRE  22x27x1.25</t>
  </si>
  <si>
    <t>050122-27-1.5</t>
  </si>
  <si>
    <t>D7603 ARAND.COBRE 22x27x1.5</t>
  </si>
  <si>
    <t>050122-28</t>
  </si>
  <si>
    <t>ARAND.COBRE  22x28x1.25</t>
  </si>
  <si>
    <t>050122-30</t>
  </si>
  <si>
    <t>ARAND.COBRE  22x30x1.25</t>
  </si>
  <si>
    <t>050122-32</t>
  </si>
  <si>
    <t>ARAND.COBRE  22x32x1.25</t>
  </si>
  <si>
    <t>050123-28</t>
  </si>
  <si>
    <t>ARAND.COBRE  23x28x1.25</t>
  </si>
  <si>
    <t>050123-45</t>
  </si>
  <si>
    <t>ARAND.COBRE  23x45x1.25</t>
  </si>
  <si>
    <t>050124-28</t>
  </si>
  <si>
    <t>ARAND.COBRE  24x28x1.25</t>
  </si>
  <si>
    <t>050124-30</t>
  </si>
  <si>
    <t>ARAND.COBRE  24x30x1.25</t>
  </si>
  <si>
    <t>050124-30-2</t>
  </si>
  <si>
    <t>ARAND.COBRE ESP.24x30x2</t>
  </si>
  <si>
    <t>050124-32</t>
  </si>
  <si>
    <t>ARAND.COBRE  24x32x1.25</t>
  </si>
  <si>
    <t>050124-38</t>
  </si>
  <si>
    <t>ARAND.COBRE  24x38x1.25</t>
  </si>
  <si>
    <t>050125.5-29</t>
  </si>
  <si>
    <t>ARAND.COBRE  25.5x29.5x1.25</t>
  </si>
  <si>
    <t>050125-29</t>
  </si>
  <si>
    <t>ARAND.COBRE  25x29x1.25</t>
  </si>
  <si>
    <t>050125-30</t>
  </si>
  <si>
    <t>ARAND.COBRE  25x30x1.25</t>
  </si>
  <si>
    <t>050125-33</t>
  </si>
  <si>
    <t>ARAND.COBRE  25x33x1.25</t>
  </si>
  <si>
    <t>050125-33-1</t>
  </si>
  <si>
    <t>ARAND.COBRE ESP.25x33x1</t>
  </si>
  <si>
    <t>050126-30</t>
  </si>
  <si>
    <t>ARAND.COBRE  26x30x1.25</t>
  </si>
  <si>
    <t>050126-32</t>
  </si>
  <si>
    <t>ARAND.COBRE  26x32x1.25</t>
  </si>
  <si>
    <t>050126-32-2</t>
  </si>
  <si>
    <t>D7603 ARAND.COBRE 26x32x2</t>
  </si>
  <si>
    <t>050126-34</t>
  </si>
  <si>
    <t>ARAND.COBRE  26x34x1.25</t>
  </si>
  <si>
    <t>050126-36</t>
  </si>
  <si>
    <t>ARAND.COBRE  26x36x1.25</t>
  </si>
  <si>
    <t>050126-45</t>
  </si>
  <si>
    <t>ARAND.COBRE  26x45x1.25</t>
  </si>
  <si>
    <t>050127-32</t>
  </si>
  <si>
    <t>ARAND.COBRE  27x32x1.25</t>
  </si>
  <si>
    <t>050127-35</t>
  </si>
  <si>
    <t>ARAND.COBRE  27x35x1.25</t>
  </si>
  <si>
    <t>050127-36.5</t>
  </si>
  <si>
    <t>ARAND.COBRE  27x36.5x1.25</t>
  </si>
  <si>
    <t>050127-50</t>
  </si>
  <si>
    <t>ARAND.COBRE  27x50x1.25</t>
  </si>
  <si>
    <t>050128.5-35</t>
  </si>
  <si>
    <t>ARAND.COBRE  28.5x35x1.25</t>
  </si>
  <si>
    <t>050128-32</t>
  </si>
  <si>
    <t>ARAND.COBRE  28x32x1.25</t>
  </si>
  <si>
    <t>050128-34</t>
  </si>
  <si>
    <t>ARAND.COBRE  28x34x1.25</t>
  </si>
  <si>
    <t>050128-36</t>
  </si>
  <si>
    <t>ARAND.COBRE  28x36x1.25</t>
  </si>
  <si>
    <t>050128-36-0.5</t>
  </si>
  <si>
    <t>ARAND.COBRE ESP.28x36x0.5</t>
  </si>
  <si>
    <t>050128-36-2</t>
  </si>
  <si>
    <t>ARAND.COBRE ESP.28x36x2</t>
  </si>
  <si>
    <t>050129-33</t>
  </si>
  <si>
    <t>ARAND.COBRE  29x33x1.25</t>
  </si>
  <si>
    <t>050129-36</t>
  </si>
  <si>
    <t>ARAND.COBRE  29x36x1.25</t>
  </si>
  <si>
    <t>050129-39</t>
  </si>
  <si>
    <t>ARAND.COBRE  29x39x1.25</t>
  </si>
  <si>
    <t>05013.5-8</t>
  </si>
  <si>
    <t>ARAND.COBRE  3.5x8x1.25</t>
  </si>
  <si>
    <t>050130-36</t>
  </si>
  <si>
    <t>ARAND.COBRE  30x36x1.25</t>
  </si>
  <si>
    <t>050130-36-2</t>
  </si>
  <si>
    <t>D7603 ARAND.COBRE 30x36x2</t>
  </si>
  <si>
    <t>050130-37-1</t>
  </si>
  <si>
    <t>ARAND.COBRE ESP.  30x37x1</t>
  </si>
  <si>
    <t>050130-40</t>
  </si>
  <si>
    <t>ARAND.COBRE  30x40x1.25</t>
  </si>
  <si>
    <t>050130-40-2</t>
  </si>
  <si>
    <t>ARAND.COBRE ESP. 30x40x2</t>
  </si>
  <si>
    <t>05013-10</t>
  </si>
  <si>
    <t>ARAND.COBRE  3x10x1.25</t>
  </si>
  <si>
    <t>050131-36</t>
  </si>
  <si>
    <t>ARAND.COBRE  31x36x1.25</t>
  </si>
  <si>
    <t>050132-36-0.5</t>
  </si>
  <si>
    <t>ARAND.COBRE ESP.32x36x0.5</t>
  </si>
  <si>
    <t>050132-40</t>
  </si>
  <si>
    <t>ARAND.COBRE  32x40x1.25</t>
  </si>
  <si>
    <t>050132-40-2</t>
  </si>
  <si>
    <t>ARAND.COBRE ESP. 32x40x2</t>
  </si>
  <si>
    <t>050132-42</t>
  </si>
  <si>
    <t>ARAND.COBRE  32x42x1.25</t>
  </si>
  <si>
    <t>050132-50</t>
  </si>
  <si>
    <t>ARAND.COBRE  32x50x1.25</t>
  </si>
  <si>
    <t>050133.5-40-2</t>
  </si>
  <si>
    <t>ARAND.COBRE ESP.33.5x40x2</t>
  </si>
  <si>
    <t>050133-37</t>
  </si>
  <si>
    <t>ARAND.COBRE  33x37x1.25</t>
  </si>
  <si>
    <t>050133-43</t>
  </si>
  <si>
    <t>ARAND.COBRE  33x43x1.25</t>
  </si>
  <si>
    <t>050134-42</t>
  </si>
  <si>
    <t>ARAND.COBRE  34x42x1.25</t>
  </si>
  <si>
    <t>050135-41</t>
  </si>
  <si>
    <t>ARAND.COBRE  35x41x1.25</t>
  </si>
  <si>
    <t>05013-6</t>
  </si>
  <si>
    <t>ARAND.COBRE  3x6x1.25</t>
  </si>
  <si>
    <t>050136-42</t>
  </si>
  <si>
    <t>ARAND.COBRE  36x42x1.25</t>
  </si>
  <si>
    <t>050138-42</t>
  </si>
  <si>
    <t>ARAND.COBRE  38x42x1.25</t>
  </si>
  <si>
    <t>050138-46</t>
  </si>
  <si>
    <t>ARAND.COBRE  38x46x1.25</t>
  </si>
  <si>
    <t>050139-54</t>
  </si>
  <si>
    <t>ARAND.COBRE  39x54x1.25</t>
  </si>
  <si>
    <t>050140-48</t>
  </si>
  <si>
    <t>ARAND.COBRE  40x48x1.25</t>
  </si>
  <si>
    <t>050140-50</t>
  </si>
  <si>
    <t>ARAND.COBRE  40x50x1.25</t>
  </si>
  <si>
    <t>050140-54</t>
  </si>
  <si>
    <t>ARAND.COBRE  40x54x1.25</t>
  </si>
  <si>
    <t>05014-10</t>
  </si>
  <si>
    <t>ARAND.COBRE  4x10x1.25</t>
  </si>
  <si>
    <t>05014-11</t>
  </si>
  <si>
    <t>ARAND.COBRE  4x11x1.25</t>
  </si>
  <si>
    <t>05014-12.5</t>
  </si>
  <si>
    <t>ARAND.COBRE  4x12.5x1.25</t>
  </si>
  <si>
    <t>050141-45</t>
  </si>
  <si>
    <t>ARAND.COBRE  41x45x1.25</t>
  </si>
  <si>
    <t>05014-22</t>
  </si>
  <si>
    <t>ARAND.COBRE  4x22x1.25</t>
  </si>
  <si>
    <t>050142-50</t>
  </si>
  <si>
    <t>ARAND.COBRE  42x50x1.25</t>
  </si>
  <si>
    <t>050142-50-2</t>
  </si>
  <si>
    <t>ARAND.COBRE ESP.42x50x2</t>
  </si>
  <si>
    <t>050142-54</t>
  </si>
  <si>
    <t>ARAND.COBRE  42x54x1.25</t>
  </si>
  <si>
    <t>050145-51</t>
  </si>
  <si>
    <t>ARAND.COBRE  45x51x1.25</t>
  </si>
  <si>
    <t>050145-52</t>
  </si>
  <si>
    <t>ARAND.COBRE  45x52x1.25</t>
  </si>
  <si>
    <t>050146-54</t>
  </si>
  <si>
    <t>ARAND.COBRE  46x54x1.25</t>
  </si>
  <si>
    <t>05014-7</t>
  </si>
  <si>
    <t>ARAND.COBRE  4x7x1.25</t>
  </si>
  <si>
    <t>05014-8</t>
  </si>
  <si>
    <t>ARAND.COBRE  4x8x1.25</t>
  </si>
  <si>
    <t>05014-9</t>
  </si>
  <si>
    <t>ARAND.COBRE  4x9x1.25</t>
  </si>
  <si>
    <t>05015.5-9.5</t>
  </si>
  <si>
    <t>ARAND.COBRE   5.5x9.5x1.25</t>
  </si>
  <si>
    <t>05015-10</t>
  </si>
  <si>
    <t>ARAND.COBRE  5x10x1.25</t>
  </si>
  <si>
    <t>05015-10-2</t>
  </si>
  <si>
    <t>ARAND.COBRE ESP. 5x10x2</t>
  </si>
  <si>
    <t>05015-12</t>
  </si>
  <si>
    <t>ARAND.COBRE  5x12x1.25</t>
  </si>
  <si>
    <t>05015-13</t>
  </si>
  <si>
    <t>ARAND.COBRE  5x13x1.25</t>
  </si>
  <si>
    <t>05015-14</t>
  </si>
  <si>
    <t>ARAND.COBRE  5x14x1.25</t>
  </si>
  <si>
    <t>05015-16</t>
  </si>
  <si>
    <t>ARAND.COBRE  5x16x1.25</t>
  </si>
  <si>
    <t>05015-25</t>
  </si>
  <si>
    <t>ARAND.COBRE  5x25x1.25</t>
  </si>
  <si>
    <t>050152-60</t>
  </si>
  <si>
    <t>ARAND.COBRE  52x60x1.25</t>
  </si>
  <si>
    <t>050156-81</t>
  </si>
  <si>
    <t>ARAND.COBRE  56x81x1.25</t>
  </si>
  <si>
    <t>05015-8</t>
  </si>
  <si>
    <t>ARAND.COBRE  5x8x1.25</t>
  </si>
  <si>
    <t>05015-9</t>
  </si>
  <si>
    <t>ARAND.COBRE  5x9x1.25</t>
  </si>
  <si>
    <t>05016.5-10</t>
  </si>
  <si>
    <t>ARAND.COBRE   6.5x10x1.25</t>
  </si>
  <si>
    <t>05016.5-12</t>
  </si>
  <si>
    <t>ARAND.COBRE   6.5x12x1.25</t>
  </si>
  <si>
    <t>05016.5-13</t>
  </si>
  <si>
    <t>ARAND.COBRE   6.5x13x1.25</t>
  </si>
  <si>
    <t>05016.5-16</t>
  </si>
  <si>
    <t>ARAND.COBRE   6.5x16x1.25</t>
  </si>
  <si>
    <t>05016.5-20</t>
  </si>
  <si>
    <t>ARAND.COBRE   6.5x20x1.25</t>
  </si>
  <si>
    <t>05016.5-9.5</t>
  </si>
  <si>
    <t>ARAND.COBRE   6.5x9.5x1.25</t>
  </si>
  <si>
    <t>050160.5-66</t>
  </si>
  <si>
    <t>ARAND.COBRE  60.5x66x1.25</t>
  </si>
  <si>
    <t>05016-10</t>
  </si>
  <si>
    <t>ARAND.COBRE   6x10x1.25</t>
  </si>
  <si>
    <t>05016-11</t>
  </si>
  <si>
    <t>ARAND.COBRE   6x11x1.25</t>
  </si>
  <si>
    <t>050161-71</t>
  </si>
  <si>
    <t>ARAND.COBRE  61x71x1.25</t>
  </si>
  <si>
    <t>050167-83</t>
  </si>
  <si>
    <t>ARAND.COBRE  67x83x1.25</t>
  </si>
  <si>
    <t>05016-8</t>
  </si>
  <si>
    <t>ARAND.COBRE   6x8x1.25</t>
  </si>
  <si>
    <t>05016-9</t>
  </si>
  <si>
    <t>ARAND.COBRE   6x9x1.25</t>
  </si>
  <si>
    <t>05017-10</t>
  </si>
  <si>
    <t>ARAND.COBRE   7x10x1.25</t>
  </si>
  <si>
    <t>05017-11</t>
  </si>
  <si>
    <t>ARAND.COBRE   7x11x1.25</t>
  </si>
  <si>
    <t>05017-12</t>
  </si>
  <si>
    <t>ARAND.COBRE   7x12x1.25</t>
  </si>
  <si>
    <t>05017-13</t>
  </si>
  <si>
    <t>ARAND.COBRE   7x13x1.25</t>
  </si>
  <si>
    <t>05017-13-1</t>
  </si>
  <si>
    <t>ARAND.COBRE ESP. 7x13x1</t>
  </si>
  <si>
    <t>05017-14</t>
  </si>
  <si>
    <t>ARAND.COBRE   7x14x1.25</t>
  </si>
  <si>
    <t>05017-15</t>
  </si>
  <si>
    <t>ARAND.COBRE   7x15x1.25</t>
  </si>
  <si>
    <t>05017-17</t>
  </si>
  <si>
    <t>ARAND.COBRE   7x17x1.25</t>
  </si>
  <si>
    <t>05017-20</t>
  </si>
  <si>
    <t>ARAND.COBRE   7x20x1.25</t>
  </si>
  <si>
    <t>050180-90</t>
  </si>
  <si>
    <t>ARAND.COBRE  80x90x1.25</t>
  </si>
  <si>
    <t>05018-10</t>
  </si>
  <si>
    <t>ARAND.COBRE   8x10x1.25</t>
  </si>
  <si>
    <t>05018-10-0.5</t>
  </si>
  <si>
    <t>ARAND.COBRE ESP. 8x10x0.5</t>
  </si>
  <si>
    <t>05018-11</t>
  </si>
  <si>
    <t>ARAND.COBRE   8x11x1.25</t>
  </si>
  <si>
    <t>05018-12</t>
  </si>
  <si>
    <t>ARAND.COBRE   8x12x1.25</t>
  </si>
  <si>
    <t>05018-12.5</t>
  </si>
  <si>
    <t>ARAND.COBRE   8x12.5x1.25</t>
  </si>
  <si>
    <t>05018-13</t>
  </si>
  <si>
    <t>ARAND.COBRE   8x13x1.25</t>
  </si>
  <si>
    <t>05019-14</t>
  </si>
  <si>
    <t>ARAND.COBRE   9x14x1.25</t>
  </si>
  <si>
    <t>05018-13-1</t>
  </si>
  <si>
    <t>D 7603 ARAND.COBRE 8x13x1</t>
  </si>
  <si>
    <t>05018-13-1.5</t>
  </si>
  <si>
    <t>ARAND.COBRE ESP. 8x13x1.5</t>
  </si>
  <si>
    <t>05018-13-2</t>
  </si>
  <si>
    <t>ARAND.COBRE ESP. 8x13x2</t>
  </si>
  <si>
    <t>05018-14</t>
  </si>
  <si>
    <t>ARAND.COBRE   8x14x1.25</t>
  </si>
  <si>
    <t>05018-14-1</t>
  </si>
  <si>
    <t>D 7603 ARAND.COBRE 8x14x1</t>
  </si>
  <si>
    <t>05018-16</t>
  </si>
  <si>
    <t>ARAND.COBRE   8x16x1.25</t>
  </si>
  <si>
    <t>05018-18</t>
  </si>
  <si>
    <t>ARAND.COBRE   8x18x1.25</t>
  </si>
  <si>
    <t>05018-20</t>
  </si>
  <si>
    <t>ARAND.COBRE   8x20x1.25</t>
  </si>
  <si>
    <t>05018-20-2</t>
  </si>
  <si>
    <t>ARAND.COBRE ESP. 8x20x2</t>
  </si>
  <si>
    <t>05019.4-18</t>
  </si>
  <si>
    <t>ARAND.COBRE   9.4x18x1.25</t>
  </si>
  <si>
    <t>05019.5-14</t>
  </si>
  <si>
    <t>ARAND.COBRE   9.5x14x1.25</t>
  </si>
  <si>
    <t>05019.5-14-1</t>
  </si>
  <si>
    <t>ARAND.COBRE ESP. 9.5x14x1.5</t>
  </si>
  <si>
    <t>05019.5-14-2</t>
  </si>
  <si>
    <t>ARAND.COBRE ESP. 9.5x14x2</t>
  </si>
  <si>
    <t>05019.5-20</t>
  </si>
  <si>
    <t>ARAND.COBRE   9.5x20x1.25</t>
  </si>
  <si>
    <t>05019.6-16</t>
  </si>
  <si>
    <t>ARAND.COBRE   9.6x16x1.25</t>
  </si>
  <si>
    <t>05019.7-13</t>
  </si>
  <si>
    <t>ARAND.COBRE   9.7x13x1.25</t>
  </si>
  <si>
    <t>05019-11</t>
  </si>
  <si>
    <t>ARAND.COBRE   9x11x1.25</t>
  </si>
  <si>
    <t>05019-12</t>
  </si>
  <si>
    <t>ARAND.COBRE   9x12x1.25</t>
  </si>
  <si>
    <t>05019-13</t>
  </si>
  <si>
    <t>ARAND.COBRE   9x13x1.25</t>
  </si>
  <si>
    <t>05019-13-0.5</t>
  </si>
  <si>
    <t>ARAND.COBRE ESP. 9x13x0.5</t>
  </si>
  <si>
    <t>05019-14-2</t>
  </si>
  <si>
    <t>ARAND.COBRE ESP. 9x14x2</t>
  </si>
  <si>
    <t>050210-13</t>
  </si>
  <si>
    <t>ARAND.FIBRA   10x13x1.25</t>
  </si>
  <si>
    <t>050210-14</t>
  </si>
  <si>
    <t>ARAND.FIBRA   10x14x1.25</t>
  </si>
  <si>
    <t>050210-15</t>
  </si>
  <si>
    <t>ARAND.FIBRA   10x15x1.25</t>
  </si>
  <si>
    <t>050210-16</t>
  </si>
  <si>
    <t>ARAND.FIBRA   10x16x1.25</t>
  </si>
  <si>
    <t>050210-16-1</t>
  </si>
  <si>
    <t>D7603 ARAND.FIBRA 10x16x1</t>
  </si>
  <si>
    <t>050210-17</t>
  </si>
  <si>
    <t>ARAND.FIBRA   10x17x1.25</t>
  </si>
  <si>
    <t>050210-18</t>
  </si>
  <si>
    <t>ARAND.FIBRA   10x18x1.25</t>
  </si>
  <si>
    <t>050210-19</t>
  </si>
  <si>
    <t>ARAND.FIBRA   10x19x1.25</t>
  </si>
  <si>
    <t>050210-20</t>
  </si>
  <si>
    <t>ARAND.FIBRA   10x20x1.25</t>
  </si>
  <si>
    <t>050210-21</t>
  </si>
  <si>
    <t>ARAND.FIBRA   10x21x1.25</t>
  </si>
  <si>
    <t>050210-24</t>
  </si>
  <si>
    <t>ARAND.FIBRA   10x24x1.25</t>
  </si>
  <si>
    <t>050210-25</t>
  </si>
  <si>
    <t>ARAND.FIBRA   10x25x1.25</t>
  </si>
  <si>
    <t>050211.3-17</t>
  </si>
  <si>
    <t>ARAND.FIBRA  11.3x17.5x1.25</t>
  </si>
  <si>
    <t>050211.5-26</t>
  </si>
  <si>
    <t>ARAND.FIBRA  11.5x26x1.25</t>
  </si>
  <si>
    <t>050211.6-15</t>
  </si>
  <si>
    <t>ARAND.FIBRA  11.6x15x1.25</t>
  </si>
  <si>
    <t>050211.7-22</t>
  </si>
  <si>
    <t>ARAND.FIBRA  11.7x22x1.25</t>
  </si>
  <si>
    <t>050211-14</t>
  </si>
  <si>
    <t>ARAND.FIBRA  11x14x1.25</t>
  </si>
  <si>
    <t>050211-15</t>
  </si>
  <si>
    <t>ARAND.FIBRA  11x15x1.25</t>
  </si>
  <si>
    <t>050211-16</t>
  </si>
  <si>
    <t>ARAND.FIBRA  11x16x1.25</t>
  </si>
  <si>
    <t>050211-17</t>
  </si>
  <si>
    <t>ARAND.FIBRA  11x17x1.25</t>
  </si>
  <si>
    <t>050211-18</t>
  </si>
  <si>
    <t>ARAND.FIBRA  11x18x1.25</t>
  </si>
  <si>
    <t>050212.7-16</t>
  </si>
  <si>
    <t>ARAND.FIBRA  12.7x16x1.25</t>
  </si>
  <si>
    <t>050212.7-20</t>
  </si>
  <si>
    <t>ARAND.FIBRA  12.7x20x1.25</t>
  </si>
  <si>
    <t>050212-15</t>
  </si>
  <si>
    <t>ARAND.FIBRA  12x15x1.25</t>
  </si>
  <si>
    <t>050212-16</t>
  </si>
  <si>
    <t>ARAND.FIBRA  12x16x1.25</t>
  </si>
  <si>
    <t>050212-17</t>
  </si>
  <si>
    <t>ARAND.FIBRA  12x17x1.25</t>
  </si>
  <si>
    <t>050212-18</t>
  </si>
  <si>
    <t>ARAND.FIBRA  12x18x1.25</t>
  </si>
  <si>
    <t>050212-19</t>
  </si>
  <si>
    <t>ARAND.FIBRA  12x19x1.25</t>
  </si>
  <si>
    <t>050212-20</t>
  </si>
  <si>
    <t>ARAND.FIBRA  12x20x1.25</t>
  </si>
  <si>
    <t>050212-22.5</t>
  </si>
  <si>
    <t>ARAND.FIBRA  12x22.5x1.25</t>
  </si>
  <si>
    <t>050212-24</t>
  </si>
  <si>
    <t>ARAND.FIBRA  12x24x1.25</t>
  </si>
  <si>
    <t>050213-16</t>
  </si>
  <si>
    <t>ARAND.FIBRA  13x16x1.25</t>
  </si>
  <si>
    <t>050213-17</t>
  </si>
  <si>
    <t>ARAND.FIBRA  13x17x1.25</t>
  </si>
  <si>
    <t>050213-18</t>
  </si>
  <si>
    <t>ARAND.FIBRA  13x18x1.25</t>
  </si>
  <si>
    <t>050213-19</t>
  </si>
  <si>
    <t>ARAND.FIBRA  13x19x1.25</t>
  </si>
  <si>
    <t>050213-20</t>
  </si>
  <si>
    <t>ARAND.FIBRA  13x20x1.25</t>
  </si>
  <si>
    <t>050213-24</t>
  </si>
  <si>
    <t>ARAND.FIBRA  13x24x1.25</t>
  </si>
  <si>
    <t>050213-27</t>
  </si>
  <si>
    <t>ARAND.FIBRA  13x27x1.25</t>
  </si>
  <si>
    <t>050214.5-20</t>
  </si>
  <si>
    <t>ARAND.FIBRA  14.5x20x1.25</t>
  </si>
  <si>
    <t>050214.5-28</t>
  </si>
  <si>
    <t>ARAND.FIBRA  14.5x28x1.25</t>
  </si>
  <si>
    <t>050214-18</t>
  </si>
  <si>
    <t>ARAND.FIBRA  14x18x1.25</t>
  </si>
  <si>
    <t>050214-19</t>
  </si>
  <si>
    <t>ARAND.FIBRA  14x19x1.25</t>
  </si>
  <si>
    <t>050214-20</t>
  </si>
  <si>
    <t>ARAND.FIBRA  14x20x1.25</t>
  </si>
  <si>
    <t>050214-20-1</t>
  </si>
  <si>
    <t>ARAND.FIBRA ESP.14x20x1</t>
  </si>
  <si>
    <t>050214-22</t>
  </si>
  <si>
    <t>ARAND.FIBRA  14x22x1.25</t>
  </si>
  <si>
    <t>050214-24</t>
  </si>
  <si>
    <t>ARAND.FIBRA  14x24x1.25</t>
  </si>
  <si>
    <t>050214-30</t>
  </si>
  <si>
    <t>ARAND.FIBRA  14x30x1.25</t>
  </si>
  <si>
    <t>050215-19</t>
  </si>
  <si>
    <t>ARAND.FIBRA  15x19x1.25</t>
  </si>
  <si>
    <t>050215-20</t>
  </si>
  <si>
    <t>ARAND.FIBRA  15x20x1.25</t>
  </si>
  <si>
    <t>050215-20-1</t>
  </si>
  <si>
    <t>ARAND.FIBRA ESP.15x20x1</t>
  </si>
  <si>
    <t>050215-21</t>
  </si>
  <si>
    <t>ARAND.FIBRA  15x21x1.25</t>
  </si>
  <si>
    <t>050215-30</t>
  </si>
  <si>
    <t>ARAND.FIBRA  15x30x1.25</t>
  </si>
  <si>
    <t>050216.5-28</t>
  </si>
  <si>
    <t>ARAND.FIBRA  16.5x28x1.25</t>
  </si>
  <si>
    <t>050216-19</t>
  </si>
  <si>
    <t>ARAND.FIBRA  16x19x1.25</t>
  </si>
  <si>
    <t>050216-20</t>
  </si>
  <si>
    <t>ARAND.FIBRA  16x20x1.25</t>
  </si>
  <si>
    <t>050216-21</t>
  </si>
  <si>
    <t>ARAND.FIBRA  16x21x1.25</t>
  </si>
  <si>
    <t>050216-22</t>
  </si>
  <si>
    <t>ARAND.FIBRA  16x22x1.25</t>
  </si>
  <si>
    <t>050216-24</t>
  </si>
  <si>
    <t>ARAND.FIBRA  16x24x1.25</t>
  </si>
  <si>
    <t>050216-32</t>
  </si>
  <si>
    <t>ARAND.FIBRA  16x32x1.25</t>
  </si>
  <si>
    <t>050217-21</t>
  </si>
  <si>
    <t>ARAND.FIBRA  17x21x1.25</t>
  </si>
  <si>
    <t>050217-22</t>
  </si>
  <si>
    <t>ARAND.FIBRA  17x22x1.25</t>
  </si>
  <si>
    <t>050217-23</t>
  </si>
  <si>
    <t>ARAND.FIBRA  17x23x1.25</t>
  </si>
  <si>
    <t>050217-24</t>
  </si>
  <si>
    <t>ARAND.FIBRA  17x24x1.25</t>
  </si>
  <si>
    <t>050217-34</t>
  </si>
  <si>
    <t>ARAND.FIBRA  17x34x1.25</t>
  </si>
  <si>
    <t>050218-22</t>
  </si>
  <si>
    <t>ARAND.FIBRA  18x22x1.25</t>
  </si>
  <si>
    <t>050218-23</t>
  </si>
  <si>
    <t>ARAND.FIBRA  18x23x1.25</t>
  </si>
  <si>
    <t>050218-24</t>
  </si>
  <si>
    <t>ARAND.FIBRA  18x24x1.25</t>
  </si>
  <si>
    <t>050219-23</t>
  </si>
  <si>
    <t>ARAND.FIBRA  19x23x1.25</t>
  </si>
  <si>
    <t>050219-24</t>
  </si>
  <si>
    <t>ARAND.FIBRA  19x24x1.25</t>
  </si>
  <si>
    <t>050219-25.5</t>
  </si>
  <si>
    <t>ARAND.FIBRA  19x25.5x1.25</t>
  </si>
  <si>
    <t>050219-27</t>
  </si>
  <si>
    <t>ARAND.FIBRA  19x27x1.25</t>
  </si>
  <si>
    <t>050219-38</t>
  </si>
  <si>
    <t>ARAND.FIBRA  19x38x1.25</t>
  </si>
  <si>
    <t>05022.5-6</t>
  </si>
  <si>
    <t>ARAND.FIBRA   2.5x6x1.25</t>
  </si>
  <si>
    <t>050220-24</t>
  </si>
  <si>
    <t>ARAND.FIBRA  20x24x1.25</t>
  </si>
  <si>
    <t>050220-25</t>
  </si>
  <si>
    <t>ARAND.FIBRA  20x25x1.25</t>
  </si>
  <si>
    <t>050220-26</t>
  </si>
  <si>
    <t>ARAND.FIBRA  20x26x1.25</t>
  </si>
  <si>
    <t>050220-28</t>
  </si>
  <si>
    <t>ARAND.FIBRA  20x28x1.25</t>
  </si>
  <si>
    <t>050220-30</t>
  </si>
  <si>
    <t>ARAND.FIBRA  20x30x1.25</t>
  </si>
  <si>
    <t>050220-38-1</t>
  </si>
  <si>
    <t>ARAND.FIBRA ESP.20x38x1</t>
  </si>
  <si>
    <t>050221.5-31</t>
  </si>
  <si>
    <t>ARAND.FIBRA  21.5x31x1.25</t>
  </si>
  <si>
    <t>050221-25.5</t>
  </si>
  <si>
    <t>ARAND.FIBRA  21x25.5x1.25</t>
  </si>
  <si>
    <t>050221-27</t>
  </si>
  <si>
    <t>ARAND.FIBRA  21x27x1.25</t>
  </si>
  <si>
    <t>050222.5-37</t>
  </si>
  <si>
    <t>ARAND.FIBRA  22.5x37x1.25</t>
  </si>
  <si>
    <t>050222-26</t>
  </si>
  <si>
    <t>ARAND.FIBRA  22x26x1.25</t>
  </si>
  <si>
    <t>050222-27</t>
  </si>
  <si>
    <t>ARAND.FIBRA  22x27x1.25</t>
  </si>
  <si>
    <t>050222-28</t>
  </si>
  <si>
    <t>ARAND.FIBRA  22x28x1.25</t>
  </si>
  <si>
    <t>050222-30</t>
  </si>
  <si>
    <t>ARAND.FIBRA  22x30x1.25</t>
  </si>
  <si>
    <t>050222-32</t>
  </si>
  <si>
    <t>ARAND.FIBRA  22x32x1.25</t>
  </si>
  <si>
    <t>050223-28</t>
  </si>
  <si>
    <t>ARAND.FIBRA  23x28x1.25</t>
  </si>
  <si>
    <t>050223-45</t>
  </si>
  <si>
    <t>ARAND.FIBRA  23x45x1.25</t>
  </si>
  <si>
    <t>050224-30</t>
  </si>
  <si>
    <t>ARAND.FIBRA  24x30x1.25</t>
  </si>
  <si>
    <t>050224-32</t>
  </si>
  <si>
    <t>ARAND.FIBRA  24x32x1.25</t>
  </si>
  <si>
    <t>050224-38</t>
  </si>
  <si>
    <t>ARAND.FIBRA  24x38x1.25</t>
  </si>
  <si>
    <t>050225.5-29</t>
  </si>
  <si>
    <t>ARAND.FIBRA  25.5x29.5x1.25</t>
  </si>
  <si>
    <t>050225-30</t>
  </si>
  <si>
    <t>ARAND.FIBRA  25x30x1.25</t>
  </si>
  <si>
    <t>050226-30</t>
  </si>
  <si>
    <t>ARAND.FIBRA  26x30x1.25</t>
  </si>
  <si>
    <t>050226-32</t>
  </si>
  <si>
    <t>ARAND.FIBRA  26x32x1.25</t>
  </si>
  <si>
    <t>050226-34</t>
  </si>
  <si>
    <t>ARAND.FIBRA  26x34x1.25</t>
  </si>
  <si>
    <t>050226-36</t>
  </si>
  <si>
    <t>ARAND.FIBRA  26x36x1.25</t>
  </si>
  <si>
    <t>050226-45</t>
  </si>
  <si>
    <t>ARAND.FIBRA  26x45x1.25</t>
  </si>
  <si>
    <t>050226-48</t>
  </si>
  <si>
    <t>ARAND.FIBRA  26x48x1.25</t>
  </si>
  <si>
    <t>050227-32</t>
  </si>
  <si>
    <t>ARAND.FIBRA  27x32x1.25</t>
  </si>
  <si>
    <t>050227-35</t>
  </si>
  <si>
    <t>ARAND.FIBRA  27x35x1.25</t>
  </si>
  <si>
    <t>050227-36.5</t>
  </si>
  <si>
    <t>ARAND.FIBRA  27x36.5x1.25</t>
  </si>
  <si>
    <t>050227-38</t>
  </si>
  <si>
    <t>ARAND.FIBRA  27x38x1.25</t>
  </si>
  <si>
    <t>050228-32</t>
  </si>
  <si>
    <t>ARAND.FIBRA  28x32x1.25</t>
  </si>
  <si>
    <t>050228-34</t>
  </si>
  <si>
    <t>ARAND.FIBRA  28x34x1.25</t>
  </si>
  <si>
    <t>050228-36</t>
  </si>
  <si>
    <t>ARAND.FIBRA  28x36x1.25</t>
  </si>
  <si>
    <t>050229-33</t>
  </si>
  <si>
    <t>ARAND.FIBRA  29x33x1.25</t>
  </si>
  <si>
    <t>050229-36</t>
  </si>
  <si>
    <t>ARAND.FIBRA  29x36x1.25</t>
  </si>
  <si>
    <t>050229-37</t>
  </si>
  <si>
    <t>ARAND.FIBRA  29x37x1.25</t>
  </si>
  <si>
    <t>05023.5-8</t>
  </si>
  <si>
    <t>ARAND.FIBRA   3.5x8x1.25</t>
  </si>
  <si>
    <t>05023.5-8-0.8</t>
  </si>
  <si>
    <t>ARAND.FIBRA ESP. 3.5x8x0.8</t>
  </si>
  <si>
    <t>05023.5-8-1</t>
  </si>
  <si>
    <t>ARAND.FIBRA ESP. 3.5x8x1</t>
  </si>
  <si>
    <t>050230-36</t>
  </si>
  <si>
    <t>ARAND.FIBRA  30x36x1.25</t>
  </si>
  <si>
    <t>050230-37</t>
  </si>
  <si>
    <t>ARAND.FIBRA  30x37x1.25</t>
  </si>
  <si>
    <t>050230-40</t>
  </si>
  <si>
    <t>ARAND.FIBRA  30x40x1.25</t>
  </si>
  <si>
    <t>05023-10</t>
  </si>
  <si>
    <t>ARAND.FIBRA   3x10x1.25</t>
  </si>
  <si>
    <t>05023-10-0.5</t>
  </si>
  <si>
    <t>ARAND.FIBRA ESP. 3x10x0.5</t>
  </si>
  <si>
    <t>05023-10-1</t>
  </si>
  <si>
    <t>ARAND.FIBRA ESP. 3x10x1</t>
  </si>
  <si>
    <t>050231-36</t>
  </si>
  <si>
    <t>ARAND.FIBRA  31x36x1.25</t>
  </si>
  <si>
    <t>050232-40</t>
  </si>
  <si>
    <t>ARAND.FIBRA  32x40x1.25</t>
  </si>
  <si>
    <t>050232-42</t>
  </si>
  <si>
    <t>ARAND.FIBRA  32x42x1.25</t>
  </si>
  <si>
    <t>050232-50</t>
  </si>
  <si>
    <t>ARAND.FIBRA  32x50x1.25</t>
  </si>
  <si>
    <t>050233-37</t>
  </si>
  <si>
    <t>ARAND.FIBRA  33x37x1.25</t>
  </si>
  <si>
    <t>050233-43</t>
  </si>
  <si>
    <t>ARAND.FIBRA  33x43x1.25</t>
  </si>
  <si>
    <t>050234-40</t>
  </si>
  <si>
    <t>ARAND.FIBRA  34x40x1.25</t>
  </si>
  <si>
    <t>050234-42</t>
  </si>
  <si>
    <t>ARAND.FIBRA  34x42x1.25</t>
  </si>
  <si>
    <t>050235-41</t>
  </si>
  <si>
    <t>ARAND.FIBRA  35x41x1.25</t>
  </si>
  <si>
    <t>05023-6</t>
  </si>
  <si>
    <t>ARAND.FIBRA   3x6x1.25</t>
  </si>
  <si>
    <t>05023-6-05</t>
  </si>
  <si>
    <t>ARAND.FIBRA ESP. 3x6x0.5</t>
  </si>
  <si>
    <t>050236-42</t>
  </si>
  <si>
    <t>ARAND.FIBRA  36x42x1.25</t>
  </si>
  <si>
    <t>050238-42</t>
  </si>
  <si>
    <t>ARAND.FIBRA  38x42x1.25</t>
  </si>
  <si>
    <t>050238-46</t>
  </si>
  <si>
    <t>ARAND.FIBRA  38x46x1.25</t>
  </si>
  <si>
    <t>050239-54</t>
  </si>
  <si>
    <t>ARAND.FIBRA  39x54x1.25</t>
  </si>
  <si>
    <t>050240-48</t>
  </si>
  <si>
    <t>ARAND.FIBRA  40x48x1.25</t>
  </si>
  <si>
    <t>050240-50</t>
  </si>
  <si>
    <t>ARAND.FIBRA  40x50x1.25</t>
  </si>
  <si>
    <t>05024-10</t>
  </si>
  <si>
    <t>ARAND.FIBRA   4x10x1.25</t>
  </si>
  <si>
    <t>05024-11</t>
  </si>
  <si>
    <t>ARAND.FIBRA   4x11x1.25</t>
  </si>
  <si>
    <t>05024-12.5</t>
  </si>
  <si>
    <t>ARAND.FIBRA   4x12.5x1.25</t>
  </si>
  <si>
    <t>050241-45</t>
  </si>
  <si>
    <t>ARAND.FIBRA  41x45x1.25</t>
  </si>
  <si>
    <t>050241-50</t>
  </si>
  <si>
    <t>ARAND.FIBRA  41x50x1.25</t>
  </si>
  <si>
    <t>05024-22</t>
  </si>
  <si>
    <t>ARAND.FIBRA   4x22x1.25</t>
  </si>
  <si>
    <t>050242-50</t>
  </si>
  <si>
    <t>ARAND.FIBRA  42x50x1.25</t>
  </si>
  <si>
    <t>050242-54</t>
  </si>
  <si>
    <t>ARAND.FIBRA  42x54x1.25</t>
  </si>
  <si>
    <t>050245-51</t>
  </si>
  <si>
    <t>ARAND.FIBRA  45x51x1.25</t>
  </si>
  <si>
    <t>050245-52</t>
  </si>
  <si>
    <t>ARAND.FIBRA  45x52x1.25</t>
  </si>
  <si>
    <t>050246-54</t>
  </si>
  <si>
    <t>ARAND.FIBRA  46x54x1.25</t>
  </si>
  <si>
    <t>05024-7</t>
  </si>
  <si>
    <t>ARAND.FIBRA   4x7x1.25</t>
  </si>
  <si>
    <t>05024-8</t>
  </si>
  <si>
    <t>ARAND.FIBRA   4x8x1.25</t>
  </si>
  <si>
    <t>05024-9</t>
  </si>
  <si>
    <t>ARAND.FIBRA   4x9x1.25</t>
  </si>
  <si>
    <t>05025.5-9.5</t>
  </si>
  <si>
    <t>ARAND.FIBRA   5.5x9.5x1.25</t>
  </si>
  <si>
    <t>05025-10</t>
  </si>
  <si>
    <t>ARAND.FIBRA   5x10x1.25</t>
  </si>
  <si>
    <t>05025-12</t>
  </si>
  <si>
    <t>ARAND.FIBRA   5x12x1.25</t>
  </si>
  <si>
    <t>05025-14</t>
  </si>
  <si>
    <t>ARAND.FIBRA   5x14x1.25</t>
  </si>
  <si>
    <t>05025-16</t>
  </si>
  <si>
    <t>ARAND.FIBRA   5x16x1.25</t>
  </si>
  <si>
    <t>05025-25</t>
  </si>
  <si>
    <t>ARAND.FIBRA   5x25x1.25</t>
  </si>
  <si>
    <t>050252-60</t>
  </si>
  <si>
    <t>ARAND.FIBRA  52x60x1.25</t>
  </si>
  <si>
    <t>050256-81</t>
  </si>
  <si>
    <t>ARAND.FIBRA  56x81x1.25</t>
  </si>
  <si>
    <t>05025-8</t>
  </si>
  <si>
    <t>ARAND.FIBRA    5x8x1.25</t>
  </si>
  <si>
    <t>05025-9</t>
  </si>
  <si>
    <t>ARAND.FIBRA    5x9x1.25</t>
  </si>
  <si>
    <t>05026.5-10</t>
  </si>
  <si>
    <t>ARAND.FIBRA   6.5x10x1.25</t>
  </si>
  <si>
    <t>05026.5-12</t>
  </si>
  <si>
    <t>ARAND.FIBRA   6.5x12x1.25</t>
  </si>
  <si>
    <t>05026.5-13</t>
  </si>
  <si>
    <t>ARAND.FIBRA   6.5x13x1.25</t>
  </si>
  <si>
    <t>05026.5-16</t>
  </si>
  <si>
    <t>ARAND.FIBRA   6.5x16x1.25</t>
  </si>
  <si>
    <t>05026.5-20</t>
  </si>
  <si>
    <t>ARAND.FIBRA   6.5x20x1.25</t>
  </si>
  <si>
    <t>05026.5-9.5</t>
  </si>
  <si>
    <t>ARAND.FIBRA  6.5x9.5x1.25</t>
  </si>
  <si>
    <t>05026-10</t>
  </si>
  <si>
    <t>ARAND.FIBRA   6x10x1.25</t>
  </si>
  <si>
    <t>05026-11</t>
  </si>
  <si>
    <t>ARAND.FIBRA   6x11x1.25</t>
  </si>
  <si>
    <t>050261-71</t>
  </si>
  <si>
    <t>ARAND.FIBRA  61x71x1.25</t>
  </si>
  <si>
    <t>050267-83</t>
  </si>
  <si>
    <t>ARAND.FIBRA  67x83x1.25</t>
  </si>
  <si>
    <t>05026-8</t>
  </si>
  <si>
    <t>ARAND.FIBRA   6x8x1.25</t>
  </si>
  <si>
    <t>05026-9</t>
  </si>
  <si>
    <t>ARAND.FIBRA   6x9x1.25</t>
  </si>
  <si>
    <t>05027-10</t>
  </si>
  <si>
    <t>ARAND.FIBRA   7x10x1.25</t>
  </si>
  <si>
    <t>05027-11</t>
  </si>
  <si>
    <t>ARAND.FIBRA   7x11x1.25</t>
  </si>
  <si>
    <t>05027-12</t>
  </si>
  <si>
    <t>ARAND.FIBRA   7x12x1.25</t>
  </si>
  <si>
    <t>05027-14</t>
  </si>
  <si>
    <t>ARAND.FIBRA   7x14x1.25</t>
  </si>
  <si>
    <t>05027-15-1</t>
  </si>
  <si>
    <t>ARAND.FIBRA ESP. 7x15x1</t>
  </si>
  <si>
    <t>05027-15-1.5</t>
  </si>
  <si>
    <t>ARAND.FIBRA ESP. 7x15x1.5</t>
  </si>
  <si>
    <t>05027-17</t>
  </si>
  <si>
    <t>ARAND.FIBRA   7x17x1.25</t>
  </si>
  <si>
    <t>05027-20</t>
  </si>
  <si>
    <t>ARAND.FIBRA   7x20x1.25</t>
  </si>
  <si>
    <t>05028.5-13.5</t>
  </si>
  <si>
    <t>ARAND.FIBRA   8.5x13.5x1.25</t>
  </si>
  <si>
    <t>050280-90</t>
  </si>
  <si>
    <t>ARAND.FIBRA  80x90x1.25</t>
  </si>
  <si>
    <t>05028-11</t>
  </si>
  <si>
    <t>ARAND.FIBRA   8x11x1.25</t>
  </si>
  <si>
    <t>05028-12</t>
  </si>
  <si>
    <t>ARAND.FIBRA   8x12x1.25</t>
  </si>
  <si>
    <t>05028-12.5</t>
  </si>
  <si>
    <t>ARAND.FIBRA   8x12.5x1.25</t>
  </si>
  <si>
    <t>05028-13</t>
  </si>
  <si>
    <t>ARAND.FIBRA   8x13x1.25</t>
  </si>
  <si>
    <t>05028-14</t>
  </si>
  <si>
    <t>ARAND.FIBRA   8x14x1.25</t>
  </si>
  <si>
    <t>05028-16</t>
  </si>
  <si>
    <t>ARAND.FIBRA   8x16x1.25</t>
  </si>
  <si>
    <t>05028-16-1</t>
  </si>
  <si>
    <t>ARAND.FIBRA ESP. 8x16x1</t>
  </si>
  <si>
    <t>05028-18</t>
  </si>
  <si>
    <t>ARAND.FIBRA   8x18x1.25</t>
  </si>
  <si>
    <t>05028-20</t>
  </si>
  <si>
    <t>ARAND.FIBRA   8x20x1.25</t>
  </si>
  <si>
    <t>05029.4-18</t>
  </si>
  <si>
    <t>ARAND.FIBRA   9.4x18x1.25</t>
  </si>
  <si>
    <t>05029.5-14</t>
  </si>
  <si>
    <t>ARAND.FIBRA   9.5x14x1.25</t>
  </si>
  <si>
    <t>05029.5-14-1.5</t>
  </si>
  <si>
    <t>ARAND.FIBRA ESP.  9.5x14.5x1.5</t>
  </si>
  <si>
    <t>05029.5-20</t>
  </si>
  <si>
    <t>ARAND.FIBRA   9.5x20x1.25</t>
  </si>
  <si>
    <t>05029.6-16</t>
  </si>
  <si>
    <t>ARAND.FIBRA   9.6x16x1.25</t>
  </si>
  <si>
    <t>05029.7-13</t>
  </si>
  <si>
    <t>ARAND.FIBRA   9.7x13x1.25</t>
  </si>
  <si>
    <t>05029-11</t>
  </si>
  <si>
    <t>ARAND.FIBRA   9x11x1.25</t>
  </si>
  <si>
    <t>05029-12</t>
  </si>
  <si>
    <t>ARAND.FIBRA   9x12x1.25</t>
  </si>
  <si>
    <t>05029-12-1</t>
  </si>
  <si>
    <t>ARAND.FIBRA ESP.  9x12x1</t>
  </si>
  <si>
    <t>05029-13</t>
  </si>
  <si>
    <t>ARAND.FIBRA   9x13x1.25</t>
  </si>
  <si>
    <t>05029-14</t>
  </si>
  <si>
    <t>ARAND.FIBRA   9x14x1.25</t>
  </si>
  <si>
    <t>050310-13</t>
  </si>
  <si>
    <t>ARAND.ALUMINIO   10x13x1.25</t>
  </si>
  <si>
    <t>050310-14</t>
  </si>
  <si>
    <t>ARAND.ALUMINIO   10x14x1.25</t>
  </si>
  <si>
    <t>050310-14-1</t>
  </si>
  <si>
    <t>D7603 ARAND.ALUMINIO 10x14x1</t>
  </si>
  <si>
    <t>050310-14-1.5</t>
  </si>
  <si>
    <t>ARAND.ALUMINIO ESP. 10x14x1.5</t>
  </si>
  <si>
    <t>050310-15</t>
  </si>
  <si>
    <t>ARAND.ALUMINIO   10x15x1.25</t>
  </si>
  <si>
    <t>050310-15-2</t>
  </si>
  <si>
    <t>ARAND.ALUMINIO.ESP. 10x15x2</t>
  </si>
  <si>
    <t>050310-16</t>
  </si>
  <si>
    <t>ARAND.ALUMINIO   10x16x1.25</t>
  </si>
  <si>
    <t>050310-16-1</t>
  </si>
  <si>
    <t>D7603 ARAND.ALUMINIO 10x16x1</t>
  </si>
  <si>
    <t>050310-17</t>
  </si>
  <si>
    <t>ARAND.ALUMINIO   10x17x1.25</t>
  </si>
  <si>
    <t>050310-18</t>
  </si>
  <si>
    <t>ARAND.ALUMINIO   10x18x1.25</t>
  </si>
  <si>
    <t>050310-18-1</t>
  </si>
  <si>
    <t>ARAND.ALUMINIO ESP. 10x18x1</t>
  </si>
  <si>
    <t>050310-19</t>
  </si>
  <si>
    <t>ARAND.ALUMINIO   10x19x1.25</t>
  </si>
  <si>
    <t>050310-19-2</t>
  </si>
  <si>
    <t>ARAND.ALUMINIO ESP. 10x19x2</t>
  </si>
  <si>
    <t>050310-20-1</t>
  </si>
  <si>
    <t>ARAND.ALUMINIO ESP. 10x20x1</t>
  </si>
  <si>
    <t>050310-20-2</t>
  </si>
  <si>
    <t>ARAND.ALUMINIO ESP. 10x20x2</t>
  </si>
  <si>
    <t>050310-21</t>
  </si>
  <si>
    <t>ARAND.ALUMINIO   10x21x1.25</t>
  </si>
  <si>
    <t>050310-21-2</t>
  </si>
  <si>
    <t>ARAND.ALUMINIO ESP. 10x21x2</t>
  </si>
  <si>
    <t>050310-24</t>
  </si>
  <si>
    <t>ARAND.ALUMINIO   10x24x1.25</t>
  </si>
  <si>
    <t>050310-25</t>
  </si>
  <si>
    <t>ARAND.ALUMINIO   10x25x1.25</t>
  </si>
  <si>
    <t>050310-25-2</t>
  </si>
  <si>
    <t>ARAND.ALUMINIO ESP. 10x25x2</t>
  </si>
  <si>
    <t>050311.3-17</t>
  </si>
  <si>
    <t>ARAND.ALUMINIO   11.3x17.5x1.25</t>
  </si>
  <si>
    <t>050311.5-26</t>
  </si>
  <si>
    <t>ARAND.ALUMINIO   11.5x26x1.25</t>
  </si>
  <si>
    <t>050311.6-15</t>
  </si>
  <si>
    <t>ARAND.ALUMINIO   11.6x15.7x1.25</t>
  </si>
  <si>
    <t>050311.7-22</t>
  </si>
  <si>
    <t>ARAND.ALUMINIO   11.7x22x1.25</t>
  </si>
  <si>
    <t>050311-14</t>
  </si>
  <si>
    <t>ARAND.ALUMINIO   11x14x1.25</t>
  </si>
  <si>
    <t>050311-15</t>
  </si>
  <si>
    <t>ARAND.ALUMINIO   11x15x1.25</t>
  </si>
  <si>
    <t>050311-16</t>
  </si>
  <si>
    <t>ARAND.ALUMINIO   11x16x1.25</t>
  </si>
  <si>
    <t>050311-16-2</t>
  </si>
  <si>
    <t>ARAND.ALUM.ESP.   11x16x2</t>
  </si>
  <si>
    <t>050311-17</t>
  </si>
  <si>
    <t>ARAND.ALUMINIO   11x17x1.25</t>
  </si>
  <si>
    <t>050311-18</t>
  </si>
  <si>
    <t>ARAND.ALUMINIO   11x18x1.25</t>
  </si>
  <si>
    <t>050311-19-1</t>
  </si>
  <si>
    <t>ARAND.ALUM.ESP.   11x19x1</t>
  </si>
  <si>
    <t>050312.7-16</t>
  </si>
  <si>
    <t>ARAND.ALUMINIO   12.7x16x1.25</t>
  </si>
  <si>
    <t>050312.7-16-1.5</t>
  </si>
  <si>
    <t>ARAND.ALUMINIO ESP. 12.7x16x1.5</t>
  </si>
  <si>
    <t>050312.7-18-1.5</t>
  </si>
  <si>
    <t>ARAND.ALUMINIO ESP. 12.7x18x1.5</t>
  </si>
  <si>
    <t>050312.7-20</t>
  </si>
  <si>
    <t>ARAND.ALUMINIO   12.7x20x1.25</t>
  </si>
  <si>
    <t>050312.7-20-1</t>
  </si>
  <si>
    <t>ARAND.ALUMINIO ESP. 12.7x20x1</t>
  </si>
  <si>
    <t>050312-15</t>
  </si>
  <si>
    <t>ARAND.ALUMINIO   12x15x1.25</t>
  </si>
  <si>
    <t>050312-15-1.5</t>
  </si>
  <si>
    <t>D7603 AR.ALUMINIO  12x15.5x1.5</t>
  </si>
  <si>
    <t>050312-16</t>
  </si>
  <si>
    <t>ARAND.ALUMINIO   12x16x1.25</t>
  </si>
  <si>
    <t>050312-16-1</t>
  </si>
  <si>
    <t>ARAND.ALUMINIO ESP. 12x16x1</t>
  </si>
  <si>
    <t>050312-16-1.5</t>
  </si>
  <si>
    <t>D7603 ARAND.ALUMINIO  12x16x1.5</t>
  </si>
  <si>
    <t>050312-17</t>
  </si>
  <si>
    <t>ARAND.ALUMINIO   12x17x1.25</t>
  </si>
  <si>
    <t>050312-17-2</t>
  </si>
  <si>
    <t>ARAND.ALUMINIO ESP. 12x17x2</t>
  </si>
  <si>
    <t>050312-18</t>
  </si>
  <si>
    <t>ARAND.ALUMINIO   12x18x1.25</t>
  </si>
  <si>
    <t>050312-19</t>
  </si>
  <si>
    <t>ARAND.ALUMINIO   12x19x1.25</t>
  </si>
  <si>
    <t>050312-20</t>
  </si>
  <si>
    <t>ARAND.ALUMINIO   12x20x1.25</t>
  </si>
  <si>
    <t>050312-20-1</t>
  </si>
  <si>
    <t>ARAND.ALUMINIO ESP. 12x20x1</t>
  </si>
  <si>
    <t>050312-22.5</t>
  </si>
  <si>
    <t>ARAND.ALUMINIO   12x22.5x1.25</t>
  </si>
  <si>
    <t>050312-24</t>
  </si>
  <si>
    <t>ARAND.ALUMINIO   12x24x1.25</t>
  </si>
  <si>
    <t>050313.5-19</t>
  </si>
  <si>
    <t>ARAND.ALUMINIO   13.5x19x1.25</t>
  </si>
  <si>
    <t>050313-16</t>
  </si>
  <si>
    <t>ARAND.ALUMINIO   13x16x1.25</t>
  </si>
  <si>
    <t>050313-16-1</t>
  </si>
  <si>
    <t>ARAND.ALUMINIO ESP.  13x16x1</t>
  </si>
  <si>
    <t>050313-16-2</t>
  </si>
  <si>
    <t>ARAND.ALUMINIO ESP.  13x16x2</t>
  </si>
  <si>
    <t>050313-17</t>
  </si>
  <si>
    <t>ARAND.ALUMINIO   13x17x1.25</t>
  </si>
  <si>
    <t>050313-18</t>
  </si>
  <si>
    <t>ARAND.ALUMINIO   13x18x1.25</t>
  </si>
  <si>
    <t>050313-18-2</t>
  </si>
  <si>
    <t>ARAND.ALUMINIO ESP.  13x18x2</t>
  </si>
  <si>
    <t>050313-19</t>
  </si>
  <si>
    <t>ARAND.ALUMINIO   13x19x1.25</t>
  </si>
  <si>
    <t>050313-20</t>
  </si>
  <si>
    <t>ARAND.ALUMINIO   13x20x1.25</t>
  </si>
  <si>
    <t>050313-20-2</t>
  </si>
  <si>
    <t>ARAND.ALUMINIO ESP.  13x20x2</t>
  </si>
  <si>
    <t>050313-21</t>
  </si>
  <si>
    <t>ARAND.ALUMINIO   13x21x1.25</t>
  </si>
  <si>
    <t>050313-21-1</t>
  </si>
  <si>
    <t>ARAND.ALUMINIO ESP.  13x21x1</t>
  </si>
  <si>
    <t>050313-24</t>
  </si>
  <si>
    <t>ARAND.ALUMINIO   13x24x1.25</t>
  </si>
  <si>
    <t>050313-24-2</t>
  </si>
  <si>
    <t>ARAND.ALUMINIO ESP.  13x24x2</t>
  </si>
  <si>
    <t>050313-27</t>
  </si>
  <si>
    <t>ARAND.ALUMINIO   13x27x1.25</t>
  </si>
  <si>
    <t>050314.5-20</t>
  </si>
  <si>
    <t>ARAND.ALUMINIO  14.5x20x1.25</t>
  </si>
  <si>
    <t>050314.5-28</t>
  </si>
  <si>
    <t>ARAND.ALUMINIO  14.5x28x1.25</t>
  </si>
  <si>
    <t>050314-18</t>
  </si>
  <si>
    <t>ARAND.ALUMINIO   14x18x1.25</t>
  </si>
  <si>
    <t>050314-19</t>
  </si>
  <si>
    <t>ARAND.ALUMINIO   14x19x1.25</t>
  </si>
  <si>
    <t>050314-19-2</t>
  </si>
  <si>
    <t>ARAND.ALUMINIO ESP.  14x19x2</t>
  </si>
  <si>
    <t>050314-20</t>
  </si>
  <si>
    <t>ARAND.ALUMINIO   14x20x1.25</t>
  </si>
  <si>
    <t>050314-20-0.5</t>
  </si>
  <si>
    <t>ARAND.ALUMINIO ESP.  14x20x0.5</t>
  </si>
  <si>
    <t>050314-20-1.5</t>
  </si>
  <si>
    <t>D7603 ARAND.ALUMINIO 14x20x1.5</t>
  </si>
  <si>
    <t>050314-20-2</t>
  </si>
  <si>
    <t>ARAND.ALUMINIO ESP.  14x20x2</t>
  </si>
  <si>
    <t>050314-22</t>
  </si>
  <si>
    <t>ARAND.ALUMINIO   14x22x1.25</t>
  </si>
  <si>
    <t>050314-22-1</t>
  </si>
  <si>
    <t>ARAND.ALUMINIO ESP.  14x22x1</t>
  </si>
  <si>
    <t>050314-24</t>
  </si>
  <si>
    <t>ARAND.ALUMINIO   14x24x1.25</t>
  </si>
  <si>
    <t>050314-30</t>
  </si>
  <si>
    <t>ARAND.ALUMINIO   14x30x1.25</t>
  </si>
  <si>
    <t>050315-18</t>
  </si>
  <si>
    <t>ARAND.ALUMINIO  15x18x1.25</t>
  </si>
  <si>
    <t>050315-19</t>
  </si>
  <si>
    <t>ARAND.ALUMINIO  15x19x1.25</t>
  </si>
  <si>
    <t>050315-20</t>
  </si>
  <si>
    <t>ARAND.ALUMINIO  15x20x1.25</t>
  </si>
  <si>
    <t>050315-20-2</t>
  </si>
  <si>
    <t>ARAND.ALUMINIO ESP.  15x20x2</t>
  </si>
  <si>
    <t>050315-21</t>
  </si>
  <si>
    <t>ARAND.ALUMINIO  15x21x1.25</t>
  </si>
  <si>
    <t>050315-21-1</t>
  </si>
  <si>
    <t>ARAND.ALUMINIO ESP.  15x21x1.5</t>
  </si>
  <si>
    <t>050315-21-2</t>
  </si>
  <si>
    <t>ARAND.ALUMINIO ESP.  15x21x2</t>
  </si>
  <si>
    <t>050315-23-1</t>
  </si>
  <si>
    <t>ARAND.ALUMINIO ESP.  15x23x1</t>
  </si>
  <si>
    <t>050315-30-1</t>
  </si>
  <si>
    <t>ARAND.ALUMINIO ESP.  15x30x1</t>
  </si>
  <si>
    <t>050315-30-1.5</t>
  </si>
  <si>
    <t>ARAND.ALUMINIO ESP.  15x30x1.5</t>
  </si>
  <si>
    <t>050316.5-26</t>
  </si>
  <si>
    <t>ARAND.ALUMINIO  16.5x26x1.25</t>
  </si>
  <si>
    <t>050316.5-28</t>
  </si>
  <si>
    <t>ARAND.ALUMINIO  16.5x28x1.25</t>
  </si>
  <si>
    <t>050316-19</t>
  </si>
  <si>
    <t>ARAND.ALUMINIO  16x19x1.25</t>
  </si>
  <si>
    <t>050316-20</t>
  </si>
  <si>
    <t>ARAND.ALUMINIO  16x20x1.25</t>
  </si>
  <si>
    <t>050316-20-2</t>
  </si>
  <si>
    <t>ARAND.ALUMINIO ESP.  16x20x2</t>
  </si>
  <si>
    <t>050316-21</t>
  </si>
  <si>
    <t>ARAND.ALUMINIO  16x21x1.25</t>
  </si>
  <si>
    <t>050316-21-1</t>
  </si>
  <si>
    <t>ARAND.ALUMINIO ESP.  16x21x1</t>
  </si>
  <si>
    <t>050316-21-2</t>
  </si>
  <si>
    <t>ARAND.ALUMINIO ESP.  16x21x2</t>
  </si>
  <si>
    <t>050316-22</t>
  </si>
  <si>
    <t>ARAND.ALUMINIO  16x22x1.25</t>
  </si>
  <si>
    <t>050316-22-1.5</t>
  </si>
  <si>
    <t>D7603 ARAND.ALUMINIO  16x22x1.5</t>
  </si>
  <si>
    <t>050316-24</t>
  </si>
  <si>
    <t>ARAND.ALUMINIO  16x24x1.25</t>
  </si>
  <si>
    <t>050316-24-1</t>
  </si>
  <si>
    <t>ARAND.ALUMINIO ESP.  16x24x1</t>
  </si>
  <si>
    <t>050316-32</t>
  </si>
  <si>
    <t>ARAND.ALUMINIO  16x32x1.25</t>
  </si>
  <si>
    <t>050317-21</t>
  </si>
  <si>
    <t>ARAND.ALUMINIO  17x21x1.25</t>
  </si>
  <si>
    <t>050317-22</t>
  </si>
  <si>
    <t>ARAND.ALUMINIO  17x22x1.25</t>
  </si>
  <si>
    <t>050317-22-2</t>
  </si>
  <si>
    <t>ARAND.ALUMINIO ESP.  17x22x2</t>
  </si>
  <si>
    <t>050317-23</t>
  </si>
  <si>
    <t>ARAND.ALUMINIO  17x23x1.25</t>
  </si>
  <si>
    <t>050317-24</t>
  </si>
  <si>
    <t>ARAND.ALUMINIO  17x24x1.25</t>
  </si>
  <si>
    <t>050317-25</t>
  </si>
  <si>
    <t>ARAND.ALUMINIO  17x25x1.25</t>
  </si>
  <si>
    <t>050317-25-0.5</t>
  </si>
  <si>
    <t>ARAND.ALUMINIO ESP.  17x25x0.5</t>
  </si>
  <si>
    <t>050317-25-1</t>
  </si>
  <si>
    <t>ARAND.ALUMINIO ESP.  17x25x1</t>
  </si>
  <si>
    <t>050317-34</t>
  </si>
  <si>
    <t>ARAND.ALUMINIO  17x34x1.25</t>
  </si>
  <si>
    <t>050318-22</t>
  </si>
  <si>
    <t>ARAND.ALUMINIO  18x22x1.25</t>
  </si>
  <si>
    <t>050318-22-1.5</t>
  </si>
  <si>
    <t>D7603 ARAND.ALUMINIO  18x22x1.5</t>
  </si>
  <si>
    <t>050318-23</t>
  </si>
  <si>
    <t>ARAND.ALUMINIO  18x23x1.25</t>
  </si>
  <si>
    <t>050318-23-2</t>
  </si>
  <si>
    <t>ARAND.ALUMINIO ESP.  18x23x2</t>
  </si>
  <si>
    <t>050318-24</t>
  </si>
  <si>
    <t>ARAND.ALUMINIO  18x24x1.25</t>
  </si>
  <si>
    <t>050318-26</t>
  </si>
  <si>
    <t>ARAND.ALUMINIO  18x26x1.25</t>
  </si>
  <si>
    <t>050318-26-1</t>
  </si>
  <si>
    <t>ARAND.ALUMINIO ESP.  18x26x1</t>
  </si>
  <si>
    <t>050319-23</t>
  </si>
  <si>
    <t>ARAND.ALUMINIO  19x23x1.25</t>
  </si>
  <si>
    <t>050319-23-1.5</t>
  </si>
  <si>
    <t>ARAND.ALUMINIO ESP.  19x23x1.5</t>
  </si>
  <si>
    <t>050319-24</t>
  </si>
  <si>
    <t>ARAND.ALUMINIO  19x24x1.25</t>
  </si>
  <si>
    <t>050319-24-2</t>
  </si>
  <si>
    <t>ARAND.ALUMINIO ESP.  19x24x2</t>
  </si>
  <si>
    <t>050319-25.5</t>
  </si>
  <si>
    <t>ARAND.ALUMINIO  19x25.5x1.25</t>
  </si>
  <si>
    <t>050319-27</t>
  </si>
  <si>
    <t>ARAND.ALUMINIO  19x27x1.25</t>
  </si>
  <si>
    <t>050319-27-1</t>
  </si>
  <si>
    <t>ARAND.ALUMINIO ESP.  19x27x1</t>
  </si>
  <si>
    <t>050319-38</t>
  </si>
  <si>
    <t>ARAND.ALUMINIO  19x38x1.25</t>
  </si>
  <si>
    <t>05032.5-5.5</t>
  </si>
  <si>
    <t>ARAND.ALUMINIO ESP.2.5x5.5x0.6</t>
  </si>
  <si>
    <t>05032.5-6</t>
  </si>
  <si>
    <t>ARAND.ALUMINIO   2.5x6x1.25</t>
  </si>
  <si>
    <t>050320-24</t>
  </si>
  <si>
    <t>ARAND.ALUMINIO  20x24x1.25</t>
  </si>
  <si>
    <t>050320-24-1.5</t>
  </si>
  <si>
    <t>D7603 ARAND.ALUMINIO  20x24x1.5</t>
  </si>
  <si>
    <t>050320-25</t>
  </si>
  <si>
    <t>ARAND.ALUMINIO  20x25x1.25</t>
  </si>
  <si>
    <t>050320-25-2</t>
  </si>
  <si>
    <t>ARAND.ALUMINIO ESP.  20x25x2</t>
  </si>
  <si>
    <t>050320-26</t>
  </si>
  <si>
    <t>ARAND.ALUMINIO  20x26x1.25</t>
  </si>
  <si>
    <t>050320-28</t>
  </si>
  <si>
    <t>ARAND.ALUMINIO  20x28x1.25</t>
  </si>
  <si>
    <t>050320-28-1</t>
  </si>
  <si>
    <t>ARAND.ALUMINIO ESP.  20x28x1</t>
  </si>
  <si>
    <t>050320-30</t>
  </si>
  <si>
    <t>ARAND.ALUMINIO  20x30x1.25</t>
  </si>
  <si>
    <t>050320-38</t>
  </si>
  <si>
    <t>ARAND.ALUMINIO  20x38x1.25</t>
  </si>
  <si>
    <t>050321.5-16</t>
  </si>
  <si>
    <t>ARAND.ALUMINIO  16.5x21.5x1.5</t>
  </si>
  <si>
    <t>050321.5-31</t>
  </si>
  <si>
    <t>ARAND.ALUMINIO  21.5x31x1.25</t>
  </si>
  <si>
    <t>050321-25.5</t>
  </si>
  <si>
    <t>ARAND.ALUMINIO  21x25.5x1.25</t>
  </si>
  <si>
    <t>050321-26</t>
  </si>
  <si>
    <t>ARAND.ALUMINIO  21x26x1.25</t>
  </si>
  <si>
    <t>050321-26-2</t>
  </si>
  <si>
    <t>ARAND.ALUMINIO ESP.  21x26x2</t>
  </si>
  <si>
    <t>050321-27</t>
  </si>
  <si>
    <t>ARAND.ALUMINIO  21x27x1.25</t>
  </si>
  <si>
    <t>050321-29-1</t>
  </si>
  <si>
    <t>ARAND.ALUMINIO ESP.  21x29x1</t>
  </si>
  <si>
    <t>050322.5-29</t>
  </si>
  <si>
    <t>ARAND.ALUMINIO  22.5x29x1.25</t>
  </si>
  <si>
    <t>050322.5-37</t>
  </si>
  <si>
    <t>ARAND.ALUMINIO  22.5x37x1.25</t>
  </si>
  <si>
    <t>050322-26</t>
  </si>
  <si>
    <t>ARAND.ALUMINIO  22x26x1.25</t>
  </si>
  <si>
    <t>050322-27</t>
  </si>
  <si>
    <t>ARAND.ALUMINIO  22x27x1.25</t>
  </si>
  <si>
    <t>050322-27-1.5</t>
  </si>
  <si>
    <t>D7603 ARAND.ALUMINIO 22x27x1.5</t>
  </si>
  <si>
    <t>050322-27-2</t>
  </si>
  <si>
    <t>ARAND.ALUMINIO ESP.  22x27x2</t>
  </si>
  <si>
    <t>050322-28</t>
  </si>
  <si>
    <t>ARAND.ALUMINIO  22x28x1.25</t>
  </si>
  <si>
    <t>050322-30</t>
  </si>
  <si>
    <t>ARAND.ALUMINIO  22x30x1.25</t>
  </si>
  <si>
    <t>050322-30-1</t>
  </si>
  <si>
    <t>ARAND.ALUMINIO ESP.  22x30x1</t>
  </si>
  <si>
    <t>050322-30-1.5</t>
  </si>
  <si>
    <t>ARAND.ALUMINIO ESP.  22x30x1.5</t>
  </si>
  <si>
    <t>050322-32</t>
  </si>
  <si>
    <t>ARAND.ALUMINIO  22x32x1.25</t>
  </si>
  <si>
    <t>050323-28</t>
  </si>
  <si>
    <t>ARAND.ALUMINIO  23x28x1.25</t>
  </si>
  <si>
    <t>050323-28-2</t>
  </si>
  <si>
    <t>D7603 ARAND.ALUMINIO  23x28x2</t>
  </si>
  <si>
    <t>050323-31-1</t>
  </si>
  <si>
    <t>ARAND.ALUMINIO ESP.  23x31x1</t>
  </si>
  <si>
    <t>050323-45</t>
  </si>
  <si>
    <t>ARAND.ALUMINIO  23x45x1.25</t>
  </si>
  <si>
    <t>050324-29</t>
  </si>
  <si>
    <t>D7603 ARAND.ALUMINIO  24x29x2</t>
  </si>
  <si>
    <t>050324-30</t>
  </si>
  <si>
    <t>ARAND.ALUMINIO  24x30x1.25</t>
  </si>
  <si>
    <t>050324-30-0.5</t>
  </si>
  <si>
    <t>ARAND.ALUMINIO ESP.  24x30x0.5</t>
  </si>
  <si>
    <t>050324-32</t>
  </si>
  <si>
    <t>ARAND.ALUMINIO  24x32x1.25</t>
  </si>
  <si>
    <t>050324-32-1</t>
  </si>
  <si>
    <t>ARAND.ALUMINIO ESP.  24x32x1</t>
  </si>
  <si>
    <t>050324-38</t>
  </si>
  <si>
    <t>ARAND.ALUMINIO  24x38x1.25</t>
  </si>
  <si>
    <t>050325.5-29</t>
  </si>
  <si>
    <t>ARAND.ALUMINIO  25.5x29.5x1.25</t>
  </si>
  <si>
    <t>050325-29</t>
  </si>
  <si>
    <t>ARAND.ALUMINIO  25x29x1.25</t>
  </si>
  <si>
    <t>050325-30</t>
  </si>
  <si>
    <t>ARAND.ALUMINIO  25x30x1.25</t>
  </si>
  <si>
    <t>050325-30-2</t>
  </si>
  <si>
    <t>D7603 ARAND.ALUMINIO  25x30x2</t>
  </si>
  <si>
    <t>050325-33-1</t>
  </si>
  <si>
    <t>ARAND.ALUMINIO ESP.  25x33x1</t>
  </si>
  <si>
    <t>050325-33-1.5</t>
  </si>
  <si>
    <t>ARAND.ALUMINIO ESP.  25x33x1.5</t>
  </si>
  <si>
    <t>050326-30</t>
  </si>
  <si>
    <t>ARAND.ALUMINIO  26x30x1.25</t>
  </si>
  <si>
    <t>050326-31-2</t>
  </si>
  <si>
    <t>D7603 ARAND.ALUMINIO 26x31x2</t>
  </si>
  <si>
    <t>050326-32</t>
  </si>
  <si>
    <t>ARAND.ALUMINIO  26x32x1.25</t>
  </si>
  <si>
    <t>050326-32-2</t>
  </si>
  <si>
    <t>D7603 ARAND.ALUMINIO 26x32x2</t>
  </si>
  <si>
    <t>050326-34</t>
  </si>
  <si>
    <t>ARAND.ALUMINIO  26x34x1.25</t>
  </si>
  <si>
    <t>050326-34-1</t>
  </si>
  <si>
    <t>ARAND.ALUMINIO ESP.  26x34x1</t>
  </si>
  <si>
    <t>050326-36</t>
  </si>
  <si>
    <t>ARAND.ALUMINIO  26x36x1.25</t>
  </si>
  <si>
    <t>050326-45</t>
  </si>
  <si>
    <t>ARAND.ALUMINIO  26x45x1.25</t>
  </si>
  <si>
    <t>050327-32</t>
  </si>
  <si>
    <t>ARAND.ALUMINIO  27x32x1.25</t>
  </si>
  <si>
    <t>050327-32-2</t>
  </si>
  <si>
    <t>D7603 ARAND.ALUMINIO  27x32x2</t>
  </si>
  <si>
    <t>050327-35</t>
  </si>
  <si>
    <t>ARAND.ALUMINIO  27x35x1.25</t>
  </si>
  <si>
    <t>050327-35-1</t>
  </si>
  <si>
    <t>ARAND.ALUMINIO ESP.  27x35x1</t>
  </si>
  <si>
    <t>050327-36.5</t>
  </si>
  <si>
    <t>ARAND.ALUMINIO  27x36.5x1.25</t>
  </si>
  <si>
    <t>050327-38</t>
  </si>
  <si>
    <t>ARAND.ALUMINIO  27x38x1.25</t>
  </si>
  <si>
    <t>050327-50</t>
  </si>
  <si>
    <t>ARAND.ALUMINIO  27x50x1.25</t>
  </si>
  <si>
    <t>050328.5-38</t>
  </si>
  <si>
    <t>ARAND.ALUMINIO  28.5x38x1.25</t>
  </si>
  <si>
    <t>050328-32</t>
  </si>
  <si>
    <t>ARAND.ALUMINIO  28x32x1.25</t>
  </si>
  <si>
    <t>050328-33-2</t>
  </si>
  <si>
    <t>D7603 ARAND.ALUMINIO  28x33x2</t>
  </si>
  <si>
    <t>050328-34</t>
  </si>
  <si>
    <t>ARAND.ALUMINIO  28x34x1.25</t>
  </si>
  <si>
    <t>050328-36</t>
  </si>
  <si>
    <t>ARAND.ALUMINIO  28x36x1.25</t>
  </si>
  <si>
    <t>050328-36-1</t>
  </si>
  <si>
    <t>ARAND.ALUMINIO ESP.  28x36x1</t>
  </si>
  <si>
    <t>050328-36-2</t>
  </si>
  <si>
    <t>ARAND.ALUMINIO ESP.  28x36x2</t>
  </si>
  <si>
    <t>050329-33</t>
  </si>
  <si>
    <t>ARAND.ALUMINIO  29x33x1.25</t>
  </si>
  <si>
    <t>050329-36</t>
  </si>
  <si>
    <t>ARAND.ALUMINIO  29x36x1.25</t>
  </si>
  <si>
    <t>050329-37</t>
  </si>
  <si>
    <t>ARAND.ALUMINIO  29x37x1.25</t>
  </si>
  <si>
    <t>050329-39</t>
  </si>
  <si>
    <t>ARAND.ALUMINIO  29x39x1.25</t>
  </si>
  <si>
    <t>05033.5-8</t>
  </si>
  <si>
    <t>ARAND.ALUMINIO   3.5x8x1.25</t>
  </si>
  <si>
    <t>050330-36</t>
  </si>
  <si>
    <t>ARAND.ALUMINIO  30x36x1.25</t>
  </si>
  <si>
    <t>050330-36-2</t>
  </si>
  <si>
    <t>D7603 ARAND.ALUMINIO  30x36x2</t>
  </si>
  <si>
    <t>050330-40</t>
  </si>
  <si>
    <t>ARAND.ALUMINIO  30x40x1.25</t>
  </si>
  <si>
    <t>05033-10</t>
  </si>
  <si>
    <t>ARAND.ALUMINIO   3x10x1.25</t>
  </si>
  <si>
    <t>05033-10-1</t>
  </si>
  <si>
    <t>ARAND.ALUMINIO ESP.   3x10x1</t>
  </si>
  <si>
    <t>050331-36</t>
  </si>
  <si>
    <t>ARAND.ALUMINIO  31x36x1.25</t>
  </si>
  <si>
    <t>050332-36</t>
  </si>
  <si>
    <t>ARAND.ALUMINIO  32x36x1.25</t>
  </si>
  <si>
    <t>050332-40</t>
  </si>
  <si>
    <t>ARAND.ALUMINIO  32x40x1.25</t>
  </si>
  <si>
    <t>050332-40-1</t>
  </si>
  <si>
    <t>ARAND.ALUMINIO ESP.  32x40x1</t>
  </si>
  <si>
    <t>050332-42</t>
  </si>
  <si>
    <t>ARAND.ALUMINIO  32x42x1.25</t>
  </si>
  <si>
    <t>050332-50</t>
  </si>
  <si>
    <t>ARAND.ALUMINIO  32x50x1.25</t>
  </si>
  <si>
    <t>050333-37</t>
  </si>
  <si>
    <t>ARAND.ALUMINIO  33x37x1.25</t>
  </si>
  <si>
    <t>050333-43</t>
  </si>
  <si>
    <t>ARAND.ALUMINIO  33x43x1.25</t>
  </si>
  <si>
    <t>050334-42</t>
  </si>
  <si>
    <t>ARAND.ALUMINIO  34x42x1.25</t>
  </si>
  <si>
    <t>050334-42-1</t>
  </si>
  <si>
    <t>ARAND.ALUMINIO ESP.  34x42x1</t>
  </si>
  <si>
    <t>050335-41</t>
  </si>
  <si>
    <t>ARAND.ALUMINIO  35x41x1.25</t>
  </si>
  <si>
    <t>05033-6</t>
  </si>
  <si>
    <t>ARAND.ALUMINIO   3x6x1.25</t>
  </si>
  <si>
    <t>050336-42</t>
  </si>
  <si>
    <t>ARAND.ALUMINIO  36x42x1.25</t>
  </si>
  <si>
    <t>050338.5-45</t>
  </si>
  <si>
    <t>ARAND.ALUMINIO  38.5x45x1.25</t>
  </si>
  <si>
    <t>050338-42</t>
  </si>
  <si>
    <t>ARAND.ALUMINIO  38x42x1.25</t>
  </si>
  <si>
    <t>050338-46</t>
  </si>
  <si>
    <t>ARAND.ALUMINIO  38x46x1.25</t>
  </si>
  <si>
    <t>050339-54</t>
  </si>
  <si>
    <t>ARAND.ALUMINIO  39x54x1.25</t>
  </si>
  <si>
    <t>050340-48</t>
  </si>
  <si>
    <t>ARAND.ALUMINIO  40x48x1.25</t>
  </si>
  <si>
    <t>050340-50</t>
  </si>
  <si>
    <t>ARAND.ALUMINIO  40x50x1.25</t>
  </si>
  <si>
    <t>050340-54</t>
  </si>
  <si>
    <t>ARAND.ALUMINIO  40x54x1.25</t>
  </si>
  <si>
    <t>05034-10</t>
  </si>
  <si>
    <t>ARAND.ALUMINIO   4x10x1.25</t>
  </si>
  <si>
    <t>05034-11</t>
  </si>
  <si>
    <t>ARAND.ALUMINIO   4x11x1.25</t>
  </si>
  <si>
    <t>05034-12.5</t>
  </si>
  <si>
    <t>ARAND.ALUMINIO   4x12.5x1.25</t>
  </si>
  <si>
    <t>050341-45</t>
  </si>
  <si>
    <t>ARAND.ALUMINIO  41x45x1.25</t>
  </si>
  <si>
    <t>05034-22</t>
  </si>
  <si>
    <t>ARAND.ALUMINIO   4x22x1.25</t>
  </si>
  <si>
    <t>050342-50</t>
  </si>
  <si>
    <t>ARAND.ALUMINIO  42x50x1.25</t>
  </si>
  <si>
    <t>050342-50-1</t>
  </si>
  <si>
    <t>ARAND.ALUMINIO ESP.  42x50x1</t>
  </si>
  <si>
    <t>050342-54</t>
  </si>
  <si>
    <t>ARAND.ALUMINIO  42x54x1.25</t>
  </si>
  <si>
    <t>050345-51</t>
  </si>
  <si>
    <t>ARAND.ALUMINIO  45x51x1.25</t>
  </si>
  <si>
    <t>050345-52</t>
  </si>
  <si>
    <t>ARAND.ALUMINIO  45x52x1.25</t>
  </si>
  <si>
    <t>050346-54</t>
  </si>
  <si>
    <t>ARAND.ALUMINIO  46x54x1.25</t>
  </si>
  <si>
    <t>05034-7</t>
  </si>
  <si>
    <t>ARAND.ALUMINIO   4x7x1.25</t>
  </si>
  <si>
    <t>05034-7-1</t>
  </si>
  <si>
    <t>ARAND.ALUMINIO ESP.   4x7x1</t>
  </si>
  <si>
    <t>05034-8</t>
  </si>
  <si>
    <t>ARAND.ALUMINIO   4x8x1.25</t>
  </si>
  <si>
    <t>05034-9</t>
  </si>
  <si>
    <t>ARAND.ALUMINIO   4x9x1.25</t>
  </si>
  <si>
    <t>05035.5-9.5</t>
  </si>
  <si>
    <t>ARAND.ALUMINIO   5.5x9.5x1.25</t>
  </si>
  <si>
    <t>05035-10</t>
  </si>
  <si>
    <t>ARAND.ALUMINIO   5x10x1.25</t>
  </si>
  <si>
    <t>05035-10-1</t>
  </si>
  <si>
    <t>ARAND.ALUMINIO ESP.   5x10x1</t>
  </si>
  <si>
    <t>05035-10-2</t>
  </si>
  <si>
    <t>ARAND.ALUMINIO ESP.   5x10x2</t>
  </si>
  <si>
    <t>05035-11</t>
  </si>
  <si>
    <t>ARAND.ALUMINIO   5x11x1.25</t>
  </si>
  <si>
    <t>05035-12</t>
  </si>
  <si>
    <t>ARAND.ALUMINIO   5x12x1.25</t>
  </si>
  <si>
    <t>05035-13</t>
  </si>
  <si>
    <t>ARAND.ALUMINIO   5x13x1.25</t>
  </si>
  <si>
    <t>05035-13-1</t>
  </si>
  <si>
    <t>ARAND.ALUMINIO ESP.  5x13x1</t>
  </si>
  <si>
    <t>05035-14</t>
  </si>
  <si>
    <t>ARAND.ALUMINIO   5x14x1.25</t>
  </si>
  <si>
    <t>05035-16</t>
  </si>
  <si>
    <t>ARAND.ALUMINIO   5x16x1.25</t>
  </si>
  <si>
    <t>05035-25</t>
  </si>
  <si>
    <t>ARAND.ALUMINIO   5x25x1.25</t>
  </si>
  <si>
    <t>05035-25-1</t>
  </si>
  <si>
    <t>ARAND.ALUMINIO ESP.  5x25x1</t>
  </si>
  <si>
    <t>050352-60</t>
  </si>
  <si>
    <t>ARAND.ALUMINIO  52x60x1.25</t>
  </si>
  <si>
    <t>050356-81-1</t>
  </si>
  <si>
    <t>ARAND.ALUMINIO ESP.  56x81x1</t>
  </si>
  <si>
    <t>05035-8</t>
  </si>
  <si>
    <t>ARAND.ALUMINIO   5x8x1.25</t>
  </si>
  <si>
    <t>05035-8-1</t>
  </si>
  <si>
    <t>ARAND.ALUM.ESP.  5x8x1</t>
  </si>
  <si>
    <t>05035-9</t>
  </si>
  <si>
    <t>ARAND.ALUMINIO   5x9x1.25</t>
  </si>
  <si>
    <t>05035-9-1</t>
  </si>
  <si>
    <t>ARAND.ALUMINIO ESP.   5x9x1</t>
  </si>
  <si>
    <t>05036.5-10</t>
  </si>
  <si>
    <t>ARAND.ALUMINIO   6.5x10x1.25</t>
  </si>
  <si>
    <t>05036.5-12</t>
  </si>
  <si>
    <t>ARAND.ALUMINIO   6.5x12x1.25</t>
  </si>
  <si>
    <t>05036.5-13</t>
  </si>
  <si>
    <t>ARAND.ALUMINIO   6.5x13x1.25</t>
  </si>
  <si>
    <t>05036.5-16</t>
  </si>
  <si>
    <t>ARAND.ALUMINIO   6.5x16x1.25</t>
  </si>
  <si>
    <t>05036.5-20</t>
  </si>
  <si>
    <t>ARAND.ALUMINIO   6.5x20x1.25</t>
  </si>
  <si>
    <t>05036.5-9.5</t>
  </si>
  <si>
    <t>ARAND.ALUMINIO   6.5x9.5x1.25</t>
  </si>
  <si>
    <t>050360.5-66</t>
  </si>
  <si>
    <t>ARAND.ALUMINIO  60.5x66.5x1.25</t>
  </si>
  <si>
    <t>05036-10</t>
  </si>
  <si>
    <t>ARAND.ALUMINIO   6x10x1.25</t>
  </si>
  <si>
    <t>05036-10-1</t>
  </si>
  <si>
    <t>D7603 ARAND.ALUMINIO  6x10x1</t>
  </si>
  <si>
    <t>05036-11</t>
  </si>
  <si>
    <t>ARAND.ALUMINIO   6x11x1.25</t>
  </si>
  <si>
    <t>05036-11-1.5</t>
  </si>
  <si>
    <t>ARAND.ALUMINIO ESP.  6x11x1.5</t>
  </si>
  <si>
    <t>05036-11-2</t>
  </si>
  <si>
    <t>ARAND.ALUMINIO ESP.  6x11x2</t>
  </si>
  <si>
    <t>05036-14-1</t>
  </si>
  <si>
    <t>ARAND.ALUMINIO ESP.  6x14x1</t>
  </si>
  <si>
    <t>050361-71</t>
  </si>
  <si>
    <t>ARAND.ALUMINIO  61x71x1.25</t>
  </si>
  <si>
    <t>050367-83</t>
  </si>
  <si>
    <t>ARAND.ALUMINIO  67x83x1.25</t>
  </si>
  <si>
    <t>050367-83-1</t>
  </si>
  <si>
    <t>ARAND.ALUMINIO ESP.  67x83x1</t>
  </si>
  <si>
    <t>05036-8</t>
  </si>
  <si>
    <t>ARAND.ALUMINIO   6x8x1.25</t>
  </si>
  <si>
    <t>05036-9</t>
  </si>
  <si>
    <t>ARAND.ALUMINIO   6x9x1.25</t>
  </si>
  <si>
    <t>05036-9-0.5</t>
  </si>
  <si>
    <t>ARAND.ALUMINIO ESP.  6x9x0.5</t>
  </si>
  <si>
    <t>05037-10</t>
  </si>
  <si>
    <t>ARAND.ALUMINIO   7x10x1.25</t>
  </si>
  <si>
    <t>05037-11</t>
  </si>
  <si>
    <t>ARAND.ALUMINIO   7x11x1.25</t>
  </si>
  <si>
    <t>05037-12</t>
  </si>
  <si>
    <t>ARAND.ALUMINIO   7x12x1.25</t>
  </si>
  <si>
    <t>05037-12-2</t>
  </si>
  <si>
    <t>ARAND.ALUMINIO ESP.  7x12x2</t>
  </si>
  <si>
    <t>05037-13</t>
  </si>
  <si>
    <t>ARAND.ALUMINIO   7x13x1.25</t>
  </si>
  <si>
    <t>05037-14</t>
  </si>
  <si>
    <t>ARAND.ALUMINIO   7x14x1.25</t>
  </si>
  <si>
    <t>05037-15-1</t>
  </si>
  <si>
    <t>ARAND.ALUMINIO ESP.  7x15x1</t>
  </si>
  <si>
    <t>05037-17</t>
  </si>
  <si>
    <t>ARAND.ALUMINIO   7x17x1.25</t>
  </si>
  <si>
    <t>05037-20</t>
  </si>
  <si>
    <t>ARAND.ALUMINIO   7x20x1.25</t>
  </si>
  <si>
    <t>05038.5-13.5</t>
  </si>
  <si>
    <t>ARAND.ALUMINIO   8.5x13.5x1.25</t>
  </si>
  <si>
    <t>050380-90</t>
  </si>
  <si>
    <t>ARAND.ALUMINIO  80x90x1.25</t>
  </si>
  <si>
    <t>05038-10</t>
  </si>
  <si>
    <t>ARAND.ALUMINIO   8x10x1.25</t>
  </si>
  <si>
    <t>05038-11</t>
  </si>
  <si>
    <t>ARAND.ALUMINIO   8x11x1.25</t>
  </si>
  <si>
    <t>05038-11-1</t>
  </si>
  <si>
    <t>ARAND.ALUMINIO ESP.  8x11x1</t>
  </si>
  <si>
    <t>05038-11-1.5</t>
  </si>
  <si>
    <t>ARAND.ALUMINIO ESP.  8x11x1.5</t>
  </si>
  <si>
    <t>05038-12</t>
  </si>
  <si>
    <t>ARAND.ALUMINIO   8x12x1.25</t>
  </si>
  <si>
    <t>05038-12.5</t>
  </si>
  <si>
    <t>ARAND.ALUMINIO   8x12.5x1.25</t>
  </si>
  <si>
    <t>05038-12-1</t>
  </si>
  <si>
    <t>D7603 ARAND.ALUMINIO  8x12x1</t>
  </si>
  <si>
    <t>05038-13</t>
  </si>
  <si>
    <t>ARAND.ALUMINIO   8x13x1.25</t>
  </si>
  <si>
    <t>05038-13-2</t>
  </si>
  <si>
    <t>ARAND.ALUMINIO ESP.  8x13x2</t>
  </si>
  <si>
    <t>05038-13DE</t>
  </si>
  <si>
    <t>ARAND.ALUMINIO   8x13x1.25 DE</t>
  </si>
  <si>
    <t>05038-14</t>
  </si>
  <si>
    <t>ARAND.ALUMINIO   8x14x1.25</t>
  </si>
  <si>
    <t>05038-14-1</t>
  </si>
  <si>
    <t>ARAND.ALUMINIO ESP.  8x14x1</t>
  </si>
  <si>
    <t>05038-16</t>
  </si>
  <si>
    <t>ARAND.ALUMINIO   8x16x1.25</t>
  </si>
  <si>
    <t>05038-16-1</t>
  </si>
  <si>
    <t>ARAND.ALUMINIO ESP.  8x16x1</t>
  </si>
  <si>
    <t>05038-18</t>
  </si>
  <si>
    <t>ARAND.ALUMINIO   8x18x1.25</t>
  </si>
  <si>
    <t>05038-20</t>
  </si>
  <si>
    <t>ARAND.ALUMINIO   8x20x1.25</t>
  </si>
  <si>
    <t>05038-20-2</t>
  </si>
  <si>
    <t>ARAND.ALUMINIO ESP.  8x20x2</t>
  </si>
  <si>
    <t>05039.4-18</t>
  </si>
  <si>
    <t>ARAND.ALUMINIO   9.4x18x1.25</t>
  </si>
  <si>
    <t>05039.5-14</t>
  </si>
  <si>
    <t>ARAND.ALUMINIO   9.5x14x1.25</t>
  </si>
  <si>
    <t>05039.5-14-2</t>
  </si>
  <si>
    <t>ARAND.ALUMINIO ESP.  9.5x14x2</t>
  </si>
  <si>
    <t>05039.5-20</t>
  </si>
  <si>
    <t>ARAND.ALUMINIO   9.5x20x1.25</t>
  </si>
  <si>
    <t>05039.6-16</t>
  </si>
  <si>
    <t>ARAND.ALUMINIO   9.6x16x1.25</t>
  </si>
  <si>
    <t>05039.7-13</t>
  </si>
  <si>
    <t>ARAND.ALUMINIO   9.7x13x1.25</t>
  </si>
  <si>
    <t>05039-11</t>
  </si>
  <si>
    <t>ARAND.ALUMINIO   9x11x1.25</t>
  </si>
  <si>
    <t>05039-11-1.5</t>
  </si>
  <si>
    <t>ARAND ALUMINIO 9x11x1.5</t>
  </si>
  <si>
    <t>05039-12</t>
  </si>
  <si>
    <t>ARAND.ALUMINIO   9x12x1.25</t>
  </si>
  <si>
    <t>05039-13</t>
  </si>
  <si>
    <t>ARAND.ALUMINIO   9x13x1.25</t>
  </si>
  <si>
    <t>05039-13-0.5</t>
  </si>
  <si>
    <t>ARAND.ALUMINIO ESP.  9x13x0.5</t>
  </si>
  <si>
    <t>05039-14</t>
  </si>
  <si>
    <t>ARAND.ALUMINIO   9x14x1.25</t>
  </si>
  <si>
    <t>05039-14-2</t>
  </si>
  <si>
    <t>ARAND.ALUMINIO ESP.  9x14x2</t>
  </si>
  <si>
    <t>05039-17-1</t>
  </si>
  <si>
    <t>ARAND.ALUMINIO ESP.  9x17x1</t>
  </si>
  <si>
    <t>051716-34</t>
  </si>
  <si>
    <t>AR.PLANA BRONCE 16x34x1.6</t>
  </si>
  <si>
    <t>051722-30</t>
  </si>
  <si>
    <t>AR.PLANA BRONCE 22x30x0.9</t>
  </si>
  <si>
    <t>051803-6-01</t>
  </si>
  <si>
    <t>D988 SUPLEMENTO  3x6x0.1</t>
  </si>
  <si>
    <t>051803-6-02</t>
  </si>
  <si>
    <t>D988 SUPLEMENTO  3x6x0.2</t>
  </si>
  <si>
    <t>051804-8-01</t>
  </si>
  <si>
    <t>D988 SUPLEMENTO  4x8x0.1</t>
  </si>
  <si>
    <t>051804-8-02</t>
  </si>
  <si>
    <t>D988 SUPLEMENTO  4x8x0.2</t>
  </si>
  <si>
    <t>051805-10-01</t>
  </si>
  <si>
    <t>D988 SUPLEMENTO  5x10x0.1</t>
  </si>
  <si>
    <t>051805-10-02</t>
  </si>
  <si>
    <t>D988 SUPLEMENTO  5x10x0.2</t>
  </si>
  <si>
    <t>051806-12-01</t>
  </si>
  <si>
    <t>D988 SUPLEMENTO  6x12x0.1</t>
  </si>
  <si>
    <t>051806-12-02</t>
  </si>
  <si>
    <t>D988 SUPLEMENTO  6x12x0.2</t>
  </si>
  <si>
    <t>051807-13-01</t>
  </si>
  <si>
    <t>D988 SUPLEMENTO  7x13x0.1</t>
  </si>
  <si>
    <t>051807-13-02</t>
  </si>
  <si>
    <t>D988 SUPLEMENTO  7x13x0.2</t>
  </si>
  <si>
    <t>051808-14-01</t>
  </si>
  <si>
    <t>D988 SUPLEMENTO  8x14x0.1</t>
  </si>
  <si>
    <t>051808-14-02</t>
  </si>
  <si>
    <t>D988 SUPLEMENTO  8x14x0.2</t>
  </si>
  <si>
    <t>051809-15-01</t>
  </si>
  <si>
    <t>D988 SUPLEMENTO  9x15x0.1</t>
  </si>
  <si>
    <t>051809-15-02</t>
  </si>
  <si>
    <t>D988 SUPLEMENTO  9x15x0.2</t>
  </si>
  <si>
    <t>051810-16-01</t>
  </si>
  <si>
    <t>D988 SUPLEMENTO 10x16x0.1</t>
  </si>
  <si>
    <t>051810-16-02</t>
  </si>
  <si>
    <t>D988 SUPLEMENTO 10x16x0.2</t>
  </si>
  <si>
    <t>051811-17-01</t>
  </si>
  <si>
    <t>D988 SUPLEMENTO 11x17x0.1</t>
  </si>
  <si>
    <t>051811-17-02</t>
  </si>
  <si>
    <t>D988 SUPLEMENTO 11x17x0.2</t>
  </si>
  <si>
    <t>0518120-150-01</t>
  </si>
  <si>
    <t>D988 SUPLEMENTO 120x150x0.1</t>
  </si>
  <si>
    <t>051812-18-01</t>
  </si>
  <si>
    <t>D988 SUPLEMENTO 12x18x0.1</t>
  </si>
  <si>
    <t>051812-18-02</t>
  </si>
  <si>
    <t>D988 SUPLEMENTO 12x18x0.2</t>
  </si>
  <si>
    <t>051813-19-01</t>
  </si>
  <si>
    <t>D988 SUPLEMENTO 13x19x0.1</t>
  </si>
  <si>
    <t>051813-19-02</t>
  </si>
  <si>
    <t>D988 SUPLEMENTO 13x19x0.2</t>
  </si>
  <si>
    <t>051814-20-01</t>
  </si>
  <si>
    <t>D988 SUPLEMENTO 14x20x0.1</t>
  </si>
  <si>
    <t>051814-20-02</t>
  </si>
  <si>
    <t>D988 SUPLEMENTO 14x20x0.2</t>
  </si>
  <si>
    <t>051815-21-01</t>
  </si>
  <si>
    <t>D988 SUPLEMENTO 15x21x0.1</t>
  </si>
  <si>
    <t>051815-21-02</t>
  </si>
  <si>
    <t>D988 SUPLEMENTO 15x21x0.2</t>
  </si>
  <si>
    <t>051815-22-01</t>
  </si>
  <si>
    <t>D988 SUPLEMENTO 15x22x0.1</t>
  </si>
  <si>
    <t>051815-22-02</t>
  </si>
  <si>
    <t>D988 SUPLEMENTO 15x22x0.2</t>
  </si>
  <si>
    <t>051816-22-01</t>
  </si>
  <si>
    <t>D988 SUPLEMENTO 16x22x0.1</t>
  </si>
  <si>
    <t>051816-22-02</t>
  </si>
  <si>
    <t>D988 SUPLEMENTO 16x22x0.2</t>
  </si>
  <si>
    <t>051817-24-01</t>
  </si>
  <si>
    <t>D988 SUPLEMENTO 17x24x0.1</t>
  </si>
  <si>
    <t>051817-24-02</t>
  </si>
  <si>
    <t>D988 SUPLEMENTO 17x24x0.2</t>
  </si>
  <si>
    <t>051817-24-03</t>
  </si>
  <si>
    <t>D988 SUPLEMENTO 17x24x0.3</t>
  </si>
  <si>
    <t>051817-24-04</t>
  </si>
  <si>
    <t>D988 SUPLEMENTO 17x24x0.4</t>
  </si>
  <si>
    <t>051817-24-05</t>
  </si>
  <si>
    <t>D988 SUPLEMENTO 17x24x0.5</t>
  </si>
  <si>
    <t>051817-24F</t>
  </si>
  <si>
    <t>D988 AR.APOYO 17x24x1.5F.</t>
  </si>
  <si>
    <t>051818-25-01</t>
  </si>
  <si>
    <t>D988 SUPLEMENTO 18x25x0.1</t>
  </si>
  <si>
    <t>051818-25-02</t>
  </si>
  <si>
    <t>D988 SUPLEMENTO 18x25x0.2</t>
  </si>
  <si>
    <t>051819-26-01</t>
  </si>
  <si>
    <t>D988 SUPLEMENTO 19x26x0.1</t>
  </si>
  <si>
    <t>051819-26-02</t>
  </si>
  <si>
    <t>D988 SUPLEMENTO 19x26x0.2</t>
  </si>
  <si>
    <t>051820-28-01</t>
  </si>
  <si>
    <t>D988 SUPLEMENTO 20x28x0.1</t>
  </si>
  <si>
    <t>051820-28-02</t>
  </si>
  <si>
    <t>D988 SUPLEMENTO 20x28x0.2</t>
  </si>
  <si>
    <t>051822-30-01</t>
  </si>
  <si>
    <t>D988 SUPLEMENTO 22x30x0.1</t>
  </si>
  <si>
    <t>051822-30-02</t>
  </si>
  <si>
    <t>D988 SUPLEMENTO 22x30x0.2</t>
  </si>
  <si>
    <t>051822-32-01</t>
  </si>
  <si>
    <t>D988 SUPLEMENTO 22x32x0.1</t>
  </si>
  <si>
    <t>051822-32-02</t>
  </si>
  <si>
    <t>D988 SUPLEMENTO 22x32x0.2</t>
  </si>
  <si>
    <t>051825-35-01</t>
  </si>
  <si>
    <t>D988 SUPLEMENTO 25x35x0.1</t>
  </si>
  <si>
    <t>051825-35-02</t>
  </si>
  <si>
    <t>D988 SUPLEMENTO 25x35x0.2</t>
  </si>
  <si>
    <t>051826-37-01</t>
  </si>
  <si>
    <t>D988 SUPLEMENTO 26x37x0.1</t>
  </si>
  <si>
    <t>051826-37-02</t>
  </si>
  <si>
    <t>D988 SUPLEMENTO 26x37x0.2</t>
  </si>
  <si>
    <t>051828-40-01</t>
  </si>
  <si>
    <t>D988 SUPLEMENTO 28x40x0.1</t>
  </si>
  <si>
    <t>051828-40-02</t>
  </si>
  <si>
    <t>D988 SUPLEMENTO 28x40x0.2</t>
  </si>
  <si>
    <t>051830-42-01</t>
  </si>
  <si>
    <t>D988 SUPLEMENTO 30x42x0.1</t>
  </si>
  <si>
    <t>051830-42-02</t>
  </si>
  <si>
    <t>D988 SUPLEMENTO 30x42x0.2</t>
  </si>
  <si>
    <t>051830-42-03</t>
  </si>
  <si>
    <t>D988 SUPLEMENTO 30x42x0.3</t>
  </si>
  <si>
    <t>051832-45-01</t>
  </si>
  <si>
    <t>D988 SUPLEMENTO 32x45x0.1</t>
  </si>
  <si>
    <t>051832-45-02</t>
  </si>
  <si>
    <t>D988 SUPLEMENTO 32x45x0.2</t>
  </si>
  <si>
    <t>051832-45-03</t>
  </si>
  <si>
    <t>D988 SUPLEMENTO 32x45x0.3</t>
  </si>
  <si>
    <t>051835-45-01</t>
  </si>
  <si>
    <t>D988 SUPLEMENTO 35x45x0.1</t>
  </si>
  <si>
    <t>051835-45-02</t>
  </si>
  <si>
    <t>D988 SUPLEMENTO 35x45x0.2</t>
  </si>
  <si>
    <t>051835-45-03</t>
  </si>
  <si>
    <t>D988 SUPLEMENTO 35x45x0.3</t>
  </si>
  <si>
    <t>051836-45-01</t>
  </si>
  <si>
    <t>D988 SUPLEMENTO 36x45x0.1</t>
  </si>
  <si>
    <t>051836-45-02</t>
  </si>
  <si>
    <t>D988 SUPLEMENTO 36x45x0.2</t>
  </si>
  <si>
    <t>051837-47-01</t>
  </si>
  <si>
    <t>D988 SUPLEMENTO 37x47x0.1</t>
  </si>
  <si>
    <t>051837-47-02</t>
  </si>
  <si>
    <t>D988 SUPLEMENTO 37x47x0.2</t>
  </si>
  <si>
    <t>051840-50-01</t>
  </si>
  <si>
    <t>D988 SUPLEMENTO 40x50x0.1</t>
  </si>
  <si>
    <t>051840-50-02</t>
  </si>
  <si>
    <t>D988 SUPLEMENTO 40x50x0.2</t>
  </si>
  <si>
    <t>051840-50-03</t>
  </si>
  <si>
    <t>D988 SUPLEMENTO 40x50x0.3</t>
  </si>
  <si>
    <t>051842-52-01</t>
  </si>
  <si>
    <t>D988 SUPLEMENTO 42x52x0.1</t>
  </si>
  <si>
    <t>051842-52-02</t>
  </si>
  <si>
    <t>D988 SUPLEMENTO 42x52x0.2</t>
  </si>
  <si>
    <t>051842-52-03</t>
  </si>
  <si>
    <t>D988 SUPLEMENTO 42x52x0.3</t>
  </si>
  <si>
    <t>051845-55-01</t>
  </si>
  <si>
    <t>D988 SUPLEMENTO 45x55x0.1</t>
  </si>
  <si>
    <t>051845-55-02</t>
  </si>
  <si>
    <t>D988 SUPLEMENTO 45x55x0.2</t>
  </si>
  <si>
    <t>051845-55-03</t>
  </si>
  <si>
    <t>D988 SUPLEMENTO 45x55x0.3</t>
  </si>
  <si>
    <t>051845-56-01</t>
  </si>
  <si>
    <t>D988 SUPLEMENTO 45x56x0.1</t>
  </si>
  <si>
    <t>051845-56-02</t>
  </si>
  <si>
    <t>D988 SUPLEMENTO 45x56x0.2</t>
  </si>
  <si>
    <t>051848-60-01</t>
  </si>
  <si>
    <t>D988 SUPLEMENTO 48x60x0.1</t>
  </si>
  <si>
    <t>051848-60-02</t>
  </si>
  <si>
    <t>D988 SUPLEMENTO 48x60x0.2</t>
  </si>
  <si>
    <t>051848-60-03</t>
  </si>
  <si>
    <t>D988 SUPLEMENTO 48x60x0.3</t>
  </si>
  <si>
    <t>051850-62-01</t>
  </si>
  <si>
    <t>D988 SUPLEMENTO 50x62x0.1</t>
  </si>
  <si>
    <t>051850-62-02</t>
  </si>
  <si>
    <t>D988 SUPLEMENTO 50x62x0.2</t>
  </si>
  <si>
    <t>051850-63-01</t>
  </si>
  <si>
    <t>D988 SUPLEMENTO 50x63x0.1</t>
  </si>
  <si>
    <t>051850-63-02</t>
  </si>
  <si>
    <t>D988 SUPLEMENTO 50x63x0.2</t>
  </si>
  <si>
    <t>051852-65-01</t>
  </si>
  <si>
    <t>D988 SUPLEMENTO 52x65x0.1</t>
  </si>
  <si>
    <t>051852-65-02</t>
  </si>
  <si>
    <t>D988 SUPLEMENTO 52x65x0.2</t>
  </si>
  <si>
    <t>051855-68-01</t>
  </si>
  <si>
    <t>D988 SUPLEMENTO 55x68x0.1</t>
  </si>
  <si>
    <t>051855-68-02</t>
  </si>
  <si>
    <t>D988 SUPLEMENTO 55x68x0.2</t>
  </si>
  <si>
    <t>051856-70-01</t>
  </si>
  <si>
    <t>D988 SUPLEMENTO 56x70x0.1</t>
  </si>
  <si>
    <t>051856-70-02</t>
  </si>
  <si>
    <t>D988 SUPLEMENTO 56x70x0.2</t>
  </si>
  <si>
    <t>051856-72-01</t>
  </si>
  <si>
    <t>D988 SUPLEMENTO 56x72x0.1</t>
  </si>
  <si>
    <t>051856-72-02</t>
  </si>
  <si>
    <t>D988 SUPLEMENTO 56x72x0.2</t>
  </si>
  <si>
    <t>051860-75-01</t>
  </si>
  <si>
    <t>D988 SUPLEMENTO 60x75x0.1</t>
  </si>
  <si>
    <t>051860-75-02</t>
  </si>
  <si>
    <t>D988 SUPLEMENTO 60x75x0.2</t>
  </si>
  <si>
    <t>051860-75-03</t>
  </si>
  <si>
    <t>D988 SUPLEMENTO 60x75x0.3</t>
  </si>
  <si>
    <t>051863-80-01</t>
  </si>
  <si>
    <t>D988 SUPLEMENTO 63x80x0.1</t>
  </si>
  <si>
    <t>051863-80-02</t>
  </si>
  <si>
    <t>D988 SUPLEMENTO 63x80x0.2</t>
  </si>
  <si>
    <t>051863-80-03</t>
  </si>
  <si>
    <t>D988 SUPLEMENTO 63x80x0.3</t>
  </si>
  <si>
    <t>051865-85-01</t>
  </si>
  <si>
    <t>D988 SUPLEMENTO 65x85x0.1</t>
  </si>
  <si>
    <t>051865-85-02</t>
  </si>
  <si>
    <t>D988 SUPLEMENTO 65x85x0.2</t>
  </si>
  <si>
    <t>051870-90-01</t>
  </si>
  <si>
    <t>D988 SUPLEMENTO 70x90x0.1</t>
  </si>
  <si>
    <t>051870-90-02</t>
  </si>
  <si>
    <t>D988 SUPLEMENTO 70x90x0.2</t>
  </si>
  <si>
    <t>051875-85-03</t>
  </si>
  <si>
    <t>D988 SUPLEMENTO 75x85x0.3</t>
  </si>
  <si>
    <t>051875-95-01</t>
  </si>
  <si>
    <t>D988 SUPLEMENTO 75x95x0.1</t>
  </si>
  <si>
    <t>051875-95-02</t>
  </si>
  <si>
    <t>D988 SUPLEMENTO 75x95x0.2</t>
  </si>
  <si>
    <t>051875-95-03</t>
  </si>
  <si>
    <t>D988 SUPLEMENTO 75x95x0.3</t>
  </si>
  <si>
    <t>051880-100-01</t>
  </si>
  <si>
    <t>D988 SUPLEMENTO 80x100x0.1</t>
  </si>
  <si>
    <t>051880-100-02</t>
  </si>
  <si>
    <t>D988 SUPLEMENTO 80x100x0.2</t>
  </si>
  <si>
    <t>051895-115-01</t>
  </si>
  <si>
    <t>D988 SUPLEMENTO 95x115x0.1</t>
  </si>
  <si>
    <t>051895-115-02</t>
  </si>
  <si>
    <t>D988 SUPLEMENTO 95x115x0.2</t>
  </si>
  <si>
    <t>BISELADA M10x19 (3/8) Zinc.</t>
  </si>
  <si>
    <t>052511.5</t>
  </si>
  <si>
    <t>BISELADA M11.5x22 (7/16) Zinc.</t>
  </si>
  <si>
    <t>BISELADA M12x24 Zinc.</t>
  </si>
  <si>
    <t>052512.5</t>
  </si>
  <si>
    <t>BISELADA M12.5x25.4 (1/2) Zinc.</t>
  </si>
  <si>
    <t>BISELADA M14x28 (9/16) Zinc.</t>
  </si>
  <si>
    <t>BISELADA M16x32 (5/8) Zinc.</t>
  </si>
  <si>
    <t>BISELADA M18x34 Zinc.</t>
  </si>
  <si>
    <t>BISELADA M20x35 (3/4) Zinc.</t>
  </si>
  <si>
    <t>BISELADA M22x39.5 Zinc.</t>
  </si>
  <si>
    <t>052523.5</t>
  </si>
  <si>
    <t>BISELADA M23.5x39.5 (7/8) Zinc.</t>
  </si>
  <si>
    <t>BISELADA M24x44.5 Zinc.</t>
  </si>
  <si>
    <t>BISELADA M26x50 (1) Zinc.</t>
  </si>
  <si>
    <t>BISELADA M3x8 (1/8) Zinc.</t>
  </si>
  <si>
    <t>BISELADA M4x10 (5/32) Zinc.</t>
  </si>
  <si>
    <t>BISELADA M5x11 (3/16) Zinc.</t>
  </si>
  <si>
    <t>BISELADA M6x13.8 (1/4) Zinc.</t>
  </si>
  <si>
    <t>BISELADA M7x15 Zinc.</t>
  </si>
  <si>
    <t>BISELADA M8x17 (5/16) Zinc.</t>
  </si>
  <si>
    <t>054012-4.3</t>
  </si>
  <si>
    <t>AR.PLANA 12x4.3x1 HIERRO D9021</t>
  </si>
  <si>
    <t>054013-9-1</t>
  </si>
  <si>
    <t>AR.PLANA 13.5x9.2x1 HIERRO</t>
  </si>
  <si>
    <t>054013-9-1.2</t>
  </si>
  <si>
    <t>AR.PLANA 13.5x9.2x1.2 HIERRO</t>
  </si>
  <si>
    <t>054014-0.2ZM</t>
  </si>
  <si>
    <t>AR.PLANA 14.4x10.2x0.2 Z.Mec.</t>
  </si>
  <si>
    <t>054014-0.2ZU</t>
  </si>
  <si>
    <t>AR.PLANA 14.4x10.2x0.2</t>
  </si>
  <si>
    <t>054014-1.2ZU</t>
  </si>
  <si>
    <t>AR.PLANA 14x10.2x1.2 HIERRO Zinc.</t>
  </si>
  <si>
    <t>054014-8ZM</t>
  </si>
  <si>
    <t>AR.PLANA 14x8.3x1 ZM</t>
  </si>
  <si>
    <t>054015-9</t>
  </si>
  <si>
    <t>AR.PLANA 15x9x3 HIERRO</t>
  </si>
  <si>
    <t>054016-6.4</t>
  </si>
  <si>
    <t>AR.PLANA 16x6.4x1.5 HIERRO</t>
  </si>
  <si>
    <t>054016-9.25</t>
  </si>
  <si>
    <t>AR.PLANA 16x9.25x1.5 HIERRO</t>
  </si>
  <si>
    <t>054018-7</t>
  </si>
  <si>
    <t>AR.PLANA 18x7x1.5 HIERRO D9021</t>
  </si>
  <si>
    <t>054018-7.25Z</t>
  </si>
  <si>
    <t>AR.PLANA  18x7.25x2.5</t>
  </si>
  <si>
    <t>054020-9.2</t>
  </si>
  <si>
    <t>AR.PLANA  20x9.2x1 SAE1070</t>
  </si>
  <si>
    <t>054022-5.6-1</t>
  </si>
  <si>
    <t>AR.PLANA  22x5.60x1.45</t>
  </si>
  <si>
    <t>054024-11.5Z</t>
  </si>
  <si>
    <t>AR.PLANA  24x11.5x3 HIERRO Zinc.</t>
  </si>
  <si>
    <t>054024-9.5</t>
  </si>
  <si>
    <t>AR.PLANA  24x9.5x0.5</t>
  </si>
  <si>
    <t>054025-8-0.1</t>
  </si>
  <si>
    <t>AR.PLANA 25.5x8x0.1 ACERO</t>
  </si>
  <si>
    <t>054025-8-0.2</t>
  </si>
  <si>
    <t>AR.PLANA  25.5x8x0.2 ACERO</t>
  </si>
  <si>
    <t>054025-8-0.3</t>
  </si>
  <si>
    <t>AR.PLANA  25.5x8x0.3 ACERO</t>
  </si>
  <si>
    <t>054025-8-0.4</t>
  </si>
  <si>
    <t>AR.PLANA  25.5x8x0.4 ACERO</t>
  </si>
  <si>
    <t>054025-8-0.5</t>
  </si>
  <si>
    <t>AR.PLANA  25.5x8x0.5 ACERO</t>
  </si>
  <si>
    <t>054028-20</t>
  </si>
  <si>
    <t>AR.PLANA  28x20x0.90 ACERO</t>
  </si>
  <si>
    <t>054028Z</t>
  </si>
  <si>
    <t>AR.PLANA  28x15x2.5  D125 Zinc</t>
  </si>
  <si>
    <t>054031.5-21Z</t>
  </si>
  <si>
    <t>AR.PLANA  31.5x21x0.25 HIERRO ZA</t>
  </si>
  <si>
    <t>054038-26</t>
  </si>
  <si>
    <t>AR.PLANA  38x26x1.5</t>
  </si>
  <si>
    <t>054040.6-30</t>
  </si>
  <si>
    <t>AR.PLANA  40.6x30.5x1.5 AJUSTE</t>
  </si>
  <si>
    <t>054060-40ZDA</t>
  </si>
  <si>
    <t>AR.PLANA  60x40x1 HIERRO C/TRABA Z.AM.</t>
  </si>
  <si>
    <t>05408-4.6</t>
  </si>
  <si>
    <t>AR.PLANA  8x4.6x0.80 ZINC.</t>
  </si>
  <si>
    <t>D5417 SP100  95.3x4.85x2.46</t>
  </si>
  <si>
    <t>D5417 SP110 105.4x4.85x2.4</t>
  </si>
  <si>
    <t>D5417 SP115 110.2x4.85x2.4</t>
  </si>
  <si>
    <t>D5417 SP120 113.8x7.2x2.8</t>
  </si>
  <si>
    <t>D5417 SP130 123.8x7.2x2.8</t>
  </si>
  <si>
    <t>D5417 SP140 133.4x7.2x2.8</t>
  </si>
  <si>
    <t>D5417 SP150 143.3x7.2x2.8</t>
  </si>
  <si>
    <t>D5417 SP160 153.3x7.2x2.8</t>
  </si>
  <si>
    <t>D5417 SP200 191.4x9.6x3.1</t>
  </si>
  <si>
    <t>D5417 SP30 27.5x3.25x1.12</t>
  </si>
  <si>
    <t>D5417 SP32 29.5x3.25x1.12</t>
  </si>
  <si>
    <t>D5417 SP35 32.5x3.25x1.12</t>
  </si>
  <si>
    <t>D5417 SP37 34.5x3.25x1.12</t>
  </si>
  <si>
    <t>D5417 SP40 37.4x3.25x1.12</t>
  </si>
  <si>
    <t>D5417 SP42 39.0x3.25x1.12</t>
  </si>
  <si>
    <t>D5417 SP44 40.9x3.25x1.12</t>
  </si>
  <si>
    <t>D5417 SP47 43.8x4.04x1.12</t>
  </si>
  <si>
    <t>D5417 SP50 46.8x4.04x1.12</t>
  </si>
  <si>
    <t>D5417 SP52 48.9x4.04x1.12</t>
  </si>
  <si>
    <t>D5417 SP55 51.7x4.04x1.12</t>
  </si>
  <si>
    <t>D5417 SP56 52.6x4.04x1.12</t>
  </si>
  <si>
    <t>D5417 SP65  61.4x4.04x1.7</t>
  </si>
  <si>
    <t>D5417 SP68  63.4x4.85x1.7</t>
  </si>
  <si>
    <t>D5417 SP72  67.6x4.85x1.7</t>
  </si>
  <si>
    <t>D5417 SP75  70.0x4.85x1.7</t>
  </si>
  <si>
    <t>D5417 SP80  75.6x4.85x1.7</t>
  </si>
  <si>
    <t>D5417 SP85  80.6x4.85x1.7</t>
  </si>
  <si>
    <t>D5417 SP90  85.6x4.85x2.46</t>
  </si>
  <si>
    <t>D5417 SP95  90.6x4.85x2.46</t>
  </si>
  <si>
    <t>060203-20</t>
  </si>
  <si>
    <t>ARO M.M./ \  32.4x3.8x2.5</t>
  </si>
  <si>
    <t>060236-4.5</t>
  </si>
  <si>
    <t>ARO M.M./ \    36x4.5x2.5</t>
  </si>
  <si>
    <t>TUERCA RAPIDA CIRC.    10</t>
  </si>
  <si>
    <t>TUERCA RAPIDA CIRC.     2</t>
  </si>
  <si>
    <t>07022.5</t>
  </si>
  <si>
    <t>TUERCA RAPIDA CIRC.   2.5</t>
  </si>
  <si>
    <t>TUERCA RAPIDA CIRC.     3</t>
  </si>
  <si>
    <t>07023.17</t>
  </si>
  <si>
    <t>TUERCA RAPIDA CIRC.  3.17</t>
  </si>
  <si>
    <t>07023/8</t>
  </si>
  <si>
    <t>TUERCA RAPIDA CIRC.   3/8</t>
  </si>
  <si>
    <t>07023/8H</t>
  </si>
  <si>
    <t>TUERCA RAPIDA CIRC. 3/8 H1331</t>
  </si>
  <si>
    <t>TUERCA RAPIDA CIRC.     4</t>
  </si>
  <si>
    <t>07024.76</t>
  </si>
  <si>
    <t>TUERCA RAPIDA CIRC.  4.76</t>
  </si>
  <si>
    <t>07024.76H</t>
  </si>
  <si>
    <t>TUERCA RAPIDA CIRC. 4.76 H1331</t>
  </si>
  <si>
    <t>TUERCA RAPIDA CIRC.     5</t>
  </si>
  <si>
    <t>TUERCA RAPIDA CIRC.     6</t>
  </si>
  <si>
    <t>TUERCA RAPIDA CIRC.     7</t>
  </si>
  <si>
    <t>TUERCA RAPIDA CIRC.     8</t>
  </si>
  <si>
    <t>TUERCA RAPIDA CIRC.     9</t>
  </si>
  <si>
    <t>TUERCA RAPIDA para BUJE 15</t>
  </si>
  <si>
    <t>TUERCA RAPIDA para BUJE 20</t>
  </si>
  <si>
    <t>ARANLOCK        10x18x0.3</t>
  </si>
  <si>
    <t>075010-18H</t>
  </si>
  <si>
    <t>ARANLOCK 10x18x0.3 H1331</t>
  </si>
  <si>
    <t>075010-18R</t>
  </si>
  <si>
    <t>ARANLOCK        10x18x0.5 Reforzado</t>
  </si>
  <si>
    <t>ARANLOCK        10x21x0.3</t>
  </si>
  <si>
    <t>075010-21H</t>
  </si>
  <si>
    <t>ARANLOCK 10x21 H1331</t>
  </si>
  <si>
    <t>075011-21</t>
  </si>
  <si>
    <t>ARANLOCK        11x21x0.3</t>
  </si>
  <si>
    <t>ARANLOCK 11x21 H1331</t>
  </si>
  <si>
    <t>075012-21</t>
  </si>
  <si>
    <t>ARANLOCK        12x21x0.3</t>
  </si>
  <si>
    <t>ARANLOCK 12x21 H1331</t>
  </si>
  <si>
    <t>075014-21</t>
  </si>
  <si>
    <t>ARANLOCK        14x21x0.3</t>
  </si>
  <si>
    <t>075014-21H</t>
  </si>
  <si>
    <t>ARANLOCK 14x21 H1331</t>
  </si>
  <si>
    <t>075015-26</t>
  </si>
  <si>
    <t>ARANLOCK        15x26x0.5</t>
  </si>
  <si>
    <t>075015-26H</t>
  </si>
  <si>
    <t>ARANLOCK 15x26 H1331</t>
  </si>
  <si>
    <t>07502.5-6</t>
  </si>
  <si>
    <t>ARANLOCK         2.5x6.5x0.2</t>
  </si>
  <si>
    <t>07502-9.5</t>
  </si>
  <si>
    <t>ARANLOCK         2x9.5x0.2</t>
  </si>
  <si>
    <t>ARANLOCK 3x11.3 H1331</t>
  </si>
  <si>
    <t>ARANLOCK 4x11.3 H1331</t>
  </si>
  <si>
    <t>07505-11.3</t>
  </si>
  <si>
    <t>07505.5-15</t>
  </si>
  <si>
    <t>ARANLOCK         5.5x15X0.2</t>
  </si>
  <si>
    <t>ARANLOCK         5x11.3x0.2</t>
  </si>
  <si>
    <t>ARANLOCK 5x11.3 H1331</t>
  </si>
  <si>
    <t>07505-15</t>
  </si>
  <si>
    <t>ARANLOCK         5x15x0.3</t>
  </si>
  <si>
    <t>07505-15H</t>
  </si>
  <si>
    <t>ARANLOCK 5x15 H1331</t>
  </si>
  <si>
    <t>07506-15</t>
  </si>
  <si>
    <t>ARANLOCK         6x15x0.3</t>
  </si>
  <si>
    <t>ARANLOCK 6x15 H1331</t>
  </si>
  <si>
    <t>ARANLOCK         7x15x0.3</t>
  </si>
  <si>
    <t>ARANLOCK         8x15x0.3</t>
  </si>
  <si>
    <t>07508-15H</t>
  </si>
  <si>
    <t>ARANLOCK 8x15 H1331</t>
  </si>
  <si>
    <t>07508-18H</t>
  </si>
  <si>
    <t>ARANLOCK 8x18 H1331</t>
  </si>
  <si>
    <t>07508-21</t>
  </si>
  <si>
    <t>ARANLOCK         8x21x0.3</t>
  </si>
  <si>
    <t>07508-21H</t>
  </si>
  <si>
    <t>ARANLOCK         8x21x0.3 H1331</t>
  </si>
  <si>
    <t>ARANLOCK 9.5x18  H1331</t>
  </si>
  <si>
    <t>ARANLOCK         9x18x0.3</t>
  </si>
  <si>
    <t>07509-21H</t>
  </si>
  <si>
    <t>ARANLOCK 9x21  H1331</t>
  </si>
  <si>
    <t>0750T10-19</t>
  </si>
  <si>
    <t>ARANLOCK C/TAPA NIQ.10x19</t>
  </si>
  <si>
    <t>0750T11-22</t>
  </si>
  <si>
    <t>ARANLOCK C/TAPA NIQ.11x22</t>
  </si>
  <si>
    <t>0750T12-22</t>
  </si>
  <si>
    <t>ARANLOCK C/TAPA NIQ.12x22</t>
  </si>
  <si>
    <t>0750T14-22</t>
  </si>
  <si>
    <t>ARANLOCK C/TAPA NIQ.14x22</t>
  </si>
  <si>
    <t>0750T3-10</t>
  </si>
  <si>
    <t>ARANLOCK C/TAPA NIQ. 3x10</t>
  </si>
  <si>
    <t>0750T4-12</t>
  </si>
  <si>
    <t>ARANLOCK C/TAPA NIQ. 4x12</t>
  </si>
  <si>
    <t>0750T5-12</t>
  </si>
  <si>
    <t>ARANLOCK C/TAPA NIQ. 5x12</t>
  </si>
  <si>
    <t>0750T6-16</t>
  </si>
  <si>
    <t>ARANLOCK C/TAPA NIQ. 6x16</t>
  </si>
  <si>
    <t>0750T7-16</t>
  </si>
  <si>
    <t>ARANLOCK C/TAPA NIQ. 7x16</t>
  </si>
  <si>
    <t>0750T8-16</t>
  </si>
  <si>
    <t>ARANLOCK C/TAPA NIQ. 8x16</t>
  </si>
  <si>
    <t>0750T8-19</t>
  </si>
  <si>
    <t>ARANLOCK C/TAPA NIQ. 8x19</t>
  </si>
  <si>
    <t>0750T9.5-19</t>
  </si>
  <si>
    <t>ARANLOCK C/TAPA NIQ. 9.5x19</t>
  </si>
  <si>
    <t>0750T9-19</t>
  </si>
  <si>
    <t>ARANLOCK C/TAPA NIQ. 9x19</t>
  </si>
  <si>
    <t>ARAND.RETENCION TRIS   10</t>
  </si>
  <si>
    <t>ARAND.RETENCION TRIS   12</t>
  </si>
  <si>
    <t>ARAND.RETENCION TRIS   14</t>
  </si>
  <si>
    <t>ARAND.RETENCION TRIS   15</t>
  </si>
  <si>
    <t>075115H</t>
  </si>
  <si>
    <t>ARAND RETENCION TRIS 15 H1331</t>
  </si>
  <si>
    <t>ARAND.RETENCION TRIS   16</t>
  </si>
  <si>
    <t>ARAND.RETENCION TRIS    2</t>
  </si>
  <si>
    <t>ARAND.RETENCION TRIS   20</t>
  </si>
  <si>
    <t>ARAND.RETENCION TRIS   22</t>
  </si>
  <si>
    <t>ARAND.RETENCION TRIS   25</t>
  </si>
  <si>
    <t>ARAND.RETENCION TRIS    3</t>
  </si>
  <si>
    <t>ARAND.RETENCION TRIS   30</t>
  </si>
  <si>
    <t>ARAND.RETENCION TRIS    4</t>
  </si>
  <si>
    <t>ARAND.RETENCION TRIS    5</t>
  </si>
  <si>
    <t>ARAND.RETENCION TRIS    6</t>
  </si>
  <si>
    <t>ARAND.RETENCION TRIS    7</t>
  </si>
  <si>
    <t>ARAND.RETENCION TRIS    8</t>
  </si>
  <si>
    <t>ARAND.RETENCION TRIS    9</t>
  </si>
  <si>
    <t>075215H</t>
  </si>
  <si>
    <t>TOPE PICAPORTE DIAM. 15  H1331</t>
  </si>
  <si>
    <t>10043.2</t>
  </si>
  <si>
    <t>TUERCA CLIP D3.2</t>
  </si>
  <si>
    <t>1004M5ZB</t>
  </si>
  <si>
    <t>TUERCA FLOTANTE M5 Zinc.Azul</t>
  </si>
  <si>
    <t>1004M6ZA</t>
  </si>
  <si>
    <t>TUERCA FLOTANTE M6 ZIN.AM</t>
  </si>
  <si>
    <t>10101/4ZA</t>
  </si>
  <si>
    <t>INSERTO OTIA P/MADERA 1/4 Z.Am</t>
  </si>
  <si>
    <t>10106ZB</t>
  </si>
  <si>
    <t>INSERTO OTIA P/MADERA M6x1 Zincado Blanco</t>
  </si>
  <si>
    <t>Alto</t>
  </si>
  <si>
    <t>Espacios</t>
  </si>
  <si>
    <t>STOCK</t>
  </si>
  <si>
    <t>Gaveta de 24 (grande)</t>
  </si>
  <si>
    <t>Mueble para gav. Chicas</t>
  </si>
  <si>
    <t>Div. c/6</t>
  </si>
  <si>
    <t>Mueble para gav. Medianas</t>
  </si>
  <si>
    <t>Div. c/8</t>
  </si>
  <si>
    <t>Mueble para gav. Grandes</t>
  </si>
  <si>
    <t>Div. c/10</t>
  </si>
  <si>
    <t>PARA HACER PEDIDOS</t>
  </si>
  <si>
    <t>PEDIDO BAIGORRIA</t>
  </si>
  <si>
    <t>Completar AQUÍ:</t>
  </si>
  <si>
    <t>Lista agosto</t>
  </si>
  <si>
    <t>CÓDIGO</t>
  </si>
  <si>
    <t>VENTA MAXIFER</t>
  </si>
  <si>
    <t>DESCRIPCIÒN</t>
  </si>
  <si>
    <t>LISTA</t>
  </si>
  <si>
    <t>6*30</t>
  </si>
  <si>
    <t>8*40</t>
  </si>
  <si>
    <t>B-01-222</t>
  </si>
  <si>
    <t>ESP. 12 X 100 P 1,50-1,75 (Minimo 50)</t>
  </si>
  <si>
    <t>A-06-024</t>
  </si>
  <si>
    <t>ESP. 3/8 X 7/16 X 2" 1/2 (63,5 MM) (Minimo 100)</t>
  </si>
  <si>
    <t>A-06-022</t>
  </si>
  <si>
    <t>ESP. 3/8 X 7/16 X 2" (50,8 MM) (Minimo 100)</t>
  </si>
  <si>
    <t>A-03-015</t>
  </si>
  <si>
    <t>ESP. 3/8 X 70 NF-NF ESCAP (Minimo 100)</t>
  </si>
  <si>
    <t>B-06-026</t>
  </si>
  <si>
    <t>ESP. 8 X 10 X 50 (Minimo 100)</t>
  </si>
  <si>
    <t>B-06-042</t>
  </si>
  <si>
    <t>ESP. 8 X 9 X 30 (Minimo 200)</t>
  </si>
  <si>
    <t>B-06-043</t>
  </si>
  <si>
    <t>ESP. 8 X 9 X 35 (Minimo 200)</t>
  </si>
  <si>
    <t>B-06-120</t>
  </si>
  <si>
    <t>ESP. 10 X 12 X 70 P 1,50-1,50 (Minimo 50)</t>
  </si>
  <si>
    <t>B-06-108</t>
  </si>
  <si>
    <t>ESP. 10 X 12 X 40 P 1,50-1,50 (Minimo 50)</t>
  </si>
  <si>
    <t>B-06-051</t>
  </si>
  <si>
    <t>ESP. 8 X 9 X 80 (Minimo 100)</t>
  </si>
  <si>
    <t>B-06-024</t>
  </si>
  <si>
    <t>ESP. 8 X 10 X 40 (Minimo 200)</t>
  </si>
  <si>
    <t>B-06-025</t>
  </si>
  <si>
    <t>ESP. 8 X 10 X 45 (Minimo 100)</t>
  </si>
  <si>
    <t>B-01-178</t>
  </si>
  <si>
    <t>ESP. 10 X 90 P 1,50 (Minimo 50)</t>
  </si>
  <si>
    <t>B-06-027 A</t>
  </si>
  <si>
    <t>ESP. 8 X 10 X 60 (Minimo 100)</t>
  </si>
  <si>
    <t>B-06-124</t>
  </si>
  <si>
    <t>ESP. 10 X 12 X 80 P 1,50-1,50 (Minimo 50)</t>
  </si>
  <si>
    <t>B-06-116</t>
  </si>
  <si>
    <t>ESP. 10 X 12 X 60 P 1,50-1,50 (Minimo 50)</t>
  </si>
  <si>
    <t>B-01-110</t>
  </si>
  <si>
    <t>ESP. 8 X 110 (Minimo 50)</t>
  </si>
  <si>
    <t>B-01-114</t>
  </si>
  <si>
    <t>ESP. 8 X 150 (Minimo 50)</t>
  </si>
  <si>
    <t>B-01-010</t>
  </si>
  <si>
    <t>ESP. 5 X 60 (Minimo 100)</t>
  </si>
  <si>
    <t>B-06-018 D</t>
  </si>
  <si>
    <t>ESP. 6 X 7 X 60 (Minimo 100)</t>
  </si>
  <si>
    <t>B-01-009</t>
  </si>
  <si>
    <t>ESP. 5 X 55 (Minimo 100)</t>
  </si>
  <si>
    <t>A-01-048</t>
  </si>
  <si>
    <t>ESP. 3/8 X 3 1/2" NC-NF (88.9mm) (Minimo 50)</t>
  </si>
  <si>
    <t>A-01-042</t>
  </si>
  <si>
    <t>ESP. 3/8 X 2 1/2" NC-NF (63.5mm) (Minimo 100)</t>
  </si>
  <si>
    <t>A-01-014</t>
  </si>
  <si>
    <t>ESP. 5/16 X 2 1/2" (63mm)  (Minimo 100)</t>
  </si>
  <si>
    <t>B-01-088</t>
  </si>
  <si>
    <t>ESP. 8 X 55 (Minimo 200)</t>
  </si>
  <si>
    <t>B-06-049</t>
  </si>
  <si>
    <t>ESP. 8 X 9 X 70 (Minimo 100)</t>
  </si>
  <si>
    <t>PEDIDO METALGRAB</t>
  </si>
  <si>
    <t xml:space="preserve">LISTA DE PRECIOS TERMINALES </t>
  </si>
  <si>
    <t>Codigo Metalgrab</t>
  </si>
  <si>
    <t>Precio Dólar x 1000 + IVA</t>
  </si>
  <si>
    <t>Precio Final U. METALGRAB</t>
  </si>
  <si>
    <t>CANTIDAD PAQUETE</t>
  </si>
  <si>
    <t>METALGRAB x BOLSA</t>
  </si>
  <si>
    <t>MAXIFER X BOLSA</t>
  </si>
  <si>
    <t>U. MAXIFER</t>
  </si>
  <si>
    <t>Ojal de 4,2 mm chico Cable: 0,8 - 2 mm</t>
  </si>
  <si>
    <t>Ojal de 4,2 mm grande Cable: 0,8 - 2 mm</t>
  </si>
  <si>
    <t>Ojal de 5,2 mm chico Cable: 0,8 - 2 mm</t>
  </si>
  <si>
    <t>Ojal de 5,2 mm grande Cable: 0,8 - 2 mm</t>
  </si>
  <si>
    <t>Ojal de 6,5 mm Cable: 0,8 - 2 mm</t>
  </si>
  <si>
    <t>Ojal de 8,5 mm Cable: 0,8 - 2,5 mm</t>
  </si>
  <si>
    <t>Horquilla de 3 mm Cable: 0,8 - 2 mm</t>
  </si>
  <si>
    <t>Horquilla de 4,2 mm Cable: 0,8 - 2 mm</t>
  </si>
  <si>
    <t>Horquilla de 5,2 mm  Cable: 0,8 - 2 mm</t>
  </si>
  <si>
    <t>Horquilla de 6.5 mm Cable: 0,8 - 2 mm</t>
  </si>
  <si>
    <t>Pala macho de 2,8 mm Cable: 0,8 - 2 mm</t>
  </si>
  <si>
    <t>Pala macho de 5 mm Cable: 0,8 - 2 mm</t>
  </si>
  <si>
    <t>45 Gr</t>
  </si>
  <si>
    <t>1.01.0436</t>
  </si>
  <si>
    <t>Pala macho de 6.3 mm Cable: 1 - 2,5 mm</t>
  </si>
  <si>
    <t>Pala macho de 6.5 mm larga Cable: 2 - 2,5 mm</t>
  </si>
  <si>
    <t xml:space="preserve"> COD. 2.52.PFP130 (130mm)</t>
  </si>
  <si>
    <t>PRESINTO CLIPS</t>
  </si>
  <si>
    <t>Ojal de 13,5x18 mm reforzado Cable: 6 - 10 mm</t>
  </si>
  <si>
    <t>Pala hembra de 2,8 mm Cable: 0,5 - 1mm</t>
  </si>
  <si>
    <t>Pala hembra de 4,8 mm Cable: 0,5 - 1mm</t>
  </si>
  <si>
    <t>Pala hembra de 6,5 mm Cable: 0,5 - 1mm</t>
  </si>
  <si>
    <t>Para hacer pedidos:</t>
  </si>
  <si>
    <t>7:30 a 11:30 - 12:30 a 17:30</t>
  </si>
  <si>
    <t>Bandera de 6,3 mm Cable: 0,5 - 1mm</t>
  </si>
  <si>
    <t>0720038020000001196618</t>
  </si>
  <si>
    <t>Bandera de opticas Cable: 0,5 - 2mm</t>
  </si>
  <si>
    <t>Tubo macho de 4 mm Cable: 0,5 - 2mm</t>
  </si>
  <si>
    <t>ventas@metalgrab.com.ar</t>
  </si>
  <si>
    <t>Tubo hembra de 4 mm Cable: 0,5 - 2mm</t>
  </si>
  <si>
    <t>OJAL DIAM 8,5     SECCION 2,5-6m²</t>
  </si>
  <si>
    <t>1.06.1296</t>
  </si>
  <si>
    <t>Tubo macho de 4,5 mm Cable: 0,5 - 2mm</t>
  </si>
  <si>
    <t>Tubo hembra de 4,5 mm Cable: 0,5 - 2mm</t>
  </si>
  <si>
    <t xml:space="preserve">Aislante de 6,5 chico </t>
  </si>
  <si>
    <t>Aislante de 6,5 grande</t>
  </si>
  <si>
    <t>Aislante recto de 6,5 mnm</t>
  </si>
  <si>
    <t>HEMBRA 2,8x0,5mm     SECCION 0,5-1,5mm²</t>
  </si>
  <si>
    <t>1.01.0092</t>
  </si>
  <si>
    <t>1.01.0098</t>
  </si>
  <si>
    <t>HEMBRA 2,8x0,8mm     SECCION 0,5-1,5mm²</t>
  </si>
  <si>
    <t>1.01.0122</t>
  </si>
  <si>
    <t>Ojal de 1/4 bronce Cable: 0,8 - 2,5 mm</t>
  </si>
  <si>
    <t>HEMBRA 4,8x0,5mm     SECCION 1-2,5mm²</t>
  </si>
  <si>
    <t>1.01.0236</t>
  </si>
  <si>
    <t>Ojal de 6,5 x 13 reforzado  Cable: 2,5 - 8 mm</t>
  </si>
  <si>
    <t>1.01.0424</t>
  </si>
  <si>
    <t>Ojal de 8,5x 13 mm reforzado Cable: 2,5 - 8 mm</t>
  </si>
  <si>
    <t>HEMBRA 6,3x0,8mm     SECCION 1-2,5mm²</t>
  </si>
  <si>
    <t>Ojal de 8,5x18 mm reforzado Cable: 2,5 - 6 mm</t>
  </si>
  <si>
    <t>HEMBRA 6,3x0,8mm     SECCION 2,5-6mm²</t>
  </si>
  <si>
    <t>1.01.0448</t>
  </si>
  <si>
    <t>Ojal de 10,5x18 mm reforzado Cable: 2,5 - 6 mm</t>
  </si>
  <si>
    <t>1.01.0517</t>
  </si>
  <si>
    <t>Ojal de 13,5x18 mm reforzado Cable: 2,5 - 6 mm</t>
  </si>
  <si>
    <t>1.01.0520</t>
  </si>
  <si>
    <t>Ojal de 8,5x18 mm reforzado Cable: 6 - 10 mm</t>
  </si>
  <si>
    <t xml:space="preserve">HEMBRA 6,3x0,8mm     SECCION 1-2,5mm² </t>
  </si>
  <si>
    <t>Ojal de 10,5x18 mm reforzado Cable: 6 - 10 mm</t>
  </si>
  <si>
    <t>MACHO 3,0X0,6mm     SECCION 0,8-2mm²</t>
  </si>
  <si>
    <t>1.02.0715</t>
  </si>
  <si>
    <t>MACHO 6,3x0,8mm    SECCION 1-2,5mm² C/RETENC.</t>
  </si>
  <si>
    <t>1.02.0796</t>
  </si>
  <si>
    <t>Ojal de 10,5x18 mm reforzado Cable: 10 - 16 mm</t>
  </si>
  <si>
    <t>MACHO 6,3x0,8mm    SECCION 2,5-6mm²</t>
  </si>
  <si>
    <t>1.02.0835</t>
  </si>
  <si>
    <t>Ojal de 13,5x18 mm reforzado Cable: 10 - 16 mm</t>
  </si>
  <si>
    <t>1.02.0845</t>
  </si>
  <si>
    <t>PERNO P/FICHA DIAM 4,57     SECCION 0,5-1,5m²</t>
  </si>
  <si>
    <t>1.04.0925</t>
  </si>
  <si>
    <t>PERNO PLANO P/FICHA     SECCION 0,5-1,5m²</t>
  </si>
  <si>
    <t>1.04.0935</t>
  </si>
  <si>
    <t>OJAL DIAM 3     SECCION 0,8-2m²</t>
  </si>
  <si>
    <t>1.06.1124</t>
  </si>
  <si>
    <t>OJAL DIAM 2,6     SECCION 0,8-2m²</t>
  </si>
  <si>
    <t>1.06.1130</t>
  </si>
  <si>
    <t>OJAL DIAM 3,4     SECCION 0,8-2m²</t>
  </si>
  <si>
    <t>1.06.1160</t>
  </si>
  <si>
    <t>1.06.1210</t>
  </si>
  <si>
    <t>OJAL DIAM 8,5     SECCION 1-2,5m²</t>
  </si>
  <si>
    <t>1.06.1287</t>
  </si>
  <si>
    <t>OJAL DIAM 6,5     SECCION 2,5-6m²</t>
  </si>
  <si>
    <t>1.06.1299</t>
  </si>
  <si>
    <t>OJAL DIAM 6,2     SECCION 1-2,5m²</t>
  </si>
  <si>
    <t>1.06.1322</t>
  </si>
  <si>
    <t>OJAL DIAM 4,3     SECCION 1-2,5m²</t>
  </si>
  <si>
    <t>1.06.13300</t>
  </si>
  <si>
    <t>OJAL DIAM 5,3     SECCION 1-2,5m²</t>
  </si>
  <si>
    <t>1.06.13350</t>
  </si>
  <si>
    <t>OJAL 18,5 DIAM 8,4     SECCION 10-16m²</t>
  </si>
  <si>
    <t>1.07.1350</t>
  </si>
  <si>
    <t>HORQUILLA DIAM 5,1     SECCION 1-2,5m²</t>
  </si>
  <si>
    <t>1.07.14500</t>
  </si>
  <si>
    <t>HORQUILLA 4,95 (DERECHA)    SECCION 0,5-1m²</t>
  </si>
  <si>
    <t>1.07.14060</t>
  </si>
  <si>
    <t>HORQUILLA 4,95 (IZQUIERDA)    SECCION 0,5-1m²</t>
  </si>
  <si>
    <t>1.07.14065</t>
  </si>
  <si>
    <t>TERMINAL PARA BUJIA    CONDUC. AISLACION 7m</t>
  </si>
  <si>
    <t>1.08.14080</t>
  </si>
  <si>
    <t>TERMIANL PARA DISTRIBUIDOR     CONDUC. ASILACION 7m</t>
  </si>
  <si>
    <t>1.08.14085</t>
  </si>
  <si>
    <t>58 Gr</t>
  </si>
  <si>
    <t>58 Ch</t>
  </si>
  <si>
    <t xml:space="preserve"> 2.52.PFP130</t>
  </si>
  <si>
    <t>PEDIDO TERMINALES LCT</t>
  </si>
  <si>
    <t>Completar Aquí:</t>
  </si>
  <si>
    <t>Codigo Articulo</t>
  </si>
  <si>
    <t>LCT Descripcion</t>
  </si>
  <si>
    <t>LCT REAL</t>
  </si>
  <si>
    <t>MAXIFER VENTA</t>
  </si>
  <si>
    <t>Unitario LCT</t>
  </si>
  <si>
    <t>SCC 1.5/2 - 5/32"</t>
  </si>
  <si>
    <t>SCC 1.5/3 - 3/16"</t>
  </si>
  <si>
    <t>SCC 4/1 - 5/32"</t>
  </si>
  <si>
    <t>SCC 4/2 - 3/16"</t>
  </si>
  <si>
    <t>SCC 6/1 - 3/16"</t>
  </si>
  <si>
    <t>SCC 6/2 - 1/4"</t>
  </si>
  <si>
    <t>SCC 10/1 - 3/16"</t>
  </si>
  <si>
    <t>SCC 10/2 - 1/4"</t>
  </si>
  <si>
    <t>SCC 10/3 - 5/16"</t>
  </si>
  <si>
    <t>SCC 16/1 - 1/4"</t>
  </si>
  <si>
    <t>SCC 16/2 - 5/16"</t>
  </si>
  <si>
    <t>SCC 16/3 - 3/8"</t>
  </si>
  <si>
    <t>SCC 25/1 - 1/4"</t>
  </si>
  <si>
    <t>SCC 25/2 - 5/16"</t>
  </si>
  <si>
    <t>SCC 25/3 - 3/8"</t>
  </si>
  <si>
    <t>SCC 25/4 - 1/2"</t>
  </si>
  <si>
    <t>SCC 35/2 - 3/8"</t>
  </si>
  <si>
    <t>SCC 50/1 - 5/16"</t>
  </si>
  <si>
    <t>SCC 50/2 - 3/8"</t>
  </si>
  <si>
    <t>SCA 10 - Ø 5/16"</t>
  </si>
  <si>
    <t>SCA 16 - Ø 5/16"</t>
  </si>
  <si>
    <t xml:space="preserve">SCA 25 - Ø 5/16" </t>
  </si>
  <si>
    <t xml:space="preserve">SCA 35 - Ø 3/8" </t>
  </si>
  <si>
    <t>SCA 50 - Ø 3/8"</t>
  </si>
  <si>
    <t xml:space="preserve">SCA 70 - Ø 1/2" </t>
  </si>
  <si>
    <t>A3 - OJAL Ø 4 MM ROJA</t>
  </si>
  <si>
    <t>A4 - OJAL Ø 5 MM ROJA</t>
  </si>
  <si>
    <t>A5 - OJAL Ø 8 MM ROJA</t>
  </si>
  <si>
    <t>A6 - OJAL Ø 8 MM ROJA</t>
  </si>
  <si>
    <t>A7 - OJAL Ø 10 MM ROJA</t>
  </si>
  <si>
    <t>A9 - HORQUILLA Ø 3 MM ROJA</t>
  </si>
  <si>
    <t>A10 - HORQUILLA Ø 4 MM ROJA</t>
  </si>
  <si>
    <t>TERMINALES QUE NECESITO</t>
  </si>
  <si>
    <t>A11 - HORQUILLA Ø 5 MM ROJA</t>
  </si>
  <si>
    <t>A15 - PALA HEMBRA ROJA</t>
  </si>
  <si>
    <t>A17 - PALA MACHO 6.3 ROJA</t>
  </si>
  <si>
    <t>A18 - PALA HEMBRA 6.3 ROJA</t>
  </si>
  <si>
    <t>A19 - PALA HEMBRA 2.8 ROJA</t>
  </si>
  <si>
    <t>Ubicación</t>
  </si>
  <si>
    <t>Federico Ozanam 5245</t>
  </si>
  <si>
    <t>(C1439ENW)</t>
  </si>
  <si>
    <t>Buenos Aires - Argentina</t>
  </si>
  <si>
    <t>Tel / Fax: (54-11) 4638-7770/1/2/3/4/6/8/9</t>
  </si>
  <si>
    <t>E-mail: info@lct.com.ar</t>
  </si>
  <si>
    <t>Transferir a:</t>
  </si>
  <si>
    <t>0340026500269979988009</t>
  </si>
  <si>
    <t>BANCO PATAGONIA:</t>
  </si>
  <si>
    <t>N</t>
  </si>
  <si>
    <t>DETALLE</t>
  </si>
  <si>
    <t>Precio L.</t>
  </si>
  <si>
    <t>PEDIDO TOBAR</t>
  </si>
  <si>
    <t>N° Tobar</t>
  </si>
  <si>
    <t>Final Maxifer
(45%)</t>
  </si>
  <si>
    <t xml:space="preserve">Tuerca Reten para </t>
  </si>
  <si>
    <t>Parker#</t>
  </si>
  <si>
    <t>A</t>
  </si>
  <si>
    <t>B</t>
  </si>
  <si>
    <t>C</t>
  </si>
  <si>
    <t>PRECIO UNITARIO</t>
  </si>
  <si>
    <t>MEDIDA - CODIGO</t>
  </si>
  <si>
    <t>UNITARIO</t>
  </si>
  <si>
    <t>Tornillo Parker</t>
  </si>
  <si>
    <t xml:space="preserve"> 6 (simple)</t>
  </si>
  <si>
    <t>12 LARGA</t>
  </si>
  <si>
    <t>#6 automotor</t>
  </si>
  <si>
    <t>#8 automotor</t>
  </si>
  <si>
    <t>#10 automotor</t>
  </si>
  <si>
    <t>Tuerca Rápida para</t>
  </si>
  <si>
    <t>d1</t>
  </si>
  <si>
    <t>eje</t>
  </si>
  <si>
    <t>mm</t>
  </si>
  <si>
    <t>CONECTORES PLASTICOS PARA MANGUERA</t>
  </si>
  <si>
    <t>Cod. Ant.</t>
  </si>
  <si>
    <t>Cod. Nuevo</t>
  </si>
  <si>
    <t>REDUCTOR DE 8 a 19 mm</t>
  </si>
  <si>
    <t>REDUCTOR DE 8 a 16 mm</t>
  </si>
  <si>
    <t>Niple plástico para unir manguera de 19 mm</t>
  </si>
  <si>
    <t>Tuerca Reten Doble</t>
  </si>
  <si>
    <t>pulg</t>
  </si>
  <si>
    <t>AxB</t>
  </si>
  <si>
    <t>Niple plástico para unir manguera de 25 mm</t>
  </si>
  <si>
    <t>Conector 3 Vías limpiaparabrisas 5 mm</t>
  </si>
  <si>
    <t>29x19</t>
  </si>
  <si>
    <t>1/4</t>
  </si>
  <si>
    <t>Conector de agua equipos de Gas P fino</t>
  </si>
  <si>
    <t>Conector de Calefacción R 12</t>
  </si>
  <si>
    <t>5/16</t>
  </si>
  <si>
    <t>PURGADOR  3 Vías R 12</t>
  </si>
  <si>
    <t>Conector de calefacción purgador plástico de P 505</t>
  </si>
  <si>
    <t>Conector de agua equipos de Gas 19 a 8 mm Pico fino</t>
  </si>
  <si>
    <t xml:space="preserve">Aranlock </t>
  </si>
  <si>
    <t>D</t>
  </si>
  <si>
    <t>Conector Tapa de Válvula R 18</t>
  </si>
  <si>
    <t>Purgador de Plástico de 6 mm para la Manguera  R 19</t>
  </si>
  <si>
    <t>Purgador Plástico para Radiador de R 19</t>
  </si>
  <si>
    <t>Buje calibrador de Gases R 11</t>
  </si>
  <si>
    <t>Niple plástico para unir manguera de 1/2 c/Purgador</t>
  </si>
  <si>
    <t>Niple plástico para unir manguera de 10 mm</t>
  </si>
  <si>
    <t>Niple plástico para unir manguera de 5mm</t>
  </si>
  <si>
    <t>Tuerca Jaula</t>
  </si>
  <si>
    <t>a</t>
  </si>
  <si>
    <t>e</t>
  </si>
  <si>
    <t xml:space="preserve">Precio </t>
  </si>
  <si>
    <t>Niple plástico para unir manguera de 8 mm</t>
  </si>
  <si>
    <t>x 1000</t>
  </si>
  <si>
    <t>Codo plástico a 90º de 16mm x 16mm</t>
  </si>
  <si>
    <t>8x8</t>
  </si>
  <si>
    <t>1,3 - 1,6</t>
  </si>
  <si>
    <t>3/16</t>
  </si>
  <si>
    <t>9x9</t>
  </si>
  <si>
    <t>M8</t>
  </si>
  <si>
    <t>12x12</t>
  </si>
  <si>
    <t>2 – 3,5</t>
  </si>
  <si>
    <t>M10</t>
  </si>
  <si>
    <t>M12</t>
  </si>
  <si>
    <t xml:space="preserve">Tuerca Reten </t>
  </si>
  <si>
    <t>Embutida</t>
  </si>
  <si>
    <t>Sae 1010</t>
  </si>
  <si>
    <t>Moto 5</t>
  </si>
  <si>
    <t>SAE 1010</t>
  </si>
  <si>
    <t>9 ch</t>
  </si>
  <si>
    <t>Moto 6</t>
  </si>
  <si>
    <t>10 ch</t>
  </si>
  <si>
    <t>Larga ¼</t>
  </si>
  <si>
    <t>Larga M6</t>
  </si>
  <si>
    <t xml:space="preserve">Tuerca Tina </t>
  </si>
  <si>
    <t>mm / pulg</t>
  </si>
  <si>
    <t xml:space="preserve"> Inserto para Madera</t>
  </si>
  <si>
    <t>M 4</t>
  </si>
  <si>
    <t>W 5/32</t>
  </si>
  <si>
    <t>M 5</t>
  </si>
  <si>
    <t>W 3/16</t>
  </si>
  <si>
    <t>M 6</t>
  </si>
  <si>
    <t>W ¼</t>
  </si>
  <si>
    <t>M 8</t>
  </si>
  <si>
    <t>W 5/16</t>
  </si>
  <si>
    <t>M 10</t>
  </si>
  <si>
    <t>W 3/8</t>
  </si>
  <si>
    <t>PEDIDO DQ AUTOPARTES</t>
  </si>
  <si>
    <t>DQ</t>
  </si>
  <si>
    <t>Desc.:</t>
  </si>
  <si>
    <t>Ganancia Minima:</t>
  </si>
  <si>
    <t>dif</t>
  </si>
  <si>
    <t>LISTA NUEVO</t>
  </si>
  <si>
    <t>c/u</t>
  </si>
  <si>
    <t>1001x6</t>
  </si>
  <si>
    <t>2103/1</t>
  </si>
  <si>
    <t>1001/Sx6</t>
  </si>
  <si>
    <t>2103/2</t>
  </si>
  <si>
    <t>1001/S</t>
  </si>
  <si>
    <t>2103/3</t>
  </si>
  <si>
    <t>1002x6</t>
  </si>
  <si>
    <t>1003x6</t>
  </si>
  <si>
    <t>1003/SX6</t>
  </si>
  <si>
    <t>1003/S</t>
  </si>
  <si>
    <t>1004X6</t>
  </si>
  <si>
    <t>1012A</t>
  </si>
  <si>
    <t>1019/1</t>
  </si>
  <si>
    <t>1019/2</t>
  </si>
  <si>
    <t>1019/3</t>
  </si>
  <si>
    <t>PEDIDO ANTERIOR:</t>
  </si>
  <si>
    <t>1019/4</t>
  </si>
  <si>
    <t>1019/5</t>
  </si>
  <si>
    <t>1019/6</t>
  </si>
  <si>
    <t>1019/7</t>
  </si>
  <si>
    <t>1020/1</t>
  </si>
  <si>
    <t>1020/2</t>
  </si>
  <si>
    <t>5061/1</t>
  </si>
  <si>
    <t>1020/3</t>
  </si>
  <si>
    <t>1020/31</t>
  </si>
  <si>
    <t>1020/4</t>
  </si>
  <si>
    <t>1020/41</t>
  </si>
  <si>
    <t>1020/5</t>
  </si>
  <si>
    <t>1020/6</t>
  </si>
  <si>
    <t>1020/7</t>
  </si>
  <si>
    <t>1020/8</t>
  </si>
  <si>
    <t>1020/18</t>
  </si>
  <si>
    <t>1020/9</t>
  </si>
  <si>
    <t>1020/19</t>
  </si>
  <si>
    <t>1020/10</t>
  </si>
  <si>
    <t>PEDI:</t>
  </si>
  <si>
    <t>SURTIDO</t>
  </si>
  <si>
    <t>Falta pedir</t>
  </si>
  <si>
    <t>1021/1</t>
  </si>
  <si>
    <t>1021/2</t>
  </si>
  <si>
    <t>4083/1x50</t>
  </si>
  <si>
    <t>- - -</t>
  </si>
  <si>
    <t>1108/4</t>
  </si>
  <si>
    <t>1108/14</t>
  </si>
  <si>
    <t>1109/1</t>
  </si>
  <si>
    <t>5097/A</t>
  </si>
  <si>
    <t>5097/B</t>
  </si>
  <si>
    <t>1110/1</t>
  </si>
  <si>
    <t>1111/1</t>
  </si>
  <si>
    <t>1112/1</t>
  </si>
  <si>
    <t>1113/1</t>
  </si>
  <si>
    <t>1113/2</t>
  </si>
  <si>
    <t>1113/12</t>
  </si>
  <si>
    <t>1113/4</t>
  </si>
  <si>
    <t>1113/14</t>
  </si>
  <si>
    <t>1114/1</t>
  </si>
  <si>
    <t>1114/2</t>
  </si>
  <si>
    <t>1114/12</t>
  </si>
  <si>
    <t>1114/4</t>
  </si>
  <si>
    <t>1114/14</t>
  </si>
  <si>
    <t>1115/1</t>
  </si>
  <si>
    <t>1115/2</t>
  </si>
  <si>
    <t>1115/12</t>
  </si>
  <si>
    <t>1115/4</t>
  </si>
  <si>
    <t>1115/14</t>
  </si>
  <si>
    <t>1116/1</t>
  </si>
  <si>
    <t>1116/2</t>
  </si>
  <si>
    <t>1116/12</t>
  </si>
  <si>
    <t>1116/4</t>
  </si>
  <si>
    <t>1116/14</t>
  </si>
  <si>
    <t>1117/1</t>
  </si>
  <si>
    <t>1117/2</t>
  </si>
  <si>
    <t>1117/12</t>
  </si>
  <si>
    <t>1117/4</t>
  </si>
  <si>
    <t>1117/14</t>
  </si>
  <si>
    <t>1118/1</t>
  </si>
  <si>
    <t>1118/2</t>
  </si>
  <si>
    <t>1118/12</t>
  </si>
  <si>
    <t>1118/4</t>
  </si>
  <si>
    <t>1118/14</t>
  </si>
  <si>
    <t>1119/1</t>
  </si>
  <si>
    <t>1119/2</t>
  </si>
  <si>
    <t>1119/12</t>
  </si>
  <si>
    <t>1119/4</t>
  </si>
  <si>
    <t>1119/14</t>
  </si>
  <si>
    <t>1120/1</t>
  </si>
  <si>
    <t>3242 x 50</t>
  </si>
  <si>
    <t>3242 x 25</t>
  </si>
  <si>
    <t>par</t>
  </si>
  <si>
    <t>4005/1</t>
  </si>
  <si>
    <t>4007/1</t>
  </si>
  <si>
    <t>4061 x 50</t>
  </si>
  <si>
    <t>4061 x 25</t>
  </si>
  <si>
    <t>4066 x 50</t>
  </si>
  <si>
    <t>4066 x 25</t>
  </si>
  <si>
    <t>4069 x 50</t>
  </si>
  <si>
    <t>4069 x 25</t>
  </si>
  <si>
    <t>4083/1x25</t>
  </si>
  <si>
    <t>4085 x 50</t>
  </si>
  <si>
    <t>4085 x 25</t>
  </si>
  <si>
    <t>4091x30</t>
  </si>
  <si>
    <t>4091x15</t>
  </si>
  <si>
    <t>4092 x 6</t>
  </si>
  <si>
    <t>4092 x 1</t>
  </si>
  <si>
    <t>4093 x 6</t>
  </si>
  <si>
    <t>4093 x 1</t>
  </si>
  <si>
    <t>4094x30</t>
  </si>
  <si>
    <t>4094x10</t>
  </si>
  <si>
    <t>4095x30</t>
  </si>
  <si>
    <t>4095x10</t>
  </si>
  <si>
    <t>4097/1</t>
  </si>
  <si>
    <t>4098 x 30</t>
  </si>
  <si>
    <t>4098 x 15</t>
  </si>
  <si>
    <t>4099 x 20</t>
  </si>
  <si>
    <t>6005 x 50</t>
  </si>
  <si>
    <t>6005 x 25</t>
  </si>
  <si>
    <t>6019 x 50</t>
  </si>
  <si>
    <t>6019 x 25</t>
  </si>
  <si>
    <t>6090 x 20</t>
  </si>
  <si>
    <t>6090 x 10</t>
  </si>
  <si>
    <t xml:space="preserve">6091 x 30 </t>
  </si>
  <si>
    <t>6091 x 15</t>
  </si>
  <si>
    <t>6092 x 50</t>
  </si>
  <si>
    <t>6092 x 25</t>
  </si>
  <si>
    <t>6093 x 30</t>
  </si>
  <si>
    <t>6093 x 15</t>
  </si>
  <si>
    <t>6104 x 30</t>
  </si>
  <si>
    <t>6104 x 15</t>
  </si>
  <si>
    <t>6105x50</t>
  </si>
  <si>
    <t>6105 x 25</t>
  </si>
  <si>
    <t>6106 x 50</t>
  </si>
  <si>
    <t>6106 x 25</t>
  </si>
  <si>
    <t>6107 x 50</t>
  </si>
  <si>
    <t>6107 x 25</t>
  </si>
  <si>
    <t>6108 x 50</t>
  </si>
  <si>
    <t>6108 x 25</t>
  </si>
  <si>
    <t>6109 x 50</t>
  </si>
  <si>
    <t>6109 x 25</t>
  </si>
  <si>
    <t>6110 x 50</t>
  </si>
  <si>
    <t>6110 x 25</t>
  </si>
  <si>
    <t>6111 x 50</t>
  </si>
  <si>
    <t>6111 x 25</t>
  </si>
  <si>
    <t>6112 x 50</t>
  </si>
  <si>
    <t>6112 x 25</t>
  </si>
  <si>
    <t>6113 X 50</t>
  </si>
  <si>
    <t>6113 X 25</t>
  </si>
  <si>
    <t>6114 X 50</t>
  </si>
  <si>
    <t>6114 X 25</t>
  </si>
  <si>
    <t>1022/1</t>
  </si>
  <si>
    <t>1023/1</t>
  </si>
  <si>
    <t>1030/1</t>
  </si>
  <si>
    <t>1031/1</t>
  </si>
  <si>
    <t>1032/1</t>
  </si>
  <si>
    <t>1034/1</t>
  </si>
  <si>
    <t>1036/1</t>
  </si>
  <si>
    <t>1038/1</t>
  </si>
  <si>
    <t>1038/2</t>
  </si>
  <si>
    <t>1038/3</t>
  </si>
  <si>
    <t>1038/4</t>
  </si>
  <si>
    <t>1038/8</t>
  </si>
  <si>
    <t>1038/9</t>
  </si>
  <si>
    <t>1038/10</t>
  </si>
  <si>
    <t>1039/1</t>
  </si>
  <si>
    <t>1042/1</t>
  </si>
  <si>
    <t>1043A</t>
  </si>
  <si>
    <t>1043B</t>
  </si>
  <si>
    <t>jgo</t>
  </si>
  <si>
    <t>1052/1</t>
  </si>
  <si>
    <t>1055/1</t>
  </si>
  <si>
    <t>1120/2</t>
  </si>
  <si>
    <t>1120/12</t>
  </si>
  <si>
    <t>1120/4</t>
  </si>
  <si>
    <t>1120/14</t>
  </si>
  <si>
    <t>1121/1</t>
  </si>
  <si>
    <t>1121/2</t>
  </si>
  <si>
    <t>1121/12</t>
  </si>
  <si>
    <t>1121/4</t>
  </si>
  <si>
    <t>1121/14</t>
  </si>
  <si>
    <t>1122/1</t>
  </si>
  <si>
    <t>1122/2</t>
  </si>
  <si>
    <t>1122/12</t>
  </si>
  <si>
    <t>1122/4</t>
  </si>
  <si>
    <t>1122/14</t>
  </si>
  <si>
    <t>1123/1</t>
  </si>
  <si>
    <t>1123/2</t>
  </si>
  <si>
    <t>1123/12</t>
  </si>
  <si>
    <t>1123/4</t>
  </si>
  <si>
    <t>1123/14</t>
  </si>
  <si>
    <t>1124/1</t>
  </si>
  <si>
    <t>1125/1</t>
  </si>
  <si>
    <t>1126/1</t>
  </si>
  <si>
    <t>1127/1</t>
  </si>
  <si>
    <t>1127/12</t>
  </si>
  <si>
    <t>1127/14</t>
  </si>
  <si>
    <t>1128/2</t>
  </si>
  <si>
    <t>1128/4</t>
  </si>
  <si>
    <t>1128/1</t>
  </si>
  <si>
    <t>1128/12</t>
  </si>
  <si>
    <t>1128/14</t>
  </si>
  <si>
    <t>1132/1</t>
  </si>
  <si>
    <t>1132/2</t>
  </si>
  <si>
    <t>1132/12</t>
  </si>
  <si>
    <t>1132/4</t>
  </si>
  <si>
    <t>1132/14</t>
  </si>
  <si>
    <t>4099 x 10</t>
  </si>
  <si>
    <t>4100 x 20</t>
  </si>
  <si>
    <t>4100 x 10</t>
  </si>
  <si>
    <t>4101 x 30</t>
  </si>
  <si>
    <t>4101 x 15</t>
  </si>
  <si>
    <t>4102 x 20</t>
  </si>
  <si>
    <t>4102 x 10</t>
  </si>
  <si>
    <t xml:space="preserve">jgo                                                                                                                                                                                                                                                                                                                                                                                                                                                                                                                                                                                                                                                                                                                                                                                                                                                                                                                                                                                                                                                                                                                                                                                                                                                                                                                                                                                                                                                                                                                                                                                                                                                                                                                                                                                                                                                                                                                                                                                                                                                                                                                                      </t>
  </si>
  <si>
    <t>4109 x 20</t>
  </si>
  <si>
    <t>4109 x 10</t>
  </si>
  <si>
    <t>4110 x 30</t>
  </si>
  <si>
    <t>4110 x 15</t>
  </si>
  <si>
    <t>4111 x 50</t>
  </si>
  <si>
    <t>4111 x 25</t>
  </si>
  <si>
    <t>4112 x 30</t>
  </si>
  <si>
    <t>4112 x 15</t>
  </si>
  <si>
    <t>4114 x 20</t>
  </si>
  <si>
    <t>4114 x 10</t>
  </si>
  <si>
    <t>4115 x 20</t>
  </si>
  <si>
    <t>4115 x 10</t>
  </si>
  <si>
    <t>4116 x 20</t>
  </si>
  <si>
    <t>4116 x 10</t>
  </si>
  <si>
    <t>4117 x 30</t>
  </si>
  <si>
    <t>4117 x 15</t>
  </si>
  <si>
    <t>4118 x 30</t>
  </si>
  <si>
    <t>4118 x 15</t>
  </si>
  <si>
    <t>4119 x 30</t>
  </si>
  <si>
    <t>4119 x 15</t>
  </si>
  <si>
    <t>4120 x 30</t>
  </si>
  <si>
    <t>4120 x 15</t>
  </si>
  <si>
    <t>4121x30</t>
  </si>
  <si>
    <t>4121x15</t>
  </si>
  <si>
    <t>4204 x 30</t>
  </si>
  <si>
    <t>4204 x 15</t>
  </si>
  <si>
    <t>4215 x 50</t>
  </si>
  <si>
    <t>4215 x 25</t>
  </si>
  <si>
    <t>4220 x 50</t>
  </si>
  <si>
    <t>4220 x 25</t>
  </si>
  <si>
    <t>4223 x 50</t>
  </si>
  <si>
    <t>4223 x 25</t>
  </si>
  <si>
    <t>4263 x 50</t>
  </si>
  <si>
    <t>4263 x 25</t>
  </si>
  <si>
    <t>4264 x 50</t>
  </si>
  <si>
    <t>4264 x 25</t>
  </si>
  <si>
    <t>4265 x 50</t>
  </si>
  <si>
    <t>4265 x 30</t>
  </si>
  <si>
    <t>4266 x 30</t>
  </si>
  <si>
    <t>4266 x 15</t>
  </si>
  <si>
    <t>6515 x100</t>
  </si>
  <si>
    <t>6515 x 50</t>
  </si>
  <si>
    <t>6516 x 30</t>
  </si>
  <si>
    <t>6516 x 15</t>
  </si>
  <si>
    <t>6517 x 50</t>
  </si>
  <si>
    <t>6517 x 25</t>
  </si>
  <si>
    <t>6518 x 50</t>
  </si>
  <si>
    <t>6518 x 25</t>
  </si>
  <si>
    <t>6519 x 30</t>
  </si>
  <si>
    <t>6519 x 15</t>
  </si>
  <si>
    <t>6520 x30</t>
  </si>
  <si>
    <t>6520x15</t>
  </si>
  <si>
    <t>6521 X 30</t>
  </si>
  <si>
    <t>6521 X 15</t>
  </si>
  <si>
    <t>6522 X 50</t>
  </si>
  <si>
    <t>6522 x25</t>
  </si>
  <si>
    <t>6538 x100</t>
  </si>
  <si>
    <t>6538 x 50</t>
  </si>
  <si>
    <t>6559 x100</t>
  </si>
  <si>
    <t>6559 x 50</t>
  </si>
  <si>
    <t>6591 x 30</t>
  </si>
  <si>
    <t>6591 x 15</t>
  </si>
  <si>
    <t>6623 x 30</t>
  </si>
  <si>
    <t>6623 x 15</t>
  </si>
  <si>
    <t>6630 x 50</t>
  </si>
  <si>
    <t>6630 x 25</t>
  </si>
  <si>
    <t>6666 x 30</t>
  </si>
  <si>
    <t>6666 x 15</t>
  </si>
  <si>
    <t>6675 x 50</t>
  </si>
  <si>
    <t>6675 x 25</t>
  </si>
  <si>
    <t>6699 x 30</t>
  </si>
  <si>
    <t>6699 x 15</t>
  </si>
  <si>
    <t>6699/1x 50</t>
  </si>
  <si>
    <t>6699/1x 25</t>
  </si>
  <si>
    <t>6700 x 30</t>
  </si>
  <si>
    <t>6700 x 15</t>
  </si>
  <si>
    <t>6701 x 50</t>
  </si>
  <si>
    <t>6701 x 25</t>
  </si>
  <si>
    <t>6705 x 50</t>
  </si>
  <si>
    <t>6705 x 25</t>
  </si>
  <si>
    <t>6709 x 50</t>
  </si>
  <si>
    <t>6709 x25</t>
  </si>
  <si>
    <t>6710 x 50</t>
  </si>
  <si>
    <t>6710 x 25</t>
  </si>
  <si>
    <t>1057/1</t>
  </si>
  <si>
    <t>1058/1</t>
  </si>
  <si>
    <t>1059/1</t>
  </si>
  <si>
    <t>1060/1</t>
  </si>
  <si>
    <t>1061/1</t>
  </si>
  <si>
    <t>1062/1</t>
  </si>
  <si>
    <t>1063/1</t>
  </si>
  <si>
    <t>1064/1</t>
  </si>
  <si>
    <t>1066/1</t>
  </si>
  <si>
    <t>1068/1</t>
  </si>
  <si>
    <t>1069/1</t>
  </si>
  <si>
    <t>1070/1</t>
  </si>
  <si>
    <t>1071/1</t>
  </si>
  <si>
    <t>1072/1</t>
  </si>
  <si>
    <t>1073/1</t>
  </si>
  <si>
    <t>1074/1</t>
  </si>
  <si>
    <t>1075/1</t>
  </si>
  <si>
    <t>1076/1</t>
  </si>
  <si>
    <t>1077/1</t>
  </si>
  <si>
    <t>1078/1</t>
  </si>
  <si>
    <t>1079/1</t>
  </si>
  <si>
    <t>1080/1</t>
  </si>
  <si>
    <t>1081/1</t>
  </si>
  <si>
    <t>1083/1</t>
  </si>
  <si>
    <t>2030 x 50</t>
  </si>
  <si>
    <t>2030 x 25</t>
  </si>
  <si>
    <t>2031 x 50</t>
  </si>
  <si>
    <t>2031 x 25</t>
  </si>
  <si>
    <t>2058 x 50</t>
  </si>
  <si>
    <t>2058 x 25</t>
  </si>
  <si>
    <t>2103 x 50</t>
  </si>
  <si>
    <t>2103 x 25</t>
  </si>
  <si>
    <t>2103/1 x50</t>
  </si>
  <si>
    <t>2103/1 x25</t>
  </si>
  <si>
    <t>2103/2 x50</t>
  </si>
  <si>
    <t>2103/2 x25</t>
  </si>
  <si>
    <t>2103/3 x50</t>
  </si>
  <si>
    <t>2103/3 x25</t>
  </si>
  <si>
    <t>2104 x 50</t>
  </si>
  <si>
    <t>2104 x 25</t>
  </si>
  <si>
    <t>2105 x 50</t>
  </si>
  <si>
    <t>2105 x 25</t>
  </si>
  <si>
    <t>2106 x 30</t>
  </si>
  <si>
    <t>2106 x 15</t>
  </si>
  <si>
    <t>2108 x 30</t>
  </si>
  <si>
    <t>2108 x 15</t>
  </si>
  <si>
    <t>2111 x 50</t>
  </si>
  <si>
    <t>2111 x 25</t>
  </si>
  <si>
    <t>2112 x 50</t>
  </si>
  <si>
    <t>2112 x 25</t>
  </si>
  <si>
    <t>2150 x 30</t>
  </si>
  <si>
    <t>2150 x 15</t>
  </si>
  <si>
    <t>2151 x 50</t>
  </si>
  <si>
    <t>2151x 25</t>
  </si>
  <si>
    <t>4267 x 50</t>
  </si>
  <si>
    <t>4267 x 25</t>
  </si>
  <si>
    <t>4268 x 50</t>
  </si>
  <si>
    <t>4268 x 25</t>
  </si>
  <si>
    <t>4268/A x 50</t>
  </si>
  <si>
    <t>4268/A x25</t>
  </si>
  <si>
    <t>4269 x 50</t>
  </si>
  <si>
    <t>4269 x 30</t>
  </si>
  <si>
    <t>4270 x 30</t>
  </si>
  <si>
    <t>4270 x 15</t>
  </si>
  <si>
    <t>4271 x 30</t>
  </si>
  <si>
    <t>4271 x 15</t>
  </si>
  <si>
    <t>4272 x 30</t>
  </si>
  <si>
    <t>4272 x 15</t>
  </si>
  <si>
    <t>4273 x 50</t>
  </si>
  <si>
    <t>4273 x 25</t>
  </si>
  <si>
    <t>4275 x 30</t>
  </si>
  <si>
    <t>4275 x 15</t>
  </si>
  <si>
    <t>4276 x 50</t>
  </si>
  <si>
    <t>4276 x 30</t>
  </si>
  <si>
    <t>4277 x 30</t>
  </si>
  <si>
    <t>4277 x 15</t>
  </si>
  <si>
    <t>4278 x 30</t>
  </si>
  <si>
    <t>4278 x 15</t>
  </si>
  <si>
    <t>4279 x 30</t>
  </si>
  <si>
    <t>4279 x 15</t>
  </si>
  <si>
    <t>4280 x 50</t>
  </si>
  <si>
    <t>4280 x 25</t>
  </si>
  <si>
    <t>4281 x 20</t>
  </si>
  <si>
    <t>4281 x 10</t>
  </si>
  <si>
    <t>4282 x 50</t>
  </si>
  <si>
    <t>4282 x 25</t>
  </si>
  <si>
    <t>4283 x 30</t>
  </si>
  <si>
    <t>4283 x 15</t>
  </si>
  <si>
    <t>4284 x 30</t>
  </si>
  <si>
    <t>4284 x 15</t>
  </si>
  <si>
    <t>4285 x 20</t>
  </si>
  <si>
    <t>4285 x 10</t>
  </si>
  <si>
    <t>4286 x 20</t>
  </si>
  <si>
    <t>4286 x 10</t>
  </si>
  <si>
    <t>4287 x 50</t>
  </si>
  <si>
    <t>4287 x 25</t>
  </si>
  <si>
    <t>4288 x 30</t>
  </si>
  <si>
    <t>4288 x15</t>
  </si>
  <si>
    <t>1100/1</t>
  </si>
  <si>
    <t>1100/2</t>
  </si>
  <si>
    <t>1100/12</t>
  </si>
  <si>
    <t>1100/4</t>
  </si>
  <si>
    <t>1100/14</t>
  </si>
  <si>
    <t>1101/1</t>
  </si>
  <si>
    <t>1101/2</t>
  </si>
  <si>
    <t>1101/12</t>
  </si>
  <si>
    <t>1101/4</t>
  </si>
  <si>
    <t>1101/14</t>
  </si>
  <si>
    <t>1102/1</t>
  </si>
  <si>
    <t>1102/2</t>
  </si>
  <si>
    <t>1102/12</t>
  </si>
  <si>
    <t>1102/4</t>
  </si>
  <si>
    <t>1102/14</t>
  </si>
  <si>
    <t>1103/1</t>
  </si>
  <si>
    <t>1103/2</t>
  </si>
  <si>
    <t>1103/12</t>
  </si>
  <si>
    <t>1103/4</t>
  </si>
  <si>
    <t>1103/14</t>
  </si>
  <si>
    <t>1104/1</t>
  </si>
  <si>
    <t>1104/2</t>
  </si>
  <si>
    <t>1104/12</t>
  </si>
  <si>
    <t>1104/4</t>
  </si>
  <si>
    <t>1104/14</t>
  </si>
  <si>
    <t>1106/1</t>
  </si>
  <si>
    <t>1106/2</t>
  </si>
  <si>
    <t>1106/12</t>
  </si>
  <si>
    <t>1106/4</t>
  </si>
  <si>
    <t>1106/14</t>
  </si>
  <si>
    <t>1107/1</t>
  </si>
  <si>
    <t>1107/2</t>
  </si>
  <si>
    <t>1107/12</t>
  </si>
  <si>
    <t>1107/4</t>
  </si>
  <si>
    <t>1107/14</t>
  </si>
  <si>
    <t>1108/1</t>
  </si>
  <si>
    <t>1108/2</t>
  </si>
  <si>
    <t>1108/12</t>
  </si>
  <si>
    <t>2152 x 50</t>
  </si>
  <si>
    <t>2152 x 25</t>
  </si>
  <si>
    <t>3061 x50</t>
  </si>
  <si>
    <t>3061 x25</t>
  </si>
  <si>
    <t>3096 x30</t>
  </si>
  <si>
    <t>3096 x15</t>
  </si>
  <si>
    <t>3097 x30</t>
  </si>
  <si>
    <t>3097 x15</t>
  </si>
  <si>
    <t>3142 x 50</t>
  </si>
  <si>
    <t>3142 x 25</t>
  </si>
  <si>
    <t>3151 x 50</t>
  </si>
  <si>
    <t>3151 x 25</t>
  </si>
  <si>
    <t>3190 x 30</t>
  </si>
  <si>
    <t>3190 x 15</t>
  </si>
  <si>
    <t>3229 x 30</t>
  </si>
  <si>
    <t>3229 x 15</t>
  </si>
  <si>
    <t>3232 x 50</t>
  </si>
  <si>
    <t>3232 x 25</t>
  </si>
  <si>
    <t>3233 x 30</t>
  </si>
  <si>
    <t>3233 x 15</t>
  </si>
  <si>
    <t>3234 x 50</t>
  </si>
  <si>
    <t>3234 x 25</t>
  </si>
  <si>
    <t>3235 x 50</t>
  </si>
  <si>
    <t>3235 x 25</t>
  </si>
  <si>
    <t>3236 x 50</t>
  </si>
  <si>
    <t>3236 x 25</t>
  </si>
  <si>
    <t>3237 x 20</t>
  </si>
  <si>
    <t>3237 x 10</t>
  </si>
  <si>
    <t>3238 x 30</t>
  </si>
  <si>
    <t>3238 x 15</t>
  </si>
  <si>
    <t>3239 x 30</t>
  </si>
  <si>
    <t>3239 x 15</t>
  </si>
  <si>
    <t>3240 x 50</t>
  </si>
  <si>
    <t>3240 x 25</t>
  </si>
  <si>
    <t>3241 x 50</t>
  </si>
  <si>
    <t>3241 x 25</t>
  </si>
  <si>
    <t>5051 x 50</t>
  </si>
  <si>
    <t>5051 x 25</t>
  </si>
  <si>
    <t>5055 x 50</t>
  </si>
  <si>
    <t>5055 x 25</t>
  </si>
  <si>
    <t>5058 x 50</t>
  </si>
  <si>
    <t>5058 x 25</t>
  </si>
  <si>
    <t>5061 x 50</t>
  </si>
  <si>
    <t>5061 x 25</t>
  </si>
  <si>
    <t>5061/1 x 50</t>
  </si>
  <si>
    <t>5061/1 x25</t>
  </si>
  <si>
    <t>5097/A x 50</t>
  </si>
  <si>
    <t>5097/a x25</t>
  </si>
  <si>
    <t>5097/B x 50</t>
  </si>
  <si>
    <t>5097/B x25</t>
  </si>
  <si>
    <t>5102 x 50</t>
  </si>
  <si>
    <t>5102 x 25</t>
  </si>
  <si>
    <t>5122 x 50</t>
  </si>
  <si>
    <t>5122 x 25</t>
  </si>
  <si>
    <t>5122/Ax 50</t>
  </si>
  <si>
    <t>5122/Ax25</t>
  </si>
  <si>
    <t>5126 x 50</t>
  </si>
  <si>
    <t>5126 x 25</t>
  </si>
  <si>
    <t>5167 x 50</t>
  </si>
  <si>
    <t>5167 x 25</t>
  </si>
  <si>
    <t>5168 x 50</t>
  </si>
  <si>
    <t>5168 x 25</t>
  </si>
  <si>
    <t>5169 x 50</t>
  </si>
  <si>
    <t>5169 x 25</t>
  </si>
  <si>
    <t>5170 x 50</t>
  </si>
  <si>
    <t>5170 x 25</t>
  </si>
  <si>
    <t>5171 x 30</t>
  </si>
  <si>
    <t>5171 x 15</t>
  </si>
  <si>
    <t>5172 x 30</t>
  </si>
  <si>
    <t>5172 x 15</t>
  </si>
  <si>
    <t>5173 x 30</t>
  </si>
  <si>
    <t>5173 x 15</t>
  </si>
  <si>
    <t>5174 x 30</t>
  </si>
  <si>
    <t>5174 x 15</t>
  </si>
  <si>
    <t>5175 x 30</t>
  </si>
  <si>
    <t>5175 x 15</t>
  </si>
  <si>
    <t>5176 X 50</t>
  </si>
  <si>
    <t>5176 X 25</t>
  </si>
  <si>
    <t>5177 X 30</t>
  </si>
  <si>
    <t>5177 X15</t>
  </si>
  <si>
    <t>5555 x 30</t>
  </si>
  <si>
    <t>5555 x 15</t>
  </si>
  <si>
    <t>IMAGEN</t>
  </si>
  <si>
    <t xml:space="preserve">6x1 </t>
  </si>
  <si>
    <t>8x1</t>
  </si>
  <si>
    <t>8x1,25</t>
  </si>
  <si>
    <t>10x1</t>
  </si>
  <si>
    <t xml:space="preserve">1/8 GAS  NPT </t>
  </si>
  <si>
    <t>El pedido debe superar las 1000 unidades</t>
  </si>
  <si>
    <t xml:space="preserve">1/4 Cruzetas </t>
  </si>
  <si>
    <t>10 x 1 a 67</t>
  </si>
  <si>
    <t>1/4 sae 67</t>
  </si>
  <si>
    <t>INTERNAC. 19 mm</t>
  </si>
  <si>
    <t>INTERNAC. 33 mm</t>
  </si>
  <si>
    <t>INTERNAC. 44 mm</t>
  </si>
  <si>
    <t>Imagen</t>
  </si>
  <si>
    <t>1/4 GAS</t>
  </si>
  <si>
    <t>8 X 1  67°</t>
  </si>
  <si>
    <t>10 X 1   67°</t>
  </si>
  <si>
    <t>10 X 1   90°</t>
  </si>
  <si>
    <t xml:space="preserve">1/4 sae 67° </t>
  </si>
  <si>
    <t>1/4 sae X 90° SAE</t>
  </si>
  <si>
    <t>1/4 SAE 34 mm</t>
  </si>
  <si>
    <t>1/4 SAE 44 mm (internacional)</t>
  </si>
  <si>
    <t>Chavetas  Partidas   "LARGO TOTAL"</t>
  </si>
  <si>
    <t>CHAVETAS PARTIDAS KAZ</t>
  </si>
  <si>
    <t>Chavetas  Elasticas  de  Acero  SAE  1070  Templadas  y  Zincadas</t>
  </si>
  <si>
    <t>PEDIDO CHAVETAS</t>
  </si>
  <si>
    <t>CHAVETAS:</t>
  </si>
  <si>
    <t>P. Lista</t>
  </si>
  <si>
    <t>KAZ LISTA</t>
  </si>
  <si>
    <t>KAZ FINAL</t>
  </si>
  <si>
    <t>Según  Norma  IRAM  8072   Equivalente  con  ISO  7072</t>
  </si>
  <si>
    <t>Partidas:</t>
  </si>
  <si>
    <t xml:space="preserve">   Chavetas  Elastica       Para   Pernos</t>
  </si>
  <si>
    <t>Chavetas   Elasticas   Tipo   Alfiler</t>
  </si>
  <si>
    <t>Tipo R</t>
  </si>
  <si>
    <t>Tipo ALF</t>
  </si>
  <si>
    <t>Diam.</t>
  </si>
  <si>
    <t>$ x Unidad</t>
  </si>
  <si>
    <t>Desde</t>
  </si>
  <si>
    <t>Hasta</t>
  </si>
  <si>
    <t>Diam. Del Eje</t>
  </si>
  <si>
    <t>P. Uni.</t>
  </si>
  <si>
    <t>1.5     x     30</t>
  </si>
  <si>
    <t>9 mm.</t>
  </si>
  <si>
    <t>14 mm.</t>
  </si>
  <si>
    <t>2.5     x     80</t>
  </si>
  <si>
    <t>40  mm.</t>
  </si>
  <si>
    <t>C/IVA:</t>
  </si>
  <si>
    <t>2        x     40</t>
  </si>
  <si>
    <t>10 mm.</t>
  </si>
  <si>
    <t>16 mm.</t>
  </si>
  <si>
    <t>2.5     x    125</t>
  </si>
  <si>
    <t>50  mm.</t>
  </si>
  <si>
    <t>2.5     x     55</t>
  </si>
  <si>
    <t>12 mm.</t>
  </si>
  <si>
    <t>18 mm.</t>
  </si>
  <si>
    <t xml:space="preserve">  3     x    110</t>
  </si>
  <si>
    <t>55  mm.</t>
  </si>
  <si>
    <t>3        x     60</t>
  </si>
  <si>
    <t>13 mm.</t>
  </si>
  <si>
    <t>20 mm.</t>
  </si>
  <si>
    <t>3.5    x    120</t>
  </si>
  <si>
    <t>3        x     71</t>
  </si>
  <si>
    <t>3        x     85</t>
  </si>
  <si>
    <t>22 mm.</t>
  </si>
  <si>
    <t>3.5     x    145</t>
  </si>
  <si>
    <t>65  mm.</t>
  </si>
  <si>
    <t>3.5     x     85</t>
  </si>
  <si>
    <t>24 mm.</t>
  </si>
  <si>
    <t xml:space="preserve">  4      x    120</t>
  </si>
  <si>
    <t>60  mm.</t>
  </si>
  <si>
    <t>4         x    100</t>
  </si>
  <si>
    <t>32 mm.</t>
  </si>
  <si>
    <t xml:space="preserve">  4     x     125</t>
  </si>
  <si>
    <t>4.5      x    100</t>
  </si>
  <si>
    <t xml:space="preserve">  4     x     160</t>
  </si>
  <si>
    <t>70  mm.</t>
  </si>
  <si>
    <t>4.75     x    100</t>
  </si>
  <si>
    <t>34 mm.</t>
  </si>
  <si>
    <t>5         x    100</t>
  </si>
  <si>
    <t>36 mm.</t>
  </si>
  <si>
    <t>4.5     x    120</t>
  </si>
  <si>
    <t>5.5      x    115</t>
  </si>
  <si>
    <t>40 mm.</t>
  </si>
  <si>
    <t xml:space="preserve">  5     x    120</t>
  </si>
  <si>
    <t>6        x    130</t>
  </si>
  <si>
    <t xml:space="preserve">  5     x    170</t>
  </si>
  <si>
    <t>90  mm.</t>
  </si>
  <si>
    <t>7        x    170</t>
  </si>
  <si>
    <t>60 mm.</t>
  </si>
  <si>
    <t xml:space="preserve">  5     x    200</t>
  </si>
  <si>
    <t>7        x    175</t>
  </si>
  <si>
    <t>75 mm.</t>
  </si>
  <si>
    <t xml:space="preserve">  6     x    200</t>
  </si>
  <si>
    <t>8        x    175</t>
  </si>
  <si>
    <t>45 mm.</t>
  </si>
  <si>
    <t>70 mm.</t>
  </si>
  <si>
    <t xml:space="preserve">  6     x    240</t>
  </si>
  <si>
    <t>140  mm.</t>
  </si>
  <si>
    <t>Chavetas  Elasticas  Tipo  Traba  Fina</t>
  </si>
  <si>
    <t>Traba F</t>
  </si>
  <si>
    <t>4      x     90</t>
  </si>
  <si>
    <t>35 mm.</t>
  </si>
  <si>
    <t>4.5    x     90</t>
  </si>
  <si>
    <t>5      x     90</t>
  </si>
  <si>
    <t>fila</t>
  </si>
  <si>
    <t>columna</t>
  </si>
  <si>
    <t>=+COINCIDIR(G44;'[LISTAS MAIL 2022 ROGE (1).xlsx]PAG. Nº 1'!$8:$8;0)+0</t>
  </si>
  <si>
    <t>=+COINCIDIR(H44;'[LISTAS MAIL 2022 ROGE (1).xlsx]PAG. Nº 1'!$A:$A;0)+0</t>
  </si>
  <si>
    <t>=+INDICE('[LISTAS MAIL 2022 ROGE (1).xlsx]PAG. Nº 1'!$A:$P;J44;I44)</t>
  </si>
  <si>
    <t>PEDIDO DAHE DIESEL</t>
  </si>
  <si>
    <t>ORIENTABLES</t>
  </si>
  <si>
    <t>INDUSTRIA</t>
  </si>
  <si>
    <t>NUMERO</t>
  </si>
  <si>
    <t>NACIONAL</t>
  </si>
  <si>
    <t>Bulón Perforado</t>
  </si>
  <si>
    <t>CHINO</t>
  </si>
  <si>
    <t>M8*0,75</t>
  </si>
  <si>
    <t>M8*1</t>
  </si>
  <si>
    <t>Bulón Perforado Doble</t>
  </si>
  <si>
    <t>m8x1 duplo</t>
  </si>
  <si>
    <t>5.1</t>
  </si>
  <si>
    <t>Doble 8mm</t>
  </si>
  <si>
    <t>M10*1 2F</t>
  </si>
  <si>
    <t>M10*1 3F</t>
  </si>
  <si>
    <t>M10x1 duplo</t>
  </si>
  <si>
    <t>M12*1,5</t>
  </si>
  <si>
    <t>Unión Orientable</t>
  </si>
  <si>
    <t>8mm 6*4</t>
  </si>
  <si>
    <t>8mm 8*6</t>
  </si>
  <si>
    <t>10mm 6*4</t>
  </si>
  <si>
    <t>10mm 8*6</t>
  </si>
  <si>
    <t>Unión Orientable DOBLE</t>
  </si>
  <si>
    <t>Arandela de Cobre 7,5 x 15,5 x 1,5</t>
  </si>
  <si>
    <t>Arandela de Cobre 7,5 x 15,5 x 2</t>
  </si>
  <si>
    <t>BASE DE INYECTORES</t>
  </si>
  <si>
    <t>SUBTOTAL</t>
  </si>
  <si>
    <t>0000000098</t>
  </si>
  <si>
    <t>Arandelas de Cobre MB 1114 10 x 20</t>
  </si>
  <si>
    <t>514.1</t>
  </si>
  <si>
    <t>LISTA DE  ARAND DE ALUMINIO PARA INYECTORES</t>
  </si>
  <si>
    <t>DESCRIPCION</t>
  </si>
  <si>
    <t>MEDIDAS</t>
  </si>
  <si>
    <t>BULON PERFORADO</t>
  </si>
  <si>
    <t xml:space="preserve">bomba rotat diesel </t>
  </si>
  <si>
    <t>6 x 1 x 20 mm</t>
  </si>
  <si>
    <t>8 x 075 x 25 mm</t>
  </si>
  <si>
    <t>8 x 1 x 23</t>
  </si>
  <si>
    <t>8 x 1 x 33 doble</t>
  </si>
  <si>
    <t>bombas de freno</t>
  </si>
  <si>
    <t>8 x 1,25 x 23</t>
  </si>
  <si>
    <t>10 x 1 x 25 mm (2 salidas)</t>
  </si>
  <si>
    <t>10 x 1 x 25 mm (3 salidas)</t>
  </si>
  <si>
    <t>10 x 1 x 35 mm doble</t>
  </si>
  <si>
    <t>Descuento</t>
  </si>
  <si>
    <t>10 x 1,25 x 26 mm</t>
  </si>
  <si>
    <t>bombas rotativas</t>
  </si>
  <si>
    <t>10 x 1,5 x 26 mm</t>
  </si>
  <si>
    <t>12 x 1,5 x 27 mm</t>
  </si>
  <si>
    <t>14 x 1,5 x 30 mm</t>
  </si>
  <si>
    <t xml:space="preserve">descarga bomba Perkins  </t>
  </si>
  <si>
    <t>16 x 1,5 x 33 mm</t>
  </si>
  <si>
    <t>bombas Perkins 4</t>
  </si>
  <si>
    <t>18 x 1,5 x 42 mm</t>
  </si>
  <si>
    <t>3/8 NF x 23 mm</t>
  </si>
  <si>
    <t>Cod</t>
  </si>
  <si>
    <t>1/2 NF x 26</t>
  </si>
  <si>
    <t>Medidas especiales de bulones(no incluidos en el surtido)</t>
  </si>
  <si>
    <t>Rosca BSPP (gas) 1/4</t>
  </si>
  <si>
    <t>Rosca BSPP (gas) 3/8</t>
  </si>
  <si>
    <t>Rosca BSPP (gas) 1/2</t>
  </si>
  <si>
    <t>Rosca BSPP (gas) 3/4</t>
  </si>
  <si>
    <t>Arandelas de Cobre Base Iny. C.Rail Megane/Kangoo</t>
  </si>
  <si>
    <t xml:space="preserve">rosca mm 20 x 1,50 </t>
  </si>
  <si>
    <t>Arandelas de Cobre Cónica 4 x 10</t>
  </si>
  <si>
    <t>rosca mm 22 x 1,50</t>
  </si>
  <si>
    <t>Arandelas de Cobre Retorno 6 x 10</t>
  </si>
  <si>
    <t>rosca mm 24 x 1,50</t>
  </si>
  <si>
    <t>Arandelas de Cobre Amarok 2.07.3 x 13 x 1.5</t>
  </si>
  <si>
    <t>rosca NF 9/16</t>
  </si>
  <si>
    <t>rosca NF 3/4</t>
  </si>
  <si>
    <t>Doble Ret. Toyota C. Rail Cobre 8mm</t>
  </si>
  <si>
    <t>rosca NF 7/8</t>
  </si>
  <si>
    <t>632-2</t>
  </si>
  <si>
    <t>Doble Ret. Toyota C.Rail Cobre 6mm</t>
  </si>
  <si>
    <t>UNION ORIENTABLE</t>
  </si>
  <si>
    <t>Arandelas de Cobre Fiat 619 cónica 10 x 21 x 0.5</t>
  </si>
  <si>
    <t>8 mm (nucleo) 6.4mm(vastago)</t>
  </si>
  <si>
    <t>Arandelas de Cobre 8 x 13</t>
  </si>
  <si>
    <t>10 mm x 6,4 mm</t>
  </si>
  <si>
    <t>Arandelas de Cobre 16 x 19</t>
  </si>
  <si>
    <t>8 mm x 8,5 mm</t>
  </si>
  <si>
    <t>Arandelas de Cobre 7.5 x 15.5 x 2.5</t>
  </si>
  <si>
    <t>10 mm x 8,5 mm</t>
  </si>
  <si>
    <t>Arandelas de Cobre 7 x 12</t>
  </si>
  <si>
    <t>12 mm x 8.5 mm</t>
  </si>
  <si>
    <t>Valv.MB Mod. Nuevo Plana 9.7 x 12.9 x 0.5</t>
  </si>
  <si>
    <t>12 mm x 9.5 mm</t>
  </si>
  <si>
    <t>Arandelas de Cobre Maxion 7.5 x 15.5 x 1</t>
  </si>
  <si>
    <t>13 mm x 8.5 mm</t>
  </si>
  <si>
    <t>13 mm x 9.5 mm</t>
  </si>
  <si>
    <t>14 mm x 8.5 mm</t>
  </si>
  <si>
    <t>14 mm x 9.5 mm</t>
  </si>
  <si>
    <t>14 mm x 11 mm</t>
  </si>
  <si>
    <t>16 mm x 13.5 mm</t>
  </si>
  <si>
    <t>101 ALUMINIO</t>
  </si>
  <si>
    <t>MILLAR MAS IVA.</t>
  </si>
  <si>
    <t>PEDIDO DE ARANDELAS CILIO</t>
  </si>
  <si>
    <t>COD</t>
  </si>
  <si>
    <t>MATERIAL</t>
  </si>
  <si>
    <t>DIF %</t>
  </si>
  <si>
    <t>SUMA</t>
  </si>
  <si>
    <t>Material</t>
  </si>
  <si>
    <t>10X14</t>
  </si>
  <si>
    <t>APLICACIONES VARIAS</t>
  </si>
  <si>
    <t>4X9</t>
  </si>
  <si>
    <t>101002           ARANDELAS ALUMINIO 5X9</t>
  </si>
  <si>
    <t>5X9</t>
  </si>
  <si>
    <t>101003           ARANDELAS ALUMINIO 6X10</t>
  </si>
  <si>
    <t>6X10</t>
  </si>
  <si>
    <t>101004           ARANDELAS ALUMINIO 5X15X0,5</t>
  </si>
  <si>
    <t>ESTAMPADA HANOMAG</t>
  </si>
  <si>
    <t>5X15X0,5</t>
  </si>
  <si>
    <t>14,5x21x2</t>
  </si>
  <si>
    <t>101005           ARANDELAS ALUMINIO 8X11,9</t>
  </si>
  <si>
    <t>BOMBA BOSCH LEGITIMA</t>
  </si>
  <si>
    <t>8X11,9</t>
  </si>
  <si>
    <t>16x21x2</t>
  </si>
  <si>
    <t>101006           ARANDELAS ALUMINIO 8X13</t>
  </si>
  <si>
    <t>8X13</t>
  </si>
  <si>
    <t>101007           ARANDELAS ALUMINIO 9,5X14,5</t>
  </si>
  <si>
    <t>BOMBA C.A.V.</t>
  </si>
  <si>
    <t>9.5X14.5X2</t>
  </si>
  <si>
    <t>101008           ARANDELAS ALUMINIO 10X14</t>
  </si>
  <si>
    <t>101009           ARANDELAS ALUMINIO 10X20</t>
  </si>
  <si>
    <t>MERCEDES BENZ 1114</t>
  </si>
  <si>
    <t>10X20</t>
  </si>
  <si>
    <t>101010           ARANDELAS ALUMINIO 10X24</t>
  </si>
  <si>
    <t>CA¥O COMPRES.M.BENZ</t>
  </si>
  <si>
    <t>10X24</t>
  </si>
  <si>
    <t>101011           ARANDELAS ALUMINIO 11X17</t>
  </si>
  <si>
    <t>11X17</t>
  </si>
  <si>
    <t>101012           ARANDELAS ALUMINIO 12X17</t>
  </si>
  <si>
    <t>BULON PERFORADO 12MM</t>
  </si>
  <si>
    <t>12X17</t>
  </si>
  <si>
    <t>ok</t>
  </si>
  <si>
    <t>101013           ARANDELAS ALUMINIO 13X20</t>
  </si>
  <si>
    <t>13X20</t>
  </si>
  <si>
    <t>101014           ARANDELAS ALUMINIO 14X20</t>
  </si>
  <si>
    <t>BULON PERFORADO 14MM</t>
  </si>
  <si>
    <t>14X20</t>
  </si>
  <si>
    <t>101015           ARANDELAS ALUMINIO 14X20X2</t>
  </si>
  <si>
    <t>14X20X2</t>
  </si>
  <si>
    <t>101016           ARANDELAS ALUMINIO 14X18</t>
  </si>
  <si>
    <t>14X18</t>
  </si>
  <si>
    <t>101017           ARANDELAS ALUMINIO 15X21</t>
  </si>
  <si>
    <t>ASIENTO INY. PERKINS</t>
  </si>
  <si>
    <t>15X21</t>
  </si>
  <si>
    <t>101018           ARANDELAS ALUMINIO 16X19</t>
  </si>
  <si>
    <t>16X19</t>
  </si>
  <si>
    <t>101019           ARANDELAS ALUMINIO 16X21</t>
  </si>
  <si>
    <t>16X21</t>
  </si>
  <si>
    <t>101020           ARANDELAS ALUMINIO 16X24</t>
  </si>
  <si>
    <t>TAPON ROSCADO 16 MM</t>
  </si>
  <si>
    <t>16X24</t>
  </si>
  <si>
    <t>101021           ARANDELAS ALUMINIO 17X22</t>
  </si>
  <si>
    <t>17X22</t>
  </si>
  <si>
    <t>101022           ARANDELAS ALUMINIO 18X23</t>
  </si>
  <si>
    <t>18X23</t>
  </si>
  <si>
    <t>101023           ARANDELAS ALUMINIO 20X26</t>
  </si>
  <si>
    <t>20X26</t>
  </si>
  <si>
    <t>101024           ARANDELAS ALUMINIO 21X25,5</t>
  </si>
  <si>
    <t>CAPUCHON BEDFORD</t>
  </si>
  <si>
    <t>21X25,5</t>
  </si>
  <si>
    <t>101025           ARANDELAS ALUMINIO 22X26</t>
  </si>
  <si>
    <t>BULON PERF.PERKINS</t>
  </si>
  <si>
    <t>22X26</t>
  </si>
  <si>
    <t>101026           ARANDELAS ALUMINIO 22X28</t>
  </si>
  <si>
    <t>22X28</t>
  </si>
  <si>
    <t>101027           ARANDELAS ALUMINIO 24X30</t>
  </si>
  <si>
    <t>24X30</t>
  </si>
  <si>
    <t>101028           ARANDELAS ALUMINIO 25,5X29,5</t>
  </si>
  <si>
    <t>TAPON LAT.BOM.BOSCH</t>
  </si>
  <si>
    <t>25,5X29,5</t>
  </si>
  <si>
    <t>101029           ARANDELAS ALUMINIO 26X32</t>
  </si>
  <si>
    <t>26X32</t>
  </si>
  <si>
    <t>101030           ARANDELAS ALUMINIO 28X36</t>
  </si>
  <si>
    <t>28X36</t>
  </si>
  <si>
    <t>101031           ARANDELAS ALUMINIO 30X36</t>
  </si>
  <si>
    <t>APLIC.VS.PREC.RASTR.</t>
  </si>
  <si>
    <t>30X36</t>
  </si>
  <si>
    <t>101032           ARANDELAS ALUMINIO 32X40</t>
  </si>
  <si>
    <t>32X40</t>
  </si>
  <si>
    <t>101033           ARANDELAS ALUMINIO 34X42</t>
  </si>
  <si>
    <t>34X42</t>
  </si>
  <si>
    <t>101034           ARANDELAS ALUMINIO 36X42</t>
  </si>
  <si>
    <t>36X42</t>
  </si>
  <si>
    <t>101035           ARANDELAS ALUMINIO 38X46</t>
  </si>
  <si>
    <t>38X46</t>
  </si>
  <si>
    <t>101036           ARANDELAS ALUMINIO 40X46</t>
  </si>
  <si>
    <t>40X46</t>
  </si>
  <si>
    <t>101037           ARANDELAS ALUMINIO 41X45</t>
  </si>
  <si>
    <t>41X45</t>
  </si>
  <si>
    <t>101038           ARANDELAS ALUMINIO 42X49</t>
  </si>
  <si>
    <t>42X49</t>
  </si>
  <si>
    <t>101039           ARANDELAS ALUMINIO 42X50</t>
  </si>
  <si>
    <t>42X50</t>
  </si>
  <si>
    <t>101040           ARANDELAS ALUMINIO 42X50X2</t>
  </si>
  <si>
    <t>42X50X2</t>
  </si>
  <si>
    <t>101041           ARANDELAS ALUMINIO 44X52</t>
  </si>
  <si>
    <t>44X52</t>
  </si>
  <si>
    <t>101042           ARANDELAS ALUMINIO 46X54</t>
  </si>
  <si>
    <t>46X54</t>
  </si>
  <si>
    <t>101043           ARANDELAS ALUMINIO 52X60</t>
  </si>
  <si>
    <t>52X60</t>
  </si>
  <si>
    <t>101044           ARANDELAS ALUMINIO IZUSU</t>
  </si>
  <si>
    <t>INYECTOR IZUSU</t>
  </si>
  <si>
    <t>IZUSU</t>
  </si>
  <si>
    <t>101045           ARANDELAS ALUMINIO TOYOTA</t>
  </si>
  <si>
    <t>INYECTOR TOYOTA</t>
  </si>
  <si>
    <t>TOYOTA</t>
  </si>
  <si>
    <t>101046           ARANDELAS ALUMINIO 13X20X2</t>
  </si>
  <si>
    <t>13X20X2</t>
  </si>
  <si>
    <t>101047           ARANDELAS ALUM. 16,5X22X1,25</t>
  </si>
  <si>
    <t>16,5X22X1,25</t>
  </si>
  <si>
    <t>ALUMINIO 8 X 13 DOBLE</t>
  </si>
  <si>
    <t>102 FIBRA</t>
  </si>
  <si>
    <t>102001           ARANDELAS FIBRA 4X9</t>
  </si>
  <si>
    <t>102002           ARANDELAS FIBRA 5X9</t>
  </si>
  <si>
    <t>102003           ARANDELAS FIBRA 6X10</t>
  </si>
  <si>
    <t>102004           ARANDELAS FIBRA 8X11,9</t>
  </si>
  <si>
    <t>102005           ARANDELAS FIBRA 8X13</t>
  </si>
  <si>
    <t>102006           ARANDELAS FIBRA 9,5X14,5</t>
  </si>
  <si>
    <t>9,5X14,5</t>
  </si>
  <si>
    <t>102007           ARANDELAS FIBRA 10X14</t>
  </si>
  <si>
    <t>102008           ARANDELAS FIBRA 10X20</t>
  </si>
  <si>
    <t>102009           ARANDELAS FIBRA 10X24</t>
  </si>
  <si>
    <t>102010           ARANDELAS FIBRA 11X17</t>
  </si>
  <si>
    <t>102011           ARANDELAS FIBRA 12X17</t>
  </si>
  <si>
    <t>102012           ARANDELAS FIBRA 13X20</t>
  </si>
  <si>
    <t>102013           ARANDELAS FIBRA 14X20</t>
  </si>
  <si>
    <t>102014           ARANDELAS FIBRA 14X18</t>
  </si>
  <si>
    <t>102015           ARANDELAS FIBRA 15X21</t>
  </si>
  <si>
    <t>102016           ARANDELAS FIBRA 16X21</t>
  </si>
  <si>
    <t>102017           ARANDELAS FIBRA 16X24</t>
  </si>
  <si>
    <t>TAPON ROSCADO 16MM</t>
  </si>
  <si>
    <t>102018           ARANDELAS FIBRA 17X22</t>
  </si>
  <si>
    <t>102019           ARANDELAS FIBRA 18X23</t>
  </si>
  <si>
    <t>102020           ARANDELAS FIBRA 20X26</t>
  </si>
  <si>
    <t>102021           ARANDELAS FIBRA 21X25,5</t>
  </si>
  <si>
    <t>CAPUCHON B. BEDFORD</t>
  </si>
  <si>
    <t>102022           ARANDELAS FIBRA 22X26</t>
  </si>
  <si>
    <t>102023           ARANDELAS FIBRA 22X28</t>
  </si>
  <si>
    <t>102024           ARANDELAS FIBRA 24X30</t>
  </si>
  <si>
    <t>102025           ARANDELAS FIBRA 25,5X29,5</t>
  </si>
  <si>
    <t>TAPON BOM.ALIM.BOSCH</t>
  </si>
  <si>
    <t>102026           ARANDELAS FIBRA 26X32</t>
  </si>
  <si>
    <t>102027           ARANDELAS FIBRA 28X36</t>
  </si>
  <si>
    <t>102028           ARANDELAS FIBRA 30X36</t>
  </si>
  <si>
    <t>PRECAMARA RASTROJERO</t>
  </si>
  <si>
    <t>102029           ARANDELAS FIBRA 32X40</t>
  </si>
  <si>
    <t>102030           ARANDELAS FIBRA 34X42</t>
  </si>
  <si>
    <t>102031           ARANDELAS FIBRA 36X42</t>
  </si>
  <si>
    <t>102032           ARANDELAS FIBRA 38X46</t>
  </si>
  <si>
    <t>102033           ARANDELAS FIBRA 40X46</t>
  </si>
  <si>
    <t>102034           ARANDELAS FIBRA 41X45</t>
  </si>
  <si>
    <t>102035           ARANDELAS FIBRA 42X49</t>
  </si>
  <si>
    <t>102036           ARANDELAS FIBRA 42X50</t>
  </si>
  <si>
    <t>102037           ARANDELAS FIBRA 44X52</t>
  </si>
  <si>
    <t>102038           ARANDELAS FIBRA 46X54</t>
  </si>
  <si>
    <t>102039           ARANDELAS FIBRA 52X60</t>
  </si>
  <si>
    <t>103 COBRE</t>
  </si>
  <si>
    <t>103001           ARANDELAS COBRE 4X9</t>
  </si>
  <si>
    <t>103002           ARANDELAS COBRE 4X11</t>
  </si>
  <si>
    <t>4X11</t>
  </si>
  <si>
    <t>103003           ARANDELAS COBRE 5X9</t>
  </si>
  <si>
    <t>103004           ARANDELAS COBRE 5X20X3</t>
  </si>
  <si>
    <t>5X20X3</t>
  </si>
  <si>
    <t>103005           ARANDELAS COBRE 6X10</t>
  </si>
  <si>
    <t>103006           ARANDELAS COBRE 8X11,9</t>
  </si>
  <si>
    <t>8X11.9</t>
  </si>
  <si>
    <t>103007           ARANDELAS COBRE 8X13</t>
  </si>
  <si>
    <t>103008           ARANDELAS COBRE 8X13 DOBLES</t>
  </si>
  <si>
    <t>RETORNO INY.M.BENZ</t>
  </si>
  <si>
    <t>8X13 DOBLES</t>
  </si>
  <si>
    <t>103009           ARANDELAS COBRE 8X20X2</t>
  </si>
  <si>
    <t>TOBERA TRAC.J.DEERE</t>
  </si>
  <si>
    <t>8X20X2</t>
  </si>
  <si>
    <t>103010           ARANDELAS COBRE 9,2X13X1,5</t>
  </si>
  <si>
    <t>APLICACIONES INDENOR</t>
  </si>
  <si>
    <t>9.2X13X1.5</t>
  </si>
  <si>
    <t>103011           ARANDELAS COBRE 9,75X12,75X1,5</t>
  </si>
  <si>
    <t>9.75X12.75X1.5</t>
  </si>
  <si>
    <t>103012           ARANDELAS COBRE 9,75X13X0,5</t>
  </si>
  <si>
    <t>VALVULA BOMBA M</t>
  </si>
  <si>
    <t>9.75X13X0.5</t>
  </si>
  <si>
    <t>103013           ARANDELAS COBRE 9,75X12,75X0,5</t>
  </si>
  <si>
    <t>VALVULA M.BENZ</t>
  </si>
  <si>
    <t>9.75X12.75X0.5</t>
  </si>
  <si>
    <t>103014           ARANDELAS COBRE 9,5X14,5X1,5</t>
  </si>
  <si>
    <t>9.5X14.5X1.5</t>
  </si>
  <si>
    <t>103015           ARANDELAS COBRE 9,5X14,5X2</t>
  </si>
  <si>
    <t>103016           ARANDELAS COBRE 9,1X19X2</t>
  </si>
  <si>
    <t>9.1X19X2</t>
  </si>
  <si>
    <t>103017           ARANDELAS COBRE 9,5X19X 1,5</t>
  </si>
  <si>
    <t>9.5X19X1.5</t>
  </si>
  <si>
    <t>103018           ARANDELAS COBRE 9,5X19X2</t>
  </si>
  <si>
    <t>9.5X19X2</t>
  </si>
  <si>
    <t>103019           ARANDELAS COBRE 10X14</t>
  </si>
  <si>
    <t>103020           ARANDELAS COBRE 10X19X0,5</t>
  </si>
  <si>
    <t>10X19X0.5</t>
  </si>
  <si>
    <t>103021           ARANDELAS COBRE 10X19X2</t>
  </si>
  <si>
    <t>APLICACIONES PERKINS</t>
  </si>
  <si>
    <t>10X19X2</t>
  </si>
  <si>
    <t>103022           ARANDELAS COBRE 10X20</t>
  </si>
  <si>
    <t>103023           ARANDELAS COBRE 10X20X1,5</t>
  </si>
  <si>
    <t>DEUTZ 114 2114</t>
  </si>
  <si>
    <t>10X20X1.5</t>
  </si>
  <si>
    <t>103024           ARANDELAS COBRE 10X21X0,5 PL</t>
  </si>
  <si>
    <t>AN INYEC.LEYLAND FIAT</t>
  </si>
  <si>
    <t>10X21X0.5</t>
  </si>
  <si>
    <t>103025           ARANDELAS COBRE 10X21X0,5 CO</t>
  </si>
  <si>
    <t>NI INYEC.LEYLAND FIAT</t>
  </si>
  <si>
    <t>103026           ARANDELAS COBRE 10X21</t>
  </si>
  <si>
    <t>TOBERA DLL AS. BAJO</t>
  </si>
  <si>
    <t>10X21</t>
  </si>
  <si>
    <t>103027           ARANDELAS COBRE 10X21X2</t>
  </si>
  <si>
    <t>TOBERA DLL AS.NORMAL</t>
  </si>
  <si>
    <t>10X21X2</t>
  </si>
  <si>
    <t>103028           ARANDELAS COBRE 10X25</t>
  </si>
  <si>
    <t>INY.S.VABIS AS.BAJO</t>
  </si>
  <si>
    <t>10X25</t>
  </si>
  <si>
    <t>103029           ARANDELAS COBRE 10X25X2</t>
  </si>
  <si>
    <t>INY.S.VABIS AS.NORM.</t>
  </si>
  <si>
    <t>10X25X2</t>
  </si>
  <si>
    <t>103030           ARANDELAS COBRE 11X17</t>
  </si>
  <si>
    <t>103031           ARANDELAS COBRE 12X17</t>
  </si>
  <si>
    <t>103032           ARANDELAS COBRE 12X18</t>
  </si>
  <si>
    <t>BULON PERF.M.CORMICK</t>
  </si>
  <si>
    <t>12X18</t>
  </si>
  <si>
    <t>103033           ARANDELAS COBRE 13X20</t>
  </si>
  <si>
    <t>103034           ARANDELAS COBRE 14X18</t>
  </si>
  <si>
    <t>BULON PERF.14 MM LEG</t>
  </si>
  <si>
    <t>103035           ARANDELAS COBRE 14X20</t>
  </si>
  <si>
    <t>103036           ARANDELAS COBRE 14X20X1,5</t>
  </si>
  <si>
    <t>14X20X1.5</t>
  </si>
  <si>
    <t>103037           ARANDELAS COBRE 14X20X2</t>
  </si>
  <si>
    <t>TO.D.AS NOR.PERK.203</t>
  </si>
  <si>
    <t>103038           ARANDELAS COBRE 15X21</t>
  </si>
  <si>
    <t>ASIENTO INY.PERKINS</t>
  </si>
  <si>
    <t>103039           ARANDELAS COBRE 15X21X1,5</t>
  </si>
  <si>
    <t>ASIENTO INY.PER.LEG.</t>
  </si>
  <si>
    <t>15X21X1.5</t>
  </si>
  <si>
    <t>103040           ARANDELAS COBRE 15X21X2</t>
  </si>
  <si>
    <t>ASIENTO INY.PER.INDE</t>
  </si>
  <si>
    <t>15X21X2</t>
  </si>
  <si>
    <t>103041           ARANDELAS COBRE 15,5X20X0,5</t>
  </si>
  <si>
    <t>SCANIA K 112</t>
  </si>
  <si>
    <t>15.5X20X0.5</t>
  </si>
  <si>
    <t>103042           ARANDELAS COBRE 16X21</t>
  </si>
  <si>
    <t>103043           ARANDELAS COBRE 16X19</t>
  </si>
  <si>
    <t>CEBADOR BOM.BOSCH</t>
  </si>
  <si>
    <t>103044           ARANDELAS COBRE 16X19X1,5</t>
  </si>
  <si>
    <t>16X19X1.5</t>
  </si>
  <si>
    <t>103045           ARANDELAS COBRE 16X24</t>
  </si>
  <si>
    <t>103046           ARANDELAS COBRE 17X22</t>
  </si>
  <si>
    <t>103047           ARANDELAS COBRE 18X22X0,5</t>
  </si>
  <si>
    <t>INYECTOR FIAT</t>
  </si>
  <si>
    <t>18X22X0.5</t>
  </si>
  <si>
    <t>103048           ARANDELAS COBRE 18X23</t>
  </si>
  <si>
    <t>103049           ARANDELAS COBRE 19X23X1,5</t>
  </si>
  <si>
    <t>19X23X1.5</t>
  </si>
  <si>
    <t>103050           ARANDELAS COBRE 20X26</t>
  </si>
  <si>
    <t>103051           ARANDELAS COBRE 21X25,5</t>
  </si>
  <si>
    <t>INYECTOR BEDFORD</t>
  </si>
  <si>
    <t>21X25.5</t>
  </si>
  <si>
    <t>103052           ARANDELAS COBRE 22X26</t>
  </si>
  <si>
    <t>103053           ARANDELAS COBRE 22X28</t>
  </si>
  <si>
    <t>103054           ARANDELAS COBRE 24X30</t>
  </si>
  <si>
    <t>103055           ARANDELAS COBRE 25,5X29,5</t>
  </si>
  <si>
    <t>TAPON BOMBA AL.BOSCH</t>
  </si>
  <si>
    <t>25.5X29.5</t>
  </si>
  <si>
    <t>103056           ARANDELAS COBRE 26X32</t>
  </si>
  <si>
    <t>103057           ARANDELAS COBRE 26X32X2,5</t>
  </si>
  <si>
    <t>PRECAMARA HANOMAG</t>
  </si>
  <si>
    <t>26X32X2.5</t>
  </si>
  <si>
    <t>103058           ARANDELAS COBRE 28X36</t>
  </si>
  <si>
    <t>103059           ARANDELAS COBRE 30X36</t>
  </si>
  <si>
    <t>PREC.RASTRJERO NUEVO</t>
  </si>
  <si>
    <t>103060           ARANDELAS COBRE 30X36X2</t>
  </si>
  <si>
    <t>30X36X2</t>
  </si>
  <si>
    <t>103061           ARANDELAS COBRE 32X40</t>
  </si>
  <si>
    <t>103062           ARANDELAS COBRE 32,5X37X0,5</t>
  </si>
  <si>
    <t>PREC.EX.RASTROJERO</t>
  </si>
  <si>
    <t>32.5X37X0.5</t>
  </si>
  <si>
    <t>103063           ARANDELAS COBRE 33,5X40X2,5</t>
  </si>
  <si>
    <t>PREC.EX.HANOMAG</t>
  </si>
  <si>
    <t>33.5X40X2.5</t>
  </si>
  <si>
    <t>103064           ARANDELAS COBRE 34X42</t>
  </si>
  <si>
    <t>103065           ARANDELAS COBRE 36X42</t>
  </si>
  <si>
    <t>103066           ARANDELAS COBRE 38X46</t>
  </si>
  <si>
    <t>103067           ARANDELAS COBRE 40X46</t>
  </si>
  <si>
    <t>103068           ARANDELAS COBRE 41X45</t>
  </si>
  <si>
    <t>103069           ARANDELAS COBRE 42X49</t>
  </si>
  <si>
    <t>103070           ARANDELAS COBRE 44X52</t>
  </si>
  <si>
    <t>103071           ARANDELAS COBRE 46X54</t>
  </si>
  <si>
    <t>103072           ARANDELAS COBRE 52X60</t>
  </si>
  <si>
    <t>103073           ARANDELAS COBRE 9,25X15,5X2</t>
  </si>
  <si>
    <t>INYECTOR J. DEERE</t>
  </si>
  <si>
    <t>9.25X15.5X2</t>
  </si>
  <si>
    <t>103074           ARANDELAS COBRE CONICA CAÑITO</t>
  </si>
  <si>
    <t>INY. CAÑO INYECCION</t>
  </si>
  <si>
    <t>CONICA</t>
  </si>
  <si>
    <t>103075           ARANDELAS COBRE 10X19X1</t>
  </si>
  <si>
    <t>10X19X1</t>
  </si>
  <si>
    <t>103076           ARANDELAS COBRE 30X14,5X1,5</t>
  </si>
  <si>
    <t>30X14.5X1.5</t>
  </si>
  <si>
    <t>103077           JUNTA COBRE PREC.PERKINS</t>
  </si>
  <si>
    <t>PRECAMARA PERKINS</t>
  </si>
  <si>
    <t>JUNTA DE COBRE</t>
  </si>
  <si>
    <t>PREC.PERKINS</t>
  </si>
  <si>
    <t>103078           ARANDELAS COBRE 7,5X15X1,5</t>
  </si>
  <si>
    <t>INYECTOR CUMMINGS</t>
  </si>
  <si>
    <t>7.5X15X1.5</t>
  </si>
  <si>
    <t>103079           ARANDELAS COBRE 11X18X2</t>
  </si>
  <si>
    <t>BOMBA DPC</t>
  </si>
  <si>
    <t>11X18X2</t>
  </si>
  <si>
    <t>103080           ARANDELAS COBRE 7 X 15 X 2</t>
  </si>
  <si>
    <t>7x15x2</t>
  </si>
  <si>
    <t>103081           ARANDELAS COBRE  9,5X18X2</t>
  </si>
  <si>
    <t>SCANIA VABIS</t>
  </si>
  <si>
    <t>9.5X18X2</t>
  </si>
  <si>
    <t>103082           ARANDELAS COBRE  7,5X15X1</t>
  </si>
  <si>
    <t>7.5X15X1</t>
  </si>
  <si>
    <t>103083           ARANDELAS COBRE  7,5X15X2</t>
  </si>
  <si>
    <t>7.5X15X2</t>
  </si>
  <si>
    <t>103084           ARANDELAS COBRE  7,5X15X2,5</t>
  </si>
  <si>
    <t>7.5X15X2.5</t>
  </si>
  <si>
    <t>103085           ARANDELAS COBRE 7.5X15X3</t>
  </si>
  <si>
    <t>7.5X15X3</t>
  </si>
  <si>
    <t>103086           ARANDELAS COBRE 15X21X1.75</t>
  </si>
  <si>
    <t>15X21X1.75</t>
  </si>
  <si>
    <t>103087           ARANDELAS COBRE 26X32X2</t>
  </si>
  <si>
    <t>26X32X2</t>
  </si>
  <si>
    <t>103088           ARANDELAS COBRE 6X10 DOBLE</t>
  </si>
  <si>
    <t>6X10 DOBLE</t>
  </si>
  <si>
    <t>103089           ARANDELAS COBRE 7,5X14X1,5</t>
  </si>
  <si>
    <t>ASIENTO AMAROK</t>
  </si>
  <si>
    <t>7.5X14X1.5</t>
  </si>
  <si>
    <t>105 ESPECIALES</t>
  </si>
  <si>
    <t>105001           ACOPLES BEDFORD ONDULADOS</t>
  </si>
  <si>
    <t>105002           ACOPLES BEDFORD LISOS</t>
  </si>
  <si>
    <t>105003           ACOPLES FIAT 619</t>
  </si>
  <si>
    <t>105004           ACOPLES FIAT 666</t>
  </si>
  <si>
    <t>105005           ACOPLES FIAT 682</t>
  </si>
  <si>
    <t>105006           ACOPLES FORD THAMES</t>
  </si>
  <si>
    <t>105007           ACOPLES SKODA</t>
  </si>
  <si>
    <t>105008           ACOPLES PEGASSO</t>
  </si>
  <si>
    <t>105009           ACOPLES SCANIA VABIS</t>
  </si>
  <si>
    <t>105010           ACOPLES SCANIA VABIS F 110 SUP</t>
  </si>
  <si>
    <t>105011           ACOPLES VOLVO</t>
  </si>
  <si>
    <t>105012           ACOPLES VOLVO FF 88 SUPER</t>
  </si>
  <si>
    <t>105013           ACOPLES LEYLAND</t>
  </si>
  <si>
    <t>105014           ACOPLES SCANIA VABIS 112</t>
  </si>
  <si>
    <t>105015           ACOPLES DEUTZ</t>
  </si>
  <si>
    <t>105016           ARANDELAS BCE. 13X17X1,5</t>
  </si>
  <si>
    <t>TOBERA MC.CORMICK</t>
  </si>
  <si>
    <t>105017           ARANDELAS BCE. 42X49X1,5</t>
  </si>
  <si>
    <t>INYEC. MC.CORMICK</t>
  </si>
  <si>
    <t>105018           ARANDELAS BCE. 46X54X1,5</t>
  </si>
  <si>
    <t>105019           VALVULA FIAT 619 BCE.</t>
  </si>
  <si>
    <t>105020           VALVULA MERCEDES BENZ 1112/14</t>
  </si>
  <si>
    <t>COBRE FOSFOROSO</t>
  </si>
  <si>
    <t>105021           VALVULA VOLVO S. VABIS COBRE</t>
  </si>
  <si>
    <t>105022           VALVULA JOHN DEERE COBRE TOR</t>
  </si>
  <si>
    <t>105023           VALVULA DEUTZ COBRE TORNEADA</t>
  </si>
  <si>
    <t>105024           CAP.ALUM.CAÑO FLEX.PRENSA 10 MM</t>
  </si>
  <si>
    <t>105025           CAP.ALUM.CAÑO FLEX.PRENSA 12 MM</t>
  </si>
  <si>
    <t>21X26</t>
  </si>
  <si>
    <t>105026           CAP.ALUM.CAÑO FLEX.PRENSA 14 MM</t>
  </si>
  <si>
    <t>105027           MALLAS BRONCE PREFILTRO PERKINS</t>
  </si>
  <si>
    <t>105028           MALLAS BCE.FLTRO.BOMB.PERKINS</t>
  </si>
  <si>
    <t>BOMBA PERKINS</t>
  </si>
  <si>
    <t xml:space="preserve">8 x 13 x 2,5 - </t>
  </si>
  <si>
    <t>105029           MALLAS BCE.FIL.BOM.JD COPITA</t>
  </si>
  <si>
    <t>FILTRO JHON DEERE</t>
  </si>
  <si>
    <t>14,5 x 21 x 2 - R 19 DIESEL</t>
  </si>
  <si>
    <t>105030           FILTRO BRONCE VASITO M.BENZ</t>
  </si>
  <si>
    <t>105031           FILTRO BRONCE VASITO M.B.REFOR</t>
  </si>
  <si>
    <t>105032           ARAN.BUJIA COB.AMIANTO 14 mm</t>
  </si>
  <si>
    <t>105033           ARAN.BUJIA COB.AMIANTO 16 mm</t>
  </si>
  <si>
    <t>105034           ARAN.BUJIA COB.AMIANTO 18 mm</t>
  </si>
  <si>
    <t>105035           ARAN.BUJIA COB.AMIANTO 22 mm</t>
  </si>
  <si>
    <t>105036           ARAN.HIERRO SEG.DPA CHICO Y GR</t>
  </si>
  <si>
    <t>105037           ARAN.HIERRO TORNILLO HORQUILLA</t>
  </si>
  <si>
    <t>105038           ARAN.H°DPA 9,75X12,75X1,5</t>
  </si>
  <si>
    <t>105039           ARAN.H° RTE.REG.RQA 1 mm</t>
  </si>
  <si>
    <t>105040           ARAN.H° RTE.REG.RQA 1,5mm</t>
  </si>
  <si>
    <t>105041           ARAN.H° RTE.REG.RQA 2 mm</t>
  </si>
  <si>
    <t>105042           ARAN.H° RTE.REG.RQA 2,5mm</t>
  </si>
  <si>
    <t>105043           ARAN.H° RTE.REG.RQA 3mm</t>
  </si>
  <si>
    <t>105044           ARAND.ACERO 19,5X26X0,50</t>
  </si>
  <si>
    <t>RTE.INTER.REG.M.BENZ</t>
  </si>
  <si>
    <t>105045           ARAND.ACERO ASIMILACION  0,10</t>
  </si>
  <si>
    <t>105046           ARAND.ACERO ASIMILACION  0,20</t>
  </si>
  <si>
    <t>105047           ARAND.ACERO ASIMILACION  0,30</t>
  </si>
  <si>
    <t>105048           SUPL.GUIA ESC.REGULADOR 0,10</t>
  </si>
  <si>
    <t>105049           SUPL.GUIA ESC.REGULADOR 0,20</t>
  </si>
  <si>
    <t>105050           SUPL.GUIA ESC.REGULADOR 0,30</t>
  </si>
  <si>
    <t>105051           SUPL.GUIA ESC.REGULADOR 0,50</t>
  </si>
  <si>
    <t>105052           LAMINA  COMP.FIAT GRANDE</t>
  </si>
  <si>
    <t>105053           LAMINA  COMP.FIAT CHICA</t>
  </si>
  <si>
    <t>105054           ARAND.ADAMITE VAL.BBTA.ALIMENT</t>
  </si>
  <si>
    <t>105055           SEGURO HIERRO RTE.REG.M.BENZ</t>
  </si>
  <si>
    <t>105056           ARAN.H° Y AMIANTO DEUTZ DD1000</t>
  </si>
  <si>
    <t>105057           ARAN.H° INYECTOR PEUGEOT</t>
  </si>
  <si>
    <t>105058           ARAN.AMIANTO COLOR.P/EXT.DPA</t>
  </si>
  <si>
    <t>105059           TACITAS BRONCE MERCEDES BENZ</t>
  </si>
  <si>
    <t>105060           TACITAS BRONCE BEDFORD</t>
  </si>
  <si>
    <t>105061           HERRAM. LEVANTA BOTADOR T.A.</t>
  </si>
  <si>
    <t>105062           HERRAM. LEVANTA BOTADOR T.B.</t>
  </si>
  <si>
    <t>105063           SEGURO BULON ACOPLE BEDFORD</t>
  </si>
  <si>
    <t>105064           ACOPLES SCANIA VABIS 113</t>
  </si>
  <si>
    <t>105065           TACITAS BRONCE S. VABIS 112</t>
  </si>
  <si>
    <t>105066           ARANDELAS AMIANTO 20X8X2,5</t>
  </si>
  <si>
    <t>105067           ARANDELAS ACERO 33X17X0,5</t>
  </si>
  <si>
    <t>105069           TACITAS HIERRO CHICAS</t>
  </si>
  <si>
    <t>105070           A.COBRE C/NERVIO MAXION</t>
  </si>
  <si>
    <t>105071           A. CU. ATO. 24 X 32 X 3,2</t>
  </si>
  <si>
    <t>105072           A. CU. ATO. 26 X 32 X 3,2</t>
  </si>
  <si>
    <t>105079 PARALLAMA Hº CHEV. CORSA</t>
  </si>
  <si>
    <t>PEDIDO KLOSTER</t>
  </si>
  <si>
    <t>LISTA KLOSTER</t>
  </si>
  <si>
    <t>LISTA MAXIFER</t>
  </si>
  <si>
    <t>COMPARATIVA - COSTO</t>
  </si>
  <si>
    <t>Nombre</t>
  </si>
  <si>
    <t>Precio Aluminio</t>
  </si>
  <si>
    <t>Precio Cobre</t>
  </si>
  <si>
    <t>Precio Fibra</t>
  </si>
  <si>
    <t>Precio
Lista</t>
  </si>
  <si>
    <t>Precio Final</t>
  </si>
  <si>
    <t>Descuento Octubre:</t>
  </si>
  <si>
    <t>COBRE</t>
  </si>
  <si>
    <t>2,5.6</t>
  </si>
  <si>
    <t>Arandelas 2,5x6 3/32</t>
  </si>
  <si>
    <t>7,5x15x1,5</t>
  </si>
  <si>
    <t>FIBRA</t>
  </si>
  <si>
    <t>2,5.6B</t>
  </si>
  <si>
    <t>Arandelas 2,5x6 Bronce</t>
  </si>
  <si>
    <t>7,5x15x2</t>
  </si>
  <si>
    <t>ALUMINIO</t>
  </si>
  <si>
    <t>3,5.8</t>
  </si>
  <si>
    <t>Arandelas 3,5x8 1/8</t>
  </si>
  <si>
    <t>7,5x15x3</t>
  </si>
  <si>
    <t>3,5.11</t>
  </si>
  <si>
    <t>Arandelas 3,5x11</t>
  </si>
  <si>
    <t>8x13x2,5</t>
  </si>
  <si>
    <t>3,5.8B</t>
  </si>
  <si>
    <t>Arandelas 3,5x8 Bronce</t>
  </si>
  <si>
    <t>10x19x2</t>
  </si>
  <si>
    <t>3.10.1</t>
  </si>
  <si>
    <t>Arandelas 3x10x1</t>
  </si>
  <si>
    <t>10x20x1</t>
  </si>
  <si>
    <t>3.10</t>
  </si>
  <si>
    <t>Arandelas 3x10</t>
  </si>
  <si>
    <t>14x20x1,5</t>
  </si>
  <si>
    <t>3.6</t>
  </si>
  <si>
    <t>Arandelas 3x6</t>
  </si>
  <si>
    <t>14x20x2</t>
  </si>
  <si>
    <t>7.10</t>
  </si>
  <si>
    <t>3.6.0</t>
  </si>
  <si>
    <t>Arandelas 3x6 C y G</t>
  </si>
  <si>
    <t>4.10.0,5</t>
  </si>
  <si>
    <t>Arandelas 4x10x0,5 Conica</t>
  </si>
  <si>
    <t>16.21.2</t>
  </si>
  <si>
    <t>4.10B</t>
  </si>
  <si>
    <t>Arandelas 4x10 Bronce</t>
  </si>
  <si>
    <t>17x20x1,5</t>
  </si>
  <si>
    <t>4.10</t>
  </si>
  <si>
    <t>Arandelas 4x10 5/32</t>
  </si>
  <si>
    <t>4.11</t>
  </si>
  <si>
    <t>Arandelas 4x11</t>
  </si>
  <si>
    <t>4.12,5</t>
  </si>
  <si>
    <t>Arandelas 4x12,5</t>
  </si>
  <si>
    <t>4.22</t>
  </si>
  <si>
    <t>Arandelas 4x22</t>
  </si>
  <si>
    <t>4.7.1</t>
  </si>
  <si>
    <t>Arandelas 4x7x1</t>
  </si>
  <si>
    <t>4.7</t>
  </si>
  <si>
    <t>Arandelas 4x7</t>
  </si>
  <si>
    <t>4.8</t>
  </si>
  <si>
    <t>Arandelas 4x8</t>
  </si>
  <si>
    <t>4.9</t>
  </si>
  <si>
    <t>Arandelas 4x9</t>
  </si>
  <si>
    <t>5,5.9,5</t>
  </si>
  <si>
    <t>Arandelas 5,5x9,5</t>
  </si>
  <si>
    <t>5.10</t>
  </si>
  <si>
    <t>Arandelas 5x10</t>
  </si>
  <si>
    <t>5.10.1</t>
  </si>
  <si>
    <t>Arandelas 5x10x1</t>
  </si>
  <si>
    <t>5.10.0,5</t>
  </si>
  <si>
    <t>Arandelas 5x10x0,5 Conica</t>
  </si>
  <si>
    <t>5.11.1</t>
  </si>
  <si>
    <t>Arandelas 5x11x1</t>
  </si>
  <si>
    <t>5.11</t>
  </si>
  <si>
    <t>Arandelas 5x11</t>
  </si>
  <si>
    <t>5.12</t>
  </si>
  <si>
    <t>Arandelas 5x12</t>
  </si>
  <si>
    <t>5.13</t>
  </si>
  <si>
    <t>Arandelas 5x13</t>
  </si>
  <si>
    <t>5.13B</t>
  </si>
  <si>
    <t>Arandelas 5x13 Bronce</t>
  </si>
  <si>
    <t>5.13.1</t>
  </si>
  <si>
    <t>Arandelas 5x13x1</t>
  </si>
  <si>
    <t>5.14</t>
  </si>
  <si>
    <t>Arandelas 5x14</t>
  </si>
  <si>
    <t>1/8  3,5x8</t>
  </si>
  <si>
    <t>1/8</t>
  </si>
  <si>
    <t>5.15</t>
  </si>
  <si>
    <t>Arandelas 5x15</t>
  </si>
  <si>
    <t>5/32</t>
  </si>
  <si>
    <t>5.16</t>
  </si>
  <si>
    <t>Arandelas 5x16</t>
  </si>
  <si>
    <t>5x12</t>
  </si>
  <si>
    <t>5.20</t>
  </si>
  <si>
    <t>Arandelas 5x20 Hierro Torneadas</t>
  </si>
  <si>
    <t>5.25</t>
  </si>
  <si>
    <t>Arandelas 5x25</t>
  </si>
  <si>
    <t>5.8.1</t>
  </si>
  <si>
    <t>Arandelas 5x8x1</t>
  </si>
  <si>
    <t>3/8</t>
  </si>
  <si>
    <t>5.8</t>
  </si>
  <si>
    <t>Arandelas 5x8</t>
  </si>
  <si>
    <t>1/2</t>
  </si>
  <si>
    <t>5.9</t>
  </si>
  <si>
    <t>Arandelas 5x9</t>
  </si>
  <si>
    <t>6,5.11</t>
  </si>
  <si>
    <t>Arandelas 6,5x11x1</t>
  </si>
  <si>
    <t>6,5.9,5.1</t>
  </si>
  <si>
    <t>Arandelas 6,5x9,5x1</t>
  </si>
  <si>
    <t>6,5.12.0,5</t>
  </si>
  <si>
    <t>Arandelas 6,5x12x0,5 Pressphan</t>
  </si>
  <si>
    <t>6,5.9,5.2</t>
  </si>
  <si>
    <t>Arandelas 6,5x9,5x2</t>
  </si>
  <si>
    <t>6,5.10</t>
  </si>
  <si>
    <t>Arandelas 6,5x10</t>
  </si>
  <si>
    <t>6,5.12</t>
  </si>
  <si>
    <t>Arandelas 6,5x12</t>
  </si>
  <si>
    <t>6,5.13B</t>
  </si>
  <si>
    <t>Arandelas 6,5x13 Bronce</t>
  </si>
  <si>
    <t>6,5.13</t>
  </si>
  <si>
    <t>Arandelas 6,5x13 1/4</t>
  </si>
  <si>
    <t>6,5.16</t>
  </si>
  <si>
    <t>Arandelas 6,5x16</t>
  </si>
  <si>
    <t>6,5.20</t>
  </si>
  <si>
    <t>Arandelas 6,5x20</t>
  </si>
  <si>
    <t>6,5.9,5</t>
  </si>
  <si>
    <t>Arandelas 6,5x9,5</t>
  </si>
  <si>
    <t>6.10.1,5</t>
  </si>
  <si>
    <t>Arandelas 6x10x1,5</t>
  </si>
  <si>
    <t>6.10.1</t>
  </si>
  <si>
    <t>Arandelas 6x10x1</t>
  </si>
  <si>
    <t>6.10</t>
  </si>
  <si>
    <t>Arandelas 6x10</t>
  </si>
  <si>
    <t>6.10.0</t>
  </si>
  <si>
    <t>Arandelas 6x10 Doble Cummins</t>
  </si>
  <si>
    <t>6.11.2</t>
  </si>
  <si>
    <t>Arandelas 6x11x2</t>
  </si>
  <si>
    <t>6.11</t>
  </si>
  <si>
    <t>Arandelas 6x11</t>
  </si>
  <si>
    <t>6.14.3</t>
  </si>
  <si>
    <t>Arandelas 6x14x3</t>
  </si>
  <si>
    <t>6.14.1</t>
  </si>
  <si>
    <t>Arandelas 6x14x1</t>
  </si>
  <si>
    <t>6.14.0</t>
  </si>
  <si>
    <t>Arandelas 6,5x14x0,5 Hierro</t>
  </si>
  <si>
    <t>6.14</t>
  </si>
  <si>
    <t>Arandelas 6x14</t>
  </si>
  <si>
    <t>6.18</t>
  </si>
  <si>
    <t>Arandelas 6x18</t>
  </si>
  <si>
    <t>6.8</t>
  </si>
  <si>
    <t>Arandelas 6x8</t>
  </si>
  <si>
    <t>6.8.1</t>
  </si>
  <si>
    <t>Arandelas 6x8x1</t>
  </si>
  <si>
    <t>6.9.1</t>
  </si>
  <si>
    <t>Arandelas 6x9x1</t>
  </si>
  <si>
    <t>6.9</t>
  </si>
  <si>
    <t>Arandelas 6x9</t>
  </si>
  <si>
    <t>6.9.0,5</t>
  </si>
  <si>
    <t>Arandelas 6x9x0,5 Pressphan</t>
  </si>
  <si>
    <t>7,5.15.2,5</t>
  </si>
  <si>
    <t>Arandelas 7,5x15x2,5</t>
  </si>
  <si>
    <t>7,5.15.3</t>
  </si>
  <si>
    <t>Arandelas 7,5x15x3</t>
  </si>
  <si>
    <t>7,5.15.1,5</t>
  </si>
  <si>
    <t>Arandelas 7,5x15x1,5</t>
  </si>
  <si>
    <t>7,5.15.2</t>
  </si>
  <si>
    <t>Arandelas 7,5x15x2</t>
  </si>
  <si>
    <t>7,1.15.1,5</t>
  </si>
  <si>
    <t>Arandelas 7,1x15x1,5</t>
  </si>
  <si>
    <t>7,5.14.1,5</t>
  </si>
  <si>
    <t>Arandelas 7,5x14x1,5 Cobre</t>
  </si>
  <si>
    <t>7.10.1</t>
  </si>
  <si>
    <t>Arandelas 7x10x1</t>
  </si>
  <si>
    <t>7.10.0,5</t>
  </si>
  <si>
    <t>Arandelas 7x10x0,5</t>
  </si>
  <si>
    <t>7.10.1,5</t>
  </si>
  <si>
    <t>Arandelas 7x10x1,5</t>
  </si>
  <si>
    <t>Arandelas 7x10</t>
  </si>
  <si>
    <t>7.11.1</t>
  </si>
  <si>
    <t>Arandelas 7x11x1</t>
  </si>
  <si>
    <t>7.11.2,5</t>
  </si>
  <si>
    <t>Arandelas 7x11x2,5</t>
  </si>
  <si>
    <t>7.11</t>
  </si>
  <si>
    <t>Arandelas 7x11</t>
  </si>
  <si>
    <t>7.12.2</t>
  </si>
  <si>
    <t>Arandelas 7x12x2</t>
  </si>
  <si>
    <t>7.12.0</t>
  </si>
  <si>
    <t>Arandelas 7x12 Doble Citroen</t>
  </si>
  <si>
    <t>7.12</t>
  </si>
  <si>
    <t>Arandelas 7x12</t>
  </si>
  <si>
    <t>7.13</t>
  </si>
  <si>
    <t>Arandelas 7x13</t>
  </si>
  <si>
    <t>7.14.0</t>
  </si>
  <si>
    <t>Arandelas 7x14x1 Hierro</t>
  </si>
  <si>
    <t>7.14</t>
  </si>
  <si>
    <t>Arandelas 7x14</t>
  </si>
  <si>
    <t>7.15.1</t>
  </si>
  <si>
    <t>Arandelas 7x15x1</t>
  </si>
  <si>
    <t>7.15.1,5</t>
  </si>
  <si>
    <t>Arandelas 7x15x1,5</t>
  </si>
  <si>
    <t>7.15</t>
  </si>
  <si>
    <t>Arandelas 7x15</t>
  </si>
  <si>
    <t>7.15.2</t>
  </si>
  <si>
    <t>Arandelas 7x15x2</t>
  </si>
  <si>
    <t>7.15.3</t>
  </si>
  <si>
    <t>Arandelas 7x15x3</t>
  </si>
  <si>
    <t>7.16.1,5</t>
  </si>
  <si>
    <t>Arandelas 7x16x1,5</t>
  </si>
  <si>
    <t>7.16.0,8</t>
  </si>
  <si>
    <t>Arandelas 7x16x0,8 Maxion</t>
  </si>
  <si>
    <t>7.16.2</t>
  </si>
  <si>
    <t>Arandelas 7x16x2</t>
  </si>
  <si>
    <t>7.16</t>
  </si>
  <si>
    <t>Arandelas 7x16</t>
  </si>
  <si>
    <t>7.17</t>
  </si>
  <si>
    <t>Arandelas 7x17</t>
  </si>
  <si>
    <t>7.17.1,5</t>
  </si>
  <si>
    <t>Arandelas 7x17x1,5 Amianto</t>
  </si>
  <si>
    <t>7.20</t>
  </si>
  <si>
    <t>Arandelas 7x20</t>
  </si>
  <si>
    <t>8,5.13,5</t>
  </si>
  <si>
    <t>Arandelas 8,5x13,5</t>
  </si>
  <si>
    <t>Arandelas 8x10x1</t>
  </si>
  <si>
    <t>8.10.1</t>
  </si>
  <si>
    <t>8.10</t>
  </si>
  <si>
    <t>Arandelas 8x10</t>
  </si>
  <si>
    <t>8.11</t>
  </si>
  <si>
    <t>Arandelas 8x11</t>
  </si>
  <si>
    <t>8.11.0,5</t>
  </si>
  <si>
    <t>Arandelas 8x11x0,5</t>
  </si>
  <si>
    <t>8.11.1</t>
  </si>
  <si>
    <t>Arandelas 8x11x1</t>
  </si>
  <si>
    <t>8.11.0,8</t>
  </si>
  <si>
    <t>Arandelas 8x11x0,8</t>
  </si>
  <si>
    <t>8.12.0</t>
  </si>
  <si>
    <t>Arandelas 8x12x1 Hierro</t>
  </si>
  <si>
    <t>8.12.0,5</t>
  </si>
  <si>
    <t>Arandelas 8x12x0,5</t>
  </si>
  <si>
    <t>8.12,5</t>
  </si>
  <si>
    <t>Arandelas 8x12,5</t>
  </si>
  <si>
    <t>8.12.1</t>
  </si>
  <si>
    <t>Arandelas 8x12x1</t>
  </si>
  <si>
    <t>8.12</t>
  </si>
  <si>
    <t>Arandelas 8x12</t>
  </si>
  <si>
    <t>8.13.0</t>
  </si>
  <si>
    <t>Arandelas 8x13 Doble M.Benz</t>
  </si>
  <si>
    <t>8.13.1,5</t>
  </si>
  <si>
    <t>Arandelas 8x13x1,5</t>
  </si>
  <si>
    <t>8.13.2</t>
  </si>
  <si>
    <t>Arandelas 8x13x2</t>
  </si>
  <si>
    <t>8.13.0,8</t>
  </si>
  <si>
    <t>Arandelas 8x13x0,8</t>
  </si>
  <si>
    <t>8.13.1</t>
  </si>
  <si>
    <t>Arandelas 8x13x1</t>
  </si>
  <si>
    <t>8.13</t>
  </si>
  <si>
    <t>Arandelas 8x13</t>
  </si>
  <si>
    <t>8.13.0,5</t>
  </si>
  <si>
    <t>Arandelas 8x13x0,5</t>
  </si>
  <si>
    <t>8.13.2,5</t>
  </si>
  <si>
    <t>Arandelas 8x13x2,5</t>
  </si>
  <si>
    <t>8.14</t>
  </si>
  <si>
    <t>Arandelas 8x14</t>
  </si>
  <si>
    <t>8.14.1</t>
  </si>
  <si>
    <t>Arandelas 8x14x1</t>
  </si>
  <si>
    <t>8.15.1,5</t>
  </si>
  <si>
    <t>Arandelas 8x15x1,5 M.Benz</t>
  </si>
  <si>
    <t>8.16.2</t>
  </si>
  <si>
    <t>Arandelas 8x16x2</t>
  </si>
  <si>
    <t>8.16.1</t>
  </si>
  <si>
    <t>Arandelas 8x16x1</t>
  </si>
  <si>
    <t>8.16</t>
  </si>
  <si>
    <t>Arandelas 8x16</t>
  </si>
  <si>
    <t>8.18.1,5</t>
  </si>
  <si>
    <t>Arandelas 8x18x1,5 Amianto</t>
  </si>
  <si>
    <t>8.18</t>
  </si>
  <si>
    <t>Arandelas 8x18</t>
  </si>
  <si>
    <t>8.20.2</t>
  </si>
  <si>
    <t>Arandelas 8x20x2</t>
  </si>
  <si>
    <t>8.20B</t>
  </si>
  <si>
    <t>Arandelas 8x20 Bronce</t>
  </si>
  <si>
    <t>8.20</t>
  </si>
  <si>
    <t>Arandelas 8x20 5/16</t>
  </si>
  <si>
    <t>8.20.0</t>
  </si>
  <si>
    <t>Arandelas 8x20x2 Ford</t>
  </si>
  <si>
    <t>8.20.1,5</t>
  </si>
  <si>
    <t>Arandelas 8x20x1,5 Amianto</t>
  </si>
  <si>
    <t>9,3.15.2</t>
  </si>
  <si>
    <t>Arandelas 9,3x15x2</t>
  </si>
  <si>
    <t>9,3.15.1,5</t>
  </si>
  <si>
    <t>Arandelas 9,3x15x1,5</t>
  </si>
  <si>
    <t>9,7.13</t>
  </si>
  <si>
    <t>Arandelas 9,7x13</t>
  </si>
  <si>
    <t>9,5.14</t>
  </si>
  <si>
    <t>Arandelas 9,5x14</t>
  </si>
  <si>
    <t>9,7.13.0,5</t>
  </si>
  <si>
    <t>Arandelas 9,7x13x0,5</t>
  </si>
  <si>
    <t>9,5.14.2</t>
  </si>
  <si>
    <t>Arandelas 9,5x14x2</t>
  </si>
  <si>
    <t>9,5.14.1</t>
  </si>
  <si>
    <t>Arandelas 9,5x14x1</t>
  </si>
  <si>
    <t>9,5.20</t>
  </si>
  <si>
    <t>Arandelas 9,5x20</t>
  </si>
  <si>
    <t>9,5.14.1,5</t>
  </si>
  <si>
    <t>Arandelas 9,5x14x1,5</t>
  </si>
  <si>
    <t>9,5.20.2</t>
  </si>
  <si>
    <t>Arandelas 9,5x20x2</t>
  </si>
  <si>
    <t>9,4.18</t>
  </si>
  <si>
    <t>Arandelas 9,4x18</t>
  </si>
  <si>
    <t>9,6.16</t>
  </si>
  <si>
    <t>Arandelas 9,6x16</t>
  </si>
  <si>
    <t>9.11</t>
  </si>
  <si>
    <t>Arandelas 9x11</t>
  </si>
  <si>
    <t>9.12</t>
  </si>
  <si>
    <t>Arandelas 9x12</t>
  </si>
  <si>
    <t>9.13</t>
  </si>
  <si>
    <t>Arandelas 9x13</t>
  </si>
  <si>
    <t>9.13.1</t>
  </si>
  <si>
    <t>Arandelas 9x13x1</t>
  </si>
  <si>
    <t>9.14.2</t>
  </si>
  <si>
    <t>Arandelas 9x14x2</t>
  </si>
  <si>
    <t>9.14</t>
  </si>
  <si>
    <t>Arandelas 9x14</t>
  </si>
  <si>
    <t>9.17.1</t>
  </si>
  <si>
    <t>Arandelas 9x17x1</t>
  </si>
  <si>
    <t>9.20</t>
  </si>
  <si>
    <t>Arandelas 9x20 Chapa/Amianto Deutz</t>
  </si>
  <si>
    <t>10.13.1</t>
  </si>
  <si>
    <t>Arandelas 10x13x1</t>
  </si>
  <si>
    <t>10.13</t>
  </si>
  <si>
    <t>Arandelas 10x13</t>
  </si>
  <si>
    <t>10.14</t>
  </si>
  <si>
    <t>Arandelas 10x14</t>
  </si>
  <si>
    <t>10.14.1</t>
  </si>
  <si>
    <t>Arandelas 10x14x1</t>
  </si>
  <si>
    <t>10.14.1,5</t>
  </si>
  <si>
    <t>Arandelas 10x14x1,5</t>
  </si>
  <si>
    <t>10.15.2</t>
  </si>
  <si>
    <t>Arandelas 10x15x2</t>
  </si>
  <si>
    <t>10.15</t>
  </si>
  <si>
    <t>Arandelas 10x15</t>
  </si>
  <si>
    <t>10.16</t>
  </si>
  <si>
    <t>Arandelas 10x16</t>
  </si>
  <si>
    <t>10.16.0,5</t>
  </si>
  <si>
    <t>Arandelas 10x16x0,5 Pressphan</t>
  </si>
  <si>
    <t>10.17</t>
  </si>
  <si>
    <t>Arandelas 10x17</t>
  </si>
  <si>
    <t>10.18.1</t>
  </si>
  <si>
    <t>Arandelas 10x18x1</t>
  </si>
  <si>
    <t>10.18</t>
  </si>
  <si>
    <t>Arandelas 10x18</t>
  </si>
  <si>
    <t>10.19</t>
  </si>
  <si>
    <t>Arandelas 10x19</t>
  </si>
  <si>
    <t>10.19.2</t>
  </si>
  <si>
    <t>Arandelas 10x19x2</t>
  </si>
  <si>
    <t>10.20B</t>
  </si>
  <si>
    <t>Arandelas 10x20 Bronce</t>
  </si>
  <si>
    <t>10.20.0,5</t>
  </si>
  <si>
    <t>Arandelas 10x20x0,5 Conica Fiat</t>
  </si>
  <si>
    <t>10.20.2</t>
  </si>
  <si>
    <t>Arandelas 10x20x2</t>
  </si>
  <si>
    <t>10.20</t>
  </si>
  <si>
    <t>Arandelas 10x20</t>
  </si>
  <si>
    <t>10.20.1</t>
  </si>
  <si>
    <t>Arandelas 10x20x1</t>
  </si>
  <si>
    <t>10.21</t>
  </si>
  <si>
    <t>Arandelas 10x21 3/8</t>
  </si>
  <si>
    <t>10.21.0,5</t>
  </si>
  <si>
    <t>Arandelas 10x21x0,5</t>
  </si>
  <si>
    <t>10.21.2</t>
  </si>
  <si>
    <t>Arandelas 10x21x2</t>
  </si>
  <si>
    <t>10.24</t>
  </si>
  <si>
    <t>Arandelas 10x24</t>
  </si>
  <si>
    <t>10.25.2</t>
  </si>
  <si>
    <t>Arandelas 10x25x2</t>
  </si>
  <si>
    <t>10.25</t>
  </si>
  <si>
    <t>Arandelas 10x25</t>
  </si>
  <si>
    <t>10.26</t>
  </si>
  <si>
    <t>Arandelas 10x26</t>
  </si>
  <si>
    <t>11,7.22</t>
  </si>
  <si>
    <t>Arandelas 11,7x22</t>
  </si>
  <si>
    <t>11,6.15,7</t>
  </si>
  <si>
    <t>Arandelas 11,6x15,7</t>
  </si>
  <si>
    <t>11,3.17,5</t>
  </si>
  <si>
    <t>Arandelas 11,3x17,5</t>
  </si>
  <si>
    <t>11,5.26B</t>
  </si>
  <si>
    <t>Arandelas 11,5x26 Bronce</t>
  </si>
  <si>
    <t>11,5.26</t>
  </si>
  <si>
    <t>Arandelas 11,5x26 7/16</t>
  </si>
  <si>
    <t>11,3.17,5.1</t>
  </si>
  <si>
    <t>Arandelas 11,3x17,5x1</t>
  </si>
  <si>
    <t>11.14</t>
  </si>
  <si>
    <t>Arandelas 11x14</t>
  </si>
  <si>
    <t>11.14.1</t>
  </si>
  <si>
    <t>Arandelas 11x14x1</t>
  </si>
  <si>
    <t>11.15</t>
  </si>
  <si>
    <t>Arandelas 11x15</t>
  </si>
  <si>
    <t>11.15.1</t>
  </si>
  <si>
    <t>Arandelas 11x15x1</t>
  </si>
  <si>
    <t>11.16.2</t>
  </si>
  <si>
    <t>Arandelas 11x16x2</t>
  </si>
  <si>
    <t>11.16</t>
  </si>
  <si>
    <t>Arandelas 11x16</t>
  </si>
  <si>
    <t>11.16.1</t>
  </si>
  <si>
    <t>Arandelas 11x16x1</t>
  </si>
  <si>
    <t>11.17.1,5</t>
  </si>
  <si>
    <t>Arandelas 11x17x1,5</t>
  </si>
  <si>
    <t>11.17</t>
  </si>
  <si>
    <t>Arandelas 11x17</t>
  </si>
  <si>
    <t>11.18</t>
  </si>
  <si>
    <t>Arandelas 11x18</t>
  </si>
  <si>
    <t>11.19</t>
  </si>
  <si>
    <t>Arandelas 11x19</t>
  </si>
  <si>
    <t>11.19.1</t>
  </si>
  <si>
    <t>Arandelas 11x19x1</t>
  </si>
  <si>
    <t>11.20</t>
  </si>
  <si>
    <t>Arandelas 11x20</t>
  </si>
  <si>
    <t>12,7.16</t>
  </si>
  <si>
    <t>Arandelas 12,7x16</t>
  </si>
  <si>
    <t>12,7.20.1</t>
  </si>
  <si>
    <t>Arandelas 12,7x20x1</t>
  </si>
  <si>
    <t>12,7.20</t>
  </si>
  <si>
    <t>Arandelas 12,7x20</t>
  </si>
  <si>
    <t>12,7.16.1,5</t>
  </si>
  <si>
    <t>Arandelas 12,7x16x1,5</t>
  </si>
  <si>
    <t>12,6.18</t>
  </si>
  <si>
    <t>Arandelas 12,6x18</t>
  </si>
  <si>
    <t>12,7.16.1</t>
  </si>
  <si>
    <t>Arandelas 12,7x16x1</t>
  </si>
  <si>
    <t>12.14</t>
  </si>
  <si>
    <t>Arandelas 12x14</t>
  </si>
  <si>
    <t>12.14.1</t>
  </si>
  <si>
    <t>Arandelas 12x14x1</t>
  </si>
  <si>
    <t>12.15</t>
  </si>
  <si>
    <t>Arandelas 12x15</t>
  </si>
  <si>
    <t>12.16</t>
  </si>
  <si>
    <t>Arandelas 12x16</t>
  </si>
  <si>
    <t>12.16.1</t>
  </si>
  <si>
    <t>Arandelas 12x16x1</t>
  </si>
  <si>
    <t>12.16.1,5</t>
  </si>
  <si>
    <t>Arandelas 12x16x1,5</t>
  </si>
  <si>
    <t>12.17.1,5</t>
  </si>
  <si>
    <t>Arandelas 12x17x1,5</t>
  </si>
  <si>
    <t>12.17</t>
  </si>
  <si>
    <t>Arandelas 12x17</t>
  </si>
  <si>
    <t>12.17.2</t>
  </si>
  <si>
    <t>Arandelas 12x17x2</t>
  </si>
  <si>
    <t>12.18.3</t>
  </si>
  <si>
    <t>Arandelas 12x18x3</t>
  </si>
  <si>
    <t>12.18.1,5</t>
  </si>
  <si>
    <t>Arandelas 12x18x1,5</t>
  </si>
  <si>
    <t>12.18</t>
  </si>
  <si>
    <t>Arandelas 12x18</t>
  </si>
  <si>
    <t>12.18.2</t>
  </si>
  <si>
    <t>Arandelas 12x18x2</t>
  </si>
  <si>
    <t>12.19</t>
  </si>
  <si>
    <t>Arandelas 12x19</t>
  </si>
  <si>
    <t>12.19.1</t>
  </si>
  <si>
    <t>Arandelas 12x19x1 Toyota</t>
  </si>
  <si>
    <t>12.20</t>
  </si>
  <si>
    <t>Arandelas 12x20</t>
  </si>
  <si>
    <t>12.20.1</t>
  </si>
  <si>
    <t>Arandelas 12x20x1</t>
  </si>
  <si>
    <t>12.22,5</t>
  </si>
  <si>
    <t>Arandelas 12x22,5</t>
  </si>
  <si>
    <t>12.23,7.1</t>
  </si>
  <si>
    <t>Arandelas 12x23,7x1 Toyota</t>
  </si>
  <si>
    <t>12.24</t>
  </si>
  <si>
    <t>Arandelas 12x24</t>
  </si>
  <si>
    <t>12.26</t>
  </si>
  <si>
    <t>Arandelas 12x26</t>
  </si>
  <si>
    <t>12.28</t>
  </si>
  <si>
    <t>Arandelas 12x28</t>
  </si>
  <si>
    <t>13,5.19</t>
  </si>
  <si>
    <t>Arandelas 13,5x19</t>
  </si>
  <si>
    <t>13.16.0,5</t>
  </si>
  <si>
    <t>Arandelas 13x16x0,5</t>
  </si>
  <si>
    <t>13.16.1</t>
  </si>
  <si>
    <t>Arandelas 13x16x1</t>
  </si>
  <si>
    <t>13.16</t>
  </si>
  <si>
    <t>Arandelas 13x16</t>
  </si>
  <si>
    <t>13.16.2</t>
  </si>
  <si>
    <t>Arandelas 13x16x2</t>
  </si>
  <si>
    <t>13.17</t>
  </si>
  <si>
    <t>Arandelas 13x17</t>
  </si>
  <si>
    <t>13.18.2</t>
  </si>
  <si>
    <t>Arandelas 13x18x2</t>
  </si>
  <si>
    <t>13.18</t>
  </si>
  <si>
    <t>Arandelas 13x18</t>
  </si>
  <si>
    <t>13.19.1</t>
  </si>
  <si>
    <t>Arandelas 13x19x1</t>
  </si>
  <si>
    <t>13.19.0,5</t>
  </si>
  <si>
    <t>Arandelas 13x19x0,5</t>
  </si>
  <si>
    <t>13.19</t>
  </si>
  <si>
    <t>Arandelas 13x19</t>
  </si>
  <si>
    <t>13.20.1,5</t>
  </si>
  <si>
    <t>Arandelas 13x20x1,5</t>
  </si>
  <si>
    <t>13.20.2</t>
  </si>
  <si>
    <t>Arandelas 13x20x2</t>
  </si>
  <si>
    <t>13.20</t>
  </si>
  <si>
    <t>Arandelas 13x20</t>
  </si>
  <si>
    <t>13.21</t>
  </si>
  <si>
    <t>Arandelas 13x21</t>
  </si>
  <si>
    <t>13.21.1</t>
  </si>
  <si>
    <t>Arandelas 13x21x1</t>
  </si>
  <si>
    <t>13.24</t>
  </si>
  <si>
    <t>Arandelas 13x24 1/2</t>
  </si>
  <si>
    <t>13.24.3</t>
  </si>
  <si>
    <t>Arandelas 13x24x3 Hierro Partner</t>
  </si>
  <si>
    <t>13.24B</t>
  </si>
  <si>
    <t>Arandelas 13x24 Bronce</t>
  </si>
  <si>
    <t>13.27</t>
  </si>
  <si>
    <t>Arandelas 13x27</t>
  </si>
  <si>
    <t>14,5.28</t>
  </si>
  <si>
    <t>Arandelas 14,5x28 9/16</t>
  </si>
  <si>
    <t>14,5.28B</t>
  </si>
  <si>
    <t>Arandelas 14,5x28 Bronce</t>
  </si>
  <si>
    <t>14,5.20</t>
  </si>
  <si>
    <t>Arandelas 14,5x20</t>
  </si>
  <si>
    <t>14,5.21</t>
  </si>
  <si>
    <t>Arandelas 14,5x21</t>
  </si>
  <si>
    <t>14,5.26</t>
  </si>
  <si>
    <t>Arandelas 14,5x26 Toyota</t>
  </si>
  <si>
    <t>14,5.21.2</t>
  </si>
  <si>
    <t>Arandelas 14,5x21x2</t>
  </si>
  <si>
    <t>14.17.2</t>
  </si>
  <si>
    <t>Arandelas 14x17x2</t>
  </si>
  <si>
    <t>14.17</t>
  </si>
  <si>
    <t>Arandelas 14x17</t>
  </si>
  <si>
    <t>14.18</t>
  </si>
  <si>
    <t>Arandelas 14x18</t>
  </si>
  <si>
    <t>14.18.1</t>
  </si>
  <si>
    <t>Arandelas 14x18x1</t>
  </si>
  <si>
    <t>14.18.1,5</t>
  </si>
  <si>
    <t>Arandelas 14x18x1,5</t>
  </si>
  <si>
    <t>14.18.0</t>
  </si>
  <si>
    <t>Arandelas 14x18 Blindada</t>
  </si>
  <si>
    <t>14.19</t>
  </si>
  <si>
    <t>Arandelas 14x19</t>
  </si>
  <si>
    <t>14.19.2</t>
  </si>
  <si>
    <t>Arandelas 14x19x2</t>
  </si>
  <si>
    <t>14.19.1</t>
  </si>
  <si>
    <t>Arandelas 14x19x1</t>
  </si>
  <si>
    <t>14.20.1,5</t>
  </si>
  <si>
    <t>Arandelas 14x20x1,5</t>
  </si>
  <si>
    <t>14.20.2</t>
  </si>
  <si>
    <t>Arandelas 14x20x2</t>
  </si>
  <si>
    <t>14.20</t>
  </si>
  <si>
    <t>Arandelas 14x20</t>
  </si>
  <si>
    <t>14.22.1</t>
  </si>
  <si>
    <t>Arandelas 14x22x1</t>
  </si>
  <si>
    <t>14.22</t>
  </si>
  <si>
    <t>Arandelas 14x22</t>
  </si>
  <si>
    <t>14.22.2</t>
  </si>
  <si>
    <t>Arandelas 14x22x2</t>
  </si>
  <si>
    <t>14.24</t>
  </si>
  <si>
    <t>Arandelas 14x24</t>
  </si>
  <si>
    <t>14.24,5</t>
  </si>
  <si>
    <t>Arandelas 14x24,5</t>
  </si>
  <si>
    <t>14.30</t>
  </si>
  <si>
    <t>Arandelas 14x30</t>
  </si>
  <si>
    <t>15,7.21.2</t>
  </si>
  <si>
    <t>Arandelas 15,7x21x2</t>
  </si>
  <si>
    <t>15,7.21</t>
  </si>
  <si>
    <t>Arandelas 15,7x21</t>
  </si>
  <si>
    <t>15.18</t>
  </si>
  <si>
    <t>Arandelas 15x18</t>
  </si>
  <si>
    <t>15.19</t>
  </si>
  <si>
    <t>Arandelas 15x19</t>
  </si>
  <si>
    <t>15.20.2</t>
  </si>
  <si>
    <t>Arandelas 15x20x2</t>
  </si>
  <si>
    <t>15.20</t>
  </si>
  <si>
    <t>Arandelas 15x20</t>
  </si>
  <si>
    <t>15.21.1</t>
  </si>
  <si>
    <t>Arandelas 15x21x1</t>
  </si>
  <si>
    <t>15.21.1,5</t>
  </si>
  <si>
    <t>Arandelas 15x21x1,5</t>
  </si>
  <si>
    <t>15.21</t>
  </si>
  <si>
    <t>Arandelas 15x21</t>
  </si>
  <si>
    <t>15.21.2</t>
  </si>
  <si>
    <t>Arandelas 15x21x2</t>
  </si>
  <si>
    <t>15.23.1</t>
  </si>
  <si>
    <t>Arandelas 15x23x1</t>
  </si>
  <si>
    <t>15.23</t>
  </si>
  <si>
    <t>Arandelas 15x23</t>
  </si>
  <si>
    <t>15.30</t>
  </si>
  <si>
    <t>Arandelas 15x30</t>
  </si>
  <si>
    <t>15.30.1</t>
  </si>
  <si>
    <t>Arandelas 15x30x1</t>
  </si>
  <si>
    <t>16,5.28</t>
  </si>
  <si>
    <t>Arandelas 16,5x28</t>
  </si>
  <si>
    <t>16,5.26</t>
  </si>
  <si>
    <t>Arandelas 16,5x26</t>
  </si>
  <si>
    <t>16.19.1</t>
  </si>
  <si>
    <t>Arandelas 16x19x1</t>
  </si>
  <si>
    <t>16.19</t>
  </si>
  <si>
    <t>Arandelas 16x19</t>
  </si>
  <si>
    <t>16.20.1</t>
  </si>
  <si>
    <t>Arandelas 16x20x1</t>
  </si>
  <si>
    <t>16.20</t>
  </si>
  <si>
    <t>Arandelas 16x20</t>
  </si>
  <si>
    <t>Arandelas 16x21x2</t>
  </si>
  <si>
    <t>16.21</t>
  </si>
  <si>
    <t>Arandelas 16x21</t>
  </si>
  <si>
    <t>16.21.1</t>
  </si>
  <si>
    <t>Arandelas 16x21x1</t>
  </si>
  <si>
    <t>16.21.1,5</t>
  </si>
  <si>
    <t>Arandelas 16x21x1,5</t>
  </si>
  <si>
    <t>16.22.0</t>
  </si>
  <si>
    <t>Arandelas 16x22 Blindada</t>
  </si>
  <si>
    <t>16.22.1</t>
  </si>
  <si>
    <t>Arandelas 16x22x1</t>
  </si>
  <si>
    <t>16.22</t>
  </si>
  <si>
    <t>Arandelas 16x22</t>
  </si>
  <si>
    <t>16.22.1,5</t>
  </si>
  <si>
    <t>Arandelas 16x22x1,5</t>
  </si>
  <si>
    <t>16.24</t>
  </si>
  <si>
    <t>Arandelas 16x24</t>
  </si>
  <si>
    <t>16.24.1</t>
  </si>
  <si>
    <t>Arandelas 16x24x1</t>
  </si>
  <si>
    <t>16.24.1,5</t>
  </si>
  <si>
    <t>Arandelas 16x24x1,5</t>
  </si>
  <si>
    <t>16.32</t>
  </si>
  <si>
    <t>Arandelas 16x32 5/8</t>
  </si>
  <si>
    <t>16.32B</t>
  </si>
  <si>
    <t>Arandelas 16x32 Bronce</t>
  </si>
  <si>
    <t>17.20</t>
  </si>
  <si>
    <t>Arandelas 17x20</t>
  </si>
  <si>
    <t>17.20.1,5</t>
  </si>
  <si>
    <t>Arandelas 17x20x1,5</t>
  </si>
  <si>
    <t>17.21</t>
  </si>
  <si>
    <t>Arandelas 17x21</t>
  </si>
  <si>
    <t>17.21.1,5</t>
  </si>
  <si>
    <t>Arandelas 17x21x1,5</t>
  </si>
  <si>
    <t>17.22</t>
  </si>
  <si>
    <t>Arandelas 17x22</t>
  </si>
  <si>
    <t>17.22.1</t>
  </si>
  <si>
    <t>Arandelas 17x22x1</t>
  </si>
  <si>
    <t>17.22.2</t>
  </si>
  <si>
    <t>Arandelas 17x22x2</t>
  </si>
  <si>
    <t>17.23.1,5</t>
  </si>
  <si>
    <t>Arandelas 17x23x1,5 Estriada</t>
  </si>
  <si>
    <t>17.23</t>
  </si>
  <si>
    <t>Arandelas 17x23</t>
  </si>
  <si>
    <t>17.24</t>
  </si>
  <si>
    <t>Arandelas 17x24</t>
  </si>
  <si>
    <t>17.25</t>
  </si>
  <si>
    <t>Arandelas 17x25</t>
  </si>
  <si>
    <t>17.25.1</t>
  </si>
  <si>
    <t>Arandelas 17x25x1</t>
  </si>
  <si>
    <t>17.34</t>
  </si>
  <si>
    <t>Arandelas 17x34</t>
  </si>
  <si>
    <t>18.22</t>
  </si>
  <si>
    <t>Arandelas 18x22</t>
  </si>
  <si>
    <t>18.23.2</t>
  </si>
  <si>
    <t>Arandelas 18x23x2</t>
  </si>
  <si>
    <t>18.23.1,5</t>
  </si>
  <si>
    <t>Arandelas 18x23x1,5</t>
  </si>
  <si>
    <t>18.23</t>
  </si>
  <si>
    <t>Arandelas 18x23</t>
  </si>
  <si>
    <t>18.24.1,5</t>
  </si>
  <si>
    <t>Arandelas 18x24x1,5</t>
  </si>
  <si>
    <t>18.24</t>
  </si>
  <si>
    <t>Arandelas 18x24</t>
  </si>
  <si>
    <t>18.24.0</t>
  </si>
  <si>
    <t>Arandelas 18x24 Blindada</t>
  </si>
  <si>
    <t>18.25</t>
  </si>
  <si>
    <t>Arandelas 18x25</t>
  </si>
  <si>
    <t>18.26.1</t>
  </si>
  <si>
    <t>Arandelas 18x26x1</t>
  </si>
  <si>
    <t>18.26</t>
  </si>
  <si>
    <t>Arandelas 18x26</t>
  </si>
  <si>
    <t>19.23</t>
  </si>
  <si>
    <t>Arandelas 19x23</t>
  </si>
  <si>
    <t>19.24</t>
  </si>
  <si>
    <t>Arandelas 19x24</t>
  </si>
  <si>
    <t>19.24.2</t>
  </si>
  <si>
    <t>Arandelas 19x24x2</t>
  </si>
  <si>
    <t>19.25,5</t>
  </si>
  <si>
    <t>Arandelas 19x25,5</t>
  </si>
  <si>
    <t>19.27.1</t>
  </si>
  <si>
    <t>Arandelas 19x27x1</t>
  </si>
  <si>
    <t>19.27</t>
  </si>
  <si>
    <t>Arandelas 19x27</t>
  </si>
  <si>
    <t>19.27.2</t>
  </si>
  <si>
    <t>Arandelas 19x27x2</t>
  </si>
  <si>
    <t>19.38B</t>
  </si>
  <si>
    <t>Arandelas 19x38 Bronce</t>
  </si>
  <si>
    <t>19.38</t>
  </si>
  <si>
    <t>Arandelas 19x38 3/4</t>
  </si>
  <si>
    <t>20.24</t>
  </si>
  <si>
    <t>Arandelas 20x24</t>
  </si>
  <si>
    <t>20.25.2</t>
  </si>
  <si>
    <t>Arandelas 20x25x2</t>
  </si>
  <si>
    <t>20.25</t>
  </si>
  <si>
    <t>Arandelas 20x25</t>
  </si>
  <si>
    <t>20.26</t>
  </si>
  <si>
    <t>Arandelas 20x26</t>
  </si>
  <si>
    <t>20.26.1,5</t>
  </si>
  <si>
    <t>Arandelas 20x26x1,5</t>
  </si>
  <si>
    <t>20.28</t>
  </si>
  <si>
    <t>Arandelas 20x28</t>
  </si>
  <si>
    <t>20.28.1</t>
  </si>
  <si>
    <t>Arandelas 20x28x1</t>
  </si>
  <si>
    <t>20.30</t>
  </si>
  <si>
    <t>Arandelas 20x30</t>
  </si>
  <si>
    <t>20.38</t>
  </si>
  <si>
    <t>Arandelas 20x38</t>
  </si>
  <si>
    <t>21,5.31</t>
  </si>
  <si>
    <t>Arandelas 21,5x31</t>
  </si>
  <si>
    <t>21.25,5</t>
  </si>
  <si>
    <t>Arandelas 21x25,5</t>
  </si>
  <si>
    <t>21.26</t>
  </si>
  <si>
    <t>Arandelas 21x26</t>
  </si>
  <si>
    <t>21.26.2</t>
  </si>
  <si>
    <t>Arandelas 21x26x2</t>
  </si>
  <si>
    <t>21.27</t>
  </si>
  <si>
    <t>Arandelas 21x27</t>
  </si>
  <si>
    <t>21.29</t>
  </si>
  <si>
    <t>Arandelas 21x29</t>
  </si>
  <si>
    <t>21.29.1</t>
  </si>
  <si>
    <t>Arandelas 21x29x1</t>
  </si>
  <si>
    <t>21.30.2</t>
  </si>
  <si>
    <t>Arandelas 21x30x2</t>
  </si>
  <si>
    <t>22,5.29</t>
  </si>
  <si>
    <t>Arandelas 22,5x29</t>
  </si>
  <si>
    <t>22,5.37</t>
  </si>
  <si>
    <t>Arandelas 22,5x37</t>
  </si>
  <si>
    <t>22,5.29.2</t>
  </si>
  <si>
    <t>Arandelas 22,5x29x2</t>
  </si>
  <si>
    <t>22.26</t>
  </si>
  <si>
    <t>Arandelas 22x26</t>
  </si>
  <si>
    <t>22.27.1,5</t>
  </si>
  <si>
    <t>Arandelas 22x27x1,5</t>
  </si>
  <si>
    <t>22.27.2</t>
  </si>
  <si>
    <t>Arandelas 22x27x2</t>
  </si>
  <si>
    <t>22.27</t>
  </si>
  <si>
    <t>Arandelas 22x27</t>
  </si>
  <si>
    <t>22.28.1,5</t>
  </si>
  <si>
    <t>Arandelas 22x28x1,5</t>
  </si>
  <si>
    <t>22.28</t>
  </si>
  <si>
    <t>Arandelas 22x28</t>
  </si>
  <si>
    <t>22.29</t>
  </si>
  <si>
    <t>Arandelas 22x29</t>
  </si>
  <si>
    <t>22.30</t>
  </si>
  <si>
    <t>Arandelas 22x30</t>
  </si>
  <si>
    <t>22.30.1</t>
  </si>
  <si>
    <t>Arandelas 22x30x1</t>
  </si>
  <si>
    <t>22.32</t>
  </si>
  <si>
    <t>Arandelas 22x32</t>
  </si>
  <si>
    <t>23.28</t>
  </si>
  <si>
    <t>Arandelas 23x28</t>
  </si>
  <si>
    <t>23.28.2</t>
  </si>
  <si>
    <t>Arandelas 23x28x2</t>
  </si>
  <si>
    <t>23.31</t>
  </si>
  <si>
    <t>Arandelas 23x31</t>
  </si>
  <si>
    <t>23.31.1</t>
  </si>
  <si>
    <t>Arandelas 23x31x1</t>
  </si>
  <si>
    <t>23.37</t>
  </si>
  <si>
    <t>Arandelas 23x37</t>
  </si>
  <si>
    <t>23.45</t>
  </si>
  <si>
    <t>Arandelas 23x45 7/8</t>
  </si>
  <si>
    <t>23.45B</t>
  </si>
  <si>
    <t>Arandelas 23x45 Bronce</t>
  </si>
  <si>
    <t>24.28</t>
  </si>
  <si>
    <t>Arandelas 24x28</t>
  </si>
  <si>
    <t>24.29.2</t>
  </si>
  <si>
    <t>Arandelas 24x29x2</t>
  </si>
  <si>
    <t>24.29</t>
  </si>
  <si>
    <t>Arandelas 24x29</t>
  </si>
  <si>
    <t>24.30</t>
  </si>
  <si>
    <t>Arandelas 24x30</t>
  </si>
  <si>
    <t>24.32.1</t>
  </si>
  <si>
    <t>Arandelas 24x32x1</t>
  </si>
  <si>
    <t>24.32</t>
  </si>
  <si>
    <t>Arandelas 24x32</t>
  </si>
  <si>
    <t>24.38</t>
  </si>
  <si>
    <t>Arandelas 24x38</t>
  </si>
  <si>
    <t>25,5.29,5</t>
  </si>
  <si>
    <t>Arandelas 25,5x29,5</t>
  </si>
  <si>
    <t>25.29</t>
  </si>
  <si>
    <t>Arandelas 25x29</t>
  </si>
  <si>
    <t>25.29.2</t>
  </si>
  <si>
    <t>Arandelas 25x29x2</t>
  </si>
  <si>
    <t>25.30.2</t>
  </si>
  <si>
    <t>Arandelas 25x30x2</t>
  </si>
  <si>
    <t>25.30</t>
  </si>
  <si>
    <t>Arandelas 25x30</t>
  </si>
  <si>
    <t>25.30.1</t>
  </si>
  <si>
    <t>Arandelas 25x30x1</t>
  </si>
  <si>
    <t>25.33.1</t>
  </si>
  <si>
    <t>Arandelas 25x33x1</t>
  </si>
  <si>
    <t>25.33</t>
  </si>
  <si>
    <t>Arandelas 25x33</t>
  </si>
  <si>
    <t>26.30</t>
  </si>
  <si>
    <t>Arandelas 26x30</t>
  </si>
  <si>
    <t>26.31</t>
  </si>
  <si>
    <t>Arandelas 26x31</t>
  </si>
  <si>
    <t>26.31.2</t>
  </si>
  <si>
    <t>Arandelas 26x31x2</t>
  </si>
  <si>
    <t>26.32</t>
  </si>
  <si>
    <t>Arandelas 26x32</t>
  </si>
  <si>
    <t>26.32.2</t>
  </si>
  <si>
    <t>Arandelas 26x32x2</t>
  </si>
  <si>
    <t>26.34.1</t>
  </si>
  <si>
    <t>Arandelas 26x34x1</t>
  </si>
  <si>
    <t>26.34</t>
  </si>
  <si>
    <t>Arandelas 26x34</t>
  </si>
  <si>
    <t>26.36</t>
  </si>
  <si>
    <t>Arandelas 26x36</t>
  </si>
  <si>
    <t>26.45</t>
  </si>
  <si>
    <t>Arandelas 26x45 1"</t>
  </si>
  <si>
    <t>26.45B</t>
  </si>
  <si>
    <t>Arandelas 26x45 Bronce</t>
  </si>
  <si>
    <t>27.32</t>
  </si>
  <si>
    <t>Arandelas 27x32</t>
  </si>
  <si>
    <t>27.32.2</t>
  </si>
  <si>
    <t>Arandelas 27x32x2</t>
  </si>
  <si>
    <t>27.35.1</t>
  </si>
  <si>
    <t>Arandelas 27x35x1</t>
  </si>
  <si>
    <t>27.35</t>
  </si>
  <si>
    <t>Arandelas 27x35</t>
  </si>
  <si>
    <t>27.36,5</t>
  </si>
  <si>
    <t>Arandelas 27x36,5</t>
  </si>
  <si>
    <t>27.38</t>
  </si>
  <si>
    <t>Arandelas 27x38</t>
  </si>
  <si>
    <t>27.50</t>
  </si>
  <si>
    <t>Arandelas 27x50</t>
  </si>
  <si>
    <t>28,5.38</t>
  </si>
  <si>
    <t>Arandelas 28,5x38</t>
  </si>
  <si>
    <t>28.32</t>
  </si>
  <si>
    <t>Arandelas 28x32</t>
  </si>
  <si>
    <t>28.33.2</t>
  </si>
  <si>
    <t>Arandelas 28x33x2</t>
  </si>
  <si>
    <t>28.33</t>
  </si>
  <si>
    <t>Arandelas 28x33</t>
  </si>
  <si>
    <t>28.34</t>
  </si>
  <si>
    <t>Arandelas 28x34</t>
  </si>
  <si>
    <t>28.34.3</t>
  </si>
  <si>
    <t>Arandelas 28x34x3</t>
  </si>
  <si>
    <t>28.36</t>
  </si>
  <si>
    <t>Arandelas 28x36</t>
  </si>
  <si>
    <t>28.36.1</t>
  </si>
  <si>
    <t>Arandelas 28x36x1</t>
  </si>
  <si>
    <t>28.36.2</t>
  </si>
  <si>
    <t>Arandelas 28x36x2</t>
  </si>
  <si>
    <t>29.33.0,5</t>
  </si>
  <si>
    <t>Arandelas 29x33x0,5</t>
  </si>
  <si>
    <t>29.33</t>
  </si>
  <si>
    <t>Arandelas 29x33</t>
  </si>
  <si>
    <t>29.36</t>
  </si>
  <si>
    <t>Arandelas 29x36</t>
  </si>
  <si>
    <t>29.37</t>
  </si>
  <si>
    <t>Arandelas 29x37</t>
  </si>
  <si>
    <t>29.39</t>
  </si>
  <si>
    <t>Arandelas 29x39</t>
  </si>
  <si>
    <t>30.36.2</t>
  </si>
  <si>
    <t>Arandelas 30x36x2</t>
  </si>
  <si>
    <t>30.36</t>
  </si>
  <si>
    <t>Arandelas 30x36</t>
  </si>
  <si>
    <t>30.37</t>
  </si>
  <si>
    <t>Arandelas 30x37</t>
  </si>
  <si>
    <t>30.40</t>
  </si>
  <si>
    <t>Arandelas 30x40</t>
  </si>
  <si>
    <t>31.36</t>
  </si>
  <si>
    <t>Arandelas 31x36</t>
  </si>
  <si>
    <t>32.36</t>
  </si>
  <si>
    <t>Arandelas 32x36</t>
  </si>
  <si>
    <t>32.40.1</t>
  </si>
  <si>
    <t>Arandelas 32x40x1</t>
  </si>
  <si>
    <t>32.40</t>
  </si>
  <si>
    <t>Arandelas 32x40</t>
  </si>
  <si>
    <t>32.42</t>
  </si>
  <si>
    <t>Arandelas 32x42</t>
  </si>
  <si>
    <t>32.50</t>
  </si>
  <si>
    <t>Arandelas 32x50</t>
  </si>
  <si>
    <t>33,5.40.2</t>
  </si>
  <si>
    <t>Arandelas 33,5x40x2</t>
  </si>
  <si>
    <t>33.37</t>
  </si>
  <si>
    <t>Arandelas 33x37</t>
  </si>
  <si>
    <t>33.43</t>
  </si>
  <si>
    <t>Arandelas 33x43</t>
  </si>
  <si>
    <t>34.42.1</t>
  </si>
  <si>
    <t>Arandelas 34x42x1</t>
  </si>
  <si>
    <t>34.42</t>
  </si>
  <si>
    <t>Arandelas 34x42</t>
  </si>
  <si>
    <t>35.41</t>
  </si>
  <si>
    <t>Arandelas 35x41</t>
  </si>
  <si>
    <t>35.45</t>
  </si>
  <si>
    <t>Arandelas 35x45</t>
  </si>
  <si>
    <t>36.42</t>
  </si>
  <si>
    <t>Arandelas 36x42</t>
  </si>
  <si>
    <t>38,5.45</t>
  </si>
  <si>
    <t>Arandelas 38,5x45</t>
  </si>
  <si>
    <t>38.42</t>
  </si>
  <si>
    <t>Arandelas 38x42</t>
  </si>
  <si>
    <t>38.46</t>
  </si>
  <si>
    <t>Arandelas 38x46</t>
  </si>
  <si>
    <t>39.54.0,5</t>
  </si>
  <si>
    <t>Arandelas 39x54x0,5 Zanella</t>
  </si>
  <si>
    <t>39.54</t>
  </si>
  <si>
    <t>Arandelas 39x54</t>
  </si>
  <si>
    <t>40.47</t>
  </si>
  <si>
    <t>Arandelas 40x47</t>
  </si>
  <si>
    <t>40.48.0,5</t>
  </si>
  <si>
    <t>Arandelas 40x48x0,5 Juki</t>
  </si>
  <si>
    <t>40.48</t>
  </si>
  <si>
    <t>Arandelas 40x48</t>
  </si>
  <si>
    <t>40.50</t>
  </si>
  <si>
    <t>Arandelas 40x50</t>
  </si>
  <si>
    <t>40.54</t>
  </si>
  <si>
    <t>Arandelas 40x54</t>
  </si>
  <si>
    <t>41.45</t>
  </si>
  <si>
    <t>Arandelas 41x45</t>
  </si>
  <si>
    <t>41.50</t>
  </si>
  <si>
    <t>Arandelas 41x50</t>
  </si>
  <si>
    <t>42.50.1</t>
  </si>
  <si>
    <t>Arandelas 42x50x1</t>
  </si>
  <si>
    <t>42.50</t>
  </si>
  <si>
    <t>Arandelas 42x50</t>
  </si>
  <si>
    <t>42.54.0,5</t>
  </si>
  <si>
    <t>Arandelas 42x54x0,5 Zanella</t>
  </si>
  <si>
    <t>42.54</t>
  </si>
  <si>
    <t>Arandelas 42x54</t>
  </si>
  <si>
    <t>42.56.0,5</t>
  </si>
  <si>
    <t>Arandelas 42x56x0,5</t>
  </si>
  <si>
    <t>45.51</t>
  </si>
  <si>
    <t>Arandelas 45x51</t>
  </si>
  <si>
    <t>45.52</t>
  </si>
  <si>
    <t>Arandelas 45x52</t>
  </si>
  <si>
    <t>45.53</t>
  </si>
  <si>
    <t>Arandelas 45x53</t>
  </si>
  <si>
    <t>46.54</t>
  </si>
  <si>
    <t>Arandelas 46x54</t>
  </si>
  <si>
    <t>48.54</t>
  </si>
  <si>
    <t>Arandelas 48x54</t>
  </si>
  <si>
    <t>48.54.0,5</t>
  </si>
  <si>
    <t>Arandelas 48x54x0,5</t>
  </si>
  <si>
    <t>52.60</t>
  </si>
  <si>
    <t>Arandelas 52x60</t>
  </si>
  <si>
    <t>56.81</t>
  </si>
  <si>
    <t>Arandelas 56x81</t>
  </si>
  <si>
    <t>57.64</t>
  </si>
  <si>
    <t>Arandelas 57x64</t>
  </si>
  <si>
    <t>60,5.66,5</t>
  </si>
  <si>
    <t>Arandelas 60,5x66,5</t>
  </si>
  <si>
    <t>61.71</t>
  </si>
  <si>
    <t>Arandelas 61x71</t>
  </si>
  <si>
    <t>67.83</t>
  </si>
  <si>
    <t>Arandelas 67x83</t>
  </si>
  <si>
    <t>80.90</t>
  </si>
  <si>
    <t>Arandelas 80x90</t>
  </si>
  <si>
    <t>TARUGOS ESTRIADOS 
DE TAEDA</t>
  </si>
  <si>
    <t>C/U</t>
  </si>
  <si>
    <t>6*25</t>
  </si>
  <si>
    <t>5*30</t>
  </si>
  <si>
    <t>8*35</t>
  </si>
  <si>
    <t>10*50</t>
  </si>
  <si>
    <t>TOTAL CANT:</t>
  </si>
  <si>
    <t>VARILLAS
DE TAEDA</t>
  </si>
  <si>
    <t>PRECIO *100</t>
  </si>
  <si>
    <t>8mm</t>
  </si>
  <si>
    <t>10mm</t>
  </si>
  <si>
    <t>VARILLAS
DE Guatambu/Lijado</t>
  </si>
  <si>
    <t>4mm</t>
  </si>
  <si>
    <t>6mm</t>
  </si>
  <si>
    <t>solo comprar:</t>
  </si>
  <si>
    <t>Chapas Fuera de Linea:</t>
  </si>
  <si>
    <t>Chapas Fabricación Propia:</t>
  </si>
  <si>
    <t>CONEXIONES DE PLASTICO</t>
  </si>
  <si>
    <t>Niple plástico con reducción de 19mm a 8 mm</t>
  </si>
  <si>
    <t>Niple plástico para unir manguera de 3/8</t>
  </si>
  <si>
    <t>TOTAL GENERAL</t>
  </si>
  <si>
    <t>Tapon de goma para anular la calefaccíon de 25 mm</t>
  </si>
  <si>
    <t>Tapon de goma para anular la calefaccíon de 22 mm</t>
  </si>
  <si>
    <t>Tapon de goma para anular la calefaccíon de 19 mm</t>
  </si>
  <si>
    <t>Tapon de goma para anular la calefaccíon de 16 mm</t>
  </si>
  <si>
    <t>Tapon de goma para anular la calefaccíon de 13 mm</t>
  </si>
  <si>
    <t>Tapon de goma para anular la calefaccíon de 10 mm</t>
  </si>
  <si>
    <t>Tapon de goma para anular la calefaccíon de 8 mm</t>
  </si>
  <si>
    <t>4106=4816</t>
  </si>
  <si>
    <t>vienen por:</t>
  </si>
  <si>
    <t>NPLASTIC S.R.L.</t>
  </si>
  <si>
    <t>c/iva</t>
  </si>
  <si>
    <t>IVA INCLUIDO</t>
  </si>
  <si>
    <t>TODOS:</t>
  </si>
  <si>
    <t>NEOPLASTIC</t>
  </si>
  <si>
    <t>Industrias LEP</t>
  </si>
  <si>
    <t>Color</t>
  </si>
  <si>
    <t>color</t>
  </si>
  <si>
    <t>Proximo:</t>
  </si>
  <si>
    <t>P. Unit.</t>
  </si>
  <si>
    <t>Subtotales</t>
  </si>
  <si>
    <t>&gt;400 10% de Dto.</t>
  </si>
  <si>
    <t>A.M.CORALINE - CORALINE ANTERIOR</t>
  </si>
  <si>
    <t>9016-G</t>
  </si>
  <si>
    <t>DOMEC - P.Domec 98 Mrr. Hlla diam8</t>
  </si>
  <si>
    <t>MARRON</t>
  </si>
  <si>
    <t>=+SI.ERROR(BUSCARV(AL4;'G:\Mi unidad\Maxi\MAXXX TRABAJO\Organización Maxi 01-04-2018\LISTAS FABRICAS\01 CODIGOS Y COSTOS.xlsm'!INDUSTRIAS_LEP[[#Todo];[Codigo]:[Precio Unitario]];6;0);0)</t>
  </si>
  <si>
    <t xml:space="preserve">ARISTON - GOTA N / B 6mm C/L CORTE ABAJO </t>
  </si>
  <si>
    <t>DOMEC - P.Domec 98 Bl Hlla diam.8</t>
  </si>
  <si>
    <t>NEGRO</t>
  </si>
  <si>
    <t>9019-A</t>
  </si>
  <si>
    <t>DOMEC - P.Domec 93/90 vieja Bl, Hll diam.8</t>
  </si>
  <si>
    <t>9017-A</t>
  </si>
  <si>
    <t>DOMEC - P.Domec 95 BL,hlla diam.8</t>
  </si>
  <si>
    <t>BLANCO</t>
  </si>
  <si>
    <t>9116-C</t>
  </si>
  <si>
    <t>DOMEC - Domec 81 Paola bl diam8 baquelita</t>
  </si>
  <si>
    <t>GRIS</t>
  </si>
  <si>
    <t>9116-A</t>
  </si>
  <si>
    <t>9087-A</t>
  </si>
  <si>
    <t>DOMEC - TF Inyect.Bl vieja hlla/hno diam8</t>
  </si>
  <si>
    <t>9121-A</t>
  </si>
  <si>
    <t>DOMEC - P.TF Gris hlla/hno pintada vieja</t>
  </si>
  <si>
    <t>DOMEC - P.Next line Hll Gris diam6 (M06)</t>
  </si>
  <si>
    <t>9186-A</t>
  </si>
  <si>
    <t>ELECTROLUX - Electrolux plata</t>
  </si>
  <si>
    <t>9174-A</t>
  </si>
  <si>
    <t>ESCORIAL - Escorial Candor Bl</t>
  </si>
  <si>
    <t>9174-B</t>
  </si>
  <si>
    <t>ESCORIAL - Escorial Candor Ng</t>
  </si>
  <si>
    <t>INDUSTRIALES - INDUSTRIAL INYECCION  8/10/11/CUADRADO</t>
  </si>
  <si>
    <t>9178-B</t>
  </si>
  <si>
    <t>INDUSTRIALES - P/mahe Industrial ng diam8</t>
  </si>
  <si>
    <t>9144-A</t>
  </si>
  <si>
    <t>LONGVIE - Longvie Kenia bl diam 6</t>
  </si>
  <si>
    <t>9143-J</t>
  </si>
  <si>
    <t>LONGVIE - Longvie 2005 diam6 mrr V/C</t>
  </si>
  <si>
    <t>9142-A</t>
  </si>
  <si>
    <t>LONGVIE - Longvie 2000 diam 6 bl</t>
  </si>
  <si>
    <t>MABE - MABE   GRIS   6 / 8 mm</t>
  </si>
  <si>
    <t>9142-F</t>
  </si>
  <si>
    <t>LONGVIE - Longvie 2000 diam 8 mrr</t>
  </si>
  <si>
    <t>9147-A</t>
  </si>
  <si>
    <t>LONGVIE - Longvie 89 c/aro v/c bl diam8</t>
  </si>
  <si>
    <t>9152-B</t>
  </si>
  <si>
    <t>LONGVIE - Longvie 89 c/aro v/L MRR diam8</t>
  </si>
  <si>
    <t>9143-E</t>
  </si>
  <si>
    <t>LONGVIE - Longvie 2002 diam 8 bl V/L</t>
  </si>
  <si>
    <t>9166-A</t>
  </si>
  <si>
    <t>LONGVIE - Longvie 2010 cocina Bl</t>
  </si>
  <si>
    <t>9166-C</t>
  </si>
  <si>
    <t>LONGVIE - Longvie 2010 cocina Gris</t>
  </si>
  <si>
    <t>9309-A</t>
  </si>
  <si>
    <t>LONGVIE - Longvie actual bl</t>
  </si>
  <si>
    <t>9225-A</t>
  </si>
  <si>
    <t>LONGVIE - Longvie Anafe 2010 bl</t>
  </si>
  <si>
    <t>9225-C</t>
  </si>
  <si>
    <t>LONGVIE - Longvie Anafe 2010 gris</t>
  </si>
  <si>
    <t>9175-A</t>
  </si>
  <si>
    <t>MABE - Mabe gris c/arriba diam6</t>
  </si>
  <si>
    <t>9145-A</t>
  </si>
  <si>
    <t>ORBIS - Orvis convecta bl diam 6</t>
  </si>
  <si>
    <t>9219-A</t>
  </si>
  <si>
    <t>ORBIS - Orbis Kit bl</t>
  </si>
  <si>
    <t>9146-B</t>
  </si>
  <si>
    <t>ORBIS - Orbis 88 mrr baquelita</t>
  </si>
  <si>
    <t>PERILLA - FORNAX  Nº 3 / Nº 4</t>
  </si>
  <si>
    <t>9199-A</t>
  </si>
  <si>
    <t>ORBIS - Orbis 388 bl</t>
  </si>
  <si>
    <t>SINGER - ESLABÓN DE LUJO OVAL CON ARO   B.</t>
  </si>
  <si>
    <t>9199-B</t>
  </si>
  <si>
    <t>ORBIS - Orbis 388 ng</t>
  </si>
  <si>
    <t>SINGER - SINGER  MACOSER FLORENCIA</t>
  </si>
  <si>
    <t>9177-A</t>
  </si>
  <si>
    <t>ORBIS - Orbis 84 Ng baquelita</t>
  </si>
  <si>
    <t>SINGER - SINGER  MACOSER GOTA CON ARO</t>
  </si>
  <si>
    <t>9219-B</t>
  </si>
  <si>
    <t>ORBIS - Orbis Kit ng</t>
  </si>
  <si>
    <t>9219-C</t>
  </si>
  <si>
    <t>ORBIS - Orbis Kit mrr</t>
  </si>
  <si>
    <t>Volcan venus cuello corto</t>
  </si>
  <si>
    <t>9173-A</t>
  </si>
  <si>
    <t>ORBIS - Orbis/volcan bl c/arriba</t>
  </si>
  <si>
    <t>6020-E</t>
  </si>
  <si>
    <t>DAUCO - P.Dauco Mrr diam8 v/L baquelita</t>
  </si>
  <si>
    <t>6020-F</t>
  </si>
  <si>
    <t>DAUCO - P.Dauco Mrr diam8 v/c baquelita</t>
  </si>
  <si>
    <t>WHIRPOOL - WHIRPOOL C/A GRIS</t>
  </si>
  <si>
    <t>9179-A</t>
  </si>
  <si>
    <t>ORO AZUL - Oro azul 86 v/c</t>
  </si>
  <si>
    <t>PATRICK - Patrick bl anterior</t>
  </si>
  <si>
    <t>9189-A</t>
  </si>
  <si>
    <t>PATRICK - Patrick anterior gris</t>
  </si>
  <si>
    <t>9034-A</t>
  </si>
  <si>
    <t>VOLCAN - P.Volcán Bl diam.8 baquelita</t>
  </si>
  <si>
    <t>9170-A</t>
  </si>
  <si>
    <t>VOLCAN - Venus C/L</t>
  </si>
  <si>
    <t>9170-B</t>
  </si>
  <si>
    <t>VOLCAN - Venus C/C</t>
  </si>
  <si>
    <t>Longvie 2002 diam 8 bl V/L</t>
  </si>
  <si>
    <t>9111-A</t>
  </si>
  <si>
    <t>WHIRPOOL - Per.Wirpool giratoria bl diam 6</t>
  </si>
  <si>
    <t>9168-A</t>
  </si>
  <si>
    <t>WHIRPOOL - Whirpool 2016 ng</t>
  </si>
  <si>
    <t>PEDIDO SKOTNICA</t>
  </si>
  <si>
    <t>Cant. Minima</t>
  </si>
  <si>
    <t>A01A 004</t>
  </si>
  <si>
    <t>ANILLOS DE SEGURIDAD DIN 471 4 A</t>
  </si>
  <si>
    <t>A01A 005</t>
  </si>
  <si>
    <t>ANILLOS DE SEGURIDAD DIN 471 5 A</t>
  </si>
  <si>
    <t>A01A 006</t>
  </si>
  <si>
    <t>ANILLOS DE SEGURIDAD DIN 471 6 A</t>
  </si>
  <si>
    <t>A01A 007</t>
  </si>
  <si>
    <t>ANILLOS DE SEGURIDAD DIN 471 7 A</t>
  </si>
  <si>
    <t>A01A 008N</t>
  </si>
  <si>
    <t>ANILLOS DE SEGURIDAD DIN 471 8 A</t>
  </si>
  <si>
    <t>A01A 009N</t>
  </si>
  <si>
    <t>ANILLOS DE SEGURIDAD DIN 471 9 A</t>
  </si>
  <si>
    <t>A01A 010N</t>
  </si>
  <si>
    <t>ANILLOS DE SEGURIDAD DIN 471 10 A</t>
  </si>
  <si>
    <t>A01A 011N</t>
  </si>
  <si>
    <t>ANILLOS DE SEGURIDAD DIN 471 11 A</t>
  </si>
  <si>
    <t>A01A 012N</t>
  </si>
  <si>
    <t>ANILLOS DE SEGURIDAD DIN 471 12 A</t>
  </si>
  <si>
    <t>A01A 013N</t>
  </si>
  <si>
    <t>ANILLOS DE SEGURIDAD DIN 471 13 A</t>
  </si>
  <si>
    <t>A01A 014N</t>
  </si>
  <si>
    <t>ANILLOS DE SEGURIDAD DIN 471 14 A</t>
  </si>
  <si>
    <t>A01A 015N</t>
  </si>
  <si>
    <t>ANILLOS DE SEGURIDAD DIN 471 15 A</t>
  </si>
  <si>
    <t>A01A 016N</t>
  </si>
  <si>
    <t>ANILLOS DE SEGURIDAD DIN 471 16 A</t>
  </si>
  <si>
    <t>A01A 017N</t>
  </si>
  <si>
    <t>ANILLOS DE SEGURIDAD DIN 471 17 A</t>
  </si>
  <si>
    <t>A01A 018N</t>
  </si>
  <si>
    <t>ANILLOS DE SEGURIDAD DIN 471 18 A</t>
  </si>
  <si>
    <t>A01A 019N</t>
  </si>
  <si>
    <t>ANILLOS DE SEGURIDAD DIN 471 19 A</t>
  </si>
  <si>
    <t>A01A 020N</t>
  </si>
  <si>
    <t>ANILLOS DE SEGURIDAD DIN 471 20 A</t>
  </si>
  <si>
    <t>A01A 021N</t>
  </si>
  <si>
    <t>ANILLOS DE SEGURIDAD DIN 471 21 A</t>
  </si>
  <si>
    <t>A01A 022N</t>
  </si>
  <si>
    <t>ANILLOS DE SEGURIDAD DIN 471 22 A</t>
  </si>
  <si>
    <t>A01A 023N</t>
  </si>
  <si>
    <t>ANILLOS DE SEGURIDAD DIN 471 23 A</t>
  </si>
  <si>
    <t>A01A 024N</t>
  </si>
  <si>
    <t>ANILLOS DE SEGURIDAD DIN 471 24 A</t>
  </si>
  <si>
    <t>A01A 025N</t>
  </si>
  <si>
    <t>ANILLOS DE SEGURIDAD DIN 471 25 A</t>
  </si>
  <si>
    <t>A01A 026N</t>
  </si>
  <si>
    <t>ANILLOS DE SEGURIDAD DIN 471 26 A</t>
  </si>
  <si>
    <t>A01A 027N</t>
  </si>
  <si>
    <t>ANILLOS DE SEGURIDAD DIN 471 27 A</t>
  </si>
  <si>
    <t>A01A 028N</t>
  </si>
  <si>
    <t>ANILLOS DE SEGURIDAD DIN 471 28 A</t>
  </si>
  <si>
    <t>A01A 029N</t>
  </si>
  <si>
    <t>ANILLOS DE SEGURIDAD DIN 471 29 A</t>
  </si>
  <si>
    <t>A01A 030N</t>
  </si>
  <si>
    <t>ANILLOS DE SEGURIDAD DIN 471 30 A</t>
  </si>
  <si>
    <t>A01A 031</t>
  </si>
  <si>
    <t>ANILLOS DE SEGURIDAD DIN 471 31 A</t>
  </si>
  <si>
    <t>A01A 032N</t>
  </si>
  <si>
    <t>ANILLOS DE SEGURIDAD DIN 471 32 A</t>
  </si>
  <si>
    <t>A01A 033</t>
  </si>
  <si>
    <t>ANILLOS DE SEGURIDAD DIN 471 33 A</t>
  </si>
  <si>
    <t>A01A 034</t>
  </si>
  <si>
    <t>ANILLOS DE SEGURIDAD DIN 471 34 A</t>
  </si>
  <si>
    <t>A01A 035N</t>
  </si>
  <si>
    <t>ANILLOS DE SEGURIDAD DIN 471 35 A</t>
  </si>
  <si>
    <t>A01A 036N</t>
  </si>
  <si>
    <t>ANILLOS DE SEGURIDAD DIN 471 36 A</t>
  </si>
  <si>
    <t>A01A 037</t>
  </si>
  <si>
    <t>ANILLOS DE SEGURIDAD DIN 471 37 A</t>
  </si>
  <si>
    <t>A01A 038N</t>
  </si>
  <si>
    <t>ANILLOS DE SEGURIDAD DIN 471 38 A</t>
  </si>
  <si>
    <t>A01A 039</t>
  </si>
  <si>
    <t>ANILLOS DE SEGURIDAD DIN 471 39 A</t>
  </si>
  <si>
    <t>A01A 040N</t>
  </si>
  <si>
    <t>ANILLOS DE SEGURIDAD DIN 471 40 A</t>
  </si>
  <si>
    <t>A01A 041N</t>
  </si>
  <si>
    <t>ANILLOS DE SEGURIDAD DIN 471 41 A</t>
  </si>
  <si>
    <t>A01A 042</t>
  </si>
  <si>
    <t>ANILLOS DE SEGURIDAD DIN 471 42 A</t>
  </si>
  <si>
    <t>A01A 044</t>
  </si>
  <si>
    <t>ANILLOS DE SEGURIDAD DIN 471 44 A</t>
  </si>
  <si>
    <t>A01A 045</t>
  </si>
  <si>
    <t>ANILLOS DE SEGURIDAD DIN 471 45 A</t>
  </si>
  <si>
    <t>A01A 046</t>
  </si>
  <si>
    <t>ANILLOS DE SEGURIDAD DIN 471 46 A</t>
  </si>
  <si>
    <t>A01A 047</t>
  </si>
  <si>
    <t>ANILLOS DE SEGURIDAD DIN 471 47 A</t>
  </si>
  <si>
    <t>A01A 048</t>
  </si>
  <si>
    <t>ANILLOS DE SEGURIDAD DIN 471 48 A</t>
  </si>
  <si>
    <t>A01A 050N</t>
  </si>
  <si>
    <t>ANILLOS DE SEGURIDAD DIN 471 50 A</t>
  </si>
  <si>
    <t>A01A 052</t>
  </si>
  <si>
    <t>ANILLOS DE SEGURIDAD DIN 471 52 A</t>
  </si>
  <si>
    <t>A01A 054</t>
  </si>
  <si>
    <t>ANILLOS DE SEGURIDAD DIN 471 54 A</t>
  </si>
  <si>
    <t>A01A 055</t>
  </si>
  <si>
    <t>ANILLOS DE SEGURIDAD DIN 471 55 A</t>
  </si>
  <si>
    <t>A01A 056</t>
  </si>
  <si>
    <t>ANILLOS DE SEGURIDAD DIN 471 56 A</t>
  </si>
  <si>
    <t>A01A 057</t>
  </si>
  <si>
    <t>ANILLOS DE SEGURIDAD DIN 471 57 A</t>
  </si>
  <si>
    <t>A01A 058</t>
  </si>
  <si>
    <t>ANILLOS DE SEGURIDAD DIN 471 58 A</t>
  </si>
  <si>
    <t>A01A 060</t>
  </si>
  <si>
    <t>ANILLOS DE SEGURIDAD DIN 471 60 A</t>
  </si>
  <si>
    <t>A01A 062</t>
  </si>
  <si>
    <t>ANILLOS DE SEGURIDAD DIN 471 62 A</t>
  </si>
  <si>
    <t>A01A 063</t>
  </si>
  <si>
    <t>ANILLOS DE SEGURIDAD DIN 471 63 A</t>
  </si>
  <si>
    <t>A01A 065N</t>
  </si>
  <si>
    <t>ANILLOS DE SEGURIDAD DIN 471 65 A</t>
  </si>
  <si>
    <t>A01A 067</t>
  </si>
  <si>
    <t>ANILLOS DE SEGURIDAD DIN 471 67 A</t>
  </si>
  <si>
    <t>A01A 068</t>
  </si>
  <si>
    <t>ANILLOS DE SEGURIDAD DIN 471 68 A</t>
  </si>
  <si>
    <t>A01A 070</t>
  </si>
  <si>
    <t>ANILLOS DE SEGURIDAD DIN 471 70 A</t>
  </si>
  <si>
    <t>A01A 075</t>
  </si>
  <si>
    <t>ANILLOS DE SEGURIDAD DIN 471 75 A</t>
  </si>
  <si>
    <t>A01A 088</t>
  </si>
  <si>
    <t>ANILLOS DE SEGURIDAD DIN 471 88 A</t>
  </si>
  <si>
    <t>A01A 105</t>
  </si>
  <si>
    <t>ANILLOS DE SEGURIDAD DIN 471 105 A</t>
  </si>
  <si>
    <t>A03I 008</t>
  </si>
  <si>
    <t>ANILLOS DE SEGURIDAD DIN 472 8 I</t>
  </si>
  <si>
    <t>A03I 009</t>
  </si>
  <si>
    <t>ANILLOS DE SEGURIDAD DIN 472 9 I</t>
  </si>
  <si>
    <t>A03I 010</t>
  </si>
  <si>
    <t>ANILLOS DE SEGURIDAD DIN 472 10 I</t>
  </si>
  <si>
    <t>A03I 011</t>
  </si>
  <si>
    <t>ANILLOS DE SEGURIDAD DIN 472 11 I</t>
  </si>
  <si>
    <t>A03I 012</t>
  </si>
  <si>
    <t>ANILLOS DE SEGURIDAD DIN 472 12 I</t>
  </si>
  <si>
    <t>A03I 013</t>
  </si>
  <si>
    <t>ANILLOS DE SEGURIDAD DIN 472 13 I</t>
  </si>
  <si>
    <t>A03I 014</t>
  </si>
  <si>
    <t>ANILLOS DE SEGURIDAD DIN 472 14 I</t>
  </si>
  <si>
    <t>A03I 015</t>
  </si>
  <si>
    <t>ANILLOS DE SEGURIDAD DIN 472 15 I</t>
  </si>
  <si>
    <t>A03I 016</t>
  </si>
  <si>
    <t>ANILLOS DE SEGURIDAD DIN 472 16 I</t>
  </si>
  <si>
    <t>A03I 017N</t>
  </si>
  <si>
    <t>ANILLOS DE SEGURIDAD DIN 472 17 I</t>
  </si>
  <si>
    <t>A03I 018N</t>
  </si>
  <si>
    <t>ANILLOS DE SEGURIDAD DIN 472 18 I</t>
  </si>
  <si>
    <t>A03I 019N</t>
  </si>
  <si>
    <t>ANILLOS DE SEGURIDAD DIN 472 19 I</t>
  </si>
  <si>
    <t>A03I 020N</t>
  </si>
  <si>
    <t>ANILLOS DE SEGURIDAD DIN 472 20 I</t>
  </si>
  <si>
    <t>A03I 021</t>
  </si>
  <si>
    <t>ANILLOS DE SEGURIDAD DIN 472 21 I</t>
  </si>
  <si>
    <t>A03I 022N</t>
  </si>
  <si>
    <t>ANILLOS DE SEGURIDAD DIN 472 22 I</t>
  </si>
  <si>
    <t>A03I 023N</t>
  </si>
  <si>
    <t>ANILLOS DE SEGURIDAD DIN 472 23 I</t>
  </si>
  <si>
    <t>A03I 024N</t>
  </si>
  <si>
    <t>ANILLOS DE SEGURIDAD DIN 472 24 I</t>
  </si>
  <si>
    <t>A03I 025N</t>
  </si>
  <si>
    <t>ANILLOS DE SEGURIDAD DIN 472 25 I</t>
  </si>
  <si>
    <t>A03I 026N</t>
  </si>
  <si>
    <t>ANILLOS DE SEGURIDAD DIN 472 26 I</t>
  </si>
  <si>
    <t>A03I 027</t>
  </si>
  <si>
    <t>ANILLOS DE SEGURIDAD DIN 472 27 I</t>
  </si>
  <si>
    <t>A03I 028N</t>
  </si>
  <si>
    <t>ANILLOS DE SEGURIDAD DIN 472 28 I</t>
  </si>
  <si>
    <t>A03I 029</t>
  </si>
  <si>
    <t>ANILLOS DE SEGURIDAD DIN 472 29 I</t>
  </si>
  <si>
    <t>A03I 030N</t>
  </si>
  <si>
    <t>ANILLOS DE SEGURIDAD DIN 472 30 I</t>
  </si>
  <si>
    <t>A03I 031</t>
  </si>
  <si>
    <t>ANILLOS DE SEGURIDAD DIN 472 31 I</t>
  </si>
  <si>
    <t>A03I 032N</t>
  </si>
  <si>
    <t>ANILLOS DE SEGURIDAD DIN 472 32 I</t>
  </si>
  <si>
    <t>A03I 033</t>
  </si>
  <si>
    <t>ANILLOS DE SEGURIDAD DIN 472 33 I</t>
  </si>
  <si>
    <t>A03I 034</t>
  </si>
  <si>
    <t>ANILLOS DE SEGURIDAD DIN 472 34 I</t>
  </si>
  <si>
    <t>A03I 035N</t>
  </si>
  <si>
    <t>ANILLOS DE SEGURIDAD DIN 472 35 I</t>
  </si>
  <si>
    <t>A03I 036N</t>
  </si>
  <si>
    <t>ANILLOS DE SEGURIDAD DIN 472 36 I</t>
  </si>
  <si>
    <t>A03I 037N</t>
  </si>
  <si>
    <t>ANILLOS DE SEGURIDAD DIN 472 37 I</t>
  </si>
  <si>
    <t>A03I 038</t>
  </si>
  <si>
    <t>ANILLOS DE SEGURIDAD DIN 472 38 I</t>
  </si>
  <si>
    <t>A03I 039</t>
  </si>
  <si>
    <t>ANILLOS DE SEGURIDAD DIN 472 39 I</t>
  </si>
  <si>
    <t>A03I 040N</t>
  </si>
  <si>
    <t>ANILLOS DE SEGURIDAD DIN 472 40 I</t>
  </si>
  <si>
    <t>A03I 041N</t>
  </si>
  <si>
    <t>ANILLOS DE SEGURIDAD DIN 472 41 I</t>
  </si>
  <si>
    <t>A03I 042N</t>
  </si>
  <si>
    <t>ANILLOS DE SEGURIDAD DIN 472 42 I</t>
  </si>
  <si>
    <t>A03I 043</t>
  </si>
  <si>
    <t>ANILLOS DE SEGURIDAD DIN 472 43 I</t>
  </si>
  <si>
    <t>A03I 044</t>
  </si>
  <si>
    <t>ANILLOS DE SEGURIDAD DIN 472 44 I</t>
  </si>
  <si>
    <t>A03I 045</t>
  </si>
  <si>
    <t>ANILLOS DE SEGURIDAD DIN 472 45 I</t>
  </si>
  <si>
    <t>A03I 046N</t>
  </si>
  <si>
    <t>ANILLOS DE SEGURIDAD DIN 472 46 I</t>
  </si>
  <si>
    <t>A03I 047N</t>
  </si>
  <si>
    <t>ANILLOS DE SEGURIDAD DIN 472 47 I</t>
  </si>
  <si>
    <t>A03I 048N</t>
  </si>
  <si>
    <t>ANILLOS DE SEGURIDAD DIN 472 48 I</t>
  </si>
  <si>
    <t>A03I 050N</t>
  </si>
  <si>
    <t>ANILLOS DE SEGURIDAD DIN 472 50 I</t>
  </si>
  <si>
    <t>A03I 051N</t>
  </si>
  <si>
    <t>ANILLOS DE SEGURIDAD DIN 472 51 I</t>
  </si>
  <si>
    <t>A03I 052N</t>
  </si>
  <si>
    <t>ANILLOS DE SEGURIDAD DIN 472 52 I</t>
  </si>
  <si>
    <t>A03I 053N</t>
  </si>
  <si>
    <t>ANILLOS DE SEGURIDAD DIN 472 53 I</t>
  </si>
  <si>
    <t>A03I 054</t>
  </si>
  <si>
    <t>ANILLOS DE SEGURIDAD DIN 472 54 I</t>
  </si>
  <si>
    <t>A03I 055N</t>
  </si>
  <si>
    <t>ANILLOS DE SEGURIDAD DIN 472 55 I</t>
  </si>
  <si>
    <t>A03I 056</t>
  </si>
  <si>
    <t>ANILLOS DE SEGURIDAD DIN 472 56 I</t>
  </si>
  <si>
    <t>A03I 057</t>
  </si>
  <si>
    <t>ANILLOS DE SEGURIDAD DIN 472 57 I</t>
  </si>
  <si>
    <t>A03I 058</t>
  </si>
  <si>
    <t>ANILLOS DE SEGURIDAD DIN 472 58 I</t>
  </si>
  <si>
    <t>A03I 060</t>
  </si>
  <si>
    <t>ANILLOS DE SEGURIDAD DIN 472 60 I</t>
  </si>
  <si>
    <t>A03I 062N</t>
  </si>
  <si>
    <t>ANILLOS DE SEGURIDAD DIN 472 62 I</t>
  </si>
  <si>
    <t>A03I 063</t>
  </si>
  <si>
    <t>ANILLOS DE SEGURIDAD DIN 472 63 I</t>
  </si>
  <si>
    <t>A03I 065</t>
  </si>
  <si>
    <t>ANILLOS DE SEGURIDAD DIN 472 65 I</t>
  </si>
  <si>
    <t>A03I 067</t>
  </si>
  <si>
    <t>ANILLOS DE SEGURIDAD DIN 472 67 I</t>
  </si>
  <si>
    <t>A03I 068</t>
  </si>
  <si>
    <t>ANILLOS DE SEGURIDAD DIN 472 68 I</t>
  </si>
  <si>
    <t>A03I 070</t>
  </si>
  <si>
    <t>ANILLOS DE SEGURIDAD DIN 472 70 I</t>
  </si>
  <si>
    <t>A03I 072</t>
  </si>
  <si>
    <t>ANILLOS DE SEGURIDAD DIN 472 72 I</t>
  </si>
  <si>
    <t>A03I 075</t>
  </si>
  <si>
    <t>ANILLOS DE SEGURIDAD DIN 472 75 I</t>
  </si>
  <si>
    <t>A03I 080</t>
  </si>
  <si>
    <t>ANILLOS DE SEGURIDAD DIN 472 80 I</t>
  </si>
  <si>
    <t>A03I 082</t>
  </si>
  <si>
    <t>ANILLOS DE SEGURIDAD DIN 472 82 I</t>
  </si>
  <si>
    <t>A03I 085</t>
  </si>
  <si>
    <t>ANILLOS DE SEGURIDAD DIN 472 85 I</t>
  </si>
  <si>
    <t>A03I 095</t>
  </si>
  <si>
    <t>ANILLOS DE SEGURIDAD DIN 472 95 I</t>
  </si>
  <si>
    <t>A03I 100</t>
  </si>
  <si>
    <t>ANILLOS DE SEGURIDAD DIN 472 100 I</t>
  </si>
  <si>
    <t>A03I 105</t>
  </si>
  <si>
    <t>ANILLOS DE SEGURIDAD DIN 472 105 I</t>
  </si>
  <si>
    <t>E0102 012</t>
  </si>
  <si>
    <t>ESPINAS ELASTICAS DIN 1481 2 X 12</t>
  </si>
  <si>
    <t>E0102 016</t>
  </si>
  <si>
    <t>ESPINAS ELASTICAS DIN 1481 2 X 16</t>
  </si>
  <si>
    <t>E0102 020</t>
  </si>
  <si>
    <t>ESPINAS ELASTICAS DIN 1481 2 X 20</t>
  </si>
  <si>
    <t>E0102.5014</t>
  </si>
  <si>
    <t>ESPINAS ELASTICAS DIN 1481 2.5X 14</t>
  </si>
  <si>
    <t>E0102.5016</t>
  </si>
  <si>
    <t>ESPINAS ELASTICAS DIN 1481 2.5X 16</t>
  </si>
  <si>
    <t>E0102.5026</t>
  </si>
  <si>
    <t>ESPINAS ELASTICAS DIN 1481 2.5X 26</t>
  </si>
  <si>
    <t>E0102.5030</t>
  </si>
  <si>
    <t>ESPINAS ELASTICAS DIN 1481 2.5X 30</t>
  </si>
  <si>
    <t>E0103 014</t>
  </si>
  <si>
    <t>ESPINAS ELASTICAS DIN 1481 3 X 14</t>
  </si>
  <si>
    <t>E0103 016</t>
  </si>
  <si>
    <t>ESPINAS ELASTICAS DIN 1481 3 X 16</t>
  </si>
  <si>
    <t>E0103 020</t>
  </si>
  <si>
    <t>ESPINAS ELASTICAS DIN 1481 3 X 20</t>
  </si>
  <si>
    <t>E0103 026</t>
  </si>
  <si>
    <t>ESPINAS ELASTICAS DIN 1481 3 X 26</t>
  </si>
  <si>
    <t>E0103 030</t>
  </si>
  <si>
    <t>ESPINAS ELASTICAS DIN 1481 3 X 30</t>
  </si>
  <si>
    <t>E0103 036</t>
  </si>
  <si>
    <t>ESPINAS ELASTICAS DIN 1481 3 X 36</t>
  </si>
  <si>
    <t>E0103 040</t>
  </si>
  <si>
    <t>ESPINAS ELASTICAS DIN 1481 3 X 40</t>
  </si>
  <si>
    <t>E0103 045</t>
  </si>
  <si>
    <t>ESPINAS ELASTICAS DIN 1481 3 X 45</t>
  </si>
  <si>
    <t>E0103 050</t>
  </si>
  <si>
    <t>ESPINAS ELASTICAS DIN 1481 3 X 50</t>
  </si>
  <si>
    <t>E0103.5020</t>
  </si>
  <si>
    <t>ESPINAS ELASTICAS DIN 1481 3.5X 20</t>
  </si>
  <si>
    <t>E0103.5030</t>
  </si>
  <si>
    <t>ESPINAS ELASTICAS DIN 1481 3.5X 30</t>
  </si>
  <si>
    <t>E0103.5040</t>
  </si>
  <si>
    <t>ESPINAS ELASTICAS DIN 1481 3.5X 40</t>
  </si>
  <si>
    <t>E0103.5050</t>
  </si>
  <si>
    <t>ESPINAS ELASTICAS DIN 1481 3.5X 50</t>
  </si>
  <si>
    <t>E0104 020</t>
  </si>
  <si>
    <t>ESPINAS ELASTICAS DIN 1481 4 X 20</t>
  </si>
  <si>
    <t>E0104 026</t>
  </si>
  <si>
    <t>ESPINAS ELASTICAS DIN 1481 4 X 26</t>
  </si>
  <si>
    <t>E0104 030</t>
  </si>
  <si>
    <t>ESPINAS ELASTICAS DIN 1481 4 X 30</t>
  </si>
  <si>
    <t>E0104 040</t>
  </si>
  <si>
    <t>ESPINAS ELASTICAS DIN 1481 4 X 40</t>
  </si>
  <si>
    <t>E0104 050</t>
  </si>
  <si>
    <t>ESPINAS ELASTICAS DIN 1481 4 X 50</t>
  </si>
  <si>
    <t>E0104.5020</t>
  </si>
  <si>
    <t>ESPINAS ELASTICAS DIN 1481 4.5X 20</t>
  </si>
  <si>
    <t>E0104.5030</t>
  </si>
  <si>
    <t>ESPINAS ELASTICAS DIN 1481 4.5X 30</t>
  </si>
  <si>
    <t>E0104.5040</t>
  </si>
  <si>
    <t>ESPINAS ELASTICAS DIN 1481 4.5X 40</t>
  </si>
  <si>
    <t>E0104.5050</t>
  </si>
  <si>
    <t>ESPINAS ELASTICAS DIN 1481 4.5X 50</t>
  </si>
  <si>
    <t>E0105 024</t>
  </si>
  <si>
    <t>ESPINAS ELASTICAS DIN 1481 5 X 24</t>
  </si>
  <si>
    <t>E0105 030</t>
  </si>
  <si>
    <t>ESPINAS ELASTICAS DIN 1481 5 X 30</t>
  </si>
  <si>
    <t>E0105 040</t>
  </si>
  <si>
    <t>ESPINAS ELASTICAS DIN 1481 5 X 40</t>
  </si>
  <si>
    <t>E0105 050</t>
  </si>
  <si>
    <t>ESPINAS ELASTICAS DIN 1481 5 X 50</t>
  </si>
  <si>
    <t>E0105 060</t>
  </si>
  <si>
    <t>ESPINAS ELASTICAS DIN 1481 5 X 60</t>
  </si>
  <si>
    <t>E0105 070</t>
  </si>
  <si>
    <t>ESPINAS ELASTICAS DIN 1481 5 X 70</t>
  </si>
  <si>
    <t>E0105 080</t>
  </si>
  <si>
    <t>ESPINAS ELASTICAS DIN 1481 5 X 80</t>
  </si>
  <si>
    <t>E0106 030</t>
  </si>
  <si>
    <t>ESPINAS ELASTICAS DIN 1481 6 X 30</t>
  </si>
  <si>
    <t>36X44</t>
  </si>
  <si>
    <t>E0106 040</t>
  </si>
  <si>
    <t>ESPINAS ELASTICAS DIN 1481 6 X 40</t>
  </si>
  <si>
    <t>37X45</t>
  </si>
  <si>
    <t>E0106 050</t>
  </si>
  <si>
    <t>ESPINAS ELASTICAS DIN 1481 6 X 50</t>
  </si>
  <si>
    <t>E0106 060</t>
  </si>
  <si>
    <t>ESPINAS ELASTICAS DIN 1481 6 X 60</t>
  </si>
  <si>
    <t>E0106 070</t>
  </si>
  <si>
    <t>ESPINAS ELASTICAS DIN 1481 6 X 70</t>
  </si>
  <si>
    <t>33X49</t>
  </si>
  <si>
    <t>E0106 080</t>
  </si>
  <si>
    <t>ESPINAS ELASTICAS DIN 1481 6 X 80</t>
  </si>
  <si>
    <t>7X15</t>
  </si>
  <si>
    <t>E0107 040</t>
  </si>
  <si>
    <t>ESPINAS ELASTICAS DIN 1481 7 X 40</t>
  </si>
  <si>
    <t>11X16</t>
  </si>
  <si>
    <t>E0107 050</t>
  </si>
  <si>
    <t>ESPINAS ELASTICAS DIN 1481 7 X 50</t>
  </si>
  <si>
    <t>E0107 060</t>
  </si>
  <si>
    <t>ESPINAS ELASTICAS DIN 1481 7 X 60</t>
  </si>
  <si>
    <t>E0108 040</t>
  </si>
  <si>
    <t>ESPINAS ELASTICAS DIN 1481 8 X 40</t>
  </si>
  <si>
    <t>7X12</t>
  </si>
  <si>
    <t>E0108 050</t>
  </si>
  <si>
    <t>ESPINAS ELASTICAS DIN 1481 8 X 50</t>
  </si>
  <si>
    <t>E0108 060</t>
  </si>
  <si>
    <t>ESPINAS ELASTICAS DIN 1481 8 X 60</t>
  </si>
  <si>
    <t>E0108 070</t>
  </si>
  <si>
    <t>ESPINAS ELASTICAS DIN 1481 8 X 70</t>
  </si>
  <si>
    <t>13X29</t>
  </si>
  <si>
    <t>E0108 080</t>
  </si>
  <si>
    <t>ESPINAS ELASTICAS DIN 1481 8 X 80</t>
  </si>
  <si>
    <t>14X30</t>
  </si>
  <si>
    <t>E0108 100</t>
  </si>
  <si>
    <t>ESPINAS ELASTICAS DIN 1481 8 X100</t>
  </si>
  <si>
    <t>15X20</t>
  </si>
  <si>
    <t>E0110 050</t>
  </si>
  <si>
    <t>ESPINAS ELASTICAS DIN 1481 10 X 50</t>
  </si>
  <si>
    <t>15X23</t>
  </si>
  <si>
    <t>E0110 060</t>
  </si>
  <si>
    <t>ESPINAS ELASTICAS DIN 1481 10 X 60</t>
  </si>
  <si>
    <t>E0110 070</t>
  </si>
  <si>
    <t>ESPINAS ELASTICAS DIN 1481 10 X 70</t>
  </si>
  <si>
    <t>17X33</t>
  </si>
  <si>
    <t>E0110 080</t>
  </si>
  <si>
    <t>ESPINAS ELASTICAS DIN 1481 10 X 80</t>
  </si>
  <si>
    <t>18X26</t>
  </si>
  <si>
    <t>B010 001.2</t>
  </si>
  <si>
    <t>RETENES SEGURIDAD DIN 6799 RS 1.20</t>
  </si>
  <si>
    <t>18X34</t>
  </si>
  <si>
    <t>B010 001.5</t>
  </si>
  <si>
    <t>RETENES SEGURIDAD DIN 6799 RS 1.50</t>
  </si>
  <si>
    <t>19X24</t>
  </si>
  <si>
    <t>B010 001.9</t>
  </si>
  <si>
    <t>RETENES SEGURIDAD DIN 6799 RS 1.90</t>
  </si>
  <si>
    <t>19X27</t>
  </si>
  <si>
    <t>B010 002.3</t>
  </si>
  <si>
    <t>RETENES SEGURIDAD DIN 6799 RS 2.30</t>
  </si>
  <si>
    <t>20X36</t>
  </si>
  <si>
    <t>B010 003.2</t>
  </si>
  <si>
    <t>RETENES SEGURIDAD DIN 6799 RS 3.20</t>
  </si>
  <si>
    <t>21X29</t>
  </si>
  <si>
    <t>B010 004N</t>
  </si>
  <si>
    <t>RETENES SEGURIDAD DIN 6799 RS 4</t>
  </si>
  <si>
    <t>21X37</t>
  </si>
  <si>
    <t>B010 005N</t>
  </si>
  <si>
    <t>RETENES SEGURIDAD DIN 6799 RS 5</t>
  </si>
  <si>
    <t>23X31</t>
  </si>
  <si>
    <t>B010 006N</t>
  </si>
  <si>
    <t>RETENES SEGURIDAD DIN 6799 RS 6</t>
  </si>
  <si>
    <t>23X39</t>
  </si>
  <si>
    <t>B010 007N</t>
  </si>
  <si>
    <t>RETENES SEGURIDAD DIN 6799 RS 7</t>
  </si>
  <si>
    <t>27X35</t>
  </si>
  <si>
    <t>B010 008N</t>
  </si>
  <si>
    <t>RETENES SEGURIDAD DIN 6799 RS 8</t>
  </si>
  <si>
    <t>27X43</t>
  </si>
  <si>
    <t>B010 009N</t>
  </si>
  <si>
    <t>RETENES SEGURIDAD DIN 6799 RS 9</t>
  </si>
  <si>
    <t>29X37</t>
  </si>
  <si>
    <t>B010 010N</t>
  </si>
  <si>
    <t>RETENES SEGURIDAD DIN 6799 RS 10</t>
  </si>
  <si>
    <t>29X45</t>
  </si>
  <si>
    <t>B010 012N</t>
  </si>
  <si>
    <t>RETENES SEGURIDAD DIN 6799 RS 12</t>
  </si>
  <si>
    <t>31X39</t>
  </si>
  <si>
    <t>B010 015N</t>
  </si>
  <si>
    <t>RETENES SEGURIDAD DIN 6799 RS 15</t>
  </si>
  <si>
    <t>31X47</t>
  </si>
  <si>
    <t>B010 019</t>
  </si>
  <si>
    <t>RETENES SEGURIDAD DIN 6799 RS 19</t>
  </si>
  <si>
    <t>34X50</t>
  </si>
  <si>
    <t>36X52</t>
  </si>
  <si>
    <t>37X53</t>
  </si>
  <si>
    <t>39X47</t>
  </si>
  <si>
    <t>39X55</t>
  </si>
  <si>
    <t>41X57</t>
  </si>
  <si>
    <t>43X59</t>
  </si>
  <si>
    <t>D01C 0510</t>
  </si>
  <si>
    <t>A. DE SUPLEMENTO 5 X 10 X 0.20</t>
  </si>
  <si>
    <t>D01A 0513</t>
  </si>
  <si>
    <t>A. DE SUPLEMENTO 5 X 13 X 0.20</t>
  </si>
  <si>
    <t>D01C 0611</t>
  </si>
  <si>
    <t>A. DE SUPLEMENTO 6 X 11 X 0.20</t>
  </si>
  <si>
    <t>D01A 0614</t>
  </si>
  <si>
    <t>A. DE SUPLEMENTO 6 X 14 X 0.20</t>
  </si>
  <si>
    <t>D01C 0712</t>
  </si>
  <si>
    <t>A. DE SUPLEMENTO 7 X 12 X 0.20</t>
  </si>
  <si>
    <t>D01A 0715</t>
  </si>
  <si>
    <t>A. DE SUPLEMENTO 7 X 15 X 0.20</t>
  </si>
  <si>
    <t>D01C 0813</t>
  </si>
  <si>
    <t>A. DE SUPLEMENTO 8 X 13 X 0.20</t>
  </si>
  <si>
    <t>D01A 0816</t>
  </si>
  <si>
    <t>A. DE SUPLEMENTO 8 X 16 X 0.20</t>
  </si>
  <si>
    <t>D01C 0914</t>
  </si>
  <si>
    <t>A. DE SUPLEMENTO 9 X 14 X 0.20</t>
  </si>
  <si>
    <t>D01A 0917</t>
  </si>
  <si>
    <t>A. DE SUPLEMENTO 9 X 17 X 0.20</t>
  </si>
  <si>
    <t>D01C 1015</t>
  </si>
  <si>
    <t>A. DE SUPLEMENTO 10 X 15 X 0.20</t>
  </si>
  <si>
    <t>D01A 1018</t>
  </si>
  <si>
    <t>A. DE SUPLEMENTO 10 X 18 X 0.20</t>
  </si>
  <si>
    <t>D01B 010</t>
  </si>
  <si>
    <t>A. DE SUPLEMENTO 10 X 26 X 0.20</t>
  </si>
  <si>
    <t>D01C 1116</t>
  </si>
  <si>
    <t>A. DE SUPLEMENTO 11 X 16 X 0.20</t>
  </si>
  <si>
    <t>D01A 1119</t>
  </si>
  <si>
    <t>A. DE SUPLEMENTO 11 X 19 X 0.20</t>
  </si>
  <si>
    <t>D01B 011</t>
  </si>
  <si>
    <t>A. DE SUPLEMENTO 11 X 27 X 0.20</t>
  </si>
  <si>
    <t>D01C 1217</t>
  </si>
  <si>
    <t>A. DE SUPLEMENTO 12 X 17 X 0.20</t>
  </si>
  <si>
    <t>D01A 1220</t>
  </si>
  <si>
    <t>A. DE SUPLEMENTO 12 X 20 X 0.20</t>
  </si>
  <si>
    <t>D01B 012</t>
  </si>
  <si>
    <t>A. DE SUPLEMENTO 12 X 28 X 0.20</t>
  </si>
  <si>
    <t>D01C 1318</t>
  </si>
  <si>
    <t>A. DE SUPLEMENTO 13 X 18 X 0.20</t>
  </si>
  <si>
    <t>D01A 1321</t>
  </si>
  <si>
    <t>A. DE SUPLEMENTO 13 X 21 X 0.20</t>
  </si>
  <si>
    <t>D01B 013</t>
  </si>
  <si>
    <t>A. DE SUPLEMENTO 13 X 29 X 0.20</t>
  </si>
  <si>
    <t>D01C 1419</t>
  </si>
  <si>
    <t>A. DE SUPLEMENTO 14 X 19 X 0.20</t>
  </si>
  <si>
    <t>D01A 1422</t>
  </si>
  <si>
    <t>A. DE SUPLEMENTO 14 X 22 X 0.20</t>
  </si>
  <si>
    <t>D01B 014</t>
  </si>
  <si>
    <t>A. DE SUPLEMENTO 14 X 30 X 0.20</t>
  </si>
  <si>
    <t>D01C 1520</t>
  </si>
  <si>
    <t>A. DE SUPLEMENTO 15 X 20 X 0.20</t>
  </si>
  <si>
    <t>D01A 1523</t>
  </si>
  <si>
    <t>A. DE SUPLEMENTO 15 X 23 X 0.20</t>
  </si>
  <si>
    <t>D01C 1621</t>
  </si>
  <si>
    <t>A. DE SUPLEMENTO 16 X 21 X 0.20</t>
  </si>
  <si>
    <t>D01A 1624</t>
  </si>
  <si>
    <t>A. DE SUPLEMENTO 16 X 24 X 0.20</t>
  </si>
  <si>
    <t>D01B 016</t>
  </si>
  <si>
    <t>A. DE SUPLEMENTO 16 X 32 X 0.20</t>
  </si>
  <si>
    <t>D01C 1722</t>
  </si>
  <si>
    <t>A. DE SUPLEMENTO 17 X 22 X 0.20</t>
  </si>
  <si>
    <t>D01A 1725</t>
  </si>
  <si>
    <t>A. DE SUPLEMENTO 17 X 25 X 0.20</t>
  </si>
  <si>
    <t>D01B 017</t>
  </si>
  <si>
    <t>A. DE SUPLEMENTO 17 X 33 X 0.20</t>
  </si>
  <si>
    <t>D01C 1823</t>
  </si>
  <si>
    <t>A. DE SUPLEMENTO 18 X 23 X 0.20</t>
  </si>
  <si>
    <t>D01A 1826</t>
  </si>
  <si>
    <t>A. DE SUPLEMENTO 18 X 26 X 0.20</t>
  </si>
  <si>
    <t>D01B 018</t>
  </si>
  <si>
    <t>A. DE SUPLEMENTO 18 X 34 X 0.20</t>
  </si>
  <si>
    <t>D01C 1924</t>
  </si>
  <si>
    <t>A. DE SUPLEMENTO 19 X 24 X 0.20</t>
  </si>
  <si>
    <t>D01A 1927</t>
  </si>
  <si>
    <t>A. DE SUPLEMENTO 19 X 27 X 0.20</t>
  </si>
  <si>
    <t>D01B 019</t>
  </si>
  <si>
    <t>A. DE SUPLEMENTO 19 X 35 X 0.20</t>
  </si>
  <si>
    <t>D01C 2025</t>
  </si>
  <si>
    <t>A. DE SUPLEMENTO 20 X 25 X 0.20</t>
  </si>
  <si>
    <t>D01A 2028</t>
  </si>
  <si>
    <t>A. DE SUPLEMENTO 20 X 28 X 0.20</t>
  </si>
  <si>
    <t>D01B 020</t>
  </si>
  <si>
    <t>A. DE SUPLEMENTO 20 X 36 X 0.20</t>
  </si>
  <si>
    <t>D01A 2129</t>
  </si>
  <si>
    <t>A. DE SUPLEMENTO 21 X 29 X 0.20</t>
  </si>
  <si>
    <t>D01B 021</t>
  </si>
  <si>
    <t>A. DE SUPLEMENTO 21 X 37 X 0.20</t>
  </si>
  <si>
    <t>D01C 2126</t>
  </si>
  <si>
    <t>A. DE SUPLEMENTO 21 X 26 X 0.20</t>
  </si>
  <si>
    <t>D01A 2230</t>
  </si>
  <si>
    <t>A. DE SUPLEMENTO 22 X 30 X 0.20</t>
  </si>
  <si>
    <t>D01B 022</t>
  </si>
  <si>
    <t>A. DE SUPLEMENTO 22 X 38 X 0.20</t>
  </si>
  <si>
    <t>D01C 2227</t>
  </si>
  <si>
    <t>A. DE SUPLEMENTO 22 X 27 X 0.20</t>
  </si>
  <si>
    <t>D01A 2331</t>
  </si>
  <si>
    <t>A. DE SUPLEMENTO 23 X 31 X 0.20</t>
  </si>
  <si>
    <t>D01B 023</t>
  </si>
  <si>
    <t>A. DE SUPLEMENTO 23 X 39 X 0.20</t>
  </si>
  <si>
    <t>D01C 2328</t>
  </si>
  <si>
    <t>A. DE SUPLEMENTO 23 X 28 X 0.20</t>
  </si>
  <si>
    <t>D01A 2432</t>
  </si>
  <si>
    <t>A. DE SUPLEMENTO 24 X 32 X 0.20</t>
  </si>
  <si>
    <t>D01B 024</t>
  </si>
  <si>
    <t>A. DE SUPLEMENTO 24 X 40 X 0.20</t>
  </si>
  <si>
    <t>D01C 2429</t>
  </si>
  <si>
    <t>A. DE SUPLEMENTO 24 X 29 X 0.20</t>
  </si>
  <si>
    <t>D01A 2533</t>
  </si>
  <si>
    <t>A. DE SUPLEMENTO 25 X 33 X 0.20</t>
  </si>
  <si>
    <t>D01B 025</t>
  </si>
  <si>
    <t>A. DE SUPLEMENTO 25 X 41 X 0.20</t>
  </si>
  <si>
    <t>D01C 2530</t>
  </si>
  <si>
    <t>A. DE SUPLEMENTO 25 X 30 X 0.20</t>
  </si>
  <si>
    <t>D01A 2634</t>
  </si>
  <si>
    <t>A. DE SUPLEMENTO 26 X 34 X 0.20</t>
  </si>
  <si>
    <t>D01B 026</t>
  </si>
  <si>
    <t>A. DE SUPLEMENTO 26 X 42 X 0.20</t>
  </si>
  <si>
    <t>D01C 2631</t>
  </si>
  <si>
    <t>A. DE SUPLEMENTO 26 X 31 X 0.20</t>
  </si>
  <si>
    <t>D01A 2735</t>
  </si>
  <si>
    <t>A. DE SUPLEMENTO 27 X 35 X 0.20</t>
  </si>
  <si>
    <t>D01B 027</t>
  </si>
  <si>
    <t>A. DE SUPLEMENTO 27 X 43 X 0.20</t>
  </si>
  <si>
    <t>D01A 2836</t>
  </si>
  <si>
    <t>A. DE SUPLEMENTO 28 X 36 X 0.20</t>
  </si>
  <si>
    <t>D01B 028</t>
  </si>
  <si>
    <t>A. DE SUPLEMENTO 28 X 44 X 0.20</t>
  </si>
  <si>
    <t>D01A 2937</t>
  </si>
  <si>
    <t>A. DE SUPLEMENTO 29 X 37 X 0.20</t>
  </si>
  <si>
    <t>D01B 029</t>
  </si>
  <si>
    <t>A. DE SUPLEMENTO 29 X 45 X 0.20</t>
  </si>
  <si>
    <t>D01A 3038</t>
  </si>
  <si>
    <t>A. DE SUPLEMENTO 30 X 38 X 0.20</t>
  </si>
  <si>
    <t>D01B 030</t>
  </si>
  <si>
    <t>A. DE SUPLEMENTO 30 X 46 X 0.20</t>
  </si>
  <si>
    <t>D01C 3035</t>
  </si>
  <si>
    <t>A. DE SUPLEMENTO 30 X 35 X 0.20</t>
  </si>
  <si>
    <t>D01A 3139</t>
  </si>
  <si>
    <t>A. DE SUPLEMENTO 31 X 39 X 0.20</t>
  </si>
  <si>
    <t>D01B 031</t>
  </si>
  <si>
    <t>A. DE SUPLEMENTO 31 X 47 X 0.20</t>
  </si>
  <si>
    <t>D01A 3240</t>
  </si>
  <si>
    <t>A. DE SUPLEMENTO 32 X 40 X 0.20</t>
  </si>
  <si>
    <t>D01B 032</t>
  </si>
  <si>
    <t>A. DE SUPLEMENTO 32 X 48 X 0.20</t>
  </si>
  <si>
    <t>D01A 3341</t>
  </si>
  <si>
    <t>A. DE SUPLEMENTO 33 X 41 X 0.20</t>
  </si>
  <si>
    <t>D01B 033</t>
  </si>
  <si>
    <t>A. DE SUPLEMENTO 33 X 49 X 0.20</t>
  </si>
  <si>
    <t>D01A 3442</t>
  </si>
  <si>
    <t>A. DE SUPLEMENTO 34 X 42 X 0.20</t>
  </si>
  <si>
    <t>D01B 034</t>
  </si>
  <si>
    <t>A. DE SUPLEMENTO 34 X 50 X 0.20</t>
  </si>
  <si>
    <t>D01A 3543</t>
  </si>
  <si>
    <t>A. DE SUPLEMENTO 35 X 43 X 0.20</t>
  </si>
  <si>
    <t>D01B 035</t>
  </si>
  <si>
    <t>A. DE SUPLEMENTO 35 X 51 X 0.20</t>
  </si>
  <si>
    <t>D01A 3644</t>
  </si>
  <si>
    <t>A. DE SUPLEMENTO 36 X 44 X 0.20</t>
  </si>
  <si>
    <t>D01B 036</t>
  </si>
  <si>
    <t>A. DE SUPLEMENTO 36 X 52 X 0.20</t>
  </si>
  <si>
    <t>D01A 3745</t>
  </si>
  <si>
    <t>A. DE SUPLEMENTO 37 X 45 X 0.20</t>
  </si>
  <si>
    <t>D01B 037</t>
  </si>
  <si>
    <t>A. DE SUPLEMENTO 37 X 53 X 0.20</t>
  </si>
  <si>
    <t>D01A 3846</t>
  </si>
  <si>
    <t>A. DE SUPLEMENTO 38 X 46 X 0.20</t>
  </si>
  <si>
    <t>D01B 038</t>
  </si>
  <si>
    <t>A. DE SUPLEMENTO 38 X 54 X 0.20</t>
  </si>
  <si>
    <t>D01A 3947</t>
  </si>
  <si>
    <t>A. DE SUPLEMENTO 39 X 47 X 0.20</t>
  </si>
  <si>
    <t>D01B 039</t>
  </si>
  <si>
    <t>A. DE SUPLEMENTO 39 X 55 X 0.20</t>
  </si>
  <si>
    <t>D01A 4048</t>
  </si>
  <si>
    <t>A. DE SUPLEMENTO 40 X 48 X 0.20</t>
  </si>
  <si>
    <t>D01B 040</t>
  </si>
  <si>
    <t>A. DE SUPLEMENTO 40 X 56 X 0.20</t>
  </si>
  <si>
    <t>D01A 4149</t>
  </si>
  <si>
    <t>A. DE SUPLEMENTO 41 X 49 X 0.20</t>
  </si>
  <si>
    <t>D01B 041</t>
  </si>
  <si>
    <t>A. DE SUPLEMENTO 41 X 57 X 0.20</t>
  </si>
  <si>
    <t>D01A 4250</t>
  </si>
  <si>
    <t>A. DE SUPLEMENTO 42 X 50 X 0.20</t>
  </si>
  <si>
    <t>D01B 042</t>
  </si>
  <si>
    <t>A. DE SUPLEMENTO 42 X 58 X 0.20</t>
  </si>
  <si>
    <t>D01B 043</t>
  </si>
  <si>
    <t>A. DE SUPLEMENTO 43 X 59 X 0.20</t>
  </si>
  <si>
    <t>D01B 044</t>
  </si>
  <si>
    <t>A. DE SUPLEMENTO 44 X 60 X 0.20</t>
  </si>
  <si>
    <t>D01B 045</t>
  </si>
  <si>
    <t>A. DE SUPLEMENTO 45 X 61 X 0.20</t>
  </si>
  <si>
    <t>D01B 046</t>
  </si>
  <si>
    <t>A. DE SUPLEMENTO 46 X 58 X 0.20</t>
  </si>
  <si>
    <t>D01B 047</t>
  </si>
  <si>
    <t>A. DE SUPLEMENTO 47 X 59 X 0.20</t>
  </si>
  <si>
    <t>D01B 048</t>
  </si>
  <si>
    <t>A. DE SUPLEMENTO 48 X 60 X 0.20</t>
  </si>
  <si>
    <t>D01B 049</t>
  </si>
  <si>
    <t>A. DE SUPLEMENTO 49 X 61 X 0.20</t>
  </si>
  <si>
    <t>D01B 050</t>
  </si>
  <si>
    <t>A. DE SUPLEMENTO 50 X 62 X 0.20</t>
  </si>
  <si>
    <t>D01B 051</t>
  </si>
  <si>
    <t>A. DE SUPLEMENTO 51 X 63 X 0.20</t>
  </si>
  <si>
    <t>D01B 052</t>
  </si>
  <si>
    <t>A. DE SUPLEMENTO 52 X 64 X 0.20</t>
  </si>
  <si>
    <t>D01B 053</t>
  </si>
  <si>
    <t>A. DE SUPLEMENTO 53 X 65 X 0.20</t>
  </si>
  <si>
    <t>D01B 054</t>
  </si>
  <si>
    <t>A. DE SUPLEMENTO 54 X 66 X 0.20</t>
  </si>
  <si>
    <t>D01B 055</t>
  </si>
  <si>
    <t>A. DE SUPLEMENTO 55 X 67 X 0.20</t>
  </si>
  <si>
    <t>D01B 056</t>
  </si>
  <si>
    <t>A. DE SUPLEMENTO 56 X 68 X 0.20</t>
  </si>
  <si>
    <t>D01B 057</t>
  </si>
  <si>
    <t>A. DE SUPLEMENTO 57 X 69 X 0.20</t>
  </si>
  <si>
    <t>D01B 058</t>
  </si>
  <si>
    <t>A. DE SUPLEMENTO 58 X 70 X 0.20</t>
  </si>
  <si>
    <t>D01B 059</t>
  </si>
  <si>
    <t>A. DE SUPLEMENTO 59 X 71 X 0.20</t>
  </si>
  <si>
    <t>D01B 060</t>
  </si>
  <si>
    <t>A. DE SUPLEMENTO 60 X 72 X 0.20</t>
  </si>
  <si>
    <t>D01B 061</t>
  </si>
  <si>
    <t>A. DE SUPLEMENTO 61 X 73 X 0.20</t>
  </si>
  <si>
    <t>D01B 062</t>
  </si>
  <si>
    <t>A. DE SUPLEMENTO 62 X 74 X 0.20</t>
  </si>
  <si>
    <t>D01B 063</t>
  </si>
  <si>
    <t>A. DE SUPLEMENTO 63 X 75 X 0.20</t>
  </si>
  <si>
    <t>D01B 064</t>
  </si>
  <si>
    <t>A. DE SUPLEMENTO 64 X 76 X 0.20</t>
  </si>
  <si>
    <t>D01B 065</t>
  </si>
  <si>
    <t>A. DE SUPLEMENTO 65 X 77 X 0.20</t>
  </si>
  <si>
    <t>D01B 066</t>
  </si>
  <si>
    <t>A. DE SUPLEMENTO 66 X 78 X 0.20</t>
  </si>
  <si>
    <t>D01B 067</t>
  </si>
  <si>
    <t>A. DE SUPLEMENTO 67 X 79 X 0.20</t>
  </si>
  <si>
    <t>D01B 068</t>
  </si>
  <si>
    <t>A. DE SUPLEMENTO 68 X 80 X 0.20</t>
  </si>
  <si>
    <t>D01B 069</t>
  </si>
  <si>
    <t>A. DE SUPLEMENTO 69 X 81 X 0.20</t>
  </si>
  <si>
    <t>D01B 070</t>
  </si>
  <si>
    <t>A. DE SUPLEMENTO 70 X 82 X 0.20</t>
  </si>
  <si>
    <t>D01B 071</t>
  </si>
  <si>
    <t>A. DE SUPLEMENTO 71 X 83 X 0.20</t>
  </si>
  <si>
    <t>D01B 072</t>
  </si>
  <si>
    <t>A. DE SUPLEMENTO 72 X 84 X 0.20</t>
  </si>
  <si>
    <t>D01B 073</t>
  </si>
  <si>
    <t>A. DE SUPLEMENTO 73 X 85 X 0.20</t>
  </si>
  <si>
    <t>D01B 074</t>
  </si>
  <si>
    <t>A. DE SUPLEMENTO 74 X 86 X 0.20</t>
  </si>
  <si>
    <t>D01B 075</t>
  </si>
  <si>
    <t>A. DE SUPLEMENTO 75 X 87 X 0.20</t>
  </si>
  <si>
    <t>D01B 076</t>
  </si>
  <si>
    <t>A. DE SUPLEMENTO 76 X 88 X 0.20</t>
  </si>
  <si>
    <t>D01B 077</t>
  </si>
  <si>
    <t>A. DE SUPLEMENTO 77 X 89 X 0.20</t>
  </si>
  <si>
    <t>D01B 078</t>
  </si>
  <si>
    <t>A. DE SUPLEMENTO 78 X 90 X 0.20</t>
  </si>
  <si>
    <t>D01B 079</t>
  </si>
  <si>
    <t>A. DE SUPLEMENTO 79 X 91 X 0.20</t>
  </si>
  <si>
    <t>D01B 080</t>
  </si>
  <si>
    <t>A. DE SUPLEMENTO 80 X 92 X 0.20</t>
  </si>
  <si>
    <t>.</t>
  </si>
  <si>
    <t>D01B 094</t>
  </si>
  <si>
    <t>A. DE SUPLEMENTO 94 X 106 X 0.20</t>
  </si>
  <si>
    <t>D01B 095</t>
  </si>
  <si>
    <t>A. DE SUPLEMENTO 95 X 107 X 0.20</t>
  </si>
  <si>
    <t>D01B 096</t>
  </si>
  <si>
    <t>A. DE SUPLEMENTO 96 X 108 X 0.20</t>
  </si>
  <si>
    <t>D01B 097</t>
  </si>
  <si>
    <t>A. DE SUPLEMENTO 97 X 109 X 0.20</t>
  </si>
  <si>
    <t>D01B 098</t>
  </si>
  <si>
    <t>A. DE SUPLEMENTO 98 X 110 X 0.20</t>
  </si>
  <si>
    <t>D01B 099</t>
  </si>
  <si>
    <t>A. DE SUPLEMENTO 99 X 111 X 0.20</t>
  </si>
  <si>
    <t>D01B 100</t>
  </si>
  <si>
    <t>A. DE SUPLEMENTO 100 X 112 X 0.20</t>
  </si>
  <si>
    <t>D01B 105</t>
  </si>
  <si>
    <t>A. DE SUPLEMENTO 105 X 117 X 0.20</t>
  </si>
  <si>
    <t>D01B 115</t>
  </si>
  <si>
    <t>A. DE SUPLEMENTO 115 X 127 X 0.20</t>
  </si>
  <si>
    <t>D01I0030510</t>
  </si>
  <si>
    <t>ARANDELAS DE SUPLEMENTO 5 x 10 x 0.80</t>
  </si>
  <si>
    <t>D01I0010513</t>
  </si>
  <si>
    <t>ARANDELAS DE SUPLEMENTO 5 x 13 x 0.80</t>
  </si>
  <si>
    <t>D01I0030611</t>
  </si>
  <si>
    <t>ARANDELAS DE SUPLEMENTO 6 x 11 x 0.80</t>
  </si>
  <si>
    <t>D01I0010614</t>
  </si>
  <si>
    <t>ARANDELAS DE SUPLEMENTO 6 x 14 x 0.80</t>
  </si>
  <si>
    <t>D01I0030712</t>
  </si>
  <si>
    <t>ARANDELAS DE SUPLEMENTO 7 x 12 x 0.80</t>
  </si>
  <si>
    <t>D01I0010715</t>
  </si>
  <si>
    <t>ARANDELAS DE SUPLEMENTO 7 x 15 x 0.80</t>
  </si>
  <si>
    <t>D01I0030813</t>
  </si>
  <si>
    <t>ARANDELAS DE SUPLEMENTO 8 x 13 x 0.80</t>
  </si>
  <si>
    <t>D01I0010816</t>
  </si>
  <si>
    <t>ARANDELAS DE SUPLEMENTO 8 x 16 x 0.80</t>
  </si>
  <si>
    <t>D01I0030914</t>
  </si>
  <si>
    <t>ARANDELAS DE SUPLEMENTO 9 x 14 x 0.80</t>
  </si>
  <si>
    <t>D01I0010917</t>
  </si>
  <si>
    <t>ARANDELAS DE SUPLEMENTO 9 x 17 x 0.80</t>
  </si>
  <si>
    <t>D01I0031015</t>
  </si>
  <si>
    <t>ARANDELAS DE SUPLEMENTO 10 x 15 x 0.80</t>
  </si>
  <si>
    <t>D01I0011018</t>
  </si>
  <si>
    <t>ARANDELAS DE SUPLEMENTO 10 x 18 x 0.80</t>
  </si>
  <si>
    <t>D01I00201026</t>
  </si>
  <si>
    <t>ARANDELAS DE SUPLEMENTO 10 x 26 x 0.80</t>
  </si>
  <si>
    <t>D01I0031116</t>
  </si>
  <si>
    <t>ARANDELAS DE SUPLEMENTO 11 x 16 x 0.80</t>
  </si>
  <si>
    <t>D01I0011119</t>
  </si>
  <si>
    <t>ARANDELAS DE SUPLEMENTO 11 x 19 x 0.80</t>
  </si>
  <si>
    <t>D01I00201127</t>
  </si>
  <si>
    <t>ARANDELAS DE SUPLEMENTO 11 x 27 x 0.80</t>
  </si>
  <si>
    <t>D01I0031217</t>
  </si>
  <si>
    <t>ARANDELAS DE SUPLEMENTO 12 x 17 x 0.80</t>
  </si>
  <si>
    <t>D01I0011220</t>
  </si>
  <si>
    <t>ARANDELAS DE SUPLEMENTO 12 x 20 x 0.80</t>
  </si>
  <si>
    <t>D01I00201228</t>
  </si>
  <si>
    <t>ARANDELAS DE SUPLEMENTO 12 x 28 x 0.80</t>
  </si>
  <si>
    <t>D01I0031318</t>
  </si>
  <si>
    <t>ARANDELAS DE SUPLEMENTO 13 x 18 x 0.80</t>
  </si>
  <si>
    <t>D01I0011321</t>
  </si>
  <si>
    <t>ARANDELAS DE SUPLEMENTO 13 x 21 x 0.80</t>
  </si>
  <si>
    <t>D01I00201329</t>
  </si>
  <si>
    <t>ARANDELAS DE SUPLEMENTO 13 x 29 x 0.80</t>
  </si>
  <si>
    <t>D01I0031419</t>
  </si>
  <si>
    <t>ARANDELAS DE SUPLEMENTO 14 x 19 x 0.80</t>
  </si>
  <si>
    <t>D01I0011422</t>
  </si>
  <si>
    <t>ARANDELAS DE SUPLEMENTO 14 x 22 x 0.80</t>
  </si>
  <si>
    <t>D01I00201430</t>
  </si>
  <si>
    <t>ARANDELAS DE SUPLEMENTO 14 x 30 x 0.80</t>
  </si>
  <si>
    <t>D01I0031520</t>
  </si>
  <si>
    <t>ARANDELAS DE SUPLEMENTO 15 x 20 x 0.80</t>
  </si>
  <si>
    <t>D01I0011523</t>
  </si>
  <si>
    <t>ARANDELAS DE SUPLEMENTO 15 x 23 x 0.80</t>
  </si>
  <si>
    <t>D01I0031621</t>
  </si>
  <si>
    <t>ARANDELAS DE SUPLEMENTO 16 x 21 x 0.80</t>
  </si>
  <si>
    <t>D01I0011624</t>
  </si>
  <si>
    <t>ARANDELAS DE SUPLEMENTO 16 x 24 x 0.80</t>
  </si>
  <si>
    <t>D01I00201632</t>
  </si>
  <si>
    <t>ARANDELAS DE SUPLEMENTO 16 x 32 x 0.80</t>
  </si>
  <si>
    <t>D01I0031722</t>
  </si>
  <si>
    <t>ARANDELAS DE SUPLEMENTO 17 x 22 x 0.80</t>
  </si>
  <si>
    <t>D01I0011725</t>
  </si>
  <si>
    <t>ARANDELAS DE SUPLEMENTO 17 x 25 x 0.80</t>
  </si>
  <si>
    <t>D01I00201733</t>
  </si>
  <si>
    <t>ARANDELAS DE SUPLEMENTO 17 x 33 x 0.80</t>
  </si>
  <si>
    <t>D01I0031823</t>
  </si>
  <si>
    <t>ARANDELAS DE SUPLEMENTO 18 x 23 x 0.80</t>
  </si>
  <si>
    <t>D01I0011826</t>
  </si>
  <si>
    <t>ARANDELAS DE SUPLEMENTO 18 x 26 x 0.80</t>
  </si>
  <si>
    <t>D01I00201834</t>
  </si>
  <si>
    <t>ARANDELAS DE SUPLEMENTO 18 x 34 x 0.80</t>
  </si>
  <si>
    <t>D01I0031924</t>
  </si>
  <si>
    <t>ARANDELAS DE SUPLEMENTO 19 x 24 x 0.80</t>
  </si>
  <si>
    <t>D01I0011927</t>
  </si>
  <si>
    <t>ARANDELAS DE SUPLEMENTO 19 x 27 x 0.80</t>
  </si>
  <si>
    <t>D01I00201935</t>
  </si>
  <si>
    <t>ARANDELAS DE SUPLEMENTO 19 x 35 x 0.80</t>
  </si>
  <si>
    <t>D01I0032025</t>
  </si>
  <si>
    <t>ARANDELAS DE SUPLEMENTO 20 x 25 x 0.80</t>
  </si>
  <si>
    <t>D01I0012028</t>
  </si>
  <si>
    <t>ARANDELAS DE SUPLEMENTO 20 x 28 x 0.80</t>
  </si>
  <si>
    <t>D01I00202036</t>
  </si>
  <si>
    <t>ARANDELAS DE SUPLEMENTO 20 x 36 x 0.80</t>
  </si>
  <si>
    <t>D01I0012129</t>
  </si>
  <si>
    <t>ARANDELAS DE SUPLEMENTO 21 x 29 x 0.80</t>
  </si>
  <si>
    <t>D01I00202137</t>
  </si>
  <si>
    <t>ARANDELAS DE SUPLEMENTO 21 x 37 x 0.80</t>
  </si>
  <si>
    <t>D01I0012230</t>
  </si>
  <si>
    <t>ARANDELAS DE SUPLEMENTO 22 x 30 x 0.80</t>
  </si>
  <si>
    <t>D01I00202238</t>
  </si>
  <si>
    <t>ARANDELAS DE SUPLEMENTO 22 x 38 x 0.80</t>
  </si>
  <si>
    <t>D01I0012331</t>
  </si>
  <si>
    <t>ARANDELAS DE SUPLEMENTO 23 x 31 x 0.80</t>
  </si>
  <si>
    <t>D01I00202339</t>
  </si>
  <si>
    <t>ARANDELAS DE SUPLEMENTO 23 x 39 x 0.80</t>
  </si>
  <si>
    <t>D01I0012432</t>
  </si>
  <si>
    <t>ARANDELAS DE SUPLEMENTO 24 x 32 x 0.80</t>
  </si>
  <si>
    <t>D01I00202440</t>
  </si>
  <si>
    <t>ARANDELAS DE SUPLEMENTO 24 x 40 x 0.80</t>
  </si>
  <si>
    <t>D01I0012533</t>
  </si>
  <si>
    <t>ARANDELAS DE SUPLEMENTO 25 x 33 x 0.80</t>
  </si>
  <si>
    <t>D01I00202541</t>
  </si>
  <si>
    <t>ARANDELAS DE SUPLEMENTO 25 x 41 x 0.80</t>
  </si>
  <si>
    <t>D01I0012634</t>
  </si>
  <si>
    <t>ARANDELAS DE SUPLEMENTO 26 x 34 x 0.80</t>
  </si>
  <si>
    <t>D01I00202642</t>
  </si>
  <si>
    <t>ARANDELAS DE SUPLEMENTO 26 x 42 x 0.80</t>
  </si>
  <si>
    <t>D01I0012735</t>
  </si>
  <si>
    <t>ARANDELAS DE SUPLEMENTO 27 x 35 x 0.80</t>
  </si>
  <si>
    <t>D01I00202743</t>
  </si>
  <si>
    <t>ARANDELAS DE SUPLEMENTO 27 x 43 x 0.80</t>
  </si>
  <si>
    <t>D01I0012836</t>
  </si>
  <si>
    <t>ARANDELAS DE SUPLEMENTO 28 x 36 x 0.80</t>
  </si>
  <si>
    <t>D01I00202844</t>
  </si>
  <si>
    <t>ARANDELAS DE SUPLEMENTO 28 x 44 x 0.80</t>
  </si>
  <si>
    <t>D01I0012937</t>
  </si>
  <si>
    <t>ARANDELAS DE SUPLEMENTO 29 x 37 x 0.80</t>
  </si>
  <si>
    <t>D01I00202945</t>
  </si>
  <si>
    <t>ARANDELAS DE SUPLEMENTO 29 x 45 x 0.80</t>
  </si>
  <si>
    <t>D01I0013038</t>
  </si>
  <si>
    <t>ARANDELAS DE SUPLEMENTO 30 x 38 x 0.80</t>
  </si>
  <si>
    <t>D01I0013139</t>
  </si>
  <si>
    <t>ARANDELAS DE SUPLEMENTO 31 x 39 x 0.80</t>
  </si>
  <si>
    <t>D01I00203147</t>
  </si>
  <si>
    <t>ARANDELAS DE SUPLEMENTO 31 x 47 x 0.80</t>
  </si>
  <si>
    <t>D01I0013240</t>
  </si>
  <si>
    <t>ARANDELAS DE SUPLEMENTO 32 x 40 x 0.80</t>
  </si>
  <si>
    <t>D01I00203248</t>
  </si>
  <si>
    <t>ARANDELAS DE SUPLEMENTO 32 x 48 x 0.80</t>
  </si>
  <si>
    <t>D01I0013341</t>
  </si>
  <si>
    <t>ARANDELAS DE SUPLEMENTO 33 x 41 x 0.80</t>
  </si>
  <si>
    <t>D01I00203349</t>
  </si>
  <si>
    <t>ARANDELAS DE SUPLEMENTO 33 x 49 x 0.80</t>
  </si>
  <si>
    <t>D01I0013442</t>
  </si>
  <si>
    <t>ARANDELAS DE SUPLEMENTO 34 x 42 x 0.80</t>
  </si>
  <si>
    <t>D01I00203450</t>
  </si>
  <si>
    <t>ARANDELAS DE SUPLEMENTO 34 x 50 x 0.80</t>
  </si>
  <si>
    <t>D01I0013543</t>
  </si>
  <si>
    <t>ARANDELAS DE SUPLEMENTO 35 x 43 x 0.80</t>
  </si>
  <si>
    <t>D01I00203551</t>
  </si>
  <si>
    <t>ARANDELAS DE SUPLEMENTO 35 x 51 x 0.80</t>
  </si>
  <si>
    <t>D01I0013644</t>
  </si>
  <si>
    <t>ARANDELAS DE SUPLEMENTO 36 x 44 x 0.80</t>
  </si>
  <si>
    <t>D01I00203652</t>
  </si>
  <si>
    <t>ARANDELAS DE SUPLEMENTO 36 x 52 x 0.80</t>
  </si>
  <si>
    <t>D01I0013745</t>
  </si>
  <si>
    <t>ARANDELAS DE SUPLEMENTO 37 x 45 x 0.80</t>
  </si>
  <si>
    <t>D01I00203753</t>
  </si>
  <si>
    <t>ARANDELAS DE SUPLEMENTO 37 x 53 x 0.80</t>
  </si>
  <si>
    <t>D01I0013846</t>
  </si>
  <si>
    <t>ARANDELAS DE SUPLEMENTO 38 x 46 x 0.80</t>
  </si>
  <si>
    <t>D01I00203854</t>
  </si>
  <si>
    <t>ARANDELAS DE SUPLEMENTO 38 x 54 x 0.80</t>
  </si>
  <si>
    <t>D01I0013947</t>
  </si>
  <si>
    <t>ARANDELAS DE SUPLEMENTO 39 x 47 x 0.80</t>
  </si>
  <si>
    <t>D01I00203955</t>
  </si>
  <si>
    <t>ARANDELAS DE SUPLEMENTO 39 x 55 x 0.80</t>
  </si>
  <si>
    <t>D01I0014048</t>
  </si>
  <si>
    <t>ARANDELAS DE SUPLEMENTO 40 x 48 x 0.80</t>
  </si>
  <si>
    <t>D01I00204056</t>
  </si>
  <si>
    <t>ARANDELAS DE SUPLEMENTO 40 x 56 x 0.80</t>
  </si>
  <si>
    <t>D01I0014149</t>
  </si>
  <si>
    <t>ARANDELAS DE SUPLEMENTO 41 x 49 x 0.80</t>
  </si>
  <si>
    <t>D01I00204157</t>
  </si>
  <si>
    <t>ARANDELAS DE SUPLEMENTO 41 x 57 x 0.80</t>
  </si>
  <si>
    <t>D01I0014250</t>
  </si>
  <si>
    <t>ARANDELAS DE SUPLEMENTO 42 x 50 x 0.80</t>
  </si>
  <si>
    <t>D01I00204258</t>
  </si>
  <si>
    <t>ARANDELAS DE SUPLEMENTO 42 x 58 x 0.80</t>
  </si>
  <si>
    <t>D01I00204359</t>
  </si>
  <si>
    <t>ARANDELAS DE SUPLEMENTO 43 x 59 x 0.80</t>
  </si>
  <si>
    <t>D01I00204460</t>
  </si>
  <si>
    <t>ARANDELAS DE SUPLEMENTO 44 x 60 x 0.80</t>
  </si>
  <si>
    <t>D01I00204561</t>
  </si>
  <si>
    <t>ARANDELAS DE SUPLEMENTO 45 x 61 x 0.80</t>
  </si>
  <si>
    <t>D01I00204658</t>
  </si>
  <si>
    <t>ARANDELAS DE SUPLEMENTO 46 x 58 x 0.80</t>
  </si>
  <si>
    <t>D01I00204759</t>
  </si>
  <si>
    <t>ARANDELAS DE SUPLEMENTO 47 x 59 x 0.80</t>
  </si>
  <si>
    <t>D01I00204860</t>
  </si>
  <si>
    <t>ARANDELAS DE SUPLEMENTO 48 x 60 x 0.80</t>
  </si>
  <si>
    <t>D01I00204961</t>
  </si>
  <si>
    <t>ARANDELAS DE SUPLEMENTO 49 x 61 x 0.80</t>
  </si>
  <si>
    <t>D01I00205062</t>
  </si>
  <si>
    <t>ARANDELAS DE SUPLEMENTO 50 x 62 x 0.80</t>
  </si>
  <si>
    <t>D01I00205163</t>
  </si>
  <si>
    <t>ARANDELAS DE SUPLEMENTO 51 x 63 x 0.80</t>
  </si>
  <si>
    <t>D01I00205264</t>
  </si>
  <si>
    <t>ARANDELAS DE SUPLEMENTO 52 x 64 x 0.80</t>
  </si>
  <si>
    <t>D01I00205365</t>
  </si>
  <si>
    <t>ARANDELAS DE SUPLEMENTO 53 x 65 x 0.80</t>
  </si>
  <si>
    <t>D01I00205466</t>
  </si>
  <si>
    <t>ARANDELAS DE SUPLEMENTO 54 x 66 x 0.80</t>
  </si>
  <si>
    <t>D01I00205567</t>
  </si>
  <si>
    <t>ARANDELAS DE SUPLEMENTO 55 x 67 x 0.80</t>
  </si>
  <si>
    <t>D01I00205668</t>
  </si>
  <si>
    <t>ARANDELAS DE SUPLEMENTO 56 x 68 x 0.80</t>
  </si>
  <si>
    <t>D01I00205769</t>
  </si>
  <si>
    <t>ARANDELAS DE SUPLEMENTO 57 x 69 x 0.80</t>
  </si>
  <si>
    <t>D01I00205870</t>
  </si>
  <si>
    <t>ARANDELAS DE SUPLEMENTO 58 x 70 x 0.80</t>
  </si>
  <si>
    <t>D01I00205971</t>
  </si>
  <si>
    <t>ARANDELAS DE SUPLEMENTO 59 x 71 x 0.80</t>
  </si>
  <si>
    <t>D01I00206072</t>
  </si>
  <si>
    <t>ARANDELAS DE SUPLEMENTO 60 x 72 x 0.80</t>
  </si>
  <si>
    <t>D01I00206173</t>
  </si>
  <si>
    <t>ARANDELAS DE SUPLEMENTO 61 x 73 x 0.80</t>
  </si>
  <si>
    <t>D01I00203046</t>
  </si>
  <si>
    <t>ARANDELAS DE SUPLEMENTO 30 x 46 x 0.80</t>
  </si>
  <si>
    <t>3,5x60</t>
  </si>
  <si>
    <t>6x70</t>
  </si>
  <si>
    <t>PARA CHAT GPT:</t>
  </si>
  <si>
    <t>CONECTORES DE COMBUSTIBLE</t>
  </si>
  <si>
    <t>B12</t>
  </si>
  <si>
    <t>B02</t>
  </si>
  <si>
    <t>B01</t>
  </si>
  <si>
    <t>B35</t>
  </si>
  <si>
    <t>B06</t>
  </si>
  <si>
    <t>B19</t>
  </si>
  <si>
    <t>B21</t>
  </si>
  <si>
    <t>B22</t>
  </si>
  <si>
    <t>B03</t>
  </si>
  <si>
    <t>B04</t>
  </si>
  <si>
    <t>B26</t>
  </si>
  <si>
    <t>B07</t>
  </si>
  <si>
    <t>B10</t>
  </si>
  <si>
    <t>BU2</t>
  </si>
  <si>
    <t>B36</t>
  </si>
  <si>
    <t>B56</t>
  </si>
  <si>
    <t>B50</t>
  </si>
  <si>
    <t>B63</t>
  </si>
  <si>
    <t>B53</t>
  </si>
  <si>
    <t>BU1</t>
  </si>
  <si>
    <t>BU4</t>
  </si>
  <si>
    <t>D01</t>
  </si>
  <si>
    <t>D02</t>
  </si>
  <si>
    <t>DU5</t>
  </si>
  <si>
    <t>D12</t>
  </si>
  <si>
    <t>DU06</t>
  </si>
  <si>
    <t>DU14A</t>
  </si>
  <si>
    <t>DU15A</t>
  </si>
  <si>
    <t>DU3</t>
  </si>
  <si>
    <t>DU7</t>
  </si>
  <si>
    <t>D13</t>
  </si>
  <si>
    <t>E08</t>
  </si>
  <si>
    <t>E51</t>
  </si>
  <si>
    <t>E50</t>
  </si>
  <si>
    <t>SAE 7.89 ID-6 - Acople recto</t>
  </si>
  <si>
    <t>SAE 7.89 ID-6 - Codo 90°</t>
  </si>
  <si>
    <t>SAE 7.89 ID-8 - Acople recto</t>
  </si>
  <si>
    <t>SAE 7.89 ID-8 - Codo 90°</t>
  </si>
  <si>
    <t>SAE 7.89 ID-6 - Codo inclinado</t>
  </si>
  <si>
    <t>SAE 7.89 ID-6 - Tee en ángulo con rosca macho extendida</t>
  </si>
  <si>
    <t>SAE 7.89 ID-4 - Codo 90°</t>
  </si>
  <si>
    <t>SAE 7.89 ID-6 - Espiga recta para manguera</t>
  </si>
  <si>
    <t>SAE 7.89 ID-6 - Espiga codo 90° para manguera</t>
  </si>
  <si>
    <t>SAE 7.89 ID-6-7.89 - Tee 90° con espiga, ramificación</t>
  </si>
  <si>
    <t>SAE 7.89 ID-6-7.89 - Tee reductora en ángulo (variante)</t>
  </si>
  <si>
    <t>SAE 7.89 ID-6 - Tee igual</t>
  </si>
  <si>
    <t>SAE 7.89 ID-6 - Tee estándar</t>
  </si>
  <si>
    <t>SAE 7.89 ID-10 - Acople recto</t>
  </si>
  <si>
    <t>SAE 7.89 ID-10 - Codo 90°</t>
  </si>
  <si>
    <t>SAE 7.89 ID-8 - Espiga recta para manguera</t>
  </si>
  <si>
    <t>SAE 7.89 ID-8 - Espiga codo 90° para manguera</t>
  </si>
  <si>
    <t>SAE 7.89 ID-6 - Espiga codo inclinado para manguera</t>
  </si>
  <si>
    <t>SAE 7.89 ID-8-7.89 - Tee reductora en ángulo 7.89-8-7.89</t>
  </si>
  <si>
    <t>SAE 7.89 ID-8 - Codo inclinado</t>
  </si>
  <si>
    <t>SAE 7.89 ID-6 - Tee en ángulo con O-Ring</t>
  </si>
  <si>
    <t>SAE 7.89 ID-5 - Codo inclinado</t>
  </si>
  <si>
    <t>SAE 7.89 ID-6 - Conector macho</t>
  </si>
  <si>
    <t>SAE 7.89 ID-8 - Conector macho</t>
  </si>
  <si>
    <t>SAE 7.89 ID-8 - Conector macho extendido</t>
  </si>
  <si>
    <t>SAE 7.89 ID-10 - Conector macho</t>
  </si>
  <si>
    <t>SAE 7.89 ID-6 - Conector macho extendido</t>
  </si>
  <si>
    <t>SAE 7.89 ID-6 - Codo 90°
AdBlue</t>
  </si>
  <si>
    <t>SAE 7.89 ID-8 - Acople recto
AdBlue</t>
  </si>
  <si>
    <t>SAE 7.89 ID-8 - Codo 90°
AdBlue</t>
  </si>
  <si>
    <t>SAE 9.49 ID-8 - Acople recto</t>
  </si>
  <si>
    <t>SAE 9.49 ID-8 - Codo 90°</t>
  </si>
  <si>
    <t>SAE 9.49 ID-8 - Codo 45°</t>
  </si>
  <si>
    <t xml:space="preserve">SAE 9.49 ID-6 - Acople recto </t>
  </si>
  <si>
    <t>SAE 9.49 ID-8 - Acople recto
AdBlue</t>
  </si>
  <si>
    <t>SAE 9.49 ID-8 - Codo 90°
AdBlue</t>
  </si>
  <si>
    <t>SAE 9.49 ID-8 - Codo 45°
AdBlue</t>
  </si>
  <si>
    <t>SAE 9.49 ID-6 - Acople recto
AdBlue</t>
  </si>
  <si>
    <t>SAE 9.49 ID-6 - Codo 90°</t>
  </si>
  <si>
    <t>SAE 9.49 ID-10 - Acople recto</t>
  </si>
  <si>
    <t>SAE 9.49 ID-10 - Codo 90°</t>
  </si>
  <si>
    <t>SAE 9.49 ID-6 - Espiga recta</t>
  </si>
  <si>
    <t>SAE 9.49 ID-6 - Codo 90° espiga</t>
  </si>
  <si>
    <t>SAE 9.89 ID-6 - Acople recto</t>
  </si>
  <si>
    <t>SAE 9.89 ID-6 - Codo 90°</t>
  </si>
  <si>
    <t>SAE 9.89 ID-8 - Espiga recta</t>
  </si>
  <si>
    <t>SAE 9.89 ID-8 - Codo 90°</t>
  </si>
  <si>
    <t>SAE 9.89 ID-10 - Tee en ángulo recto</t>
  </si>
  <si>
    <t xml:space="preserve">SAE 9.89 ID-10 - Tee tipo T </t>
  </si>
  <si>
    <t>SAE 9.89 ID-8 - Conector macho</t>
  </si>
  <si>
    <t>SAE 9.89 ID-6 - Conector macho</t>
  </si>
  <si>
    <t>SAE 9.89 ID-10 - Conector macho</t>
  </si>
  <si>
    <t>CONECTORES DE COMBUSTIBLE1</t>
  </si>
  <si>
    <t>CONECTORES DE COMBUSTIBLE2</t>
  </si>
  <si>
    <t>CONECTORES DE COMBUSTIBLE3</t>
  </si>
  <si>
    <t>CONECTORES DE COMBUSTIBLE4</t>
  </si>
  <si>
    <t>CONECTORES DE COMBUSTIBLE5</t>
  </si>
  <si>
    <t>CONECTORES DE COMBUSTIBLE6</t>
  </si>
  <si>
    <t>CONECTORES DE COMBUSTIBLE7</t>
  </si>
  <si>
    <t>CONECTORES DE COMBUSTIBLE8</t>
  </si>
  <si>
    <t>CONECTORES DE COMBUSTIBLE9</t>
  </si>
  <si>
    <t>CONECTORES DE COMBUSTIBLE13</t>
  </si>
  <si>
    <t>CONECTORES DE COMBUSTIBLE14</t>
  </si>
  <si>
    <t>CONECTORES DE COMBUSTIBLE15</t>
  </si>
  <si>
    <t>CONECTORES DE COMBUSTIBLE16</t>
  </si>
  <si>
    <t>CONECTORES DE COMBUSTIBLE17</t>
  </si>
  <si>
    <t>CONECTORES DE COMBUSTIBLE18</t>
  </si>
  <si>
    <t>CONECTORES DE COMBUSTIBLE19</t>
  </si>
  <si>
    <t>CONECTORES DE COMBUSTIBLE20</t>
  </si>
  <si>
    <t>CONECTORES DE COMBUSTIBLE21</t>
  </si>
  <si>
    <t>CONECTORES DE COMBUSTIBLE22</t>
  </si>
  <si>
    <t>CONECTORES DE COMBUSTIBLE23</t>
  </si>
  <si>
    <t>CONECTORES DE COMBUSTIBLE24</t>
  </si>
  <si>
    <t>CONECTORES DE COMBUSTIBLE25</t>
  </si>
  <si>
    <t>CONECTORES DE COMBUSTIBLE26</t>
  </si>
  <si>
    <t>CONECTORES DE COMBUSTIBLE27</t>
  </si>
  <si>
    <t>CONECTORES DE COMBUSTIBLE28</t>
  </si>
  <si>
    <t>CONECTORES DE COMBUSTIBLE29</t>
  </si>
  <si>
    <t>CONECTORES DE COMBUSTIBLE30</t>
  </si>
  <si>
    <t>CONECTORES DE COMBUSTIBLE31</t>
  </si>
  <si>
    <t>CONECTORES DE COMBUSTIBLE32</t>
  </si>
  <si>
    <t>CONECTORES DE COMBUSTIBLE35</t>
  </si>
  <si>
    <t>CONECTORES DE COMBUSTIBLE36</t>
  </si>
  <si>
    <t>CONECTORES DE COMBUSTIBLE37</t>
  </si>
  <si>
    <t>CONECTORES DE COMBUSTIBLE38</t>
  </si>
  <si>
    <t>CONECTORES DE COMBUSTIBLE39</t>
  </si>
  <si>
    <t>CONECTORES DE COMBUSTIBLE40</t>
  </si>
  <si>
    <t>CONECTORES DE COMBUSTIBLE41</t>
  </si>
  <si>
    <t>CONECTORES DE COMBUSTIBLE42</t>
  </si>
  <si>
    <t>CONECTORES DE COMBUSTIBLE43</t>
  </si>
  <si>
    <t>CONECTORES DE COMBUSTIBLE44</t>
  </si>
  <si>
    <t>CONECTORES DE COMBUSTIBLE45</t>
  </si>
  <si>
    <t>CONECTORES DE COMBUSTIBLE46</t>
  </si>
  <si>
    <t>CONECTORES DE COMBUSTIBLE47</t>
  </si>
  <si>
    <t>CONECTORES DE COMBUSTIBLE48</t>
  </si>
  <si>
    <t>CONECTORES DE COMBUSTIBLE49</t>
  </si>
  <si>
    <t>CONECTORES DE COMBUSTIBLE50</t>
  </si>
  <si>
    <t>CONECTORES DE COMBUSTIBLE51</t>
  </si>
  <si>
    <t>CONECTORES DE COMBUSTIBLE52</t>
  </si>
  <si>
    <t>CONECTORES DE COMBUSTIBLE53</t>
  </si>
  <si>
    <t>CONECTORES DE COMBUSTIBLE54</t>
  </si>
  <si>
    <t>CONECTORES DE COMBUSTIBLE55</t>
  </si>
  <si>
    <t>CONECTORES DE COMBUSTIBLE56</t>
  </si>
  <si>
    <t>CONECTORES DE COMBUSTIBLE57</t>
  </si>
  <si>
    <t>CONECTORES DE COMBUSTIBLE58</t>
  </si>
  <si>
    <t>CONECTORES DE COMBUSTIBLE59</t>
  </si>
  <si>
    <t>CONECTORES DE COMBUSTIBLE60</t>
  </si>
  <si>
    <t>Bolsas</t>
  </si>
  <si>
    <t>B1</t>
  </si>
  <si>
    <t>B2</t>
  </si>
  <si>
    <t>B9</t>
  </si>
  <si>
    <t>B3</t>
  </si>
  <si>
    <t>B6</t>
  </si>
  <si>
    <t>B7</t>
  </si>
  <si>
    <t>B51</t>
  </si>
  <si>
    <t>D1</t>
  </si>
  <si>
    <t>D2</t>
  </si>
  <si>
    <t>E7</t>
  </si>
  <si>
    <t>E8</t>
  </si>
  <si>
    <t>E9</t>
  </si>
  <si>
    <t>B09</t>
  </si>
  <si>
    <t>PELIGROSO</t>
  </si>
  <si>
    <t>Lista de Precios de Cuerdas Tóricas.</t>
  </si>
  <si>
    <t>mm.</t>
  </si>
  <si>
    <t>N 70</t>
  </si>
  <si>
    <t>costo</t>
  </si>
  <si>
    <t>Precios x Metro</t>
  </si>
  <si>
    <t>CON "OK"</t>
  </si>
  <si>
    <t>F-996/Ne - 200</t>
  </si>
  <si>
    <t>F-996/Ne</t>
  </si>
  <si>
    <t>catamarca 490</t>
  </si>
  <si>
    <t>hasta 5:40</t>
  </si>
  <si>
    <t>Isaac Nazareno Funes - CUIT/CUIL: 20-26953348-0 - CVU: 0000003100154849606908 - Alias: nazafunes.mp</t>
  </si>
  <si>
    <t>Pagos</t>
  </si>
  <si>
    <t>SALDO</t>
  </si>
  <si>
    <t>PAL-CHECO</t>
  </si>
  <si>
    <t>Nuevo</t>
  </si>
  <si>
    <t>TOTAL ALUMAQ</t>
  </si>
  <si>
    <t>FUERA DE LINEA</t>
  </si>
  <si>
    <t>Foto</t>
  </si>
  <si>
    <t>6x8</t>
  </si>
  <si>
    <t>8x11</t>
  </si>
  <si>
    <t>10x1,25x1/2</t>
  </si>
  <si>
    <t>Arandela de Tapa 11x12</t>
  </si>
  <si>
    <t>Arandela 11x12</t>
  </si>
  <si>
    <t>1612/00 - NBJ</t>
  </si>
  <si>
    <t>Maximiliano Gordillo</t>
  </si>
  <si>
    <t>Total Maximiliano Gordillo / Bs.As.: $2.200.753,78</t>
  </si>
  <si>
    <t>Nadia Uldokat</t>
  </si>
  <si>
    <t>Total Nadia Uldokat / Bs.As.: $721.973,87</t>
  </si>
  <si>
    <t>BULONERA AVOR / $226.744,55</t>
  </si>
  <si>
    <t>FERRETERIA CAMILO / $229.154,28</t>
  </si>
  <si>
    <t>FERRETERÍA SAN JOSÉ / $117.546,48</t>
  </si>
  <si>
    <t>ferreteria entrerios / $901.277,88</t>
  </si>
  <si>
    <t>FACUNDO GF MATERIALES ELECTRICOS / $241.030,59</t>
  </si>
  <si>
    <t>FERRETERIA VALENCIA / $485.000,00</t>
  </si>
  <si>
    <t>DISTRIBUIDORA L&amp;M / $579.273,54</t>
  </si>
  <si>
    <t>LEZCANOMAT SRL / $22.700,33</t>
  </si>
  <si>
    <t>FERRETERIA MyL / $120.000,00</t>
  </si>
  <si>
    <t xml:space="preserve">DISTRIBUIDORA L&amp;M </t>
  </si>
  <si>
    <t xml:space="preserve">LEZCANOMAT SRL </t>
  </si>
  <si>
    <t xml:space="preserve">FERRETERIA MyL </t>
  </si>
  <si>
    <t xml:space="preserve">BULONERA AVOR </t>
  </si>
  <si>
    <t xml:space="preserve">FERRETERIA CAMILO </t>
  </si>
  <si>
    <t xml:space="preserve">FERRETERÍA SAN JOSÉ </t>
  </si>
  <si>
    <t xml:space="preserve">ferreteria entrerios </t>
  </si>
  <si>
    <t xml:space="preserve">FACUNDO GF MATERIALES ELECTRICOS </t>
  </si>
  <si>
    <t xml:space="preserve">FERRETERIA VALENCIA </t>
  </si>
  <si>
    <t>Pendiente:</t>
  </si>
  <si>
    <t>Pedro insertos</t>
  </si>
  <si>
    <t>A03I 087</t>
  </si>
  <si>
    <t>ANILLOS DE SEGURIDAD DIN 472 87/ 88 I</t>
  </si>
  <si>
    <t>14mm C/Vástago 11mm - 8.5</t>
  </si>
  <si>
    <t>14mm C/Vástago 8mm - 9,5</t>
  </si>
  <si>
    <t>14mm C/Vástago 9.5mm - 11</t>
  </si>
  <si>
    <t>Walter Gavetas</t>
  </si>
  <si>
    <t>Tobar</t>
  </si>
  <si>
    <t>REPUESTOS TONI SAS</t>
  </si>
  <si>
    <t>SOLDESTER SA</t>
  </si>
  <si>
    <t>ZAPATA GOMA S.A.</t>
  </si>
  <si>
    <t>Longvie 2002 Diam 8 L/V</t>
  </si>
  <si>
    <t>Alu-MAQ</t>
  </si>
  <si>
    <t>Proximos:</t>
  </si>
  <si>
    <t>Jorge Carbon</t>
  </si>
  <si>
    <t>SI</t>
  </si>
  <si>
    <t>Fleje Aluminio</t>
  </si>
  <si>
    <t>Fleje hacero inox</t>
  </si>
  <si>
    <t>0720366220000000082640</t>
  </si>
  <si>
    <t>0000003100050019199835</t>
  </si>
  <si>
    <t>Endosado Metalgrab</t>
  </si>
  <si>
    <t>Endosado ALNAT</t>
  </si>
  <si>
    <t>DOMEC - PAOLA 81 Blanca</t>
  </si>
  <si>
    <t>7 x 15</t>
  </si>
  <si>
    <t>Regatones oyr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</si>
</sst>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8" formatCode="&quot;$&quot;\ #,##0.00;[Red]\-&quot;$&quot;\ #,##0.00"/>
    <numFmt numFmtId="44" formatCode="_-&quot;$&quot;\ * #,##0.00_-;\-&quot;$&quot;\ * #,##0.00_-;_-&quot;$&quot;\ * &quot;-&quot;??_-;_-@_-"/>
    <numFmt numFmtId="164" formatCode="&quot;$&quot;#,##0.00_);[Red]\(&quot;$&quot;#,##0.00\)"/>
    <numFmt numFmtId="165" formatCode="_(&quot;$&quot;* #,##0.00_);_(&quot;$&quot;* \(#,##0.00\);_(&quot;$&quot;* &quot;-&quot;??_);_(@_)"/>
    <numFmt numFmtId="166" formatCode="_-&quot;$&quot;* #,##0.00_-;\-&quot;$&quot;* #,##0.00_-;_-&quot;$&quot;* &quot;-&quot;??_-;_-@_-"/>
    <numFmt numFmtId="167" formatCode="&quot;$&quot;#,##0_);[Red]\(&quot;$&quot;#,##0\)"/>
    <numFmt numFmtId="168" formatCode="_(* #,##0.00_);_(* \(#,##0.00\);_(* &quot;-&quot;??_);_(@_)"/>
    <numFmt numFmtId="169" formatCode="\ \ \ \ \ \ \ \ \ \ "/>
    <numFmt numFmtId="170" formatCode="[$$-2C0A]\ #,##0.00"/>
    <numFmt numFmtId="171" formatCode="&quot;$&quot;\ #,##0.00"/>
    <numFmt numFmtId="172" formatCode="_ &quot;$&quot;\ * #,##0.00_ ;_ &quot;$&quot;\ * \-#,##0.00_ ;_ &quot;$&quot;\ * &quot;-&quot;??_ ;_ @_ "/>
    <numFmt numFmtId="173" formatCode="[$USD]\ #,##0.00"/>
    <numFmt numFmtId="174" formatCode="_ * #,##0.00_ ;_ * \-#,##0.00_ ;_ * &quot;-&quot;??_ ;_ @_ "/>
    <numFmt numFmtId="175" formatCode="#,##0.00&quot;    &quot;;\-#,##0.00&quot;    &quot;;\-#&quot;    &quot;;@\ "/>
    <numFmt numFmtId="176" formatCode="_-[$USD]\ * #,##0.00_-;\-[$USD]\ * #,##0.00_-;_-[$USD]\ * &quot;-&quot;??_-;_-@_-"/>
    <numFmt numFmtId="177" formatCode="_-&quot;$&quot;\ * #,##0.00000_-;\-&quot;$&quot;\ * #,##0.00000_-;_-&quot;$&quot;\ * &quot;-&quot;??_-;_-@_-"/>
    <numFmt numFmtId="178" formatCode="_-&quot;$&quot;\ * #,##0.0_-;\-&quot;$&quot;\ * #,##0.0_-;_-&quot;$&quot;\ * &quot;-&quot;??_-;_-@_-"/>
    <numFmt numFmtId="179" formatCode="0.0%"/>
    <numFmt numFmtId="180" formatCode="0.0000"/>
    <numFmt numFmtId="181" formatCode="0.0"/>
    <numFmt numFmtId="182" formatCode="_-&quot;$&quot;\ * #,##0_-;\-&quot;$&quot;\ * #,##0_-;_-&quot;$&quot;\ * &quot;-&quot;??_-;_-@_-"/>
    <numFmt numFmtId="183" formatCode="0000"/>
    <numFmt numFmtId="184" formatCode="#,##0.00\ _€"/>
    <numFmt numFmtId="185" formatCode="######0.000"/>
    <numFmt numFmtId="186" formatCode="_(&quot;$&quot;* #,##0_);_(&quot;$&quot;* \(#,##0\);_(&quot;$&quot;* &quot;-&quot;??_);_(@_)"/>
    <numFmt numFmtId="187" formatCode="[$USD]\ #,##0;\-[$USD]\ #,##0"/>
    <numFmt numFmtId="188" formatCode="[$USD]\ #,##0"/>
    <numFmt numFmtId="189" formatCode="_-&quot;$&quot;\ * #,##0.0000_-;\-&quot;$&quot;\ * #,##0.0000_-;_-&quot;$&quot;\ * &quot;-&quot;??_-;_-@_-"/>
    <numFmt numFmtId="190" formatCode="_-&quot;$&quot;\ * #,##0.00_-;\-&quot;$&quot;\ * #,##0.00_-;_-&quot;$&quot;\ * &quot;-&quot;??_-;_-@"/>
    <numFmt numFmtId="191" formatCode="0.000"/>
  </numFmts>
  <fonts count="99"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u/>
      <sz val="10"/>
      <color theme="10"/>
      <name val="Arial"/>
      <family val="2"/>
    </font>
    <font>
      <b/>
      <sz val="12"/>
      <color theme="1"/>
      <name val="Arial"/>
      <family val="2"/>
    </font>
    <font>
      <b/>
      <sz val="14"/>
      <color theme="1"/>
      <name val="Arial"/>
      <family val="2"/>
    </font>
    <font>
      <b/>
      <sz val="18"/>
      <color theme="1"/>
      <name val="Arial"/>
      <family val="2"/>
    </font>
    <font>
      <b/>
      <sz val="10"/>
      <color theme="1"/>
      <name val="Arial"/>
      <family val="2"/>
    </font>
    <font>
      <sz val="11"/>
      <color theme="1"/>
      <name val="Calibri"/>
      <family val="2"/>
      <scheme val="minor"/>
    </font>
    <font>
      <sz val="11"/>
      <name val="Arial"/>
      <family val="2"/>
    </font>
    <font>
      <sz val="8"/>
      <name val="Arial"/>
      <family val="2"/>
    </font>
    <font>
      <sz val="9"/>
      <color theme="1"/>
      <name val="Arial"/>
      <family val="2"/>
    </font>
    <font>
      <b/>
      <sz val="10"/>
      <color indexed="8"/>
      <name val="ARIAL"/>
      <family val="2"/>
    </font>
    <font>
      <b/>
      <sz val="10"/>
      <name val="Arial"/>
      <family val="2"/>
    </font>
    <font>
      <b/>
      <sz val="10"/>
      <color theme="0"/>
      <name val="Arial"/>
      <family val="2"/>
    </font>
    <font>
      <b/>
      <sz val="11"/>
      <color theme="0"/>
      <name val="Arial"/>
      <family val="2"/>
    </font>
    <font>
      <sz val="11"/>
      <color theme="1"/>
      <name val="Arial"/>
      <family val="2"/>
    </font>
    <font>
      <b/>
      <sz val="11"/>
      <color theme="1"/>
      <name val="Arial"/>
      <family val="2"/>
    </font>
    <font>
      <sz val="10"/>
      <color theme="1"/>
      <name val="ARIAL"/>
      <family val="2"/>
      <charset val="1"/>
    </font>
    <font>
      <b/>
      <sz val="14"/>
      <color theme="0"/>
      <name val="Arial"/>
      <family val="2"/>
    </font>
    <font>
      <sz val="8"/>
      <color theme="1"/>
      <name val="Arial"/>
      <family val="2"/>
    </font>
    <font>
      <b/>
      <sz val="16"/>
      <color theme="1"/>
      <name val="Arial"/>
      <family val="2"/>
    </font>
    <font>
      <sz val="10"/>
      <name val="Arial"/>
      <family val="2"/>
    </font>
    <font>
      <b/>
      <i/>
      <sz val="10"/>
      <color indexed="8"/>
      <name val="Arial"/>
      <family val="2"/>
    </font>
    <font>
      <b/>
      <sz val="11"/>
      <name val="Arial"/>
      <family val="2"/>
    </font>
    <font>
      <b/>
      <sz val="18"/>
      <color rgb="FF4472C4"/>
      <name val="Arial"/>
      <family val="2"/>
    </font>
    <font>
      <b/>
      <sz val="10"/>
      <color rgb="FF4472C4"/>
      <name val="Arial"/>
      <family val="2"/>
    </font>
    <font>
      <b/>
      <sz val="14"/>
      <color rgb="FF4472C4"/>
      <name val="Arial"/>
      <family val="2"/>
    </font>
    <font>
      <sz val="10"/>
      <color rgb="FF44546A"/>
      <name val="Arial"/>
      <family val="2"/>
    </font>
    <font>
      <b/>
      <sz val="12"/>
      <color theme="0"/>
      <name val="Arial"/>
      <family val="2"/>
    </font>
    <font>
      <b/>
      <i/>
      <sz val="11"/>
      <color theme="1"/>
      <name val="Arial"/>
      <family val="2"/>
    </font>
    <font>
      <sz val="4"/>
      <color theme="1"/>
      <name val="Arial"/>
      <family val="2"/>
    </font>
    <font>
      <b/>
      <sz val="22"/>
      <color theme="1"/>
      <name val="Arial"/>
      <family val="2"/>
    </font>
    <font>
      <sz val="22"/>
      <color theme="1"/>
      <name val="Arial"/>
      <family val="2"/>
    </font>
    <font>
      <u/>
      <sz val="11"/>
      <color theme="10"/>
      <name val="Calibri"/>
      <family val="2"/>
      <scheme val="minor"/>
    </font>
    <font>
      <sz val="10"/>
      <color indexed="8"/>
      <name val="Arial"/>
      <family val="2"/>
    </font>
    <font>
      <sz val="6"/>
      <color theme="1"/>
      <name val="Arial"/>
      <family val="2"/>
    </font>
    <font>
      <b/>
      <sz val="8"/>
      <color theme="1"/>
      <name val="Arial"/>
      <family val="2"/>
    </font>
    <font>
      <b/>
      <sz val="11"/>
      <color rgb="FF4472C4"/>
      <name val="Arial"/>
      <family val="2"/>
    </font>
    <font>
      <b/>
      <sz val="16"/>
      <color theme="0"/>
      <name val="Arial"/>
      <family val="2"/>
    </font>
    <font>
      <sz val="6"/>
      <name val="Arial"/>
      <family val="2"/>
    </font>
    <font>
      <b/>
      <sz val="22"/>
      <name val="Arial"/>
      <family val="2"/>
    </font>
    <font>
      <b/>
      <sz val="12"/>
      <name val="Arial"/>
      <family val="2"/>
    </font>
    <font>
      <sz val="12"/>
      <name val="Arial"/>
      <family val="2"/>
    </font>
    <font>
      <sz val="12"/>
      <color theme="1"/>
      <name val="Arial"/>
      <family val="2"/>
    </font>
    <font>
      <b/>
      <sz val="14"/>
      <name val="Arial"/>
      <family val="2"/>
    </font>
    <font>
      <u/>
      <sz val="10"/>
      <name val="Arial"/>
      <family val="2"/>
    </font>
    <font>
      <b/>
      <sz val="8"/>
      <name val="Arial"/>
      <family val="2"/>
    </font>
    <font>
      <b/>
      <i/>
      <sz val="14"/>
      <color theme="1"/>
      <name val="Calibri"/>
      <family val="2"/>
      <scheme val="minor"/>
    </font>
    <font>
      <sz val="10"/>
      <color theme="1"/>
      <name val="Calibri"/>
      <family val="2"/>
      <scheme val="minor"/>
    </font>
    <font>
      <i/>
      <sz val="12"/>
      <name val="Arial"/>
      <family val="2"/>
    </font>
    <font>
      <b/>
      <i/>
      <sz val="14"/>
      <name val="Calibri"/>
      <family val="2"/>
      <scheme val="minor"/>
    </font>
    <font>
      <sz val="11"/>
      <name val="Calibri"/>
      <family val="2"/>
      <scheme val="minor"/>
    </font>
    <font>
      <i/>
      <sz val="10"/>
      <name val="Calibri"/>
      <family val="2"/>
      <scheme val="minor"/>
    </font>
    <font>
      <sz val="10"/>
      <name val="Calibri"/>
      <family val="2"/>
      <scheme val="minor"/>
    </font>
    <font>
      <b/>
      <sz val="11"/>
      <color rgb="FF000000"/>
      <name val="Calibri"/>
      <family val="2"/>
    </font>
    <font>
      <i/>
      <sz val="11"/>
      <color rgb="FF000000"/>
      <name val="Calibri"/>
      <family val="2"/>
    </font>
    <font>
      <sz val="11"/>
      <color rgb="FF000000"/>
      <name val="Arial"/>
      <family val="2"/>
    </font>
    <font>
      <b/>
      <u/>
      <sz val="11"/>
      <color theme="1"/>
      <name val="Arial"/>
      <family val="2"/>
    </font>
    <font>
      <i/>
      <sz val="11"/>
      <color theme="1"/>
      <name val="Arial"/>
      <family val="2"/>
    </font>
    <font>
      <b/>
      <u/>
      <sz val="10"/>
      <color theme="10"/>
      <name val="Arial"/>
      <family val="2"/>
    </font>
    <font>
      <sz val="10"/>
      <color indexed="18"/>
      <name val="Arial"/>
      <family val="2"/>
    </font>
    <font>
      <b/>
      <sz val="8"/>
      <color indexed="18"/>
      <name val="Arial"/>
      <family val="2"/>
    </font>
    <font>
      <sz val="8"/>
      <color indexed="18"/>
      <name val="Arial"/>
      <family val="2"/>
    </font>
    <font>
      <sz val="11"/>
      <color indexed="18"/>
      <name val="Arial"/>
      <family val="2"/>
    </font>
    <font>
      <b/>
      <u/>
      <sz val="10"/>
      <color theme="1"/>
      <name val="Arial"/>
      <family val="2"/>
    </font>
    <font>
      <sz val="8"/>
      <color rgb="FFFF0000"/>
      <name val="Arial"/>
      <family val="2"/>
    </font>
    <font>
      <b/>
      <sz val="8"/>
      <color rgb="FFFF0000"/>
      <name val="Arial"/>
      <family val="2"/>
    </font>
    <font>
      <b/>
      <sz val="20"/>
      <name val="Arial"/>
      <family val="2"/>
    </font>
    <font>
      <b/>
      <sz val="11"/>
      <color theme="1"/>
      <name val="Calibri"/>
      <family val="2"/>
      <scheme val="minor"/>
    </font>
    <font>
      <b/>
      <sz val="14"/>
      <color theme="0"/>
      <name val="Calibri"/>
      <family val="2"/>
      <scheme val="minor"/>
    </font>
    <font>
      <b/>
      <sz val="14"/>
      <color theme="1"/>
      <name val="Calibri"/>
      <family val="2"/>
      <scheme val="minor"/>
    </font>
    <font>
      <b/>
      <sz val="12"/>
      <color theme="1"/>
      <name val="Calibri"/>
      <family val="2"/>
      <scheme val="minor"/>
    </font>
    <font>
      <b/>
      <sz val="10"/>
      <color theme="1"/>
      <name val="Calibri"/>
      <family val="2"/>
      <scheme val="minor"/>
    </font>
    <font>
      <b/>
      <sz val="12"/>
      <color theme="0"/>
      <name val="Calibri"/>
      <family val="2"/>
      <scheme val="minor"/>
    </font>
    <font>
      <b/>
      <sz val="9"/>
      <color theme="1"/>
      <name val="Arial"/>
      <family val="2"/>
    </font>
    <font>
      <b/>
      <sz val="12"/>
      <color indexed="8"/>
      <name val="Arial"/>
      <family val="2"/>
    </font>
    <font>
      <b/>
      <sz val="8.3000000000000007"/>
      <color indexed="8"/>
      <name val="Arial"/>
      <family val="2"/>
    </font>
    <font>
      <sz val="8.3000000000000007"/>
      <color indexed="8"/>
      <name val="Arial"/>
      <family val="2"/>
    </font>
    <font>
      <b/>
      <sz val="22"/>
      <color theme="0"/>
      <name val="Arial"/>
      <family val="2"/>
    </font>
    <font>
      <b/>
      <i/>
      <sz val="12"/>
      <color theme="1"/>
      <name val="Arial"/>
      <family val="2"/>
    </font>
    <font>
      <sz val="11"/>
      <color rgb="FFFF0000"/>
      <name val="Arial"/>
      <family val="2"/>
    </font>
    <font>
      <b/>
      <i/>
      <sz val="11"/>
      <color rgb="FF000000"/>
      <name val="Arial"/>
      <family val="2"/>
    </font>
    <font>
      <b/>
      <sz val="18"/>
      <color theme="0"/>
      <name val="Arial"/>
      <family val="2"/>
    </font>
    <font>
      <b/>
      <sz val="11"/>
      <name val="Calibri"/>
      <family val="2"/>
    </font>
    <font>
      <sz val="11"/>
      <color indexed="9"/>
      <name val="Calibri"/>
      <family val="2"/>
    </font>
    <font>
      <sz val="11"/>
      <name val="Calibri"/>
      <family val="2"/>
    </font>
    <font>
      <b/>
      <sz val="11"/>
      <color indexed="9"/>
      <name val="Calibri"/>
      <family val="2"/>
    </font>
    <font>
      <sz val="10"/>
      <color rgb="FF000000"/>
      <name val="Calibri"/>
      <family val="2"/>
      <scheme val="minor"/>
    </font>
    <font>
      <sz val="10"/>
      <color rgb="FF000000"/>
      <name val="Calibri"/>
      <family val="2"/>
      <scheme val="minor"/>
    </font>
    <font>
      <sz val="10"/>
      <color rgb="FF000000"/>
      <name val="Calibri"/>
      <family val="2"/>
      <scheme val="minor"/>
    </font>
    <font>
      <sz val="10"/>
      <color rgb="FF000000"/>
      <name val="Arial"/>
      <family val="2"/>
    </font>
    <font>
      <sz val="20"/>
      <name val="Arial"/>
      <family val="2"/>
    </font>
    <font>
      <b/>
      <sz val="10"/>
      <color rgb="FF000000"/>
      <name val="Arial"/>
      <family val="2"/>
    </font>
    <font>
      <sz val="10"/>
      <color rgb="FF2B2B2B"/>
      <name val="Arial"/>
      <family val="2"/>
    </font>
    <font>
      <u/>
      <sz val="10"/>
      <color theme="1"/>
      <name val="Arial"/>
      <family val="2"/>
    </font>
    <font>
      <u/>
      <sz val="11"/>
      <color theme="10"/>
      <name val="Arial"/>
      <family val="2"/>
    </font>
    <font>
      <b/>
      <i/>
      <sz val="10"/>
      <color theme="1"/>
      <name val="Arial"/>
      <family val="2"/>
    </font>
  </fonts>
  <fills count="61">
    <fill>
      <patternFill patternType="none"/>
    </fill>
    <fill>
      <patternFill patternType="gray125"/>
    </fill>
    <fill>
      <patternFill patternType="solid">
        <fgColor rgb="FFFFC00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rgb="FF92D050"/>
        <bgColor indexed="64"/>
      </patternFill>
    </fill>
    <fill>
      <patternFill patternType="solid">
        <fgColor theme="5" tint="0.79998168889431442"/>
        <bgColor indexed="64"/>
      </patternFill>
    </fill>
    <fill>
      <patternFill patternType="solid">
        <fgColor them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bgColor theme="5"/>
      </patternFill>
    </fill>
    <fill>
      <patternFill patternType="solid">
        <fgColor theme="5" tint="0.79998168889431442"/>
        <bgColor theme="5" tint="0.79998168889431442"/>
      </patternFill>
    </fill>
    <fill>
      <patternFill patternType="solid">
        <fgColor theme="9" tint="0.39997558519241921"/>
        <bgColor indexed="64"/>
      </patternFill>
    </fill>
    <fill>
      <patternFill patternType="solid">
        <fgColor theme="4" tint="0.39997558519241921"/>
        <bgColor indexed="64"/>
      </patternFill>
    </fill>
    <fill>
      <patternFill patternType="solid">
        <fgColor theme="6"/>
        <bgColor indexed="64"/>
      </patternFill>
    </fill>
    <fill>
      <patternFill patternType="solid">
        <fgColor indexed="29"/>
        <bgColor indexed="64"/>
      </patternFill>
    </fill>
    <fill>
      <patternFill patternType="solid">
        <fgColor rgb="FFFF0000"/>
        <bgColor indexed="64"/>
      </patternFill>
    </fill>
    <fill>
      <patternFill patternType="solid">
        <fgColor rgb="FFFFFFFF"/>
        <bgColor rgb="FFFFFFFF"/>
      </patternFill>
    </fill>
    <fill>
      <patternFill patternType="solid">
        <fgColor rgb="FFFFFF00"/>
        <bgColor rgb="FFFFFFFF"/>
      </patternFill>
    </fill>
    <fill>
      <patternFill patternType="solid">
        <fgColor theme="9" tint="0.79998168889431442"/>
        <bgColor theme="9" tint="0.79998168889431442"/>
      </patternFill>
    </fill>
    <fill>
      <patternFill patternType="solid">
        <fgColor theme="5" tint="0.59999389629810485"/>
        <bgColor indexed="64"/>
      </patternFill>
    </fill>
    <fill>
      <patternFill patternType="solid">
        <fgColor rgb="FF00B0F0"/>
        <bgColor indexed="64"/>
      </patternFill>
    </fill>
    <fill>
      <patternFill patternType="solid">
        <fgColor indexed="22"/>
        <bgColor indexed="31"/>
      </patternFill>
    </fill>
    <fill>
      <patternFill patternType="solid">
        <fgColor theme="3" tint="0.59999389629810485"/>
        <bgColor indexed="64"/>
      </patternFill>
    </fill>
    <fill>
      <patternFill patternType="solid">
        <fgColor theme="9"/>
        <bgColor theme="9"/>
      </patternFill>
    </fill>
    <fill>
      <patternFill patternType="solid">
        <fgColor theme="0"/>
        <bgColor theme="0"/>
      </patternFill>
    </fill>
    <fill>
      <patternFill patternType="solid">
        <fgColor rgb="FF00B050"/>
        <bgColor rgb="FF00B050"/>
      </patternFill>
    </fill>
    <fill>
      <patternFill patternType="solid">
        <fgColor rgb="FFBFBFBF"/>
        <bgColor rgb="FFBFBFBF"/>
      </patternFill>
    </fill>
    <fill>
      <patternFill patternType="solid">
        <fgColor rgb="FF93C47D"/>
        <bgColor rgb="FF93C47D"/>
      </patternFill>
    </fill>
    <fill>
      <patternFill patternType="solid">
        <fgColor rgb="FFB7B7B7"/>
        <bgColor rgb="FFB7B7B7"/>
      </patternFill>
    </fill>
    <fill>
      <patternFill patternType="solid">
        <fgColor rgb="FFCCCCCC"/>
        <bgColor rgb="FFCCCCCC"/>
      </patternFill>
    </fill>
    <fill>
      <patternFill patternType="solid">
        <fgColor rgb="FFFFC000"/>
        <bgColor theme="9" tint="0.79998168889431442"/>
      </patternFill>
    </fill>
    <fill>
      <patternFill patternType="solid">
        <fgColor rgb="FFFFFF00"/>
        <bgColor theme="9" tint="0.79998168889431442"/>
      </patternFill>
    </fill>
    <fill>
      <patternFill patternType="solid">
        <fgColor theme="0"/>
        <bgColor indexed="64"/>
      </patternFill>
    </fill>
    <fill>
      <patternFill patternType="solid">
        <fgColor theme="4" tint="0.59999389629810485"/>
        <bgColor theme="4" tint="0.59999389629810485"/>
      </patternFill>
    </fill>
    <fill>
      <patternFill patternType="solid">
        <fgColor theme="6" tint="0.39997558519241921"/>
        <bgColor indexed="64"/>
      </patternFill>
    </fill>
    <fill>
      <patternFill patternType="solid">
        <fgColor indexed="9"/>
        <bgColor indexed="64"/>
      </patternFill>
    </fill>
    <fill>
      <patternFill patternType="solid">
        <fgColor rgb="FFCED7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indexed="13"/>
        <bgColor indexed="64"/>
      </patternFill>
    </fill>
    <fill>
      <patternFill patternType="solid">
        <fgColor theme="4" tint="0.59999389629810485"/>
        <bgColor indexed="64"/>
      </patternFill>
    </fill>
    <fill>
      <patternFill patternType="solid">
        <fgColor theme="7"/>
        <bgColor indexed="64"/>
      </patternFill>
    </fill>
    <fill>
      <patternFill patternType="solid">
        <fgColor rgb="FF00B050"/>
        <bgColor indexed="64"/>
      </patternFill>
    </fill>
    <fill>
      <patternFill patternType="solid">
        <fgColor theme="5" tint="-0.249977111117893"/>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0F977"/>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bgColor indexed="64"/>
      </patternFill>
    </fill>
    <fill>
      <patternFill patternType="solid">
        <fgColor theme="0"/>
        <bgColor theme="9" tint="0.79998168889431442"/>
      </patternFill>
    </fill>
    <fill>
      <patternFill patternType="solid">
        <fgColor rgb="FF00AFEF"/>
      </patternFill>
    </fill>
    <fill>
      <patternFill patternType="solid">
        <fgColor rgb="FFD8D8D8"/>
      </patternFill>
    </fill>
    <fill>
      <patternFill patternType="solid">
        <fgColor rgb="FFDDDDDD"/>
      </patternFill>
    </fill>
    <fill>
      <patternFill patternType="solid">
        <fgColor rgb="FFFFFF00"/>
      </patternFill>
    </fill>
    <fill>
      <patternFill patternType="solid">
        <fgColor rgb="FFFFFF00"/>
        <bgColor theme="4"/>
      </patternFill>
    </fill>
    <fill>
      <patternFill patternType="solid">
        <fgColor theme="8" tint="0.59999389629810485"/>
        <bgColor indexed="64"/>
      </patternFill>
    </fill>
  </fills>
  <borders count="156">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right/>
      <top style="thin">
        <color theme="5" tint="0.39997558519241921"/>
      </top>
      <bottom style="thin">
        <color theme="5" tint="0.39997558519241921"/>
      </bottom>
      <diagonal/>
    </border>
    <border>
      <left style="thin">
        <color theme="5" tint="0.39997558519241921"/>
      </left>
      <right/>
      <top style="thin">
        <color theme="5" tint="0.39997558519241921"/>
      </top>
      <bottom style="thin">
        <color theme="5" tint="0.39997558519241921"/>
      </bottom>
      <diagonal/>
    </border>
    <border>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thin">
        <color rgb="FF000000"/>
      </bottom>
      <diagonal/>
    </border>
    <border>
      <left style="medium">
        <color rgb="FF000000"/>
      </left>
      <right style="hair">
        <color rgb="FF000000"/>
      </right>
      <top style="medium">
        <color rgb="FF000000"/>
      </top>
      <bottom/>
      <diagonal/>
    </border>
    <border>
      <left style="hair">
        <color rgb="FF000000"/>
      </left>
      <right/>
      <top style="thin">
        <color rgb="FF000000"/>
      </top>
      <bottom style="thin">
        <color rgb="FF000000"/>
      </bottom>
      <diagonal/>
    </border>
    <border>
      <left style="medium">
        <color rgb="FF000000"/>
      </left>
      <right style="hair">
        <color rgb="FF000000"/>
      </right>
      <top/>
      <bottom/>
      <diagonal/>
    </border>
    <border>
      <left/>
      <right/>
      <top style="thin">
        <color rgb="FF000000"/>
      </top>
      <bottom style="thin">
        <color rgb="FF000000"/>
      </bottom>
      <diagonal/>
    </border>
    <border>
      <left style="medium">
        <color rgb="FF000000"/>
      </left>
      <right style="hair">
        <color rgb="FF000000"/>
      </right>
      <top/>
      <bottom style="medium">
        <color rgb="FF000000"/>
      </bottom>
      <diagonal/>
    </border>
    <border>
      <left/>
      <right/>
      <top style="thin">
        <color theme="9" tint="0.39997558519241921"/>
      </top>
      <bottom style="thin">
        <color theme="9" tint="0.39997558519241921"/>
      </bottom>
      <diagonal/>
    </border>
    <border>
      <left/>
      <right/>
      <top style="thin">
        <color theme="5" tint="0.39997558519241921"/>
      </top>
      <bottom/>
      <diagonal/>
    </border>
    <border>
      <left/>
      <right/>
      <top/>
      <bottom style="medium">
        <color indexed="64"/>
      </bottom>
      <diagonal/>
    </border>
    <border>
      <left/>
      <right/>
      <top/>
      <bottom style="thin">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top/>
      <bottom style="thin">
        <color theme="4" tint="0.39997558519241921"/>
      </bottom>
      <diagonal/>
    </border>
    <border>
      <left/>
      <right style="medium">
        <color indexed="64"/>
      </right>
      <top/>
      <bottom style="thin">
        <color theme="4" tint="0.39997558519241921"/>
      </bottom>
      <diagonal/>
    </border>
    <border>
      <left style="thin">
        <color theme="4" tint="0.39997558519241921"/>
      </left>
      <right style="medium">
        <color indexed="64"/>
      </right>
      <top style="medium">
        <color indexed="64"/>
      </top>
      <bottom style="medium">
        <color indexed="64"/>
      </bottom>
      <diagonal/>
    </border>
    <border>
      <left/>
      <right/>
      <top style="thin">
        <color theme="9" tint="0.39997558519241921"/>
      </top>
      <bottom/>
      <diagonal/>
    </border>
    <border>
      <left style="medium">
        <color indexed="64"/>
      </left>
      <right/>
      <top style="thin">
        <color theme="9" tint="0.39997558519241921"/>
      </top>
      <bottom style="thin">
        <color theme="9" tint="0.39997558519241921"/>
      </bottom>
      <diagonal/>
    </border>
    <border>
      <left/>
      <right style="medium">
        <color indexed="64"/>
      </right>
      <top style="thin">
        <color theme="9" tint="0.39997558519241921"/>
      </top>
      <bottom style="thin">
        <color theme="9" tint="0.39997558519241921"/>
      </bottom>
      <diagonal/>
    </border>
    <border>
      <left/>
      <right style="medium">
        <color indexed="64"/>
      </right>
      <top style="thin">
        <color theme="9" tint="0.39997558519241921"/>
      </top>
      <bottom/>
      <diagonal/>
    </border>
    <border>
      <left style="medium">
        <color indexed="64"/>
      </left>
      <right/>
      <top style="thin">
        <color theme="9" tint="0.39997558519241921"/>
      </top>
      <bottom/>
      <diagonal/>
    </border>
    <border>
      <left style="medium">
        <color indexed="64"/>
      </left>
      <right/>
      <top style="thin">
        <color theme="9" tint="0.39997558519241921"/>
      </top>
      <bottom style="medium">
        <color indexed="64"/>
      </bottom>
      <diagonal/>
    </border>
    <border>
      <left/>
      <right/>
      <top style="thin">
        <color theme="9" tint="0.39997558519241921"/>
      </top>
      <bottom style="medium">
        <color indexed="64"/>
      </bottom>
      <diagonal/>
    </border>
    <border>
      <left/>
      <right style="medium">
        <color indexed="64"/>
      </right>
      <top style="thin">
        <color theme="9" tint="0.39997558519241921"/>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38761D"/>
      </left>
      <right style="thin">
        <color rgb="FF38761D"/>
      </right>
      <top style="thin">
        <color rgb="FF38761D"/>
      </top>
      <bottom style="thin">
        <color rgb="FF38761D"/>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top/>
      <bottom style="thin">
        <color theme="0" tint="-0.249977111117893"/>
      </bottom>
      <diagonal/>
    </border>
    <border>
      <left style="thin">
        <color theme="5" tint="0.39997558519241921"/>
      </left>
      <right/>
      <top/>
      <bottom/>
      <diagonal/>
    </border>
    <border>
      <left style="dashDotDot">
        <color auto="1"/>
      </left>
      <right style="dashDotDot">
        <color auto="1"/>
      </right>
      <top/>
      <bottom/>
      <diagonal/>
    </border>
    <border>
      <left/>
      <right style="thin">
        <color indexed="64"/>
      </right>
      <top/>
      <bottom/>
      <diagonal/>
    </border>
    <border>
      <left style="thin">
        <color indexed="64"/>
      </left>
      <right style="medium">
        <color indexed="64"/>
      </right>
      <top/>
      <bottom/>
      <diagonal/>
    </border>
    <border>
      <left style="thin">
        <color indexed="64"/>
      </left>
      <right/>
      <top/>
      <bottom/>
      <diagonal/>
    </border>
    <border>
      <left style="medium">
        <color indexed="64"/>
      </left>
      <right style="thick">
        <color indexed="64"/>
      </right>
      <top/>
      <bottom/>
      <diagonal/>
    </border>
    <border>
      <left style="thick">
        <color indexed="64"/>
      </left>
      <right style="medium">
        <color indexed="64"/>
      </right>
      <top/>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thick">
        <color indexed="64"/>
      </top>
      <bottom style="medium">
        <color indexed="64"/>
      </bottom>
      <diagonal/>
    </border>
    <border>
      <left/>
      <right/>
      <top/>
      <bottom style="hair">
        <color indexed="64"/>
      </bottom>
      <diagonal/>
    </border>
    <border>
      <left/>
      <right style="double">
        <color indexed="64"/>
      </right>
      <top/>
      <bottom style="hair">
        <color indexed="64"/>
      </bottom>
      <diagonal/>
    </border>
    <border>
      <left style="double">
        <color indexed="64"/>
      </left>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ashed">
        <color theme="0"/>
      </left>
      <right style="dashed">
        <color theme="0"/>
      </right>
      <top style="dashed">
        <color theme="0"/>
      </top>
      <bottom style="dashed">
        <color theme="0"/>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top style="thin">
        <color theme="4" tint="0.39997558519241921"/>
      </top>
      <bottom style="thin">
        <color theme="4" tint="0.39997558519241921"/>
      </bottom>
      <diagonal/>
    </border>
    <border>
      <left style="medium">
        <color indexed="64"/>
      </left>
      <right/>
      <top style="thin">
        <color indexed="64"/>
      </top>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top style="dotted">
        <color indexed="64"/>
      </top>
      <bottom style="dashed">
        <color indexed="64"/>
      </bottom>
      <diagonal/>
    </border>
    <border>
      <left/>
      <right/>
      <top style="dotted">
        <color indexed="64"/>
      </top>
      <bottom style="dashed">
        <color indexed="64"/>
      </bottom>
      <diagonal/>
    </border>
    <border>
      <left/>
      <right style="medium">
        <color indexed="64"/>
      </right>
      <top style="dotted">
        <color indexed="64"/>
      </top>
      <bottom style="dashed">
        <color indexed="64"/>
      </bottom>
      <diagonal/>
    </border>
    <border>
      <left style="medium">
        <color indexed="64"/>
      </left>
      <right/>
      <top/>
      <bottom style="dotted">
        <color indexed="64"/>
      </bottom>
      <diagonal/>
    </border>
    <border>
      <left/>
      <right/>
      <top/>
      <bottom style="dotted">
        <color indexed="64"/>
      </bottom>
      <diagonal/>
    </border>
    <border>
      <left style="medium">
        <color indexed="64"/>
      </left>
      <right/>
      <top style="dotted">
        <color indexed="64"/>
      </top>
      <bottom style="medium">
        <color indexed="64"/>
      </bottom>
      <diagonal/>
    </border>
    <border>
      <left/>
      <right/>
      <top style="dotted">
        <color indexed="64"/>
      </top>
      <bottom style="medium">
        <color indexed="64"/>
      </bottom>
      <diagonal/>
    </border>
    <border>
      <left style="medium">
        <color indexed="64"/>
      </left>
      <right style="medium">
        <color indexed="64"/>
      </right>
      <top style="dotted">
        <color indexed="64"/>
      </top>
      <bottom style="medium">
        <color indexed="64"/>
      </bottom>
      <diagonal/>
    </border>
    <border>
      <left/>
      <right/>
      <top style="medium">
        <color indexed="64"/>
      </top>
      <bottom style="thin">
        <color indexed="64"/>
      </bottom>
      <diagonal/>
    </border>
    <border>
      <left style="thin">
        <color theme="9"/>
      </left>
      <right style="thin">
        <color theme="9"/>
      </right>
      <top style="thin">
        <color theme="9"/>
      </top>
      <bottom style="thin">
        <color theme="9"/>
      </bottom>
      <diagonal/>
    </border>
    <border>
      <left style="thick">
        <color auto="1"/>
      </left>
      <right/>
      <top style="dashed">
        <color auto="1"/>
      </top>
      <bottom style="dashed">
        <color auto="1"/>
      </bottom>
      <diagonal/>
    </border>
    <border>
      <left/>
      <right/>
      <top style="dashed">
        <color auto="1"/>
      </top>
      <bottom style="dashed">
        <color auto="1"/>
      </bottom>
      <diagonal/>
    </border>
    <border>
      <left/>
      <right style="thick">
        <color auto="1"/>
      </right>
      <top style="dashed">
        <color auto="1"/>
      </top>
      <bottom style="dashed">
        <color auto="1"/>
      </bottom>
      <diagonal/>
    </border>
    <border>
      <left/>
      <right style="thin">
        <color rgb="FF000000"/>
      </right>
      <top style="thin">
        <color rgb="FF000000"/>
      </top>
      <bottom style="thin">
        <color rgb="FF000000"/>
      </bottom>
      <diagonal/>
    </border>
    <border>
      <left/>
      <right/>
      <top style="thin">
        <color theme="4" tint="0.39997558519241921"/>
      </top>
      <bottom/>
      <diagonal/>
    </border>
    <border>
      <left/>
      <right/>
      <top/>
      <bottom style="thin">
        <color theme="4" tint="0.39997558519241921"/>
      </bottom>
      <diagonal/>
    </border>
    <border>
      <left/>
      <right/>
      <top style="thin">
        <color auto="1"/>
      </top>
      <bottom style="thin">
        <color auto="1"/>
      </bottom>
      <diagonal/>
    </border>
    <border>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bottom style="dashed">
        <color auto="1"/>
      </bottom>
      <diagonal/>
    </border>
    <border>
      <left style="thin">
        <color indexed="64"/>
      </left>
      <right/>
      <top style="medium">
        <color indexed="64"/>
      </top>
      <bottom style="thin">
        <color indexed="64"/>
      </bottom>
      <diagonal/>
    </border>
    <border>
      <left style="thick">
        <color auto="1"/>
      </left>
      <right/>
      <top style="thick">
        <color auto="1"/>
      </top>
      <bottom style="dashed">
        <color auto="1"/>
      </bottom>
      <diagonal/>
    </border>
    <border>
      <left/>
      <right/>
      <top style="thick">
        <color auto="1"/>
      </top>
      <bottom style="dashed">
        <color auto="1"/>
      </bottom>
      <diagonal/>
    </border>
    <border>
      <left/>
      <right style="thick">
        <color auto="1"/>
      </right>
      <top style="thick">
        <color auto="1"/>
      </top>
      <bottom style="dashed">
        <color auto="1"/>
      </bottom>
      <diagonal/>
    </border>
    <border>
      <left style="medium">
        <color indexed="64"/>
      </left>
      <right style="thick">
        <color indexed="64"/>
      </right>
      <top style="thick">
        <color indexed="64"/>
      </top>
      <bottom style="medium">
        <color indexed="64"/>
      </bottom>
      <diagonal/>
    </border>
    <border>
      <left/>
      <right/>
      <top style="thick">
        <color indexed="8"/>
      </top>
      <bottom/>
      <diagonal/>
    </border>
  </borders>
  <cellStyleXfs count="37">
    <xf numFmtId="0" fontId="0" fillId="0" borderId="0"/>
    <xf numFmtId="165" fontId="3" fillId="0" borderId="0" applyFont="0" applyFill="0" applyBorder="0" applyAlignment="0" applyProtection="0"/>
    <xf numFmtId="0" fontId="4" fillId="0" borderId="0" applyNumberFormat="0" applyFill="0" applyBorder="0" applyAlignment="0" applyProtection="0"/>
    <xf numFmtId="0" fontId="9" fillId="0" borderId="0"/>
    <xf numFmtId="9" fontId="3" fillId="0" borderId="0" applyFont="0" applyFill="0" applyBorder="0" applyAlignment="0" applyProtection="0"/>
    <xf numFmtId="9" fontId="9" fillId="0" borderId="0" applyFont="0" applyFill="0" applyBorder="0" applyAlignment="0" applyProtection="0"/>
    <xf numFmtId="172" fontId="9" fillId="0" borderId="0" applyFont="0" applyFill="0" applyBorder="0" applyAlignment="0" applyProtection="0"/>
    <xf numFmtId="0" fontId="23" fillId="0" borderId="0"/>
    <xf numFmtId="172" fontId="23" fillId="0" borderId="0" applyFont="0" applyFill="0" applyBorder="0" applyAlignment="0" applyProtection="0"/>
    <xf numFmtId="0" fontId="23" fillId="0" borderId="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0" fontId="35" fillId="0" borderId="0" applyNumberFormat="0" applyFill="0" applyBorder="0" applyAlignment="0" applyProtection="0"/>
    <xf numFmtId="0" fontId="3" fillId="0" borderId="0"/>
    <xf numFmtId="165" fontId="3" fillId="0" borderId="0" applyFont="0" applyFill="0" applyBorder="0" applyAlignment="0" applyProtection="0"/>
    <xf numFmtId="9" fontId="3" fillId="0" borderId="0" applyFont="0" applyFill="0" applyBorder="0" applyAlignment="0" applyProtection="0"/>
    <xf numFmtId="0" fontId="23" fillId="0" borderId="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0" fontId="23" fillId="0" borderId="0"/>
    <xf numFmtId="0" fontId="23" fillId="0" borderId="0" applyNumberFormat="0" applyFill="0" applyBorder="0" applyAlignment="0" applyProtection="0"/>
    <xf numFmtId="0" fontId="36" fillId="0" borderId="0">
      <alignment vertical="top"/>
    </xf>
    <xf numFmtId="165" fontId="36" fillId="0" borderId="0" applyFont="0" applyFill="0" applyBorder="0" applyAlignment="0" applyProtection="0"/>
    <xf numFmtId="174" fontId="9" fillId="0" borderId="0" applyFont="0" applyFill="0" applyBorder="0" applyAlignment="0" applyProtection="0"/>
    <xf numFmtId="165" fontId="3" fillId="0" borderId="0" applyFont="0" applyFill="0" applyBorder="0" applyAlignment="0" applyProtection="0"/>
    <xf numFmtId="168" fontId="3" fillId="0" borderId="0" applyFont="0" applyFill="0" applyBorder="0" applyAlignment="0" applyProtection="0"/>
    <xf numFmtId="0" fontId="2" fillId="0" borderId="0"/>
    <xf numFmtId="166" fontId="2" fillId="0" borderId="0" applyFont="0" applyFill="0" applyBorder="0" applyAlignment="0" applyProtection="0"/>
    <xf numFmtId="9" fontId="23" fillId="0" borderId="0" applyFont="0" applyFill="0" applyBorder="0" applyAlignment="0" applyProtection="0"/>
    <xf numFmtId="0" fontId="89" fillId="0" borderId="0"/>
    <xf numFmtId="0" fontId="90" fillId="0" borderId="0"/>
    <xf numFmtId="0" fontId="91" fillId="0" borderId="0"/>
    <xf numFmtId="0" fontId="1" fillId="0" borderId="0"/>
    <xf numFmtId="44" fontId="1" fillId="0" borderId="0" applyFont="0" applyFill="0" applyBorder="0" applyAlignment="0" applyProtection="0"/>
    <xf numFmtId="9" fontId="1" fillId="0" borderId="0" applyFont="0" applyFill="0" applyBorder="0" applyAlignment="0" applyProtection="0"/>
  </cellStyleXfs>
  <cellXfs count="1600">
    <xf numFmtId="0" fontId="0" fillId="0" borderId="0" xfId="0"/>
    <xf numFmtId="165" fontId="0" fillId="0" borderId="0" xfId="1" applyFont="1"/>
    <xf numFmtId="165" fontId="0" fillId="0" borderId="0" xfId="0" applyNumberFormat="1"/>
    <xf numFmtId="0" fontId="0" fillId="0" borderId="0" xfId="0" applyAlignment="1">
      <alignment horizontal="left"/>
    </xf>
    <xf numFmtId="0" fontId="0" fillId="0" borderId="0" xfId="0" applyAlignment="1">
      <alignment horizontal="center" vertical="center"/>
    </xf>
    <xf numFmtId="0" fontId="8" fillId="2" borderId="3" xfId="0" applyFont="1" applyFill="1" applyBorder="1" applyAlignment="1">
      <alignment horizontal="center"/>
    </xf>
    <xf numFmtId="0" fontId="0" fillId="0" borderId="16"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0" fillId="0" borderId="0" xfId="0" applyAlignment="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19" xfId="0" applyBorder="1" applyAlignment="1">
      <alignment vertical="center"/>
    </xf>
    <xf numFmtId="0" fontId="0" fillId="0" borderId="19"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vertical="center"/>
    </xf>
    <xf numFmtId="0" fontId="0" fillId="0" borderId="33" xfId="0" applyBorder="1" applyAlignment="1">
      <alignment horizontal="center" vertical="center"/>
    </xf>
    <xf numFmtId="0" fontId="0" fillId="6" borderId="19" xfId="0" applyFill="1" applyBorder="1" applyAlignment="1">
      <alignment vertical="center"/>
    </xf>
    <xf numFmtId="165" fontId="0" fillId="0" borderId="7" xfId="1" applyFont="1" applyBorder="1" applyAlignment="1">
      <alignment vertical="center"/>
    </xf>
    <xf numFmtId="165" fontId="0" fillId="0" borderId="9" xfId="1" applyFont="1" applyBorder="1" applyAlignment="1">
      <alignment vertical="center"/>
    </xf>
    <xf numFmtId="165" fontId="0" fillId="0" borderId="0" xfId="1" applyFont="1" applyAlignment="1">
      <alignment vertical="center"/>
    </xf>
    <xf numFmtId="165" fontId="0" fillId="0" borderId="0" xfId="0" applyNumberFormat="1" applyAlignment="1">
      <alignment vertical="center"/>
    </xf>
    <xf numFmtId="9" fontId="0" fillId="0" borderId="0" xfId="4" applyFont="1" applyAlignment="1">
      <alignment vertical="center"/>
    </xf>
    <xf numFmtId="0" fontId="0" fillId="0" borderId="21" xfId="0" applyBorder="1" applyAlignment="1">
      <alignment horizontal="center" vertical="center"/>
    </xf>
    <xf numFmtId="0" fontId="8" fillId="0" borderId="0" xfId="0" applyFont="1" applyAlignment="1">
      <alignment horizontal="center" vertical="center"/>
    </xf>
    <xf numFmtId="0" fontId="8" fillId="0" borderId="0" xfId="0" applyFont="1"/>
    <xf numFmtId="0" fontId="8" fillId="0" borderId="0" xfId="0" applyFont="1" applyAlignment="1">
      <alignment horizontal="center"/>
    </xf>
    <xf numFmtId="0" fontId="8" fillId="0" borderId="3" xfId="0" applyFont="1" applyBorder="1" applyAlignment="1">
      <alignment horizontal="center" vertical="center"/>
    </xf>
    <xf numFmtId="0" fontId="0" fillId="0" borderId="19" xfId="0" applyBorder="1"/>
    <xf numFmtId="0" fontId="8" fillId="0" borderId="10" xfId="0" applyFont="1" applyBorder="1"/>
    <xf numFmtId="165" fontId="8" fillId="0" borderId="11" xfId="1" applyFont="1" applyBorder="1"/>
    <xf numFmtId="0" fontId="17" fillId="0" borderId="0" xfId="0" applyFont="1" applyAlignment="1">
      <alignment vertical="center"/>
    </xf>
    <xf numFmtId="0" fontId="17" fillId="0" borderId="0" xfId="0" applyFont="1"/>
    <xf numFmtId="1" fontId="0" fillId="0" borderId="0" xfId="1" applyNumberFormat="1" applyFont="1"/>
    <xf numFmtId="14" fontId="0" fillId="0" borderId="0" xfId="0" applyNumberFormat="1"/>
    <xf numFmtId="0" fontId="8" fillId="7" borderId="4" xfId="0" applyFont="1" applyFill="1" applyBorder="1" applyAlignment="1">
      <alignment horizontal="center"/>
    </xf>
    <xf numFmtId="0" fontId="8" fillId="7" borderId="36" xfId="0" applyFont="1" applyFill="1" applyBorder="1" applyAlignment="1">
      <alignment horizontal="center" vertical="center"/>
    </xf>
    <xf numFmtId="0" fontId="8" fillId="7" borderId="0" xfId="0" applyFont="1" applyFill="1" applyAlignment="1">
      <alignment horizontal="center" vertical="center"/>
    </xf>
    <xf numFmtId="0" fontId="0" fillId="0" borderId="20" xfId="0" applyBorder="1" applyAlignment="1">
      <alignment vertical="center"/>
    </xf>
    <xf numFmtId="0" fontId="0" fillId="0" borderId="2" xfId="0" applyBorder="1" applyAlignment="1">
      <alignment vertical="center"/>
    </xf>
    <xf numFmtId="0" fontId="0" fillId="0" borderId="6" xfId="0" applyBorder="1" applyAlignment="1">
      <alignment vertical="center"/>
    </xf>
    <xf numFmtId="0" fontId="0" fillId="0" borderId="8" xfId="0" applyBorder="1" applyAlignment="1">
      <alignment vertical="center"/>
    </xf>
    <xf numFmtId="165" fontId="0" fillId="0" borderId="19" xfId="1" applyFont="1" applyBorder="1"/>
    <xf numFmtId="0" fontId="0" fillId="0" borderId="6" xfId="0" applyBorder="1"/>
    <xf numFmtId="0" fontId="0" fillId="0" borderId="8" xfId="0" applyBorder="1"/>
    <xf numFmtId="0" fontId="0" fillId="0" borderId="33" xfId="0" applyBorder="1"/>
    <xf numFmtId="165" fontId="0" fillId="0" borderId="33" xfId="1" applyFont="1" applyBorder="1"/>
    <xf numFmtId="0" fontId="0" fillId="0" borderId="20" xfId="0" applyBorder="1"/>
    <xf numFmtId="165" fontId="0" fillId="0" borderId="2" xfId="1" applyFont="1" applyBorder="1"/>
    <xf numFmtId="165" fontId="0" fillId="0" borderId="21" xfId="1" applyFont="1" applyBorder="1"/>
    <xf numFmtId="165" fontId="0" fillId="0" borderId="7" xfId="1" applyFont="1" applyBorder="1"/>
    <xf numFmtId="165" fontId="0" fillId="0" borderId="9" xfId="1" applyFont="1" applyBorder="1"/>
    <xf numFmtId="0" fontId="0" fillId="10" borderId="0" xfId="0" applyFill="1"/>
    <xf numFmtId="165" fontId="7" fillId="0" borderId="0" xfId="1" applyFont="1"/>
    <xf numFmtId="165" fontId="0" fillId="0" borderId="46" xfId="1" applyFont="1" applyBorder="1"/>
    <xf numFmtId="165" fontId="8" fillId="0" borderId="0" xfId="0" applyNumberFormat="1" applyFont="1"/>
    <xf numFmtId="9" fontId="0" fillId="0" borderId="0" xfId="4" applyFont="1"/>
    <xf numFmtId="0" fontId="0" fillId="0" borderId="13" xfId="0" applyBorder="1"/>
    <xf numFmtId="165" fontId="0" fillId="0" borderId="31" xfId="1" applyFont="1" applyBorder="1"/>
    <xf numFmtId="165" fontId="0" fillId="0" borderId="18" xfId="1" applyFont="1" applyBorder="1"/>
    <xf numFmtId="0" fontId="0" fillId="0" borderId="17" xfId="0" applyBorder="1"/>
    <xf numFmtId="0" fontId="0" fillId="0" borderId="30" xfId="0" applyBorder="1"/>
    <xf numFmtId="0" fontId="0" fillId="0" borderId="0" xfId="0" applyAlignment="1">
      <alignment horizontal="center" vertical="center" wrapText="1"/>
    </xf>
    <xf numFmtId="0" fontId="0" fillId="0" borderId="46" xfId="0" applyBorder="1"/>
    <xf numFmtId="0" fontId="8" fillId="6" borderId="8" xfId="0" applyFont="1" applyFill="1" applyBorder="1" applyAlignment="1">
      <alignment horizontal="center" vertical="center"/>
    </xf>
    <xf numFmtId="0" fontId="8" fillId="6" borderId="9" xfId="0" applyFont="1" applyFill="1" applyBorder="1" applyAlignment="1">
      <alignment horizontal="center" vertical="center"/>
    </xf>
    <xf numFmtId="165" fontId="18" fillId="0" borderId="0" xfId="0" applyNumberFormat="1" applyFont="1" applyAlignment="1">
      <alignment vertical="center"/>
    </xf>
    <xf numFmtId="0" fontId="0" fillId="0" borderId="4" xfId="0" applyBorder="1"/>
    <xf numFmtId="165" fontId="0" fillId="0" borderId="5" xfId="1" applyFont="1" applyBorder="1"/>
    <xf numFmtId="0" fontId="0" fillId="0" borderId="22" xfId="0" applyBorder="1"/>
    <xf numFmtId="165" fontId="0" fillId="0" borderId="31" xfId="1" applyFont="1" applyBorder="1" applyAlignment="1">
      <alignment vertical="center"/>
    </xf>
    <xf numFmtId="0" fontId="8" fillId="4" borderId="24" xfId="0" applyFont="1" applyFill="1" applyBorder="1" applyAlignment="1">
      <alignment horizontal="center" vertical="center"/>
    </xf>
    <xf numFmtId="165" fontId="0" fillId="0" borderId="25" xfId="1" applyFont="1" applyBorder="1" applyAlignment="1">
      <alignment vertical="center"/>
    </xf>
    <xf numFmtId="0" fontId="8" fillId="16" borderId="12" xfId="0" applyFont="1" applyFill="1" applyBorder="1" applyAlignment="1">
      <alignment horizontal="center" vertical="center"/>
    </xf>
    <xf numFmtId="0" fontId="8" fillId="16" borderId="13" xfId="0" applyFont="1" applyFill="1" applyBorder="1" applyAlignment="1">
      <alignment horizontal="center" vertical="center"/>
    </xf>
    <xf numFmtId="0" fontId="21" fillId="0" borderId="0" xfId="0" applyFont="1" applyAlignment="1">
      <alignment vertical="center"/>
    </xf>
    <xf numFmtId="0" fontId="8" fillId="0" borderId="0" xfId="0" applyFont="1" applyAlignment="1">
      <alignment vertical="center"/>
    </xf>
    <xf numFmtId="1" fontId="0" fillId="0" borderId="0" xfId="0" applyNumberFormat="1"/>
    <xf numFmtId="169" fontId="13" fillId="0" borderId="0" xfId="0" applyNumberFormat="1" applyFont="1" applyAlignment="1">
      <alignment horizontal="center"/>
    </xf>
    <xf numFmtId="170" fontId="13" fillId="0" borderId="0" xfId="0" applyNumberFormat="1" applyFont="1" applyAlignment="1">
      <alignment horizontal="center"/>
    </xf>
    <xf numFmtId="0" fontId="3" fillId="17" borderId="0" xfId="0" applyFont="1" applyFill="1" applyAlignment="1">
      <alignment horizontal="center"/>
    </xf>
    <xf numFmtId="169" fontId="3" fillId="0" borderId="0" xfId="0" applyNumberFormat="1" applyFont="1" applyAlignment="1">
      <alignment horizontal="center"/>
    </xf>
    <xf numFmtId="0" fontId="13" fillId="0" borderId="0" xfId="0" applyFont="1" applyAlignment="1">
      <alignment horizontal="center"/>
    </xf>
    <xf numFmtId="171" fontId="3" fillId="0" borderId="0" xfId="0" applyNumberFormat="1" applyFont="1" applyAlignment="1">
      <alignment horizontal="center"/>
    </xf>
    <xf numFmtId="165" fontId="3" fillId="0" borderId="0" xfId="1" applyFont="1" applyAlignment="1">
      <alignment horizontal="center"/>
    </xf>
    <xf numFmtId="9" fontId="3" fillId="0" borderId="0" xfId="4" applyFont="1" applyAlignment="1">
      <alignment horizontal="center"/>
    </xf>
    <xf numFmtId="14" fontId="24" fillId="18" borderId="0" xfId="0" applyNumberFormat="1" applyFont="1" applyFill="1" applyAlignment="1">
      <alignment horizontal="center"/>
    </xf>
    <xf numFmtId="1" fontId="0" fillId="0" borderId="0" xfId="0" applyNumberFormat="1" applyAlignment="1">
      <alignment horizontal="center"/>
    </xf>
    <xf numFmtId="0" fontId="0" fillId="0" borderId="21" xfId="0" applyBorder="1" applyAlignment="1">
      <alignment horizontal="center"/>
    </xf>
    <xf numFmtId="10" fontId="0" fillId="0" borderId="0" xfId="4" applyNumberFormat="1" applyFont="1"/>
    <xf numFmtId="165" fontId="8" fillId="0" borderId="0" xfId="1" applyFont="1" applyAlignment="1">
      <alignment horizontal="center"/>
    </xf>
    <xf numFmtId="165" fontId="0" fillId="0" borderId="15" xfId="1" applyFont="1" applyBorder="1"/>
    <xf numFmtId="165" fontId="0" fillId="0" borderId="16" xfId="1" applyFont="1" applyBorder="1"/>
    <xf numFmtId="165" fontId="8" fillId="0" borderId="0" xfId="1" applyFont="1" applyAlignment="1">
      <alignment horizontal="center" vertical="center"/>
    </xf>
    <xf numFmtId="9" fontId="8" fillId="0" borderId="0" xfId="4" applyFont="1" applyAlignment="1">
      <alignment horizontal="center"/>
    </xf>
    <xf numFmtId="0" fontId="0" fillId="0" borderId="6" xfId="0" applyBorder="1" applyAlignment="1">
      <alignment horizontal="center" vertical="center"/>
    </xf>
    <xf numFmtId="165" fontId="8" fillId="0" borderId="0" xfId="1" applyFont="1"/>
    <xf numFmtId="0" fontId="26" fillId="20" borderId="50" xfId="0" applyFont="1" applyFill="1" applyBorder="1"/>
    <xf numFmtId="0" fontId="26" fillId="20" borderId="50" xfId="0" applyFont="1" applyFill="1" applyBorder="1" applyAlignment="1">
      <alignment horizontal="center"/>
    </xf>
    <xf numFmtId="0" fontId="26" fillId="20" borderId="50" xfId="0" applyFont="1" applyFill="1" applyBorder="1" applyAlignment="1">
      <alignment horizontal="left"/>
    </xf>
    <xf numFmtId="0" fontId="26" fillId="20" borderId="0" xfId="0" applyFont="1" applyFill="1"/>
    <xf numFmtId="0" fontId="26" fillId="20" borderId="51" xfId="0" applyFont="1" applyFill="1" applyBorder="1"/>
    <xf numFmtId="0" fontId="26" fillId="20" borderId="51" xfId="0" applyFont="1" applyFill="1" applyBorder="1" applyAlignment="1">
      <alignment horizontal="center"/>
    </xf>
    <xf numFmtId="0" fontId="26" fillId="20" borderId="51" xfId="0" applyFont="1" applyFill="1" applyBorder="1" applyAlignment="1">
      <alignment horizontal="left"/>
    </xf>
    <xf numFmtId="0" fontId="26" fillId="20" borderId="52" xfId="0" applyFont="1" applyFill="1" applyBorder="1"/>
    <xf numFmtId="0" fontId="26" fillId="20" borderId="53" xfId="0" applyFont="1" applyFill="1" applyBorder="1" applyAlignment="1">
      <alignment horizontal="center"/>
    </xf>
    <xf numFmtId="2" fontId="26" fillId="20" borderId="53" xfId="0" applyNumberFormat="1" applyFont="1" applyFill="1" applyBorder="1" applyAlignment="1">
      <alignment horizontal="left"/>
    </xf>
    <xf numFmtId="1" fontId="26" fillId="20" borderId="53" xfId="0" applyNumberFormat="1" applyFont="1" applyFill="1" applyBorder="1" applyAlignment="1">
      <alignment horizontal="center"/>
    </xf>
    <xf numFmtId="0" fontId="26" fillId="20" borderId="54" xfId="0" applyFont="1" applyFill="1" applyBorder="1" applyAlignment="1">
      <alignment horizontal="center"/>
    </xf>
    <xf numFmtId="2" fontId="26" fillId="20" borderId="54" xfId="0" applyNumberFormat="1" applyFont="1" applyFill="1" applyBorder="1" applyAlignment="1">
      <alignment horizontal="left"/>
    </xf>
    <xf numFmtId="1" fontId="26" fillId="20" borderId="54" xfId="0" applyNumberFormat="1" applyFont="1" applyFill="1" applyBorder="1" applyAlignment="1">
      <alignment horizontal="center"/>
    </xf>
    <xf numFmtId="0" fontId="26" fillId="20" borderId="55" xfId="0" applyFont="1" applyFill="1" applyBorder="1" applyAlignment="1">
      <alignment horizontal="center"/>
    </xf>
    <xf numFmtId="0" fontId="26" fillId="20" borderId="56" xfId="0" applyFont="1" applyFill="1" applyBorder="1"/>
    <xf numFmtId="0" fontId="26" fillId="20" borderId="57" xfId="0" applyFont="1" applyFill="1" applyBorder="1" applyAlignment="1">
      <alignment horizontal="center"/>
    </xf>
    <xf numFmtId="0" fontId="26" fillId="20" borderId="57" xfId="0" applyFont="1" applyFill="1" applyBorder="1" applyAlignment="1">
      <alignment horizontal="left"/>
    </xf>
    <xf numFmtId="1" fontId="26" fillId="20" borderId="57" xfId="0" applyNumberFormat="1" applyFont="1" applyFill="1" applyBorder="1" applyAlignment="1">
      <alignment horizontal="center"/>
    </xf>
    <xf numFmtId="0" fontId="26" fillId="20" borderId="0" xfId="0" applyFont="1" applyFill="1" applyAlignment="1">
      <alignment horizontal="center"/>
    </xf>
    <xf numFmtId="0" fontId="26" fillId="20" borderId="0" xfId="0" applyFont="1" applyFill="1" applyAlignment="1">
      <alignment horizontal="left"/>
    </xf>
    <xf numFmtId="1" fontId="26" fillId="20" borderId="0" xfId="0" applyNumberFormat="1" applyFont="1" applyFill="1" applyAlignment="1">
      <alignment horizontal="center"/>
    </xf>
    <xf numFmtId="1" fontId="26" fillId="20" borderId="50" xfId="0" applyNumberFormat="1" applyFont="1" applyFill="1" applyBorder="1" applyAlignment="1">
      <alignment horizontal="center"/>
    </xf>
    <xf numFmtId="1" fontId="26" fillId="20" borderId="51" xfId="0" applyNumberFormat="1" applyFont="1" applyFill="1" applyBorder="1" applyAlignment="1">
      <alignment horizontal="center"/>
    </xf>
    <xf numFmtId="0" fontId="26" fillId="20" borderId="58" xfId="0" applyFont="1" applyFill="1" applyBorder="1" applyAlignment="1">
      <alignment horizontal="center"/>
    </xf>
    <xf numFmtId="0" fontId="26" fillId="20" borderId="58" xfId="0" applyFont="1" applyFill="1" applyBorder="1" applyAlignment="1">
      <alignment horizontal="left"/>
    </xf>
    <xf numFmtId="1" fontId="26" fillId="20" borderId="58" xfId="0" applyNumberFormat="1" applyFont="1" applyFill="1" applyBorder="1" applyAlignment="1">
      <alignment horizontal="center"/>
    </xf>
    <xf numFmtId="1" fontId="26" fillId="20" borderId="57" xfId="0" applyNumberFormat="1" applyFont="1" applyFill="1" applyBorder="1" applyAlignment="1">
      <alignment horizontal="left"/>
    </xf>
    <xf numFmtId="16" fontId="26" fillId="20" borderId="54" xfId="0" applyNumberFormat="1" applyFont="1" applyFill="1" applyBorder="1" applyAlignment="1">
      <alignment horizontal="center"/>
    </xf>
    <xf numFmtId="0" fontId="26" fillId="20" borderId="52" xfId="0" applyFont="1" applyFill="1" applyBorder="1" applyAlignment="1">
      <alignment horizontal="center"/>
    </xf>
    <xf numFmtId="0" fontId="26" fillId="20" borderId="53" xfId="0" applyFont="1" applyFill="1" applyBorder="1" applyAlignment="1">
      <alignment horizontal="left"/>
    </xf>
    <xf numFmtId="1" fontId="26" fillId="20" borderId="55" xfId="0" applyNumberFormat="1" applyFont="1" applyFill="1" applyBorder="1" applyAlignment="1">
      <alignment horizontal="left"/>
    </xf>
    <xf numFmtId="1" fontId="26" fillId="20" borderId="55" xfId="0" applyNumberFormat="1" applyFont="1" applyFill="1" applyBorder="1" applyAlignment="1">
      <alignment horizontal="center"/>
    </xf>
    <xf numFmtId="0" fontId="26" fillId="20" borderId="59" xfId="0" applyFont="1" applyFill="1" applyBorder="1" applyAlignment="1">
      <alignment horizontal="center"/>
    </xf>
    <xf numFmtId="0" fontId="27" fillId="20" borderId="0" xfId="0" applyFont="1" applyFill="1"/>
    <xf numFmtId="0" fontId="26" fillId="20" borderId="54" xfId="0" applyFont="1" applyFill="1" applyBorder="1" applyAlignment="1">
      <alignment horizontal="left"/>
    </xf>
    <xf numFmtId="2" fontId="26" fillId="20" borderId="54" xfId="0" applyNumberFormat="1" applyFont="1" applyFill="1" applyBorder="1" applyAlignment="1">
      <alignment horizontal="center"/>
    </xf>
    <xf numFmtId="0" fontId="28" fillId="20" borderId="55" xfId="0" applyFont="1" applyFill="1" applyBorder="1" applyAlignment="1">
      <alignment horizontal="left"/>
    </xf>
    <xf numFmtId="0" fontId="26" fillId="20" borderId="55" xfId="0" applyFont="1" applyFill="1" applyBorder="1" applyAlignment="1">
      <alignment horizontal="left"/>
    </xf>
    <xf numFmtId="0" fontId="27" fillId="20" borderId="0" xfId="0" applyFont="1" applyFill="1" applyAlignment="1">
      <alignment horizontal="center"/>
    </xf>
    <xf numFmtId="0" fontId="27" fillId="20" borderId="0" xfId="0" applyFont="1" applyFill="1" applyAlignment="1">
      <alignment horizontal="left"/>
    </xf>
    <xf numFmtId="1" fontId="27" fillId="20" borderId="0" xfId="0" applyNumberFormat="1" applyFont="1" applyFill="1" applyAlignment="1">
      <alignment horizontal="center"/>
    </xf>
    <xf numFmtId="0" fontId="26" fillId="20" borderId="60" xfId="0" applyFont="1" applyFill="1" applyBorder="1"/>
    <xf numFmtId="0" fontId="26" fillId="20" borderId="61" xfId="0" applyFont="1" applyFill="1" applyBorder="1" applyAlignment="1">
      <alignment horizontal="center"/>
    </xf>
    <xf numFmtId="0" fontId="26" fillId="20" borderId="62" xfId="0" applyFont="1" applyFill="1" applyBorder="1"/>
    <xf numFmtId="1" fontId="26" fillId="20" borderId="61" xfId="0" applyNumberFormat="1" applyFont="1" applyFill="1" applyBorder="1" applyAlignment="1">
      <alignment horizontal="center"/>
    </xf>
    <xf numFmtId="1" fontId="26" fillId="20" borderId="63" xfId="0" applyNumberFormat="1" applyFont="1" applyFill="1" applyBorder="1" applyAlignment="1">
      <alignment horizontal="center"/>
    </xf>
    <xf numFmtId="0" fontId="26" fillId="20" borderId="64" xfId="0" applyFont="1" applyFill="1" applyBorder="1"/>
    <xf numFmtId="0" fontId="29" fillId="20" borderId="0" xfId="0" applyFont="1" applyFill="1"/>
    <xf numFmtId="0" fontId="29" fillId="20" borderId="0" xfId="0" applyFont="1" applyFill="1" applyAlignment="1">
      <alignment horizontal="center"/>
    </xf>
    <xf numFmtId="0" fontId="29" fillId="20" borderId="0" xfId="0" applyFont="1" applyFill="1" applyAlignment="1">
      <alignment horizontal="left"/>
    </xf>
    <xf numFmtId="0" fontId="26" fillId="21" borderId="50" xfId="0" applyFont="1" applyFill="1" applyBorder="1" applyAlignment="1">
      <alignment horizontal="center"/>
    </xf>
    <xf numFmtId="0" fontId="26" fillId="21" borderId="51" xfId="0" applyFont="1" applyFill="1" applyBorder="1" applyAlignment="1">
      <alignment horizontal="center"/>
    </xf>
    <xf numFmtId="0" fontId="0" fillId="22" borderId="65" xfId="0" applyFill="1" applyBorder="1"/>
    <xf numFmtId="165" fontId="0" fillId="22" borderId="65" xfId="1" applyFont="1" applyFill="1" applyBorder="1"/>
    <xf numFmtId="0" fontId="0" fillId="0" borderId="65" xfId="0" applyBorder="1"/>
    <xf numFmtId="165" fontId="0" fillId="0" borderId="65" xfId="1" applyFont="1" applyBorder="1"/>
    <xf numFmtId="0" fontId="18" fillId="0" borderId="0" xfId="0" applyFont="1" applyAlignment="1">
      <alignment horizontal="center" vertical="center"/>
    </xf>
    <xf numFmtId="0" fontId="3" fillId="0" borderId="6" xfId="3" applyFont="1" applyBorder="1" applyAlignment="1">
      <alignment horizontal="center" vertical="center"/>
    </xf>
    <xf numFmtId="171" fontId="8" fillId="0" borderId="7" xfId="3" applyNumberFormat="1" applyFont="1" applyBorder="1" applyAlignment="1">
      <alignment horizontal="center" vertical="center"/>
    </xf>
    <xf numFmtId="0" fontId="3" fillId="0" borderId="8" xfId="3" applyFont="1" applyBorder="1" applyAlignment="1">
      <alignment horizontal="center" vertical="center"/>
    </xf>
    <xf numFmtId="171" fontId="8" fillId="0" borderId="9" xfId="3" applyNumberFormat="1" applyFont="1" applyBorder="1" applyAlignment="1">
      <alignment horizontal="center" vertical="center"/>
    </xf>
    <xf numFmtId="0" fontId="32" fillId="0" borderId="0" xfId="3" applyFont="1" applyAlignment="1">
      <alignment vertical="center"/>
    </xf>
    <xf numFmtId="0" fontId="3" fillId="0" borderId="0" xfId="3" applyFont="1" applyAlignment="1">
      <alignment vertical="center"/>
    </xf>
    <xf numFmtId="165" fontId="8" fillId="0" borderId="0" xfId="1" applyFont="1" applyAlignment="1">
      <alignment vertical="center"/>
    </xf>
    <xf numFmtId="165" fontId="0" fillId="0" borderId="0" xfId="1" applyFont="1" applyBorder="1"/>
    <xf numFmtId="0" fontId="0" fillId="0" borderId="0" xfId="0" quotePrefix="1"/>
    <xf numFmtId="0" fontId="33" fillId="0" borderId="0" xfId="0" applyFont="1"/>
    <xf numFmtId="0" fontId="34" fillId="0" borderId="0" xfId="0" applyFont="1"/>
    <xf numFmtId="165" fontId="18" fillId="0" borderId="0" xfId="1" applyFont="1"/>
    <xf numFmtId="0" fontId="22" fillId="6" borderId="3" xfId="0" applyFont="1" applyFill="1" applyBorder="1" applyAlignment="1">
      <alignment horizontal="center"/>
    </xf>
    <xf numFmtId="0" fontId="14" fillId="6" borderId="0" xfId="0" applyFont="1" applyFill="1" applyAlignment="1">
      <alignment horizontal="center"/>
    </xf>
    <xf numFmtId="0" fontId="8" fillId="6" borderId="36" xfId="0" applyFont="1" applyFill="1" applyBorder="1" applyAlignment="1">
      <alignment horizontal="center" vertical="center"/>
    </xf>
    <xf numFmtId="0" fontId="8" fillId="6" borderId="39" xfId="0" applyFont="1" applyFill="1" applyBorder="1" applyAlignment="1">
      <alignment horizontal="center" vertical="center"/>
    </xf>
    <xf numFmtId="0" fontId="0" fillId="0" borderId="19" xfId="0" applyBorder="1" applyAlignment="1">
      <alignment horizontal="center"/>
    </xf>
    <xf numFmtId="0" fontId="0" fillId="0" borderId="33" xfId="0" applyBorder="1" applyAlignment="1">
      <alignment horizontal="center"/>
    </xf>
    <xf numFmtId="0" fontId="0" fillId="0" borderId="2" xfId="0" applyBorder="1" applyAlignment="1">
      <alignment horizontal="center"/>
    </xf>
    <xf numFmtId="165" fontId="0" fillId="0" borderId="0" xfId="1" applyFont="1" applyAlignment="1">
      <alignment horizontal="center"/>
    </xf>
    <xf numFmtId="165" fontId="0" fillId="14" borderId="46" xfId="1" applyFont="1" applyFill="1" applyBorder="1"/>
    <xf numFmtId="0" fontId="3" fillId="0" borderId="0" xfId="0" applyFont="1" applyAlignment="1">
      <alignment vertical="center"/>
    </xf>
    <xf numFmtId="0" fontId="19" fillId="0" borderId="0" xfId="0" applyFont="1" applyAlignment="1">
      <alignment vertical="center"/>
    </xf>
    <xf numFmtId="0" fontId="0" fillId="0" borderId="0" xfId="0" applyAlignment="1">
      <alignment vertical="top"/>
    </xf>
    <xf numFmtId="165" fontId="17" fillId="0" borderId="0" xfId="1" applyFont="1" applyFill="1" applyBorder="1" applyAlignment="1">
      <alignment vertical="center"/>
    </xf>
    <xf numFmtId="165" fontId="0" fillId="0" borderId="0" xfId="1" applyFont="1" applyFill="1" applyBorder="1" applyAlignment="1">
      <alignment vertical="center"/>
    </xf>
    <xf numFmtId="165" fontId="17" fillId="0" borderId="0" xfId="1" applyFont="1" applyFill="1" applyAlignment="1">
      <alignment vertical="center"/>
    </xf>
    <xf numFmtId="165" fontId="0" fillId="0" borderId="0" xfId="1" applyFont="1" applyFill="1" applyAlignment="1">
      <alignment horizontal="center" vertical="center"/>
    </xf>
    <xf numFmtId="165" fontId="0" fillId="0" borderId="0" xfId="1" applyFont="1" applyFill="1" applyAlignment="1">
      <alignment vertical="center"/>
    </xf>
    <xf numFmtId="0" fontId="0" fillId="0" borderId="67" xfId="0" applyBorder="1"/>
    <xf numFmtId="0" fontId="8" fillId="6" borderId="18" xfId="0" applyFont="1" applyFill="1" applyBorder="1" applyAlignment="1">
      <alignment horizontal="center"/>
    </xf>
    <xf numFmtId="0" fontId="15" fillId="0" borderId="0" xfId="0" applyFont="1"/>
    <xf numFmtId="0" fontId="15" fillId="0" borderId="0" xfId="0" applyFont="1" applyAlignment="1">
      <alignment horizontal="center"/>
    </xf>
    <xf numFmtId="1" fontId="15" fillId="0" borderId="0" xfId="0" applyNumberFormat="1" applyFont="1" applyAlignment="1">
      <alignment horizontal="center"/>
    </xf>
    <xf numFmtId="0" fontId="0" fillId="0" borderId="66" xfId="0" applyBorder="1"/>
    <xf numFmtId="165" fontId="0" fillId="0" borderId="0" xfId="1" applyFont="1" applyFill="1" applyBorder="1"/>
    <xf numFmtId="1" fontId="0" fillId="0" borderId="0" xfId="1" applyNumberFormat="1" applyFont="1" applyFill="1" applyBorder="1" applyAlignment="1">
      <alignment horizontal="center"/>
    </xf>
    <xf numFmtId="0" fontId="37" fillId="0" borderId="0" xfId="0" applyFont="1" applyAlignment="1">
      <alignment horizontal="right"/>
    </xf>
    <xf numFmtId="0" fontId="0" fillId="0" borderId="4" xfId="0" applyBorder="1" applyAlignment="1">
      <alignment horizontal="center" vertical="center"/>
    </xf>
    <xf numFmtId="0" fontId="0" fillId="0" borderId="8" xfId="0" applyBorder="1" applyAlignment="1">
      <alignment horizontal="center" vertical="center"/>
    </xf>
    <xf numFmtId="165" fontId="0" fillId="0" borderId="25" xfId="1" applyFont="1" applyFill="1" applyBorder="1" applyAlignment="1">
      <alignment horizontal="center"/>
    </xf>
    <xf numFmtId="165" fontId="0" fillId="0" borderId="26" xfId="1" applyFont="1" applyFill="1" applyBorder="1" applyAlignment="1">
      <alignment horizontal="center"/>
    </xf>
    <xf numFmtId="0" fontId="39" fillId="20" borderId="52" xfId="0" applyFont="1" applyFill="1" applyBorder="1"/>
    <xf numFmtId="0" fontId="27" fillId="20" borderId="62" xfId="0" applyFont="1" applyFill="1" applyBorder="1"/>
    <xf numFmtId="0" fontId="27" fillId="20" borderId="52" xfId="0" applyFont="1" applyFill="1" applyBorder="1"/>
    <xf numFmtId="0" fontId="27" fillId="20" borderId="56" xfId="0" applyFont="1" applyFill="1" applyBorder="1"/>
    <xf numFmtId="0" fontId="0" fillId="0" borderId="0" xfId="0" applyAlignment="1">
      <alignment wrapText="1"/>
    </xf>
    <xf numFmtId="0" fontId="0" fillId="0" borderId="30" xfId="0" applyBorder="1" applyAlignment="1">
      <alignment horizontal="center" vertical="center"/>
    </xf>
    <xf numFmtId="0" fontId="0" fillId="0" borderId="17" xfId="0" applyBorder="1" applyAlignment="1">
      <alignment horizontal="center" vertical="center"/>
    </xf>
    <xf numFmtId="0" fontId="16" fillId="10" borderId="24" xfId="0" applyFont="1" applyFill="1" applyBorder="1" applyAlignment="1">
      <alignment horizontal="center" vertical="center" wrapText="1"/>
    </xf>
    <xf numFmtId="165" fontId="0" fillId="0" borderId="25" xfId="1" applyFont="1" applyBorder="1"/>
    <xf numFmtId="165" fontId="0" fillId="0" borderId="26" xfId="1" applyFont="1" applyBorder="1"/>
    <xf numFmtId="0" fontId="18" fillId="6" borderId="10" xfId="0" applyFont="1" applyFill="1" applyBorder="1" applyAlignment="1">
      <alignment horizontal="center" vertical="center" wrapText="1"/>
    </xf>
    <xf numFmtId="0" fontId="18" fillId="6" borderId="14" xfId="0" applyFont="1" applyFill="1" applyBorder="1" applyAlignment="1">
      <alignment horizontal="center" vertical="center" wrapText="1"/>
    </xf>
    <xf numFmtId="0" fontId="18" fillId="7" borderId="10" xfId="0" applyFont="1" applyFill="1" applyBorder="1" applyAlignment="1">
      <alignment horizontal="center" vertical="center" wrapText="1"/>
    </xf>
    <xf numFmtId="0" fontId="18" fillId="7" borderId="11" xfId="0" applyFont="1" applyFill="1" applyBorder="1" applyAlignment="1">
      <alignment horizontal="center" vertical="center" wrapText="1"/>
    </xf>
    <xf numFmtId="0" fontId="38" fillId="0" borderId="0" xfId="0" applyFont="1" applyAlignment="1">
      <alignment horizontal="center" vertical="center"/>
    </xf>
    <xf numFmtId="0" fontId="6" fillId="6" borderId="9" xfId="0" applyFont="1" applyFill="1" applyBorder="1" applyAlignment="1">
      <alignment horizontal="center" vertical="center"/>
    </xf>
    <xf numFmtId="0" fontId="0" fillId="0" borderId="9" xfId="0" applyBorder="1"/>
    <xf numFmtId="0" fontId="21" fillId="0" borderId="0" xfId="0" applyFont="1" applyAlignment="1">
      <alignment wrapText="1"/>
    </xf>
    <xf numFmtId="0" fontId="21" fillId="0" borderId="0" xfId="0" applyFont="1" applyAlignment="1">
      <alignment vertical="center" wrapText="1"/>
    </xf>
    <xf numFmtId="165" fontId="18" fillId="6" borderId="11" xfId="1" applyFont="1" applyFill="1" applyBorder="1" applyAlignment="1">
      <alignment horizontal="center" vertical="center" wrapText="1"/>
    </xf>
    <xf numFmtId="0" fontId="14" fillId="0" borderId="0" xfId="0" applyFont="1" applyAlignment="1">
      <alignment horizontal="center"/>
    </xf>
    <xf numFmtId="0" fontId="14" fillId="0" borderId="0" xfId="0" applyFont="1"/>
    <xf numFmtId="172" fontId="14" fillId="6" borderId="3" xfId="8" applyFont="1" applyFill="1" applyBorder="1"/>
    <xf numFmtId="2" fontId="23" fillId="0" borderId="0" xfId="0" applyNumberFormat="1" applyFont="1" applyAlignment="1">
      <alignment horizontal="center"/>
    </xf>
    <xf numFmtId="173" fontId="0" fillId="0" borderId="0" xfId="0" applyNumberFormat="1" applyAlignment="1">
      <alignment horizontal="center"/>
    </xf>
    <xf numFmtId="172" fontId="0" fillId="0" borderId="0" xfId="8" applyFont="1" applyAlignment="1">
      <alignment horizontal="center"/>
    </xf>
    <xf numFmtId="0" fontId="11" fillId="0" borderId="0" xfId="0" applyFont="1" applyAlignment="1">
      <alignment horizontal="center"/>
    </xf>
    <xf numFmtId="0" fontId="41" fillId="0" borderId="0" xfId="0" applyFont="1" applyAlignment="1">
      <alignment horizontal="left" vertical="center"/>
    </xf>
    <xf numFmtId="2" fontId="23" fillId="0" borderId="0" xfId="0" applyNumberFormat="1" applyFont="1" applyAlignment="1">
      <alignment horizontal="left"/>
    </xf>
    <xf numFmtId="0" fontId="15" fillId="11" borderId="10" xfId="0" applyFont="1" applyFill="1" applyBorder="1" applyAlignment="1">
      <alignment horizontal="center"/>
    </xf>
    <xf numFmtId="0" fontId="15" fillId="11" borderId="73" xfId="0" applyFont="1" applyFill="1" applyBorder="1" applyAlignment="1">
      <alignment horizontal="center"/>
    </xf>
    <xf numFmtId="165" fontId="0" fillId="12" borderId="71" xfId="1" applyFont="1" applyFill="1" applyBorder="1" applyAlignment="1">
      <alignment horizontal="center"/>
    </xf>
    <xf numFmtId="165" fontId="0" fillId="0" borderId="69" xfId="1" applyFont="1" applyBorder="1" applyAlignment="1">
      <alignment horizontal="center"/>
    </xf>
    <xf numFmtId="165" fontId="0" fillId="12" borderId="69" xfId="1" applyFont="1" applyFill="1" applyBorder="1" applyAlignment="1">
      <alignment horizontal="center"/>
    </xf>
    <xf numFmtId="165" fontId="0" fillId="12" borderId="72" xfId="1" applyFont="1" applyFill="1" applyBorder="1" applyAlignment="1">
      <alignment horizontal="center"/>
    </xf>
    <xf numFmtId="165" fontId="0" fillId="0" borderId="44" xfId="1" applyFont="1" applyBorder="1" applyAlignment="1">
      <alignment horizontal="center"/>
    </xf>
    <xf numFmtId="165" fontId="0" fillId="12" borderId="44" xfId="1" applyFont="1" applyFill="1" applyBorder="1" applyAlignment="1">
      <alignment horizontal="center"/>
    </xf>
    <xf numFmtId="9" fontId="0" fillId="0" borderId="0" xfId="4" applyFont="1" applyAlignment="1">
      <alignment horizontal="center"/>
    </xf>
    <xf numFmtId="165" fontId="0" fillId="12" borderId="70" xfId="1" applyFont="1" applyFill="1" applyBorder="1" applyAlignment="1">
      <alignment horizontal="center"/>
    </xf>
    <xf numFmtId="165" fontId="0" fillId="12" borderId="45" xfId="1" applyFont="1" applyFill="1" applyBorder="1" applyAlignment="1">
      <alignment horizontal="center"/>
    </xf>
    <xf numFmtId="0" fontId="8" fillId="24" borderId="3" xfId="0" applyFont="1" applyFill="1" applyBorder="1" applyAlignment="1">
      <alignment horizontal="center"/>
    </xf>
    <xf numFmtId="165" fontId="8" fillId="6" borderId="3" xfId="0" applyNumberFormat="1" applyFont="1" applyFill="1" applyBorder="1"/>
    <xf numFmtId="0" fontId="18" fillId="0" borderId="12" xfId="3" applyFont="1" applyBorder="1" applyAlignment="1">
      <alignment vertical="center"/>
    </xf>
    <xf numFmtId="165" fontId="5" fillId="6" borderId="3" xfId="11" applyFont="1" applyFill="1" applyBorder="1" applyAlignment="1">
      <alignment vertical="center"/>
    </xf>
    <xf numFmtId="0" fontId="17" fillId="0" borderId="0" xfId="3" applyFont="1" applyAlignment="1">
      <alignment horizontal="center" vertical="center"/>
    </xf>
    <xf numFmtId="0" fontId="18" fillId="0" borderId="0" xfId="3" applyFont="1" applyAlignment="1">
      <alignment vertical="center"/>
    </xf>
    <xf numFmtId="0" fontId="17" fillId="0" borderId="0" xfId="3" applyFont="1" applyAlignment="1">
      <alignment vertical="center"/>
    </xf>
    <xf numFmtId="9" fontId="17" fillId="0" borderId="0" xfId="5" applyFont="1" applyAlignment="1">
      <alignment horizontal="center" vertical="center"/>
    </xf>
    <xf numFmtId="0" fontId="43" fillId="25" borderId="4" xfId="3" applyFont="1" applyFill="1" applyBorder="1" applyAlignment="1">
      <alignment horizontal="center" vertical="center"/>
    </xf>
    <xf numFmtId="0" fontId="43" fillId="25" borderId="32" xfId="3" applyFont="1" applyFill="1" applyBorder="1" applyAlignment="1">
      <alignment horizontal="center" vertical="center"/>
    </xf>
    <xf numFmtId="175" fontId="43" fillId="25" borderId="32" xfId="25" applyNumberFormat="1" applyFont="1" applyFill="1" applyBorder="1" applyAlignment="1" applyProtection="1">
      <alignment horizontal="center" vertical="center" wrapText="1"/>
    </xf>
    <xf numFmtId="175" fontId="43" fillId="25" borderId="5" xfId="25" applyNumberFormat="1" applyFont="1" applyFill="1" applyBorder="1" applyAlignment="1" applyProtection="1">
      <alignment horizontal="center" vertical="center" wrapText="1"/>
    </xf>
    <xf numFmtId="0" fontId="18" fillId="0" borderId="11" xfId="3" applyFont="1" applyBorder="1" applyAlignment="1">
      <alignment horizontal="center" vertical="center" wrapText="1"/>
    </xf>
    <xf numFmtId="0" fontId="18" fillId="0" borderId="3" xfId="3" applyFont="1" applyBorder="1" applyAlignment="1">
      <alignment horizontal="center" vertical="center" wrapText="1"/>
    </xf>
    <xf numFmtId="0" fontId="18" fillId="0" borderId="0" xfId="3" applyFont="1" applyAlignment="1">
      <alignment horizontal="center" vertical="center"/>
    </xf>
    <xf numFmtId="0" fontId="18" fillId="0" borderId="0" xfId="3" applyFont="1" applyAlignment="1">
      <alignment horizontal="center" vertical="center" wrapText="1"/>
    </xf>
    <xf numFmtId="0" fontId="17" fillId="0" borderId="6" xfId="3" applyFont="1" applyBorder="1" applyAlignment="1">
      <alignment horizontal="center" vertical="center"/>
    </xf>
    <xf numFmtId="0" fontId="44" fillId="0" borderId="19" xfId="3" applyFont="1" applyBorder="1" applyAlignment="1" applyProtection="1">
      <alignment horizontal="left" vertical="center"/>
      <protection locked="0"/>
    </xf>
    <xf numFmtId="0" fontId="17" fillId="0" borderId="19" xfId="3" applyFont="1" applyBorder="1" applyAlignment="1">
      <alignment vertical="center"/>
    </xf>
    <xf numFmtId="165" fontId="17" fillId="0" borderId="0" xfId="11" applyFont="1" applyAlignment="1">
      <alignment vertical="center"/>
    </xf>
    <xf numFmtId="10" fontId="17" fillId="0" borderId="0" xfId="5" applyNumberFormat="1" applyFont="1" applyAlignment="1">
      <alignment vertical="center"/>
    </xf>
    <xf numFmtId="176" fontId="17" fillId="0" borderId="7" xfId="11" applyNumberFormat="1" applyFont="1" applyBorder="1" applyAlignment="1">
      <alignment vertical="center"/>
    </xf>
    <xf numFmtId="0" fontId="44" fillId="0" borderId="6" xfId="3" applyFont="1" applyBorder="1" applyAlignment="1" applyProtection="1">
      <alignment horizontal="center" vertical="center"/>
      <protection locked="0"/>
    </xf>
    <xf numFmtId="3" fontId="44" fillId="0" borderId="6" xfId="3" applyNumberFormat="1" applyFont="1" applyBorder="1" applyAlignment="1" applyProtection="1">
      <alignment horizontal="center" vertical="center"/>
      <protection locked="0"/>
    </xf>
    <xf numFmtId="165" fontId="17" fillId="0" borderId="0" xfId="1" applyFont="1" applyAlignment="1">
      <alignment vertical="center"/>
    </xf>
    <xf numFmtId="0" fontId="17" fillId="0" borderId="5" xfId="3" applyFont="1" applyBorder="1" applyAlignment="1">
      <alignment horizontal="center" vertical="center"/>
    </xf>
    <xf numFmtId="0" fontId="17" fillId="0" borderId="7" xfId="3" applyFont="1" applyBorder="1" applyAlignment="1">
      <alignment horizontal="center" vertical="center"/>
    </xf>
    <xf numFmtId="165" fontId="18" fillId="0" borderId="0" xfId="3" applyNumberFormat="1" applyFont="1" applyAlignment="1">
      <alignment vertical="center"/>
    </xf>
    <xf numFmtId="0" fontId="30" fillId="11" borderId="0" xfId="0" applyFont="1" applyFill="1" applyAlignment="1">
      <alignment horizontal="center" vertical="center"/>
    </xf>
    <xf numFmtId="0" fontId="30" fillId="11" borderId="36" xfId="0" applyFont="1" applyFill="1" applyBorder="1" applyAlignment="1">
      <alignment horizontal="center" vertical="center"/>
    </xf>
    <xf numFmtId="0" fontId="30" fillId="11" borderId="38" xfId="0" applyFont="1" applyFill="1" applyBorder="1" applyAlignment="1">
      <alignment horizontal="center" vertical="center"/>
    </xf>
    <xf numFmtId="0" fontId="30" fillId="11" borderId="39" xfId="0" applyFont="1" applyFill="1" applyBorder="1" applyAlignment="1">
      <alignment horizontal="center" vertical="center"/>
    </xf>
    <xf numFmtId="165" fontId="3" fillId="0" borderId="0" xfId="1" applyAlignment="1">
      <alignment vertical="center"/>
    </xf>
    <xf numFmtId="165" fontId="3" fillId="0" borderId="0" xfId="1" applyAlignment="1">
      <alignment horizontal="center" vertical="center"/>
    </xf>
    <xf numFmtId="165" fontId="3" fillId="0" borderId="20" xfId="1" applyBorder="1" applyAlignment="1">
      <alignment vertical="center"/>
    </xf>
    <xf numFmtId="165" fontId="3" fillId="0" borderId="2" xfId="1" applyBorder="1" applyAlignment="1">
      <alignment vertical="center"/>
    </xf>
    <xf numFmtId="1" fontId="3" fillId="0" borderId="21" xfId="1" applyNumberFormat="1" applyBorder="1" applyAlignment="1">
      <alignment horizontal="center" vertical="center"/>
    </xf>
    <xf numFmtId="165" fontId="8" fillId="0" borderId="0" xfId="0" applyNumberFormat="1" applyFont="1" applyAlignment="1">
      <alignment vertical="center"/>
    </xf>
    <xf numFmtId="0" fontId="0" fillId="0" borderId="1" xfId="0" applyBorder="1" applyAlignment="1">
      <alignment horizontal="center"/>
    </xf>
    <xf numFmtId="0" fontId="0" fillId="0" borderId="23" xfId="0" applyBorder="1" applyAlignment="1">
      <alignment horizontal="center"/>
    </xf>
    <xf numFmtId="0" fontId="45" fillId="0" borderId="7" xfId="0" applyFont="1" applyBorder="1" applyAlignment="1">
      <alignment horizontal="center" vertical="center"/>
    </xf>
    <xf numFmtId="165" fontId="45" fillId="0" borderId="0" xfId="1" applyFont="1" applyFill="1" applyBorder="1" applyAlignment="1">
      <alignment horizontal="center" vertical="center"/>
    </xf>
    <xf numFmtId="0" fontId="45" fillId="0" borderId="0" xfId="0" applyFont="1" applyAlignment="1">
      <alignment vertical="center"/>
    </xf>
    <xf numFmtId="0" fontId="8" fillId="15" borderId="38" xfId="0" applyFont="1" applyFill="1" applyBorder="1" applyAlignment="1">
      <alignment horizontal="center" vertical="center"/>
    </xf>
    <xf numFmtId="1" fontId="3" fillId="0" borderId="7" xfId="1" applyNumberFormat="1" applyFill="1" applyBorder="1" applyAlignment="1">
      <alignment horizontal="center" vertical="center"/>
    </xf>
    <xf numFmtId="0" fontId="0" fillId="0" borderId="74" xfId="0" applyBorder="1"/>
    <xf numFmtId="0" fontId="0" fillId="0" borderId="75" xfId="0" applyBorder="1" applyAlignment="1">
      <alignment horizontal="center"/>
    </xf>
    <xf numFmtId="165" fontId="0" fillId="0" borderId="76" xfId="1" applyFont="1" applyFill="1" applyBorder="1"/>
    <xf numFmtId="0" fontId="8" fillId="0" borderId="0" xfId="0" applyFont="1" applyAlignment="1">
      <alignment horizontal="center" vertical="center" wrapText="1"/>
    </xf>
    <xf numFmtId="0" fontId="8" fillId="0" borderId="31" xfId="0" applyFont="1" applyBorder="1" applyAlignment="1">
      <alignment horizontal="center" vertical="center" wrapText="1"/>
    </xf>
    <xf numFmtId="0" fontId="8" fillId="0" borderId="30" xfId="0" applyFont="1" applyBorder="1" applyAlignment="1">
      <alignment horizontal="center" vertical="center" wrapText="1"/>
    </xf>
    <xf numFmtId="165" fontId="0" fillId="0" borderId="77" xfId="1" applyFont="1" applyFill="1" applyBorder="1"/>
    <xf numFmtId="0" fontId="0" fillId="0" borderId="78" xfId="0" applyBorder="1" applyAlignment="1">
      <alignment horizontal="center"/>
    </xf>
    <xf numFmtId="0" fontId="46" fillId="0" borderId="0" xfId="0" applyFont="1" applyAlignment="1">
      <alignment horizontal="left" vertical="center" wrapText="1"/>
    </xf>
    <xf numFmtId="0" fontId="23" fillId="0" borderId="0" xfId="0" applyFont="1" applyAlignment="1">
      <alignment horizontal="left" vertical="center" wrapText="1"/>
    </xf>
    <xf numFmtId="0" fontId="47" fillId="0" borderId="0" xfId="2" applyFont="1" applyAlignment="1">
      <alignment horizontal="left" vertical="center" wrapText="1"/>
    </xf>
    <xf numFmtId="0" fontId="16" fillId="11" borderId="12" xfId="0" applyFont="1" applyFill="1" applyBorder="1" applyAlignment="1">
      <alignment horizontal="center" vertical="center" wrapText="1"/>
    </xf>
    <xf numFmtId="0" fontId="16" fillId="11" borderId="37" xfId="0" applyFont="1" applyFill="1" applyBorder="1" applyAlignment="1">
      <alignment horizontal="center" vertical="center" wrapText="1"/>
    </xf>
    <xf numFmtId="0" fontId="16" fillId="11" borderId="13" xfId="0" applyFont="1" applyFill="1" applyBorder="1" applyAlignment="1">
      <alignment horizontal="center" vertical="center" wrapText="1"/>
    </xf>
    <xf numFmtId="165" fontId="0" fillId="0" borderId="67" xfId="1" applyFont="1" applyBorder="1"/>
    <xf numFmtId="0" fontId="8" fillId="2" borderId="14" xfId="0" applyFont="1" applyFill="1" applyBorder="1" applyAlignment="1">
      <alignment horizontal="center"/>
    </xf>
    <xf numFmtId="0" fontId="8" fillId="2" borderId="11" xfId="0" applyFont="1" applyFill="1" applyBorder="1" applyAlignment="1">
      <alignment horizontal="center"/>
    </xf>
    <xf numFmtId="0" fontId="8" fillId="2" borderId="10" xfId="0" applyFont="1" applyFill="1" applyBorder="1" applyAlignment="1">
      <alignment horizontal="center"/>
    </xf>
    <xf numFmtId="9" fontId="18" fillId="2" borderId="24" xfId="4" applyFont="1" applyFill="1" applyBorder="1" applyAlignment="1">
      <alignment horizontal="center"/>
    </xf>
    <xf numFmtId="0" fontId="8" fillId="6" borderId="17" xfId="0" applyFont="1" applyFill="1" applyBorder="1" applyAlignment="1">
      <alignment horizontal="center" vertical="center" wrapText="1"/>
    </xf>
    <xf numFmtId="0" fontId="8" fillId="6" borderId="67" xfId="0" applyFont="1" applyFill="1" applyBorder="1" applyAlignment="1">
      <alignment horizontal="center" vertical="center" wrapText="1"/>
    </xf>
    <xf numFmtId="165" fontId="8" fillId="6" borderId="67" xfId="1" applyFont="1" applyFill="1" applyBorder="1" applyAlignment="1">
      <alignment horizontal="center" vertical="center" wrapText="1"/>
    </xf>
    <xf numFmtId="165" fontId="8" fillId="6" borderId="18" xfId="1" applyFont="1" applyFill="1" applyBorder="1" applyAlignment="1">
      <alignment horizontal="center" vertical="center" wrapText="1"/>
    </xf>
    <xf numFmtId="0" fontId="30" fillId="27" borderId="79" xfId="0" applyFont="1" applyFill="1" applyBorder="1" applyAlignment="1">
      <alignment horizontal="center" vertical="center"/>
    </xf>
    <xf numFmtId="0" fontId="30" fillId="27" borderId="80" xfId="0" applyFont="1" applyFill="1" applyBorder="1" applyAlignment="1">
      <alignment horizontal="center" vertical="center"/>
    </xf>
    <xf numFmtId="0" fontId="30" fillId="27" borderId="81" xfId="0" applyFont="1" applyFill="1" applyBorder="1" applyAlignment="1">
      <alignment horizontal="center" vertical="center" wrapText="1"/>
    </xf>
    <xf numFmtId="0" fontId="30" fillId="27" borderId="25" xfId="0" applyFont="1" applyFill="1" applyBorder="1" applyAlignment="1">
      <alignment horizontal="center" vertical="center" wrapText="1"/>
    </xf>
    <xf numFmtId="0" fontId="8" fillId="6" borderId="17" xfId="0" applyFont="1" applyFill="1" applyBorder="1" applyAlignment="1">
      <alignment horizontal="center" vertical="center"/>
    </xf>
    <xf numFmtId="0" fontId="0" fillId="0" borderId="67" xfId="0" applyBorder="1" applyAlignment="1">
      <alignment vertical="center"/>
    </xf>
    <xf numFmtId="9" fontId="8" fillId="6" borderId="3" xfId="4" applyFont="1" applyFill="1" applyBorder="1" applyAlignment="1">
      <alignment horizontal="center" vertical="center"/>
    </xf>
    <xf numFmtId="0" fontId="0" fillId="0" borderId="32" xfId="0" applyBorder="1"/>
    <xf numFmtId="165" fontId="0" fillId="0" borderId="32" xfId="1" applyFont="1" applyBorder="1"/>
    <xf numFmtId="0" fontId="0" fillId="0" borderId="82" xfId="0" applyBorder="1"/>
    <xf numFmtId="0" fontId="0" fillId="0" borderId="83" xfId="0" applyBorder="1"/>
    <xf numFmtId="0" fontId="8" fillId="2" borderId="30" xfId="0" applyFont="1" applyFill="1" applyBorder="1" applyAlignment="1">
      <alignment horizontal="center" vertical="center" wrapText="1"/>
    </xf>
    <xf numFmtId="49" fontId="0" fillId="0" borderId="65" xfId="0" applyNumberFormat="1" applyBorder="1" applyAlignment="1">
      <alignment horizontal="center" vertical="center"/>
    </xf>
    <xf numFmtId="49" fontId="0" fillId="22" borderId="65" xfId="0" applyNumberFormat="1" applyFill="1" applyBorder="1" applyAlignment="1">
      <alignment horizontal="center" vertical="center"/>
    </xf>
    <xf numFmtId="0" fontId="30" fillId="27" borderId="65" xfId="0" applyFont="1" applyFill="1" applyBorder="1" applyAlignment="1">
      <alignment horizontal="center" vertical="center"/>
    </xf>
    <xf numFmtId="0" fontId="8" fillId="28" borderId="84" xfId="0" applyFont="1" applyFill="1" applyBorder="1" applyAlignment="1">
      <alignment horizontal="left" vertical="center" wrapText="1"/>
    </xf>
    <xf numFmtId="0" fontId="3" fillId="28" borderId="84" xfId="0" applyFont="1" applyFill="1" applyBorder="1" applyAlignment="1">
      <alignment horizontal="left" vertical="center" wrapText="1"/>
    </xf>
    <xf numFmtId="2" fontId="8" fillId="28" borderId="84" xfId="0" applyNumberFormat="1" applyFont="1" applyFill="1" applyBorder="1" applyAlignment="1">
      <alignment horizontal="right" vertical="center" wrapText="1"/>
    </xf>
    <xf numFmtId="0" fontId="8" fillId="29" borderId="84" xfId="0" applyFont="1" applyFill="1" applyBorder="1" applyAlignment="1">
      <alignment horizontal="left" vertical="center" wrapText="1"/>
    </xf>
    <xf numFmtId="0" fontId="3" fillId="29" borderId="84" xfId="0" applyFont="1" applyFill="1" applyBorder="1" applyAlignment="1">
      <alignment horizontal="left" vertical="center" wrapText="1"/>
    </xf>
    <xf numFmtId="0" fontId="8" fillId="28" borderId="84" xfId="0" applyFont="1" applyFill="1" applyBorder="1" applyAlignment="1">
      <alignment vertical="center"/>
    </xf>
    <xf numFmtId="0" fontId="3" fillId="28" borderId="86" xfId="0" applyFont="1" applyFill="1" applyBorder="1" applyAlignment="1">
      <alignment horizontal="left" vertical="center" wrapText="1"/>
    </xf>
    <xf numFmtId="0" fontId="8" fillId="30" borderId="84" xfId="0" applyFont="1" applyFill="1" applyBorder="1" applyAlignment="1">
      <alignment horizontal="left" vertical="center" wrapText="1"/>
    </xf>
    <xf numFmtId="0" fontId="3" fillId="30" borderId="84" xfId="0" applyFont="1" applyFill="1" applyBorder="1" applyAlignment="1">
      <alignment horizontal="left" vertical="center" wrapText="1"/>
    </xf>
    <xf numFmtId="0" fontId="8" fillId="28" borderId="84" xfId="0" applyFont="1" applyFill="1" applyBorder="1" applyAlignment="1">
      <alignment horizontal="left" vertical="center"/>
    </xf>
    <xf numFmtId="0" fontId="8" fillId="31" borderId="85" xfId="0" applyFont="1" applyFill="1" applyBorder="1" applyAlignment="1">
      <alignment horizontal="left" vertical="center" wrapText="1"/>
    </xf>
    <xf numFmtId="0" fontId="8" fillId="31" borderId="88" xfId="0" applyFont="1" applyFill="1" applyBorder="1" applyAlignment="1">
      <alignment horizontal="left"/>
    </xf>
    <xf numFmtId="0" fontId="8" fillId="28" borderId="87" xfId="0" applyFont="1" applyFill="1" applyBorder="1" applyAlignment="1">
      <alignment horizontal="left" vertical="center" wrapText="1"/>
    </xf>
    <xf numFmtId="0" fontId="3" fillId="28" borderId="87" xfId="0" applyFont="1" applyFill="1" applyBorder="1" applyAlignment="1">
      <alignment horizontal="left" vertical="center" wrapText="1"/>
    </xf>
    <xf numFmtId="0" fontId="8" fillId="30" borderId="84" xfId="0" applyFont="1" applyFill="1" applyBorder="1" applyAlignment="1">
      <alignment horizontal="left" vertical="center"/>
    </xf>
    <xf numFmtId="0" fontId="3" fillId="28" borderId="84" xfId="0" applyFont="1" applyFill="1" applyBorder="1" applyAlignment="1">
      <alignment vertical="center"/>
    </xf>
    <xf numFmtId="0" fontId="8" fillId="31" borderId="0" xfId="0" applyFont="1" applyFill="1"/>
    <xf numFmtId="0" fontId="3" fillId="31" borderId="0" xfId="0" applyFont="1" applyFill="1"/>
    <xf numFmtId="0" fontId="8" fillId="31" borderId="84" xfId="0" applyFont="1" applyFill="1" applyBorder="1" applyAlignment="1">
      <alignment vertical="center"/>
    </xf>
    <xf numFmtId="0" fontId="3" fillId="31" borderId="84" xfId="0" applyFont="1" applyFill="1" applyBorder="1" applyAlignment="1">
      <alignment horizontal="left" vertical="center" wrapText="1"/>
    </xf>
    <xf numFmtId="0" fontId="3" fillId="28" borderId="0" xfId="0" applyFont="1" applyFill="1" applyAlignment="1">
      <alignment vertical="center"/>
    </xf>
    <xf numFmtId="0" fontId="8" fillId="30" borderId="84" xfId="0" applyFont="1" applyFill="1" applyBorder="1" applyAlignment="1">
      <alignment vertical="center"/>
    </xf>
    <xf numFmtId="0" fontId="8" fillId="31" borderId="84" xfId="0" applyFont="1" applyFill="1" applyBorder="1" applyAlignment="1">
      <alignment horizontal="left" vertical="center" wrapText="1"/>
    </xf>
    <xf numFmtId="0" fontId="8" fillId="28" borderId="85" xfId="0" applyFont="1" applyFill="1" applyBorder="1" applyAlignment="1">
      <alignment horizontal="left" vertical="center" wrapText="1"/>
    </xf>
    <xf numFmtId="0" fontId="3" fillId="28" borderId="85" xfId="0" applyFont="1" applyFill="1" applyBorder="1" applyAlignment="1">
      <alignment horizontal="left" vertical="center" wrapText="1"/>
    </xf>
    <xf numFmtId="0" fontId="8" fillId="28" borderId="84" xfId="0" applyFont="1" applyFill="1" applyBorder="1" applyAlignment="1">
      <alignment vertical="center" wrapText="1"/>
    </xf>
    <xf numFmtId="0" fontId="8" fillId="31" borderId="84" xfId="0" applyFont="1" applyFill="1" applyBorder="1"/>
    <xf numFmtId="0" fontId="3" fillId="31" borderId="84" xfId="0" applyFont="1" applyFill="1" applyBorder="1"/>
    <xf numFmtId="0" fontId="8" fillId="31" borderId="84" xfId="0" applyFont="1" applyFill="1" applyBorder="1" applyAlignment="1">
      <alignment vertical="center" wrapText="1"/>
    </xf>
    <xf numFmtId="0" fontId="8" fillId="31" borderId="84" xfId="0" applyFont="1" applyFill="1" applyBorder="1" applyAlignment="1">
      <alignment horizontal="left"/>
    </xf>
    <xf numFmtId="0" fontId="8" fillId="31" borderId="0" xfId="0" applyFont="1" applyFill="1" applyAlignment="1">
      <alignment horizontal="left"/>
    </xf>
    <xf numFmtId="0" fontId="3" fillId="31" borderId="0" xfId="0" applyFont="1" applyFill="1" applyAlignment="1">
      <alignment horizontal="left"/>
    </xf>
    <xf numFmtId="0" fontId="8" fillId="32" borderId="84" xfId="0" applyFont="1" applyFill="1" applyBorder="1" applyAlignment="1">
      <alignment horizontal="left" vertical="center" wrapText="1"/>
    </xf>
    <xf numFmtId="0" fontId="3" fillId="32" borderId="84" xfId="0" applyFont="1" applyFill="1" applyBorder="1" applyAlignment="1">
      <alignment horizontal="left" vertical="center" wrapText="1"/>
    </xf>
    <xf numFmtId="0" fontId="8" fillId="0" borderId="84" xfId="0" applyFont="1" applyBorder="1"/>
    <xf numFmtId="0" fontId="3" fillId="0" borderId="84" xfId="0" applyFont="1" applyBorder="1"/>
    <xf numFmtId="0" fontId="8" fillId="28" borderId="85" xfId="0" applyFont="1" applyFill="1" applyBorder="1" applyAlignment="1">
      <alignment vertical="center"/>
    </xf>
    <xf numFmtId="0" fontId="8" fillId="31" borderId="88" xfId="0" applyFont="1" applyFill="1" applyBorder="1" applyAlignment="1">
      <alignment vertical="center"/>
    </xf>
    <xf numFmtId="0" fontId="8" fillId="31" borderId="88" xfId="0" applyFont="1" applyFill="1" applyBorder="1" applyAlignment="1">
      <alignment horizontal="left" vertical="center" wrapText="1"/>
    </xf>
    <xf numFmtId="0" fontId="8" fillId="31" borderId="88" xfId="0" applyFont="1" applyFill="1" applyBorder="1"/>
    <xf numFmtId="0" fontId="8" fillId="0" borderId="0" xfId="0" applyFont="1" applyAlignment="1">
      <alignment horizontal="left"/>
    </xf>
    <xf numFmtId="0" fontId="3" fillId="0" borderId="0" xfId="0" applyFont="1"/>
    <xf numFmtId="0" fontId="3" fillId="33" borderId="84" xfId="0" applyFont="1" applyFill="1" applyBorder="1" applyAlignment="1">
      <alignment horizontal="left" vertical="center" wrapText="1"/>
    </xf>
    <xf numFmtId="0" fontId="8" fillId="33" borderId="84" xfId="0" applyFont="1" applyFill="1" applyBorder="1" applyAlignment="1">
      <alignment horizontal="left" vertical="center" wrapText="1"/>
    </xf>
    <xf numFmtId="0" fontId="8" fillId="2" borderId="24" xfId="0" applyFont="1" applyFill="1" applyBorder="1" applyAlignment="1">
      <alignment horizontal="center"/>
    </xf>
    <xf numFmtId="0" fontId="0" fillId="34" borderId="65" xfId="0" applyFill="1" applyBorder="1"/>
    <xf numFmtId="0" fontId="0" fillId="0" borderId="20" xfId="0" applyBorder="1" applyAlignment="1">
      <alignment horizontal="center"/>
    </xf>
    <xf numFmtId="0" fontId="8" fillId="2" borderId="36" xfId="0" applyFont="1" applyFill="1" applyBorder="1" applyAlignment="1">
      <alignment horizontal="center"/>
    </xf>
    <xf numFmtId="165" fontId="8" fillId="2" borderId="39" xfId="1" applyFont="1" applyFill="1" applyBorder="1" applyAlignment="1">
      <alignment horizontal="center"/>
    </xf>
    <xf numFmtId="0" fontId="0" fillId="0" borderId="14" xfId="0" applyBorder="1"/>
    <xf numFmtId="165" fontId="18" fillId="2" borderId="11" xfId="1" applyFont="1" applyFill="1" applyBorder="1"/>
    <xf numFmtId="165" fontId="0" fillId="0" borderId="68" xfId="1" applyFont="1" applyBorder="1" applyAlignment="1">
      <alignment horizontal="center"/>
    </xf>
    <xf numFmtId="0" fontId="8" fillId="0" borderId="12" xfId="0" applyFont="1" applyBorder="1" applyAlignment="1">
      <alignment horizontal="center" vertical="center"/>
    </xf>
    <xf numFmtId="165" fontId="0" fillId="0" borderId="30" xfId="1" applyFont="1" applyBorder="1"/>
    <xf numFmtId="9" fontId="0" fillId="0" borderId="31" xfId="4" applyFont="1" applyBorder="1" applyAlignment="1">
      <alignment horizontal="center"/>
    </xf>
    <xf numFmtId="165" fontId="0" fillId="0" borderId="17" xfId="1" applyFont="1" applyBorder="1"/>
    <xf numFmtId="9" fontId="0" fillId="0" borderId="18" xfId="4" applyFont="1" applyBorder="1" applyAlignment="1">
      <alignment horizontal="center"/>
    </xf>
    <xf numFmtId="0" fontId="8" fillId="0" borderId="14" xfId="0" applyFont="1" applyBorder="1" applyAlignment="1">
      <alignment horizontal="center" vertical="center"/>
    </xf>
    <xf numFmtId="0" fontId="8" fillId="0" borderId="3" xfId="0" applyFont="1" applyBorder="1" applyAlignment="1">
      <alignment horizontal="center" vertical="center" wrapText="1"/>
    </xf>
    <xf numFmtId="165" fontId="0" fillId="0" borderId="89" xfId="1" applyFont="1" applyBorder="1"/>
    <xf numFmtId="0" fontId="8" fillId="28" borderId="84" xfId="0" quotePrefix="1" applyFont="1" applyFill="1" applyBorder="1" applyAlignment="1">
      <alignment horizontal="left" vertical="center" wrapText="1"/>
    </xf>
    <xf numFmtId="0" fontId="0" fillId="0" borderId="0" xfId="0" applyAlignment="1">
      <alignment horizontal="right"/>
    </xf>
    <xf numFmtId="9" fontId="0" fillId="0" borderId="0" xfId="0" applyNumberFormat="1"/>
    <xf numFmtId="2" fontId="0" fillId="0" borderId="0" xfId="1" applyNumberFormat="1" applyFont="1"/>
    <xf numFmtId="9" fontId="0" fillId="0" borderId="0" xfId="0" applyNumberFormat="1" applyAlignment="1">
      <alignment vertical="center"/>
    </xf>
    <xf numFmtId="165" fontId="0" fillId="0" borderId="0" xfId="1" applyFont="1" applyBorder="1" applyAlignment="1">
      <alignment vertical="center"/>
    </xf>
    <xf numFmtId="0" fontId="16" fillId="11" borderId="10" xfId="0" applyFont="1" applyFill="1" applyBorder="1" applyAlignment="1">
      <alignment horizontal="center" vertical="center" wrapText="1"/>
    </xf>
    <xf numFmtId="0" fontId="16" fillId="11" borderId="11" xfId="0" applyFont="1" applyFill="1" applyBorder="1" applyAlignment="1">
      <alignment horizontal="center" vertical="center" wrapText="1"/>
    </xf>
    <xf numFmtId="0" fontId="0" fillId="0" borderId="19" xfId="0" applyBorder="1" applyAlignment="1">
      <alignment horizontal="left"/>
    </xf>
    <xf numFmtId="17" fontId="0" fillId="0" borderId="0" xfId="0" applyNumberFormat="1"/>
    <xf numFmtId="165" fontId="0" fillId="0" borderId="0" xfId="1" applyFont="1" applyAlignment="1">
      <alignment horizontal="center" vertical="center"/>
    </xf>
    <xf numFmtId="165" fontId="8" fillId="0" borderId="0" xfId="0" applyNumberFormat="1" applyFont="1" applyAlignment="1">
      <alignment horizontal="center" vertical="center"/>
    </xf>
    <xf numFmtId="9" fontId="0" fillId="0" borderId="0" xfId="4" applyFont="1" applyAlignment="1">
      <alignment horizontal="center" vertical="center"/>
    </xf>
    <xf numFmtId="0" fontId="0" fillId="35" borderId="65" xfId="0" applyFill="1" applyBorder="1"/>
    <xf numFmtId="165" fontId="0" fillId="35" borderId="65" xfId="1" applyFont="1" applyFill="1" applyBorder="1"/>
    <xf numFmtId="49" fontId="0" fillId="35" borderId="65" xfId="0" applyNumberFormat="1" applyFill="1" applyBorder="1" applyAlignment="1">
      <alignment horizontal="center" vertical="center"/>
    </xf>
    <xf numFmtId="0" fontId="0" fillId="6" borderId="65" xfId="0" applyFill="1" applyBorder="1"/>
    <xf numFmtId="165" fontId="0" fillId="6" borderId="65" xfId="1" applyFont="1" applyFill="1" applyBorder="1"/>
    <xf numFmtId="49" fontId="0" fillId="6" borderId="65" xfId="0" applyNumberFormat="1" applyFill="1" applyBorder="1" applyAlignment="1">
      <alignment horizontal="center" vertical="center"/>
    </xf>
    <xf numFmtId="0" fontId="0" fillId="6" borderId="0" xfId="0" applyFill="1"/>
    <xf numFmtId="165" fontId="0" fillId="6" borderId="0" xfId="1" applyFont="1" applyFill="1"/>
    <xf numFmtId="0" fontId="17" fillId="0" borderId="4" xfId="3" applyFont="1" applyBorder="1" applyAlignment="1">
      <alignment horizontal="center" vertical="center"/>
    </xf>
    <xf numFmtId="0" fontId="5" fillId="2" borderId="3" xfId="0" applyFont="1" applyFill="1" applyBorder="1" applyAlignment="1">
      <alignment horizontal="center"/>
    </xf>
    <xf numFmtId="165" fontId="8" fillId="2" borderId="24" xfId="0" applyNumberFormat="1" applyFont="1" applyFill="1" applyBorder="1" applyAlignment="1">
      <alignment horizontal="center"/>
    </xf>
    <xf numFmtId="0" fontId="3" fillId="0" borderId="0" xfId="3" applyFont="1" applyAlignment="1">
      <alignment horizontal="center" vertical="center"/>
    </xf>
    <xf numFmtId="165" fontId="6" fillId="2" borderId="0" xfId="1" applyFont="1" applyFill="1" applyAlignment="1">
      <alignment vertical="center"/>
    </xf>
    <xf numFmtId="165" fontId="13" fillId="0" borderId="0" xfId="1" applyFont="1" applyAlignment="1">
      <alignment horizontal="center"/>
    </xf>
    <xf numFmtId="165" fontId="5" fillId="6" borderId="3" xfId="0" applyNumberFormat="1" applyFont="1" applyFill="1" applyBorder="1"/>
    <xf numFmtId="0" fontId="38" fillId="0" borderId="0" xfId="0" applyFont="1" applyAlignment="1">
      <alignment wrapText="1"/>
    </xf>
    <xf numFmtId="0" fontId="38" fillId="0" borderId="0" xfId="0" applyFont="1" applyAlignment="1">
      <alignment vertical="center" wrapText="1"/>
    </xf>
    <xf numFmtId="0" fontId="38" fillId="0" borderId="67" xfId="0" applyFont="1" applyBorder="1" applyAlignment="1">
      <alignment wrapText="1"/>
    </xf>
    <xf numFmtId="0" fontId="8" fillId="0" borderId="19" xfId="0" applyFont="1" applyBorder="1"/>
    <xf numFmtId="0" fontId="0" fillId="0" borderId="0" xfId="3" applyFont="1" applyAlignment="1">
      <alignment horizontal="center" vertical="center"/>
    </xf>
    <xf numFmtId="0" fontId="8" fillId="2" borderId="4" xfId="0" applyFont="1" applyFill="1" applyBorder="1" applyAlignment="1">
      <alignment horizontal="center"/>
    </xf>
    <xf numFmtId="0" fontId="8" fillId="2" borderId="5" xfId="0" applyFont="1" applyFill="1" applyBorder="1" applyAlignment="1">
      <alignment horizontal="center"/>
    </xf>
    <xf numFmtId="165" fontId="8" fillId="2" borderId="32" xfId="1" applyFont="1" applyFill="1" applyBorder="1" applyAlignment="1">
      <alignment horizontal="center"/>
    </xf>
    <xf numFmtId="165" fontId="0" fillId="0" borderId="6" xfId="1" applyFont="1" applyBorder="1" applyAlignment="1">
      <alignment horizontal="center"/>
    </xf>
    <xf numFmtId="165" fontId="0" fillId="0" borderId="8" xfId="1" applyFont="1" applyBorder="1" applyAlignment="1">
      <alignment horizontal="center"/>
    </xf>
    <xf numFmtId="1" fontId="3" fillId="0" borderId="19" xfId="1" applyNumberFormat="1" applyFill="1" applyBorder="1" applyAlignment="1">
      <alignment horizontal="center" vertical="center"/>
    </xf>
    <xf numFmtId="165" fontId="17" fillId="0" borderId="0" xfId="1" applyFont="1"/>
    <xf numFmtId="165" fontId="0" fillId="0" borderId="0" xfId="0" applyNumberFormat="1" applyAlignment="1">
      <alignment horizontal="center"/>
    </xf>
    <xf numFmtId="0" fontId="8" fillId="2" borderId="8" xfId="0" applyFont="1" applyFill="1" applyBorder="1" applyAlignment="1">
      <alignment horizontal="center"/>
    </xf>
    <xf numFmtId="0" fontId="8" fillId="2" borderId="9" xfId="0" applyFont="1" applyFill="1" applyBorder="1" applyAlignment="1">
      <alignment horizontal="center"/>
    </xf>
    <xf numFmtId="0" fontId="8" fillId="0" borderId="20" xfId="0" applyFont="1" applyBorder="1" applyAlignment="1">
      <alignment horizontal="center"/>
    </xf>
    <xf numFmtId="0" fontId="45" fillId="0" borderId="9" xfId="0" applyFont="1" applyBorder="1" applyAlignment="1">
      <alignment horizontal="center" vertical="center"/>
    </xf>
    <xf numFmtId="0" fontId="0" fillId="2" borderId="6" xfId="0" applyFill="1" applyBorder="1" applyAlignment="1">
      <alignment horizontal="center"/>
    </xf>
    <xf numFmtId="0" fontId="0" fillId="2" borderId="20" xfId="0" applyFill="1" applyBorder="1" applyAlignment="1">
      <alignment horizontal="center"/>
    </xf>
    <xf numFmtId="0" fontId="0" fillId="0" borderId="25" xfId="0" applyBorder="1" applyAlignment="1">
      <alignment horizontal="center" vertical="center"/>
    </xf>
    <xf numFmtId="0" fontId="0" fillId="36" borderId="4" xfId="0" applyFill="1" applyBorder="1" applyAlignment="1">
      <alignment horizontal="center" vertical="center"/>
    </xf>
    <xf numFmtId="0" fontId="0" fillId="36" borderId="6" xfId="0" applyFill="1" applyBorder="1" applyAlignment="1">
      <alignment horizontal="center" vertical="center"/>
    </xf>
    <xf numFmtId="0" fontId="0" fillId="0" borderId="7" xfId="0" applyBorder="1"/>
    <xf numFmtId="165" fontId="0" fillId="0" borderId="0" xfId="1" applyFont="1" applyAlignment="1">
      <alignment horizontal="left"/>
    </xf>
    <xf numFmtId="0" fontId="23" fillId="0" borderId="0" xfId="0" applyFont="1" applyAlignment="1">
      <alignment horizontal="center" vertical="center"/>
    </xf>
    <xf numFmtId="0" fontId="8" fillId="0" borderId="30" xfId="0" applyFont="1" applyBorder="1" applyAlignment="1">
      <alignment horizontal="center" vertical="center"/>
    </xf>
    <xf numFmtId="0" fontId="8" fillId="0" borderId="31" xfId="0" applyFont="1" applyBorder="1" applyAlignment="1">
      <alignment horizontal="center" vertical="center"/>
    </xf>
    <xf numFmtId="0" fontId="0" fillId="0" borderId="31" xfId="0" applyBorder="1"/>
    <xf numFmtId="0" fontId="8" fillId="6" borderId="6" xfId="0" applyFont="1" applyFill="1" applyBorder="1" applyAlignment="1">
      <alignment horizontal="center" vertical="center"/>
    </xf>
    <xf numFmtId="0" fontId="8" fillId="6" borderId="7" xfId="0" applyFont="1" applyFill="1" applyBorder="1" applyAlignment="1">
      <alignment horizontal="center" vertical="center"/>
    </xf>
    <xf numFmtId="165" fontId="8" fillId="0" borderId="3" xfId="1" applyFont="1" applyBorder="1"/>
    <xf numFmtId="0" fontId="0" fillId="0" borderId="26" xfId="0" applyBorder="1" applyAlignment="1">
      <alignment horizontal="center" vertical="center"/>
    </xf>
    <xf numFmtId="0" fontId="8" fillId="6" borderId="0" xfId="0" applyFont="1" applyFill="1"/>
    <xf numFmtId="0" fontId="8" fillId="0" borderId="3" xfId="0" applyFont="1" applyBorder="1" applyAlignment="1">
      <alignment horizontal="center"/>
    </xf>
    <xf numFmtId="0" fontId="16" fillId="27" borderId="91" xfId="0" applyFont="1" applyFill="1" applyBorder="1" applyAlignment="1">
      <alignment horizontal="center" vertical="center"/>
    </xf>
    <xf numFmtId="0" fontId="4" fillId="0" borderId="0" xfId="2" applyAlignment="1">
      <alignment vertical="center"/>
    </xf>
    <xf numFmtId="10" fontId="17" fillId="0" borderId="0" xfId="4" applyNumberFormat="1" applyFont="1" applyAlignment="1">
      <alignment vertical="center"/>
    </xf>
    <xf numFmtId="176" fontId="17" fillId="0" borderId="0" xfId="3" applyNumberFormat="1" applyFont="1" applyAlignment="1">
      <alignment vertical="center"/>
    </xf>
    <xf numFmtId="0" fontId="45" fillId="0" borderId="19" xfId="3" applyFont="1" applyBorder="1" applyAlignment="1" applyProtection="1">
      <alignment horizontal="left" vertical="center"/>
      <protection locked="0"/>
    </xf>
    <xf numFmtId="177" fontId="17" fillId="0" borderId="0" xfId="1" applyNumberFormat="1" applyFont="1" applyAlignment="1">
      <alignment vertical="center"/>
    </xf>
    <xf numFmtId="0" fontId="17" fillId="0" borderId="0" xfId="3" quotePrefix="1" applyFont="1" applyAlignment="1">
      <alignment vertical="center"/>
    </xf>
    <xf numFmtId="10" fontId="0" fillId="0" borderId="0" xfId="4" applyNumberFormat="1" applyFont="1" applyAlignment="1">
      <alignment vertical="center"/>
    </xf>
    <xf numFmtId="0" fontId="0" fillId="0" borderId="0" xfId="0" quotePrefix="1" applyAlignment="1">
      <alignment horizontal="center" vertical="center"/>
    </xf>
    <xf numFmtId="0" fontId="5" fillId="2" borderId="24" xfId="0" applyFont="1" applyFill="1" applyBorder="1" applyAlignment="1">
      <alignment horizontal="center"/>
    </xf>
    <xf numFmtId="0" fontId="0" fillId="37" borderId="94" xfId="0" applyFill="1" applyBorder="1" applyAlignment="1">
      <alignment horizontal="center"/>
    </xf>
    <xf numFmtId="0" fontId="8" fillId="4" borderId="10" xfId="0" applyFont="1" applyFill="1" applyBorder="1" applyAlignment="1">
      <alignment horizontal="center" vertical="center"/>
    </xf>
    <xf numFmtId="0" fontId="8" fillId="4" borderId="11" xfId="0" applyFont="1" applyFill="1" applyBorder="1" applyAlignment="1">
      <alignment horizontal="center" vertical="center"/>
    </xf>
    <xf numFmtId="165" fontId="18" fillId="0" borderId="0" xfId="1" applyFont="1" applyAlignment="1">
      <alignment vertical="center"/>
    </xf>
    <xf numFmtId="165" fontId="8" fillId="0" borderId="3" xfId="0" applyNumberFormat="1" applyFont="1" applyBorder="1" applyAlignment="1">
      <alignment horizontal="center" vertical="center"/>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0" xfId="0" applyFont="1" applyFill="1" applyAlignment="1">
      <alignment horizontal="center" vertical="center"/>
    </xf>
    <xf numFmtId="0" fontId="8" fillId="5" borderId="41" xfId="0" applyFont="1" applyFill="1" applyBorder="1" applyAlignment="1">
      <alignment horizontal="center" vertical="center"/>
    </xf>
    <xf numFmtId="0" fontId="8" fillId="5" borderId="42" xfId="0" applyFont="1" applyFill="1" applyBorder="1" applyAlignment="1">
      <alignment horizontal="center" vertical="center"/>
    </xf>
    <xf numFmtId="0" fontId="8" fillId="5" borderId="43" xfId="0" applyFont="1" applyFill="1" applyBorder="1" applyAlignment="1">
      <alignment horizontal="center" vertical="center"/>
    </xf>
    <xf numFmtId="0" fontId="8" fillId="5" borderId="18" xfId="0" applyFont="1" applyFill="1" applyBorder="1" applyAlignment="1">
      <alignment horizontal="center" vertical="center"/>
    </xf>
    <xf numFmtId="0" fontId="8" fillId="5" borderId="0" xfId="0" applyFont="1" applyFill="1" applyAlignment="1">
      <alignment horizontal="center" vertical="center"/>
    </xf>
    <xf numFmtId="165" fontId="0" fillId="0" borderId="2" xfId="1" applyFont="1" applyBorder="1" applyAlignment="1">
      <alignment vertical="center"/>
    </xf>
    <xf numFmtId="165" fontId="0" fillId="0" borderId="19" xfId="1" applyFont="1" applyBorder="1" applyAlignment="1">
      <alignment vertical="center"/>
    </xf>
    <xf numFmtId="165" fontId="0" fillId="19" borderId="7" xfId="1" applyFont="1" applyFill="1" applyBorder="1" applyAlignment="1">
      <alignment vertical="center"/>
    </xf>
    <xf numFmtId="165" fontId="8" fillId="0" borderId="3" xfId="0" applyNumberFormat="1" applyFont="1" applyBorder="1" applyAlignment="1">
      <alignment vertical="center"/>
    </xf>
    <xf numFmtId="165" fontId="0" fillId="0" borderId="33" xfId="1" applyFont="1" applyBorder="1" applyAlignment="1">
      <alignment vertical="center"/>
    </xf>
    <xf numFmtId="9" fontId="17" fillId="0" borderId="0" xfId="4" applyFont="1"/>
    <xf numFmtId="179" fontId="17" fillId="0" borderId="0" xfId="4" applyNumberFormat="1" applyFont="1"/>
    <xf numFmtId="10" fontId="18" fillId="0" borderId="0" xfId="4" applyNumberFormat="1" applyFont="1"/>
    <xf numFmtId="0" fontId="18" fillId="0" borderId="0" xfId="0" applyFont="1"/>
    <xf numFmtId="169" fontId="3" fillId="38" borderId="0" xfId="0" applyNumberFormat="1" applyFont="1" applyFill="1" applyAlignment="1">
      <alignment horizontal="center"/>
    </xf>
    <xf numFmtId="170" fontId="3" fillId="38" borderId="0" xfId="0" applyNumberFormat="1" applyFont="1" applyFill="1" applyAlignment="1">
      <alignment horizontal="center"/>
    </xf>
    <xf numFmtId="14" fontId="0" fillId="0" borderId="0" xfId="0" applyNumberFormat="1" applyAlignment="1">
      <alignment vertical="center"/>
    </xf>
    <xf numFmtId="0" fontId="45" fillId="0" borderId="0" xfId="0" applyFont="1" applyAlignment="1">
      <alignment horizontal="center" vertical="center"/>
    </xf>
    <xf numFmtId="1" fontId="0" fillId="0" borderId="25" xfId="1" applyNumberFormat="1" applyFont="1" applyFill="1" applyBorder="1" applyAlignment="1">
      <alignment horizontal="center"/>
    </xf>
    <xf numFmtId="1" fontId="0" fillId="0" borderId="26" xfId="1" applyNumberFormat="1" applyFont="1" applyFill="1" applyBorder="1" applyAlignment="1">
      <alignment horizontal="center"/>
    </xf>
    <xf numFmtId="0" fontId="8" fillId="8" borderId="3" xfId="0" applyFont="1" applyFill="1" applyBorder="1" applyAlignment="1">
      <alignment horizontal="center" vertical="center"/>
    </xf>
    <xf numFmtId="1" fontId="0" fillId="0" borderId="0" xfId="0" applyNumberFormat="1" applyAlignment="1">
      <alignment horizontal="left"/>
    </xf>
    <xf numFmtId="1" fontId="0" fillId="8" borderId="0" xfId="0" applyNumberFormat="1" applyFill="1" applyAlignment="1">
      <alignment horizontal="left"/>
    </xf>
    <xf numFmtId="0" fontId="15" fillId="13" borderId="47" xfId="0" applyFont="1" applyFill="1" applyBorder="1"/>
    <xf numFmtId="0" fontId="0" fillId="14" borderId="47" xfId="0" applyFill="1" applyBorder="1"/>
    <xf numFmtId="0" fontId="0" fillId="0" borderId="47" xfId="0" applyBorder="1"/>
    <xf numFmtId="0" fontId="15" fillId="13" borderId="46" xfId="0" applyFont="1" applyFill="1" applyBorder="1" applyAlignment="1">
      <alignment horizontal="center"/>
    </xf>
    <xf numFmtId="0" fontId="15" fillId="13" borderId="46" xfId="0" applyFont="1" applyFill="1" applyBorder="1"/>
    <xf numFmtId="0" fontId="0" fillId="14" borderId="46" xfId="0" applyFill="1" applyBorder="1"/>
    <xf numFmtId="0" fontId="15" fillId="13" borderId="0" xfId="0" applyFont="1" applyFill="1" applyAlignment="1">
      <alignment horizontal="center"/>
    </xf>
    <xf numFmtId="0" fontId="15" fillId="13" borderId="0" xfId="0" applyFont="1" applyFill="1"/>
    <xf numFmtId="1" fontId="0" fillId="6" borderId="0" xfId="1" applyNumberFormat="1" applyFont="1" applyFill="1" applyBorder="1" applyAlignment="1">
      <alignment horizontal="center"/>
    </xf>
    <xf numFmtId="2" fontId="0" fillId="0" borderId="0" xfId="0" applyNumberFormat="1"/>
    <xf numFmtId="0" fontId="0" fillId="6" borderId="0" xfId="0" applyFill="1" applyAlignment="1">
      <alignment horizontal="center" vertical="center"/>
    </xf>
    <xf numFmtId="0" fontId="8" fillId="2" borderId="0" xfId="0" applyFont="1" applyFill="1" applyAlignment="1">
      <alignment horizontal="center"/>
    </xf>
    <xf numFmtId="0" fontId="0" fillId="0" borderId="4" xfId="0" applyBorder="1" applyAlignment="1">
      <alignment vertical="center"/>
    </xf>
    <xf numFmtId="176" fontId="17" fillId="8" borderId="7" xfId="11" applyNumberFormat="1" applyFont="1" applyFill="1" applyBorder="1" applyAlignment="1">
      <alignment vertical="center"/>
    </xf>
    <xf numFmtId="9" fontId="8" fillId="0" borderId="0" xfId="4" applyFont="1" applyAlignment="1">
      <alignment horizontal="center" vertical="center"/>
    </xf>
    <xf numFmtId="165" fontId="3" fillId="38" borderId="0" xfId="1" applyFont="1" applyFill="1" applyAlignment="1">
      <alignment horizontal="center"/>
    </xf>
    <xf numFmtId="165" fontId="21" fillId="0" borderId="0" xfId="1" applyFont="1" applyFill="1" applyAlignment="1">
      <alignment vertical="center"/>
    </xf>
    <xf numFmtId="165" fontId="21" fillId="0" borderId="0" xfId="1" applyFont="1" applyAlignment="1">
      <alignment vertical="center"/>
    </xf>
    <xf numFmtId="165" fontId="0" fillId="15" borderId="7" xfId="1" applyFont="1" applyFill="1" applyBorder="1" applyAlignment="1">
      <alignment vertical="center"/>
    </xf>
    <xf numFmtId="165" fontId="0" fillId="15" borderId="21" xfId="1" applyFont="1" applyFill="1" applyBorder="1" applyAlignment="1">
      <alignment vertical="center"/>
    </xf>
    <xf numFmtId="165" fontId="0" fillId="15" borderId="9" xfId="1" applyFont="1" applyFill="1" applyBorder="1" applyAlignment="1">
      <alignment vertical="center"/>
    </xf>
    <xf numFmtId="165" fontId="0" fillId="0" borderId="0" xfId="1" quotePrefix="1" applyFont="1"/>
    <xf numFmtId="0" fontId="17" fillId="2" borderId="19" xfId="3" applyFont="1" applyFill="1" applyBorder="1" applyAlignment="1">
      <alignment vertical="center"/>
    </xf>
    <xf numFmtId="0" fontId="45" fillId="2" borderId="19" xfId="3" applyFont="1" applyFill="1" applyBorder="1" applyAlignment="1" applyProtection="1">
      <alignment horizontal="left" vertical="center"/>
      <protection locked="0"/>
    </xf>
    <xf numFmtId="0" fontId="0" fillId="3" borderId="19" xfId="0" applyFill="1" applyBorder="1" applyAlignment="1">
      <alignment vertical="center"/>
    </xf>
    <xf numFmtId="165" fontId="0" fillId="3" borderId="19" xfId="1" applyFont="1" applyFill="1" applyBorder="1" applyAlignment="1">
      <alignment vertical="center"/>
    </xf>
    <xf numFmtId="165" fontId="8" fillId="0" borderId="25" xfId="1" applyFont="1" applyBorder="1" applyAlignment="1">
      <alignment vertical="center"/>
    </xf>
    <xf numFmtId="0" fontId="49" fillId="0" borderId="0" xfId="0" applyFont="1"/>
    <xf numFmtId="0" fontId="0" fillId="0" borderId="49" xfId="0" applyBorder="1"/>
    <xf numFmtId="0" fontId="0" fillId="0" borderId="35" xfId="0" applyBorder="1"/>
    <xf numFmtId="0" fontId="50" fillId="0" borderId="68" xfId="0" applyFont="1" applyBorder="1"/>
    <xf numFmtId="0" fontId="0" fillId="0" borderId="68" xfId="0" applyBorder="1"/>
    <xf numFmtId="168" fontId="44" fillId="0" borderId="19" xfId="27" applyFont="1" applyBorder="1" applyAlignment="1">
      <alignment horizontal="center"/>
    </xf>
    <xf numFmtId="4" fontId="44" fillId="0" borderId="19" xfId="0" applyNumberFormat="1" applyFont="1" applyBorder="1" applyAlignment="1">
      <alignment horizontal="right"/>
    </xf>
    <xf numFmtId="0" fontId="52" fillId="36" borderId="0" xfId="0" applyFont="1" applyFill="1" applyAlignment="1">
      <alignment horizontal="left"/>
    </xf>
    <xf numFmtId="2" fontId="44" fillId="36" borderId="0" xfId="0" applyNumberFormat="1" applyFont="1" applyFill="1" applyAlignment="1">
      <alignment horizontal="center"/>
    </xf>
    <xf numFmtId="0" fontId="44" fillId="36" borderId="0" xfId="0" applyFont="1" applyFill="1" applyAlignment="1">
      <alignment horizontal="center"/>
    </xf>
    <xf numFmtId="168" fontId="53" fillId="36" borderId="0" xfId="27" applyFont="1" applyFill="1" applyBorder="1" applyAlignment="1">
      <alignment horizontal="left"/>
    </xf>
    <xf numFmtId="168" fontId="44" fillId="36" borderId="0" xfId="27" applyFont="1" applyFill="1" applyBorder="1" applyAlignment="1"/>
    <xf numFmtId="168" fontId="44" fillId="36" borderId="0" xfId="27" applyFont="1" applyFill="1" applyBorder="1" applyAlignment="1">
      <alignment horizontal="center"/>
    </xf>
    <xf numFmtId="0" fontId="53" fillId="36" borderId="0" xfId="0" applyFont="1" applyFill="1" applyAlignment="1">
      <alignment horizontal="left"/>
    </xf>
    <xf numFmtId="0" fontId="54" fillId="0" borderId="68" xfId="0" applyFont="1" applyBorder="1"/>
    <xf numFmtId="0" fontId="51" fillId="0" borderId="68" xfId="0" applyFont="1" applyBorder="1"/>
    <xf numFmtId="0" fontId="23" fillId="0" borderId="68" xfId="0" applyFont="1" applyBorder="1" applyAlignment="1">
      <alignment horizontal="center"/>
    </xf>
    <xf numFmtId="0" fontId="44" fillId="15" borderId="0" xfId="0" applyFont="1" applyFill="1" applyAlignment="1">
      <alignment horizontal="right"/>
    </xf>
    <xf numFmtId="168" fontId="44" fillId="0" borderId="0" xfId="27" applyFont="1" applyBorder="1" applyAlignment="1">
      <alignment horizontal="center"/>
    </xf>
    <xf numFmtId="0" fontId="44" fillId="36" borderId="0" xfId="0" applyFont="1" applyFill="1" applyAlignment="1">
      <alignment horizontal="right"/>
    </xf>
    <xf numFmtId="0" fontId="55" fillId="36" borderId="68" xfId="0" applyFont="1" applyFill="1" applyBorder="1" applyAlignment="1">
      <alignment horizontal="left"/>
    </xf>
    <xf numFmtId="168" fontId="44" fillId="36" borderId="68" xfId="27" applyFont="1" applyFill="1" applyBorder="1" applyAlignment="1">
      <alignment horizontal="center"/>
    </xf>
    <xf numFmtId="0" fontId="44" fillId="36" borderId="97" xfId="0" applyFont="1" applyFill="1" applyBorder="1" applyAlignment="1">
      <alignment horizontal="right"/>
    </xf>
    <xf numFmtId="168" fontId="44" fillId="0" borderId="97" xfId="27" applyFont="1" applyBorder="1" applyAlignment="1">
      <alignment horizontal="center"/>
    </xf>
    <xf numFmtId="0" fontId="52" fillId="0" borderId="0" xfId="0" applyFont="1"/>
    <xf numFmtId="0" fontId="44" fillId="0" borderId="0" xfId="0" applyFont="1"/>
    <xf numFmtId="0" fontId="53" fillId="0" borderId="0" xfId="0" applyFont="1"/>
    <xf numFmtId="0" fontId="44" fillId="0" borderId="0" xfId="0" applyFont="1" applyAlignment="1">
      <alignment horizontal="center"/>
    </xf>
    <xf numFmtId="0" fontId="55" fillId="0" borderId="68" xfId="0" applyFont="1" applyBorder="1"/>
    <xf numFmtId="0" fontId="44" fillId="0" borderId="68" xfId="0" applyFont="1" applyBorder="1"/>
    <xf numFmtId="0" fontId="44" fillId="0" borderId="68" xfId="0" applyFont="1" applyBorder="1" applyAlignment="1">
      <alignment horizontal="center"/>
    </xf>
    <xf numFmtId="181" fontId="44" fillId="0" borderId="0" xfId="0" applyNumberFormat="1" applyFont="1" applyAlignment="1">
      <alignment horizontal="center"/>
    </xf>
    <xf numFmtId="181" fontId="44" fillId="0" borderId="68" xfId="0" applyNumberFormat="1" applyFont="1" applyBorder="1" applyAlignment="1">
      <alignment horizontal="center"/>
    </xf>
    <xf numFmtId="4" fontId="44" fillId="0" borderId="19" xfId="0" applyNumberFormat="1" applyFont="1" applyBorder="1"/>
    <xf numFmtId="2" fontId="44" fillId="0" borderId="7" xfId="0" quotePrefix="1" applyNumberFormat="1" applyFont="1" applyBorder="1" applyAlignment="1">
      <alignment horizontal="center"/>
    </xf>
    <xf numFmtId="4" fontId="44" fillId="0" borderId="33" xfId="0" applyNumberFormat="1" applyFont="1" applyBorder="1" applyAlignment="1">
      <alignment horizontal="right"/>
    </xf>
    <xf numFmtId="4" fontId="44" fillId="0" borderId="33" xfId="0" applyNumberFormat="1" applyFont="1" applyBorder="1"/>
    <xf numFmtId="181" fontId="44" fillId="0" borderId="9" xfId="0" quotePrefix="1" applyNumberFormat="1" applyFont="1" applyBorder="1" applyAlignment="1">
      <alignment horizontal="center"/>
    </xf>
    <xf numFmtId="0" fontId="18" fillId="0" borderId="0" xfId="0" applyFont="1" applyAlignment="1">
      <alignment horizontal="center"/>
    </xf>
    <xf numFmtId="9" fontId="0" fillId="0" borderId="24" xfId="4" applyFont="1" applyBorder="1" applyAlignment="1">
      <alignment horizontal="center"/>
    </xf>
    <xf numFmtId="9" fontId="0" fillId="0" borderId="25" xfId="4" applyFont="1" applyBorder="1" applyAlignment="1">
      <alignment horizontal="center"/>
    </xf>
    <xf numFmtId="9" fontId="0" fillId="0" borderId="26" xfId="4" applyFont="1" applyBorder="1" applyAlignment="1">
      <alignment horizontal="center"/>
    </xf>
    <xf numFmtId="0" fontId="0" fillId="0" borderId="31" xfId="0" applyBorder="1" applyAlignment="1">
      <alignment horizontal="center"/>
    </xf>
    <xf numFmtId="0" fontId="0" fillId="0" borderId="18" xfId="0" applyBorder="1" applyAlignment="1">
      <alignment horizontal="center"/>
    </xf>
    <xf numFmtId="0" fontId="0" fillId="0" borderId="30" xfId="0" applyBorder="1" applyAlignment="1">
      <alignment horizontal="center"/>
    </xf>
    <xf numFmtId="0" fontId="0" fillId="0" borderId="17" xfId="0" applyBorder="1" applyAlignment="1">
      <alignment horizontal="center"/>
    </xf>
    <xf numFmtId="0" fontId="50" fillId="0" borderId="0" xfId="0" applyFont="1"/>
    <xf numFmtId="0" fontId="44" fillId="4" borderId="6" xfId="0" applyFont="1" applyFill="1" applyBorder="1" applyAlignment="1">
      <alignment horizontal="center"/>
    </xf>
    <xf numFmtId="0" fontId="44" fillId="4" borderId="19" xfId="0" applyFont="1" applyFill="1" applyBorder="1" applyAlignment="1">
      <alignment horizontal="center"/>
    </xf>
    <xf numFmtId="4" fontId="44" fillId="36" borderId="0" xfId="0" applyNumberFormat="1" applyFont="1" applyFill="1" applyAlignment="1">
      <alignment horizontal="center"/>
    </xf>
    <xf numFmtId="0" fontId="44" fillId="4" borderId="8" xfId="0" applyFont="1" applyFill="1" applyBorder="1" applyAlignment="1">
      <alignment horizontal="center"/>
    </xf>
    <xf numFmtId="0" fontId="44" fillId="4" borderId="33" xfId="0" applyFont="1" applyFill="1" applyBorder="1" applyAlignment="1">
      <alignment horizontal="right"/>
    </xf>
    <xf numFmtId="0" fontId="44" fillId="4" borderId="33" xfId="0" applyFont="1" applyFill="1" applyBorder="1" applyAlignment="1">
      <alignment horizontal="center"/>
    </xf>
    <xf numFmtId="0" fontId="8" fillId="6" borderId="12" xfId="0" applyFont="1" applyFill="1" applyBorder="1" applyAlignment="1">
      <alignment horizontal="center"/>
    </xf>
    <xf numFmtId="0" fontId="8" fillId="6" borderId="37" xfId="0" applyFont="1" applyFill="1" applyBorder="1" applyAlignment="1">
      <alignment horizontal="center"/>
    </xf>
    <xf numFmtId="0" fontId="8" fillId="6" borderId="13" xfId="0" applyFont="1" applyFill="1" applyBorder="1" applyAlignment="1">
      <alignment horizontal="center"/>
    </xf>
    <xf numFmtId="0" fontId="8" fillId="0" borderId="30" xfId="0" applyFont="1" applyBorder="1" applyAlignment="1">
      <alignment horizontal="center"/>
    </xf>
    <xf numFmtId="165" fontId="0" fillId="0" borderId="0" xfId="1" applyFont="1" applyAlignment="1"/>
    <xf numFmtId="0" fontId="56" fillId="0" borderId="0" xfId="0" applyFont="1"/>
    <xf numFmtId="0" fontId="56" fillId="0" borderId="3" xfId="0" applyFont="1" applyBorder="1" applyAlignment="1">
      <alignment vertical="center"/>
    </xf>
    <xf numFmtId="165" fontId="8" fillId="8" borderId="0" xfId="0" applyNumberFormat="1" applyFont="1" applyFill="1"/>
    <xf numFmtId="0" fontId="0" fillId="6" borderId="2" xfId="0" applyFill="1" applyBorder="1" applyAlignment="1">
      <alignment vertical="center"/>
    </xf>
    <xf numFmtId="0" fontId="0" fillId="6" borderId="6" xfId="0" applyFill="1" applyBorder="1" applyAlignment="1">
      <alignment vertical="center"/>
    </xf>
    <xf numFmtId="0" fontId="0" fillId="6" borderId="20" xfId="0" applyFill="1" applyBorder="1" applyAlignment="1">
      <alignment vertical="center"/>
    </xf>
    <xf numFmtId="0" fontId="0" fillId="0" borderId="0" xfId="1" applyNumberFormat="1" applyFont="1"/>
    <xf numFmtId="9" fontId="26" fillId="20" borderId="0" xfId="4" applyFont="1" applyFill="1"/>
    <xf numFmtId="0" fontId="0" fillId="0" borderId="16" xfId="0" applyBorder="1" applyAlignment="1">
      <alignment horizontal="left"/>
    </xf>
    <xf numFmtId="0" fontId="45" fillId="0" borderId="2" xfId="0" applyFont="1" applyBorder="1" applyAlignment="1">
      <alignment horizontal="center" vertical="center" shrinkToFit="1"/>
    </xf>
    <xf numFmtId="0" fontId="45" fillId="0" borderId="42" xfId="0" applyFont="1" applyBorder="1" applyAlignment="1">
      <alignment horizontal="center" vertical="center" shrinkToFit="1"/>
    </xf>
    <xf numFmtId="0" fontId="45" fillId="0" borderId="20" xfId="0" applyFont="1" applyBorder="1" applyAlignment="1">
      <alignment vertical="center" shrinkToFit="1"/>
    </xf>
    <xf numFmtId="0" fontId="45" fillId="0" borderId="41" xfId="0" applyFont="1" applyBorder="1" applyAlignment="1">
      <alignment vertical="center" shrinkToFit="1"/>
    </xf>
    <xf numFmtId="165" fontId="8" fillId="4" borderId="0" xfId="0" applyNumberFormat="1" applyFont="1" applyFill="1" applyAlignment="1">
      <alignment vertical="center"/>
    </xf>
    <xf numFmtId="0" fontId="56" fillId="0" borderId="0" xfId="0" applyFont="1" applyAlignment="1">
      <alignment vertical="center"/>
    </xf>
    <xf numFmtId="0" fontId="0" fillId="6" borderId="0" xfId="0" applyFill="1" applyAlignment="1">
      <alignment horizontal="center"/>
    </xf>
    <xf numFmtId="0" fontId="17" fillId="8" borderId="6" xfId="3" applyFont="1" applyFill="1" applyBorder="1" applyAlignment="1">
      <alignment horizontal="center" vertical="center"/>
    </xf>
    <xf numFmtId="0" fontId="44" fillId="8" borderId="6" xfId="3" applyFont="1" applyFill="1" applyBorder="1" applyAlignment="1" applyProtection="1">
      <alignment horizontal="center" vertical="center"/>
      <protection locked="0"/>
    </xf>
    <xf numFmtId="0" fontId="56" fillId="40" borderId="0" xfId="0" applyFont="1" applyFill="1" applyAlignment="1">
      <alignment horizontal="center" vertical="center" wrapText="1"/>
    </xf>
    <xf numFmtId="0" fontId="56" fillId="40" borderId="0" xfId="0" applyFont="1" applyFill="1" applyAlignment="1">
      <alignment vertical="center" wrapText="1"/>
    </xf>
    <xf numFmtId="0" fontId="57" fillId="40" borderId="0" xfId="0" applyFont="1" applyFill="1" applyAlignment="1">
      <alignment vertical="center" wrapText="1"/>
    </xf>
    <xf numFmtId="164" fontId="58" fillId="40" borderId="0" xfId="0" applyNumberFormat="1" applyFont="1" applyFill="1" applyAlignment="1">
      <alignment vertical="center" wrapText="1"/>
    </xf>
    <xf numFmtId="0" fontId="14" fillId="3" borderId="0" xfId="0" applyFont="1" applyFill="1" applyAlignment="1">
      <alignment horizontal="center"/>
    </xf>
    <xf numFmtId="0" fontId="8" fillId="6" borderId="0" xfId="0" applyFont="1" applyFill="1" applyAlignment="1">
      <alignment horizontal="center"/>
    </xf>
    <xf numFmtId="0" fontId="8" fillId="23" borderId="10" xfId="0" applyFont="1" applyFill="1" applyBorder="1" applyAlignment="1">
      <alignment horizontal="right"/>
    </xf>
    <xf numFmtId="165" fontId="8" fillId="23" borderId="11" xfId="0" applyNumberFormat="1" applyFont="1" applyFill="1" applyBorder="1"/>
    <xf numFmtId="0" fontId="8" fillId="6" borderId="5" xfId="0" applyFont="1" applyFill="1" applyBorder="1" applyAlignment="1">
      <alignment horizontal="center"/>
    </xf>
    <xf numFmtId="165" fontId="18" fillId="0" borderId="0" xfId="1" applyFont="1" applyAlignment="1">
      <alignment horizontal="center" vertical="center"/>
    </xf>
    <xf numFmtId="0" fontId="8" fillId="4" borderId="36"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39" xfId="0" applyFont="1" applyFill="1" applyBorder="1" applyAlignment="1">
      <alignment horizontal="center" vertical="center"/>
    </xf>
    <xf numFmtId="0" fontId="18" fillId="0" borderId="3" xfId="0" applyFont="1" applyBorder="1" applyAlignment="1">
      <alignment horizontal="center" vertical="center"/>
    </xf>
    <xf numFmtId="0" fontId="59" fillId="6" borderId="0" xfId="0" applyFont="1" applyFill="1" applyAlignment="1">
      <alignment vertical="center"/>
    </xf>
    <xf numFmtId="0" fontId="18" fillId="6" borderId="0" xfId="3" applyFont="1" applyFill="1" applyAlignment="1">
      <alignment horizontal="center" vertical="center"/>
    </xf>
    <xf numFmtId="0" fontId="18" fillId="23" borderId="22" xfId="3" applyFont="1" applyFill="1" applyBorder="1" applyAlignment="1">
      <alignment horizontal="center" vertical="center"/>
    </xf>
    <xf numFmtId="0" fontId="18" fillId="23" borderId="23" xfId="3" applyFont="1" applyFill="1" applyBorder="1" applyAlignment="1">
      <alignment horizontal="center" vertical="center"/>
    </xf>
    <xf numFmtId="165" fontId="18" fillId="2" borderId="3" xfId="1" applyFont="1" applyFill="1" applyBorder="1" applyAlignment="1">
      <alignment horizontal="left" vertical="center"/>
    </xf>
    <xf numFmtId="0" fontId="8" fillId="0" borderId="24" xfId="0" applyFont="1" applyBorder="1" applyAlignment="1">
      <alignment horizontal="center"/>
    </xf>
    <xf numFmtId="165" fontId="0" fillId="0" borderId="93" xfId="1" applyFont="1" applyBorder="1"/>
    <xf numFmtId="165" fontId="0" fillId="0" borderId="35" xfId="1" applyFont="1" applyBorder="1"/>
    <xf numFmtId="0" fontId="0" fillId="0" borderId="89" xfId="0" applyBorder="1" applyAlignment="1">
      <alignment horizontal="center"/>
    </xf>
    <xf numFmtId="0" fontId="0" fillId="0" borderId="90" xfId="0" applyBorder="1" applyAlignment="1">
      <alignment horizontal="center"/>
    </xf>
    <xf numFmtId="0" fontId="6" fillId="2" borderId="8" xfId="0" applyFont="1" applyFill="1" applyBorder="1" applyAlignment="1">
      <alignment horizontal="center" vertical="center"/>
    </xf>
    <xf numFmtId="0" fontId="23" fillId="6" borderId="0" xfId="0" applyFont="1" applyFill="1" applyAlignment="1">
      <alignment horizontal="center"/>
    </xf>
    <xf numFmtId="0" fontId="23" fillId="3" borderId="0" xfId="0" applyFont="1" applyFill="1" applyAlignment="1">
      <alignment horizontal="center"/>
    </xf>
    <xf numFmtId="0" fontId="23" fillId="6" borderId="0" xfId="0" applyFont="1" applyFill="1" applyAlignment="1">
      <alignment horizontal="center" vertical="center"/>
    </xf>
    <xf numFmtId="0" fontId="8" fillId="6" borderId="3" xfId="0" applyFont="1" applyFill="1" applyBorder="1" applyAlignment="1">
      <alignment horizontal="center" vertical="center"/>
    </xf>
    <xf numFmtId="0" fontId="31" fillId="16" borderId="6" xfId="3" applyFont="1" applyFill="1" applyBorder="1" applyAlignment="1">
      <alignment horizontal="center" vertical="center" wrapText="1"/>
    </xf>
    <xf numFmtId="0" fontId="31" fillId="16" borderId="19" xfId="3" applyFont="1" applyFill="1" applyBorder="1" applyAlignment="1">
      <alignment horizontal="center" vertical="center" wrapText="1"/>
    </xf>
    <xf numFmtId="0" fontId="31" fillId="16" borderId="7" xfId="3" applyFont="1" applyFill="1" applyBorder="1" applyAlignment="1">
      <alignment horizontal="center" vertical="center" wrapText="1"/>
    </xf>
    <xf numFmtId="165" fontId="3" fillId="0" borderId="19" xfId="1" applyFont="1" applyBorder="1" applyAlignment="1">
      <alignment horizontal="center" vertical="center"/>
    </xf>
    <xf numFmtId="165" fontId="3" fillId="0" borderId="33" xfId="1" applyFont="1" applyBorder="1" applyAlignment="1">
      <alignment horizontal="center" vertical="center"/>
    </xf>
    <xf numFmtId="0" fontId="60" fillId="16" borderId="0" xfId="3" applyFont="1" applyFill="1"/>
    <xf numFmtId="0" fontId="60" fillId="0" borderId="0" xfId="3" applyFont="1"/>
    <xf numFmtId="0" fontId="8" fillId="6" borderId="30" xfId="0" applyFont="1" applyFill="1" applyBorder="1" applyAlignment="1">
      <alignment horizontal="center" vertical="center" wrapText="1"/>
    </xf>
    <xf numFmtId="0" fontId="8" fillId="6" borderId="25" xfId="0" applyFont="1" applyFill="1" applyBorder="1" applyAlignment="1">
      <alignment horizontal="center" vertical="center" wrapText="1"/>
    </xf>
    <xf numFmtId="3" fontId="8" fillId="0" borderId="3" xfId="0" applyNumberFormat="1" applyFont="1" applyBorder="1" applyAlignment="1">
      <alignment horizontal="center" vertical="center"/>
    </xf>
    <xf numFmtId="0" fontId="14" fillId="6" borderId="23" xfId="0" applyFont="1" applyFill="1" applyBorder="1" applyAlignment="1">
      <alignment horizontal="center" vertical="center"/>
    </xf>
    <xf numFmtId="0" fontId="8" fillId="6" borderId="24" xfId="0" applyFont="1" applyFill="1" applyBorder="1" applyAlignment="1">
      <alignment horizontal="center"/>
    </xf>
    <xf numFmtId="0" fontId="8" fillId="6" borderId="3" xfId="0" applyFont="1" applyFill="1" applyBorder="1" applyAlignment="1">
      <alignment horizontal="center"/>
    </xf>
    <xf numFmtId="0" fontId="8" fillId="8" borderId="0" xfId="0" applyFont="1" applyFill="1" applyAlignment="1">
      <alignment horizontal="center"/>
    </xf>
    <xf numFmtId="0" fontId="8" fillId="6" borderId="0" xfId="0" applyFont="1" applyFill="1" applyAlignment="1">
      <alignment horizontal="center" vertical="center"/>
    </xf>
    <xf numFmtId="0" fontId="3" fillId="0" borderId="0" xfId="1" applyNumberFormat="1" applyAlignment="1">
      <alignment vertical="center"/>
    </xf>
    <xf numFmtId="0" fontId="0" fillId="0" borderId="0" xfId="1" applyNumberFormat="1" applyFont="1" applyAlignment="1">
      <alignment horizontal="center" vertical="center"/>
    </xf>
    <xf numFmtId="0" fontId="0" fillId="0" borderId="0" xfId="1" applyNumberFormat="1" applyFont="1" applyAlignment="1">
      <alignment horizontal="center"/>
    </xf>
    <xf numFmtId="165" fontId="8" fillId="6" borderId="0" xfId="1" applyFont="1" applyFill="1" applyAlignment="1">
      <alignment horizontal="center"/>
    </xf>
    <xf numFmtId="0" fontId="3" fillId="0" borderId="19" xfId="3" applyFont="1" applyBorder="1" applyAlignment="1">
      <alignment horizontal="left" vertical="center"/>
    </xf>
    <xf numFmtId="0" fontId="0" fillId="0" borderId="19" xfId="3" applyFont="1" applyBorder="1" applyAlignment="1">
      <alignment horizontal="left" vertical="center"/>
    </xf>
    <xf numFmtId="0" fontId="3" fillId="0" borderId="33" xfId="3" applyFont="1" applyBorder="1" applyAlignment="1">
      <alignment horizontal="left" vertical="center"/>
    </xf>
    <xf numFmtId="0" fontId="0" fillId="0" borderId="67" xfId="0" applyBorder="1" applyAlignment="1">
      <alignment horizontal="center"/>
    </xf>
    <xf numFmtId="0" fontId="15" fillId="11" borderId="4" xfId="0" applyFont="1" applyFill="1" applyBorder="1" applyAlignment="1">
      <alignment horizontal="center"/>
    </xf>
    <xf numFmtId="0" fontId="15" fillId="11" borderId="32" xfId="0" applyFont="1" applyFill="1" applyBorder="1" applyAlignment="1">
      <alignment horizontal="center"/>
    </xf>
    <xf numFmtId="0" fontId="15" fillId="11" borderId="5" xfId="0" applyFont="1" applyFill="1" applyBorder="1" applyAlignment="1">
      <alignment horizontal="center"/>
    </xf>
    <xf numFmtId="165" fontId="8" fillId="5" borderId="24" xfId="1" applyFont="1" applyFill="1" applyBorder="1" applyAlignment="1">
      <alignment horizontal="center"/>
    </xf>
    <xf numFmtId="0" fontId="8" fillId="41" borderId="8" xfId="0" applyFont="1" applyFill="1" applyBorder="1" applyAlignment="1">
      <alignment horizontal="center"/>
    </xf>
    <xf numFmtId="165" fontId="8" fillId="41" borderId="0" xfId="0" applyNumberFormat="1" applyFont="1" applyFill="1"/>
    <xf numFmtId="9" fontId="8" fillId="42" borderId="0" xfId="0" applyNumberFormat="1" applyFont="1" applyFill="1" applyAlignment="1">
      <alignment horizontal="center"/>
    </xf>
    <xf numFmtId="0" fontId="23" fillId="0" borderId="0" xfId="0" applyFont="1"/>
    <xf numFmtId="172" fontId="63" fillId="43" borderId="40" xfId="8" applyFont="1" applyFill="1" applyBorder="1" applyAlignment="1">
      <alignment horizontal="center" vertical="center"/>
    </xf>
    <xf numFmtId="0" fontId="14" fillId="8" borderId="3" xfId="0" applyFont="1" applyFill="1" applyBorder="1"/>
    <xf numFmtId="0" fontId="23" fillId="0" borderId="0" xfId="0" applyFont="1" applyAlignment="1">
      <alignment horizontal="center"/>
    </xf>
    <xf numFmtId="0" fontId="63" fillId="0" borderId="8" xfId="0" applyFont="1" applyBorder="1" applyAlignment="1">
      <alignment horizontal="center" vertical="center"/>
    </xf>
    <xf numFmtId="0" fontId="63" fillId="0" borderId="33" xfId="0" applyFont="1" applyBorder="1" applyAlignment="1">
      <alignment horizontal="center" vertical="center"/>
    </xf>
    <xf numFmtId="0" fontId="64" fillId="0" borderId="33" xfId="0" applyFont="1" applyBorder="1" applyAlignment="1">
      <alignment horizontal="center" vertical="center"/>
    </xf>
    <xf numFmtId="0" fontId="64" fillId="0" borderId="9" xfId="0" applyFont="1" applyBorder="1" applyAlignment="1">
      <alignment horizontal="center" vertical="center"/>
    </xf>
    <xf numFmtId="172" fontId="63" fillId="0" borderId="48" xfId="8" applyFont="1" applyBorder="1" applyAlignment="1">
      <alignment horizontal="center" vertical="center"/>
    </xf>
    <xf numFmtId="172" fontId="14" fillId="0" borderId="0" xfId="8" applyFont="1"/>
    <xf numFmtId="0" fontId="23" fillId="0" borderId="20" xfId="0" applyFont="1" applyBorder="1"/>
    <xf numFmtId="0" fontId="23" fillId="0" borderId="2" xfId="0" applyFont="1" applyBorder="1"/>
    <xf numFmtId="180" fontId="23" fillId="0" borderId="2" xfId="0" applyNumberFormat="1" applyFont="1" applyBorder="1" applyAlignment="1">
      <alignment horizontal="center"/>
    </xf>
    <xf numFmtId="3" fontId="23" fillId="0" borderId="2" xfId="0" applyNumberFormat="1" applyFont="1" applyBorder="1" applyAlignment="1">
      <alignment horizontal="center"/>
    </xf>
    <xf numFmtId="172" fontId="23" fillId="0" borderId="7" xfId="8" applyFont="1" applyBorder="1"/>
    <xf numFmtId="0" fontId="23" fillId="0" borderId="6" xfId="0" applyFont="1" applyBorder="1"/>
    <xf numFmtId="0" fontId="23" fillId="0" borderId="19" xfId="0" applyFont="1" applyBorder="1"/>
    <xf numFmtId="180" fontId="23" fillId="0" borderId="19" xfId="0" applyNumberFormat="1" applyFont="1" applyBorder="1" applyAlignment="1">
      <alignment horizontal="center"/>
    </xf>
    <xf numFmtId="3" fontId="23" fillId="0" borderId="19" xfId="0" applyNumberFormat="1" applyFont="1" applyBorder="1" applyAlignment="1">
      <alignment horizontal="center"/>
    </xf>
    <xf numFmtId="0" fontId="23" fillId="0" borderId="19" xfId="0" applyFont="1" applyBorder="1" applyAlignment="1">
      <alignment horizontal="center"/>
    </xf>
    <xf numFmtId="165" fontId="23" fillId="0" borderId="0" xfId="0" applyNumberFormat="1" applyFont="1"/>
    <xf numFmtId="0" fontId="23" fillId="0" borderId="8" xfId="0" applyFont="1" applyBorder="1"/>
    <xf numFmtId="0" fontId="23" fillId="0" borderId="33" xfId="0" applyFont="1" applyBorder="1"/>
    <xf numFmtId="180" fontId="23" fillId="0" borderId="33" xfId="0" applyNumberFormat="1" applyFont="1" applyBorder="1" applyAlignment="1">
      <alignment horizontal="center"/>
    </xf>
    <xf numFmtId="3" fontId="23" fillId="0" borderId="33" xfId="0" applyNumberFormat="1" applyFont="1" applyBorder="1" applyAlignment="1">
      <alignment horizontal="center"/>
    </xf>
    <xf numFmtId="172" fontId="23" fillId="0" borderId="9" xfId="8" applyFont="1" applyBorder="1"/>
    <xf numFmtId="0" fontId="23" fillId="0" borderId="33" xfId="0" applyFont="1" applyBorder="1" applyAlignment="1">
      <alignment horizontal="center"/>
    </xf>
    <xf numFmtId="0" fontId="23" fillId="0" borderId="2" xfId="0" applyFont="1" applyBorder="1" applyAlignment="1">
      <alignment horizontal="center"/>
    </xf>
    <xf numFmtId="0" fontId="63" fillId="0" borderId="33" xfId="0" applyFont="1" applyBorder="1" applyAlignment="1">
      <alignment horizontal="right" vertical="center"/>
    </xf>
    <xf numFmtId="0" fontId="23" fillId="0" borderId="2" xfId="0" applyFont="1" applyBorder="1" applyAlignment="1">
      <alignment horizontal="right"/>
    </xf>
    <xf numFmtId="0" fontId="23" fillId="0" borderId="19" xfId="0" applyFont="1" applyBorder="1" applyAlignment="1">
      <alignment horizontal="right"/>
    </xf>
    <xf numFmtId="0" fontId="23" fillId="0" borderId="33" xfId="0" applyFont="1" applyBorder="1" applyAlignment="1">
      <alignment horizontal="right"/>
    </xf>
    <xf numFmtId="176" fontId="17" fillId="0" borderId="0" xfId="3" applyNumberFormat="1" applyFont="1" applyAlignment="1">
      <alignment horizontal="right" vertical="center"/>
    </xf>
    <xf numFmtId="0" fontId="18" fillId="3" borderId="0" xfId="3" applyFont="1" applyFill="1" applyAlignment="1">
      <alignment horizontal="center" vertical="center"/>
    </xf>
    <xf numFmtId="0" fontId="44" fillId="19" borderId="6" xfId="3" applyFont="1" applyFill="1" applyBorder="1" applyAlignment="1" applyProtection="1">
      <alignment horizontal="center" vertical="center"/>
      <protection locked="0"/>
    </xf>
    <xf numFmtId="0" fontId="0" fillId="19" borderId="0" xfId="0" applyFill="1" applyAlignment="1">
      <alignment horizontal="center"/>
    </xf>
    <xf numFmtId="0" fontId="0" fillId="19" borderId="0" xfId="0" applyFill="1"/>
    <xf numFmtId="1" fontId="0" fillId="0" borderId="0" xfId="0" applyNumberFormat="1" applyAlignment="1">
      <alignment horizontal="center" vertical="center"/>
    </xf>
    <xf numFmtId="1" fontId="0" fillId="0" borderId="0" xfId="4" applyNumberFormat="1" applyFont="1" applyAlignment="1">
      <alignment horizontal="center" vertical="center"/>
    </xf>
    <xf numFmtId="165" fontId="0" fillId="0" borderId="0" xfId="1" applyFont="1" applyBorder="1" applyAlignment="1">
      <alignment horizontal="center" vertical="center"/>
    </xf>
    <xf numFmtId="0" fontId="8" fillId="6" borderId="34" xfId="0" applyFont="1" applyFill="1" applyBorder="1" applyAlignment="1">
      <alignment horizontal="center" vertical="center"/>
    </xf>
    <xf numFmtId="0" fontId="8" fillId="6" borderId="35" xfId="0" applyFont="1" applyFill="1" applyBorder="1" applyAlignment="1">
      <alignment horizontal="center" vertical="center"/>
    </xf>
    <xf numFmtId="9" fontId="8" fillId="6" borderId="0" xfId="0" applyNumberFormat="1" applyFont="1" applyFill="1" applyAlignment="1">
      <alignment horizontal="center" vertical="center"/>
    </xf>
    <xf numFmtId="9" fontId="0" fillId="0" borderId="0" xfId="4" applyFont="1" applyAlignment="1">
      <alignment horizontal="left" indent="2"/>
    </xf>
    <xf numFmtId="0" fontId="0" fillId="0" borderId="2" xfId="0" applyBorder="1"/>
    <xf numFmtId="0" fontId="8" fillId="6" borderId="36" xfId="0" applyFont="1" applyFill="1" applyBorder="1" applyAlignment="1">
      <alignment horizontal="center"/>
    </xf>
    <xf numFmtId="0" fontId="8" fillId="6" borderId="38" xfId="0" applyFont="1" applyFill="1" applyBorder="1" applyAlignment="1">
      <alignment horizontal="center"/>
    </xf>
    <xf numFmtId="0" fontId="8" fillId="6" borderId="39" xfId="0" applyFont="1" applyFill="1" applyBorder="1" applyAlignment="1">
      <alignment horizontal="center"/>
    </xf>
    <xf numFmtId="2" fontId="26" fillId="20" borderId="0" xfId="0" applyNumberFormat="1" applyFont="1" applyFill="1"/>
    <xf numFmtId="183" fontId="0" fillId="0" borderId="6" xfId="0" applyNumberFormat="1" applyBorder="1" applyAlignment="1">
      <alignment horizontal="center"/>
    </xf>
    <xf numFmtId="183" fontId="0" fillId="0" borderId="8" xfId="0" applyNumberFormat="1" applyBorder="1" applyAlignment="1">
      <alignment horizontal="center"/>
    </xf>
    <xf numFmtId="0" fontId="8" fillId="42" borderId="0" xfId="0" applyFont="1" applyFill="1" applyAlignment="1">
      <alignment horizontal="center" vertical="center"/>
    </xf>
    <xf numFmtId="0" fontId="21" fillId="0" borderId="7" xfId="0" applyFont="1" applyBorder="1" applyAlignment="1">
      <alignment horizontal="left"/>
    </xf>
    <xf numFmtId="0" fontId="21" fillId="0" borderId="9" xfId="0" applyFont="1" applyBorder="1" applyAlignment="1">
      <alignment horizontal="left"/>
    </xf>
    <xf numFmtId="165" fontId="8" fillId="0" borderId="3" xfId="1" applyFont="1" applyBorder="1" applyAlignment="1">
      <alignment horizontal="center" vertical="center"/>
    </xf>
    <xf numFmtId="165" fontId="8" fillId="4" borderId="10" xfId="1" applyFont="1" applyFill="1" applyBorder="1" applyAlignment="1">
      <alignment horizontal="center" vertical="center"/>
    </xf>
    <xf numFmtId="165" fontId="8" fillId="4" borderId="11" xfId="1" applyFont="1" applyFill="1" applyBorder="1" applyAlignment="1">
      <alignment horizontal="center" vertical="center"/>
    </xf>
    <xf numFmtId="165" fontId="8" fillId="7" borderId="0" xfId="1" applyFont="1" applyFill="1"/>
    <xf numFmtId="183" fontId="0" fillId="0" borderId="20" xfId="0" applyNumberFormat="1" applyBorder="1" applyAlignment="1">
      <alignment horizontal="center"/>
    </xf>
    <xf numFmtId="0" fontId="21" fillId="0" borderId="21" xfId="0" applyFont="1" applyBorder="1" applyAlignment="1">
      <alignment horizontal="left"/>
    </xf>
    <xf numFmtId="0" fontId="14" fillId="6" borderId="39" xfId="0" applyFont="1" applyFill="1" applyBorder="1" applyAlignment="1">
      <alignment horizontal="center" vertical="center"/>
    </xf>
    <xf numFmtId="0" fontId="21" fillId="0" borderId="0" xfId="0" applyFont="1" applyAlignment="1">
      <alignment horizontal="left"/>
    </xf>
    <xf numFmtId="0" fontId="0" fillId="0" borderId="99" xfId="0" applyBorder="1"/>
    <xf numFmtId="165" fontId="8" fillId="0" borderId="99" xfId="0" applyNumberFormat="1" applyFont="1" applyBorder="1" applyAlignment="1">
      <alignment horizontal="center" vertical="center"/>
    </xf>
    <xf numFmtId="0" fontId="0" fillId="6" borderId="7" xfId="0" applyFill="1" applyBorder="1" applyAlignment="1">
      <alignment horizontal="center"/>
    </xf>
    <xf numFmtId="0" fontId="14" fillId="6" borderId="19" xfId="0" applyFont="1" applyFill="1" applyBorder="1" applyAlignment="1">
      <alignment horizontal="center" vertical="center"/>
    </xf>
    <xf numFmtId="0" fontId="8" fillId="4" borderId="6" xfId="0" applyFont="1" applyFill="1" applyBorder="1" applyAlignment="1">
      <alignment horizontal="center" vertical="center"/>
    </xf>
    <xf numFmtId="0" fontId="14" fillId="6" borderId="7" xfId="0" applyFont="1" applyFill="1" applyBorder="1" applyAlignment="1">
      <alignment horizontal="center" vertical="center"/>
    </xf>
    <xf numFmtId="0" fontId="37" fillId="0" borderId="7" xfId="0" applyFont="1" applyBorder="1"/>
    <xf numFmtId="0" fontId="37" fillId="0" borderId="9" xfId="0" applyFont="1" applyBorder="1"/>
    <xf numFmtId="0" fontId="12" fillId="0" borderId="19" xfId="0" applyFont="1" applyBorder="1" applyAlignment="1">
      <alignment horizontal="center"/>
    </xf>
    <xf numFmtId="0" fontId="12" fillId="0" borderId="33" xfId="0" applyFont="1" applyBorder="1" applyAlignment="1">
      <alignment horizontal="center"/>
    </xf>
    <xf numFmtId="179" fontId="0" fillId="0" borderId="0" xfId="4" applyNumberFormat="1" applyFont="1" applyAlignment="1">
      <alignment horizontal="center"/>
    </xf>
    <xf numFmtId="165" fontId="0" fillId="0" borderId="0" xfId="0" applyNumberFormat="1" applyAlignment="1">
      <alignment horizontal="center" vertical="center"/>
    </xf>
    <xf numFmtId="3" fontId="0" fillId="0" borderId="0" xfId="0" applyNumberFormat="1" applyAlignment="1">
      <alignment horizontal="center" vertical="center"/>
    </xf>
    <xf numFmtId="1" fontId="0" fillId="0" borderId="0" xfId="1" applyNumberFormat="1" applyFont="1" applyAlignment="1">
      <alignment horizontal="center"/>
    </xf>
    <xf numFmtId="0" fontId="0" fillId="10" borderId="0" xfId="0" applyFill="1" applyAlignment="1">
      <alignment horizontal="center"/>
    </xf>
    <xf numFmtId="165" fontId="8" fillId="6" borderId="0" xfId="1" applyFont="1" applyFill="1"/>
    <xf numFmtId="0" fontId="23" fillId="23" borderId="30" xfId="0" applyFont="1" applyFill="1" applyBorder="1" applyAlignment="1">
      <alignment horizontal="center"/>
    </xf>
    <xf numFmtId="0" fontId="23" fillId="23" borderId="31" xfId="0" applyFont="1" applyFill="1" applyBorder="1" applyAlignment="1">
      <alignment horizontal="center"/>
    </xf>
    <xf numFmtId="2" fontId="0" fillId="0" borderId="30" xfId="0" applyNumberFormat="1" applyBorder="1" applyAlignment="1">
      <alignment horizontal="center"/>
    </xf>
    <xf numFmtId="2" fontId="0" fillId="0" borderId="31" xfId="0" applyNumberFormat="1" applyBorder="1" applyAlignment="1">
      <alignment horizontal="center"/>
    </xf>
    <xf numFmtId="2" fontId="0" fillId="0" borderId="17" xfId="0" applyNumberFormat="1" applyBorder="1" applyAlignment="1">
      <alignment horizontal="center"/>
    </xf>
    <xf numFmtId="2" fontId="0" fillId="0" borderId="18" xfId="0" applyNumberFormat="1" applyBorder="1" applyAlignment="1">
      <alignment horizontal="center"/>
    </xf>
    <xf numFmtId="0" fontId="0" fillId="6" borderId="6" xfId="0" applyFill="1" applyBorder="1" applyAlignment="1">
      <alignment horizontal="center"/>
    </xf>
    <xf numFmtId="9" fontId="0" fillId="0" borderId="7" xfId="0" applyNumberFormat="1" applyBorder="1" applyAlignment="1">
      <alignment horizontal="center"/>
    </xf>
    <xf numFmtId="9" fontId="0" fillId="0" borderId="9" xfId="0" applyNumberFormat="1" applyBorder="1" applyAlignment="1">
      <alignment horizontal="center"/>
    </xf>
    <xf numFmtId="165" fontId="0" fillId="6" borderId="0" xfId="1" applyFont="1" applyFill="1" applyBorder="1"/>
    <xf numFmtId="0" fontId="8" fillId="46" borderId="0" xfId="0" applyFont="1" applyFill="1" applyAlignment="1">
      <alignment horizontal="center" vertical="center"/>
    </xf>
    <xf numFmtId="0" fontId="48" fillId="0" borderId="19" xfId="0" applyFont="1" applyBorder="1" applyAlignment="1">
      <alignment horizontal="center"/>
    </xf>
    <xf numFmtId="2" fontId="11" fillId="0" borderId="19" xfId="0" applyNumberFormat="1" applyFont="1" applyBorder="1" applyAlignment="1">
      <alignment horizontal="center"/>
    </xf>
    <xf numFmtId="0" fontId="38" fillId="0" borderId="19" xfId="0" applyFont="1" applyBorder="1" applyAlignment="1">
      <alignment horizontal="center"/>
    </xf>
    <xf numFmtId="2" fontId="21" fillId="0" borderId="19" xfId="0" applyNumberFormat="1" applyFont="1" applyBorder="1" applyAlignment="1">
      <alignment horizontal="center"/>
    </xf>
    <xf numFmtId="2" fontId="21" fillId="36" borderId="19" xfId="0" applyNumberFormat="1" applyFont="1" applyFill="1" applyBorder="1" applyAlignment="1">
      <alignment horizontal="center"/>
    </xf>
    <xf numFmtId="2" fontId="21" fillId="39" borderId="19" xfId="0" applyNumberFormat="1" applyFont="1" applyFill="1" applyBorder="1" applyAlignment="1">
      <alignment horizontal="center"/>
    </xf>
    <xf numFmtId="2" fontId="11" fillId="39" borderId="19" xfId="0" applyNumberFormat="1" applyFont="1" applyFill="1" applyBorder="1" applyAlignment="1">
      <alignment horizontal="center"/>
    </xf>
    <xf numFmtId="2" fontId="21" fillId="0" borderId="102" xfId="0" applyNumberFormat="1" applyFont="1" applyBorder="1" applyAlignment="1">
      <alignment horizontal="center"/>
    </xf>
    <xf numFmtId="0" fontId="38" fillId="0" borderId="83" xfId="0" applyFont="1" applyBorder="1" applyAlignment="1">
      <alignment horizontal="center"/>
    </xf>
    <xf numFmtId="2" fontId="21" fillId="0" borderId="34" xfId="0" applyNumberFormat="1" applyFont="1" applyBorder="1" applyAlignment="1">
      <alignment horizontal="center"/>
    </xf>
    <xf numFmtId="2" fontId="11" fillId="0" borderId="34" xfId="0" applyNumberFormat="1" applyFont="1" applyBorder="1" applyAlignment="1">
      <alignment horizontal="center"/>
    </xf>
    <xf numFmtId="0" fontId="11" fillId="0" borderId="19" xfId="0" applyFont="1" applyBorder="1" applyAlignment="1">
      <alignment horizontal="center"/>
    </xf>
    <xf numFmtId="0" fontId="21" fillId="0" borderId="19" xfId="0" applyFont="1" applyBorder="1" applyAlignment="1">
      <alignment horizontal="center"/>
    </xf>
    <xf numFmtId="1" fontId="38" fillId="0" borderId="19" xfId="0" applyNumberFormat="1" applyFont="1" applyBorder="1" applyAlignment="1">
      <alignment horizontal="center"/>
    </xf>
    <xf numFmtId="0" fontId="21" fillId="0" borderId="34" xfId="0" applyFont="1" applyBorder="1" applyAlignment="1">
      <alignment horizontal="center"/>
    </xf>
    <xf numFmtId="184" fontId="11" fillId="0" borderId="83" xfId="0" applyNumberFormat="1" applyFont="1" applyBorder="1" applyAlignment="1">
      <alignment horizontal="center"/>
    </xf>
    <xf numFmtId="184" fontId="11" fillId="0" borderId="19" xfId="0" applyNumberFormat="1" applyFont="1" applyBorder="1" applyAlignment="1">
      <alignment horizontal="center"/>
    </xf>
    <xf numFmtId="2" fontId="21" fillId="0" borderId="103" xfId="0" applyNumberFormat="1" applyFont="1" applyBorder="1" applyAlignment="1">
      <alignment horizontal="center"/>
    </xf>
    <xf numFmtId="0" fontId="38" fillId="0" borderId="104" xfId="0" applyFont="1" applyBorder="1" applyAlignment="1">
      <alignment horizontal="center"/>
    </xf>
    <xf numFmtId="2" fontId="21" fillId="0" borderId="105" xfId="0" applyNumberFormat="1" applyFont="1" applyBorder="1" applyAlignment="1">
      <alignment horizontal="center"/>
    </xf>
    <xf numFmtId="0" fontId="38" fillId="0" borderId="106" xfId="0" applyFont="1" applyBorder="1" applyAlignment="1">
      <alignment horizontal="center"/>
    </xf>
    <xf numFmtId="2" fontId="21" fillId="0" borderId="107" xfId="0" applyNumberFormat="1" applyFont="1" applyBorder="1" applyAlignment="1">
      <alignment horizontal="center"/>
    </xf>
    <xf numFmtId="0" fontId="38" fillId="0" borderId="108" xfId="0" applyFont="1" applyBorder="1" applyAlignment="1">
      <alignment horizontal="center"/>
    </xf>
    <xf numFmtId="0" fontId="21" fillId="0" borderId="107" xfId="0" applyFont="1" applyBorder="1" applyAlignment="1">
      <alignment horizontal="center"/>
    </xf>
    <xf numFmtId="2" fontId="21" fillId="0" borderId="109" xfId="0" applyNumberFormat="1" applyFont="1" applyBorder="1" applyAlignment="1">
      <alignment horizontal="center"/>
    </xf>
    <xf numFmtId="0" fontId="38" fillId="0" borderId="110" xfId="0" applyFont="1" applyBorder="1" applyAlignment="1">
      <alignment horizontal="center"/>
    </xf>
    <xf numFmtId="184" fontId="11" fillId="0" borderId="105" xfId="0" applyNumberFormat="1" applyFont="1" applyBorder="1" applyAlignment="1">
      <alignment horizontal="center"/>
    </xf>
    <xf numFmtId="0" fontId="48" fillId="0" borderId="106" xfId="0" applyFont="1" applyBorder="1" applyAlignment="1">
      <alignment horizontal="center"/>
    </xf>
    <xf numFmtId="2" fontId="11" fillId="0" borderId="107" xfId="0" applyNumberFormat="1" applyFont="1" applyBorder="1" applyAlignment="1">
      <alignment horizontal="center"/>
    </xf>
    <xf numFmtId="0" fontId="48" fillId="0" borderId="108" xfId="0" applyFont="1" applyBorder="1" applyAlignment="1">
      <alignment horizontal="center"/>
    </xf>
    <xf numFmtId="2" fontId="67" fillId="0" borderId="107" xfId="0" applyNumberFormat="1" applyFont="1" applyBorder="1" applyAlignment="1">
      <alignment horizontal="center"/>
    </xf>
    <xf numFmtId="0" fontId="68" fillId="0" borderId="108" xfId="0" applyFont="1" applyBorder="1" applyAlignment="1">
      <alignment horizontal="center"/>
    </xf>
    <xf numFmtId="0" fontId="11" fillId="0" borderId="107" xfId="0" applyFont="1" applyBorder="1" applyAlignment="1">
      <alignment horizontal="center"/>
    </xf>
    <xf numFmtId="0" fontId="38" fillId="0" borderId="105" xfId="0" applyFont="1" applyBorder="1" applyAlignment="1">
      <alignment horizontal="center"/>
    </xf>
    <xf numFmtId="0" fontId="38" fillId="0" borderId="107" xfId="0" applyFont="1" applyBorder="1" applyAlignment="1">
      <alignment horizontal="center"/>
    </xf>
    <xf numFmtId="0" fontId="38" fillId="0" borderId="111" xfId="0" applyFont="1" applyBorder="1" applyAlignment="1">
      <alignment horizontal="center"/>
    </xf>
    <xf numFmtId="2" fontId="11" fillId="39" borderId="107" xfId="0" applyNumberFormat="1" applyFont="1" applyFill="1" applyBorder="1" applyAlignment="1">
      <alignment horizontal="center"/>
    </xf>
    <xf numFmtId="2" fontId="11" fillId="0" borderId="105" xfId="0" applyNumberFormat="1" applyFont="1" applyBorder="1" applyAlignment="1">
      <alignment horizontal="center"/>
    </xf>
    <xf numFmtId="0" fontId="8" fillId="5" borderId="30" xfId="0" applyFont="1" applyFill="1" applyBorder="1" applyAlignment="1">
      <alignment horizontal="center"/>
    </xf>
    <xf numFmtId="0" fontId="8" fillId="5" borderId="31" xfId="0" applyFont="1" applyFill="1" applyBorder="1" applyAlignment="1">
      <alignment horizontal="center"/>
    </xf>
    <xf numFmtId="165" fontId="18" fillId="4" borderId="0" xfId="0" applyNumberFormat="1" applyFont="1" applyFill="1" applyAlignment="1">
      <alignment vertical="center"/>
    </xf>
    <xf numFmtId="9" fontId="6" fillId="5" borderId="3" xfId="0" applyNumberFormat="1" applyFont="1" applyFill="1" applyBorder="1" applyAlignment="1">
      <alignment horizontal="center" vertical="center"/>
    </xf>
    <xf numFmtId="165" fontId="18" fillId="5" borderId="0" xfId="1" applyFont="1" applyFill="1" applyAlignment="1">
      <alignment vertical="center"/>
    </xf>
    <xf numFmtId="0" fontId="69" fillId="0" borderId="0" xfId="0" applyFont="1" applyAlignment="1">
      <alignment vertical="center"/>
    </xf>
    <xf numFmtId="185" fontId="0" fillId="0" borderId="0" xfId="0" applyNumberFormat="1" applyAlignment="1">
      <alignment horizontal="right" vertical="center"/>
    </xf>
    <xf numFmtId="2" fontId="23" fillId="0" borderId="0" xfId="4" applyNumberFormat="1" applyFont="1" applyAlignment="1">
      <alignment vertical="center"/>
    </xf>
    <xf numFmtId="0" fontId="14" fillId="0" borderId="0" xfId="0" quotePrefix="1" applyFont="1" applyAlignment="1">
      <alignment horizontal="center" vertical="center"/>
    </xf>
    <xf numFmtId="185" fontId="14" fillId="0" borderId="24" xfId="0" applyNumberFormat="1" applyFont="1" applyBorder="1" applyAlignment="1">
      <alignment horizontal="center" vertical="center"/>
    </xf>
    <xf numFmtId="0" fontId="23" fillId="0" borderId="4" xfId="0" applyFont="1" applyBorder="1" applyAlignment="1">
      <alignment horizontal="center" vertical="center"/>
    </xf>
    <xf numFmtId="0" fontId="23" fillId="0" borderId="32" xfId="0" applyFont="1" applyBorder="1" applyAlignment="1">
      <alignment horizontal="center" vertical="center"/>
    </xf>
    <xf numFmtId="3" fontId="23" fillId="0" borderId="32" xfId="0" applyNumberFormat="1" applyFont="1" applyBorder="1" applyAlignment="1">
      <alignment horizontal="center" vertical="center"/>
    </xf>
    <xf numFmtId="4" fontId="23" fillId="0" borderId="5" xfId="0" applyNumberFormat="1" applyFont="1" applyBorder="1" applyAlignment="1">
      <alignment horizontal="center" vertical="center"/>
    </xf>
    <xf numFmtId="172" fontId="0" fillId="0" borderId="0" xfId="8" applyFont="1" applyAlignment="1">
      <alignment vertical="center"/>
    </xf>
    <xf numFmtId="0" fontId="23" fillId="0" borderId="6" xfId="0" applyFont="1" applyBorder="1" applyAlignment="1">
      <alignment horizontal="center" vertical="center"/>
    </xf>
    <xf numFmtId="0" fontId="23" fillId="0" borderId="19" xfId="0" applyFont="1" applyBorder="1" applyAlignment="1">
      <alignment horizontal="center" vertical="center"/>
    </xf>
    <xf numFmtId="3" fontId="23" fillId="0" borderId="19" xfId="0" applyNumberFormat="1" applyFont="1" applyBorder="1" applyAlignment="1">
      <alignment horizontal="center" vertical="center"/>
    </xf>
    <xf numFmtId="4" fontId="23" fillId="0" borderId="7"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6" borderId="19" xfId="0" applyFont="1" applyFill="1" applyBorder="1" applyAlignment="1">
      <alignment horizontal="center" vertical="center"/>
    </xf>
    <xf numFmtId="3" fontId="23" fillId="6" borderId="19" xfId="0" applyNumberFormat="1" applyFont="1" applyFill="1" applyBorder="1" applyAlignment="1">
      <alignment horizontal="center" vertical="center"/>
    </xf>
    <xf numFmtId="4" fontId="23" fillId="6" borderId="7" xfId="0" applyNumberFormat="1" applyFont="1" applyFill="1" applyBorder="1" applyAlignment="1">
      <alignment horizontal="center" vertical="center"/>
    </xf>
    <xf numFmtId="172" fontId="23" fillId="6" borderId="0" xfId="8" applyFont="1" applyFill="1" applyAlignment="1">
      <alignment vertical="center"/>
    </xf>
    <xf numFmtId="3" fontId="0" fillId="0" borderId="19" xfId="0" applyNumberFormat="1" applyBorder="1" applyAlignment="1">
      <alignment horizontal="center" vertical="center"/>
    </xf>
    <xf numFmtId="3" fontId="0" fillId="6" borderId="19" xfId="0" applyNumberFormat="1" applyFill="1" applyBorder="1" applyAlignment="1">
      <alignment horizontal="center" vertical="center"/>
    </xf>
    <xf numFmtId="2" fontId="23" fillId="0" borderId="0" xfId="4" applyNumberFormat="1" applyFont="1" applyBorder="1" applyAlignment="1">
      <alignment vertical="center"/>
    </xf>
    <xf numFmtId="167" fontId="23" fillId="0" borderId="7" xfId="0" applyNumberFormat="1" applyFont="1" applyBorder="1" applyAlignment="1">
      <alignment horizontal="center" vertical="center"/>
    </xf>
    <xf numFmtId="167" fontId="23" fillId="6" borderId="7" xfId="0" applyNumberFormat="1" applyFont="1" applyFill="1" applyBorder="1" applyAlignment="1">
      <alignment horizontal="center" vertical="center"/>
    </xf>
    <xf numFmtId="3" fontId="0" fillId="0" borderId="1" xfId="0" applyNumberFormat="1" applyBorder="1" applyAlignment="1">
      <alignment horizontal="center" vertical="center"/>
    </xf>
    <xf numFmtId="167" fontId="23" fillId="0" borderId="23" xfId="0" applyNumberFormat="1" applyFont="1" applyBorder="1" applyAlignment="1">
      <alignment horizontal="center" vertical="center"/>
    </xf>
    <xf numFmtId="0" fontId="23" fillId="6" borderId="8" xfId="0" applyFont="1" applyFill="1" applyBorder="1" applyAlignment="1">
      <alignment horizontal="center" vertical="center"/>
    </xf>
    <xf numFmtId="0" fontId="23" fillId="6" borderId="33" xfId="0" applyFont="1" applyFill="1" applyBorder="1" applyAlignment="1">
      <alignment horizontal="center" vertical="center"/>
    </xf>
    <xf numFmtId="3" fontId="0" fillId="6" borderId="33" xfId="0" applyNumberFormat="1" applyFill="1" applyBorder="1" applyAlignment="1">
      <alignment horizontal="center" vertical="center"/>
    </xf>
    <xf numFmtId="167" fontId="23" fillId="6" borderId="9" xfId="0" applyNumberFormat="1" applyFont="1" applyFill="1" applyBorder="1" applyAlignment="1">
      <alignment horizontal="center" vertical="center"/>
    </xf>
    <xf numFmtId="0" fontId="14" fillId="0" borderId="0" xfId="0" applyFont="1" applyAlignment="1">
      <alignment horizontal="left" vertical="center"/>
    </xf>
    <xf numFmtId="165" fontId="14" fillId="5" borderId="3" xfId="0" applyNumberFormat="1" applyFont="1" applyFill="1" applyBorder="1" applyAlignment="1">
      <alignment vertical="center"/>
    </xf>
    <xf numFmtId="0" fontId="14" fillId="23" borderId="24" xfId="0" applyFont="1" applyFill="1" applyBorder="1" applyAlignment="1">
      <alignment horizontal="center" vertical="center"/>
    </xf>
    <xf numFmtId="185" fontId="14" fillId="23" borderId="24" xfId="0" applyNumberFormat="1" applyFont="1" applyFill="1" applyBorder="1" applyAlignment="1">
      <alignment horizontal="center" vertical="center"/>
    </xf>
    <xf numFmtId="0" fontId="51" fillId="5" borderId="20" xfId="0" applyFont="1" applyFill="1" applyBorder="1" applyAlignment="1">
      <alignment horizontal="center"/>
    </xf>
    <xf numFmtId="0" fontId="51" fillId="5" borderId="2" xfId="0" applyFont="1" applyFill="1" applyBorder="1" applyAlignment="1">
      <alignment horizontal="center"/>
    </xf>
    <xf numFmtId="0" fontId="51" fillId="5" borderId="2" xfId="0" applyFont="1" applyFill="1" applyBorder="1"/>
    <xf numFmtId="0" fontId="51" fillId="5" borderId="21" xfId="0" applyFont="1" applyFill="1" applyBorder="1" applyAlignment="1">
      <alignment horizontal="center"/>
    </xf>
    <xf numFmtId="0" fontId="44" fillId="5" borderId="20" xfId="0" applyFont="1" applyFill="1" applyBorder="1" applyAlignment="1">
      <alignment horizontal="center"/>
    </xf>
    <xf numFmtId="165" fontId="44" fillId="0" borderId="2" xfId="1" applyFont="1" applyBorder="1" applyAlignment="1">
      <alignment horizontal="center"/>
    </xf>
    <xf numFmtId="0" fontId="44" fillId="5" borderId="2" xfId="0" applyFont="1" applyFill="1" applyBorder="1" applyAlignment="1">
      <alignment horizontal="center"/>
    </xf>
    <xf numFmtId="165" fontId="44" fillId="0" borderId="2" xfId="1" applyFont="1" applyBorder="1" applyAlignment="1">
      <alignment horizontal="right"/>
    </xf>
    <xf numFmtId="165" fontId="44" fillId="0" borderId="19" xfId="1" applyFont="1" applyBorder="1" applyAlignment="1">
      <alignment horizontal="center"/>
    </xf>
    <xf numFmtId="0" fontId="44" fillId="5" borderId="6" xfId="0" applyFont="1" applyFill="1" applyBorder="1" applyAlignment="1">
      <alignment horizontal="center"/>
    </xf>
    <xf numFmtId="0" fontId="44" fillId="5" borderId="19" xfId="0" applyFont="1" applyFill="1" applyBorder="1" applyAlignment="1">
      <alignment horizontal="center"/>
    </xf>
    <xf numFmtId="165" fontId="44" fillId="0" borderId="19" xfId="1" applyFont="1" applyBorder="1" applyAlignment="1">
      <alignment horizontal="right"/>
    </xf>
    <xf numFmtId="165" fontId="44" fillId="36" borderId="19" xfId="1" applyFont="1" applyFill="1" applyBorder="1" applyAlignment="1">
      <alignment horizontal="center"/>
    </xf>
    <xf numFmtId="165" fontId="44" fillId="0" borderId="19" xfId="1" applyFont="1" applyBorder="1" applyAlignment="1">
      <alignment horizontal="center" vertical="top"/>
    </xf>
    <xf numFmtId="165" fontId="44" fillId="0" borderId="19" xfId="1" applyFont="1" applyBorder="1" applyAlignment="1"/>
    <xf numFmtId="165" fontId="44" fillId="0" borderId="7" xfId="1" applyFont="1" applyBorder="1" applyAlignment="1">
      <alignment horizontal="center"/>
    </xf>
    <xf numFmtId="165" fontId="44" fillId="0" borderId="7" xfId="1" applyFont="1" applyFill="1" applyBorder="1" applyAlignment="1">
      <alignment horizontal="center"/>
    </xf>
    <xf numFmtId="165" fontId="44" fillId="36" borderId="7" xfId="1" applyFont="1" applyFill="1" applyBorder="1" applyAlignment="1">
      <alignment horizontal="center"/>
    </xf>
    <xf numFmtId="0" fontId="44" fillId="5" borderId="19" xfId="0" applyFont="1" applyFill="1" applyBorder="1" applyAlignment="1">
      <alignment horizontal="right"/>
    </xf>
    <xf numFmtId="165" fontId="44" fillId="0" borderId="19" xfId="1" quotePrefix="1" applyFont="1" applyBorder="1" applyAlignment="1">
      <alignment horizontal="center"/>
    </xf>
    <xf numFmtId="0" fontId="51" fillId="5" borderId="19" xfId="0" applyFont="1" applyFill="1" applyBorder="1" applyAlignment="1">
      <alignment horizontal="center"/>
    </xf>
    <xf numFmtId="0" fontId="51" fillId="5" borderId="19" xfId="0" applyFont="1" applyFill="1" applyBorder="1"/>
    <xf numFmtId="165" fontId="44" fillId="36" borderId="19" xfId="1" quotePrefix="1" applyFont="1" applyFill="1" applyBorder="1" applyAlignment="1">
      <alignment horizontal="center"/>
    </xf>
    <xf numFmtId="165" fontId="44" fillId="0" borderId="19" xfId="1" quotePrefix="1" applyFont="1" applyBorder="1" applyAlignment="1"/>
    <xf numFmtId="0" fontId="44" fillId="5" borderId="6" xfId="0" applyFont="1" applyFill="1" applyBorder="1" applyAlignment="1">
      <alignment horizontal="right"/>
    </xf>
    <xf numFmtId="165" fontId="44" fillId="0" borderId="19" xfId="1" quotePrefix="1" applyFont="1" applyBorder="1" applyAlignment="1">
      <alignment horizontal="right"/>
    </xf>
    <xf numFmtId="165" fontId="44" fillId="0" borderId="7" xfId="1" quotePrefix="1" applyFont="1" applyBorder="1" applyAlignment="1">
      <alignment horizontal="right"/>
    </xf>
    <xf numFmtId="165" fontId="44" fillId="0" borderId="19" xfId="1" quotePrefix="1" applyFont="1" applyBorder="1"/>
    <xf numFmtId="165" fontId="44" fillId="36" borderId="19" xfId="1" applyFont="1" applyFill="1" applyBorder="1" applyAlignment="1"/>
    <xf numFmtId="165" fontId="44" fillId="0" borderId="7" xfId="1" quotePrefix="1" applyFont="1" applyBorder="1" applyAlignment="1">
      <alignment horizontal="center"/>
    </xf>
    <xf numFmtId="165" fontId="44" fillId="0" borderId="19" xfId="1" applyFont="1" applyFill="1" applyBorder="1" applyAlignment="1"/>
    <xf numFmtId="0" fontId="10" fillId="5" borderId="19" xfId="0" applyFont="1" applyFill="1" applyBorder="1" applyAlignment="1">
      <alignment horizontal="center"/>
    </xf>
    <xf numFmtId="165" fontId="44" fillId="0" borderId="19" xfId="1" applyFont="1" applyBorder="1"/>
    <xf numFmtId="165" fontId="44" fillId="36" borderId="19" xfId="1" applyFont="1" applyFill="1" applyBorder="1" applyAlignment="1">
      <alignment horizontal="right"/>
    </xf>
    <xf numFmtId="0" fontId="44" fillId="5" borderId="8" xfId="0" applyFont="1" applyFill="1" applyBorder="1" applyAlignment="1">
      <alignment horizontal="center"/>
    </xf>
    <xf numFmtId="165" fontId="44" fillId="0" borderId="33" xfId="1" applyFont="1" applyBorder="1" applyAlignment="1">
      <alignment horizontal="right"/>
    </xf>
    <xf numFmtId="0" fontId="44" fillId="5" borderId="33" xfId="0" applyFont="1" applyFill="1" applyBorder="1" applyAlignment="1">
      <alignment horizontal="right"/>
    </xf>
    <xf numFmtId="0" fontId="44" fillId="5" borderId="33" xfId="0" applyFont="1" applyFill="1" applyBorder="1" applyAlignment="1">
      <alignment horizontal="center"/>
    </xf>
    <xf numFmtId="165" fontId="44" fillId="0" borderId="33" xfId="1" applyFont="1" applyBorder="1"/>
    <xf numFmtId="2" fontId="0" fillId="0" borderId="0" xfId="0" applyNumberFormat="1" applyAlignment="1">
      <alignment vertical="center"/>
    </xf>
    <xf numFmtId="0" fontId="23" fillId="5" borderId="8" xfId="0" applyFont="1" applyFill="1" applyBorder="1" applyAlignment="1">
      <alignment horizontal="center" vertical="center"/>
    </xf>
    <xf numFmtId="172" fontId="14" fillId="6" borderId="0" xfId="8" applyFont="1" applyFill="1" applyAlignment="1">
      <alignment vertical="center"/>
    </xf>
    <xf numFmtId="0" fontId="8" fillId="6" borderId="4" xfId="0" applyFont="1" applyFill="1" applyBorder="1" applyAlignment="1">
      <alignment horizontal="center"/>
    </xf>
    <xf numFmtId="0" fontId="8" fillId="6" borderId="32" xfId="0" applyFont="1" applyFill="1" applyBorder="1" applyAlignment="1">
      <alignment horizontal="center"/>
    </xf>
    <xf numFmtId="3" fontId="0" fillId="0" borderId="7" xfId="0" applyNumberFormat="1" applyBorder="1" applyAlignment="1">
      <alignment horizontal="center"/>
    </xf>
    <xf numFmtId="0" fontId="8" fillId="8" borderId="15" xfId="0" applyFont="1" applyFill="1" applyBorder="1" applyAlignment="1">
      <alignment horizontal="center" vertical="center"/>
    </xf>
    <xf numFmtId="0" fontId="0" fillId="8" borderId="16" xfId="0" applyFill="1" applyBorder="1" applyAlignment="1">
      <alignment horizontal="center" vertical="center"/>
    </xf>
    <xf numFmtId="0" fontId="0" fillId="8" borderId="90" xfId="0" applyFill="1" applyBorder="1" applyAlignment="1">
      <alignment horizontal="center" vertical="center"/>
    </xf>
    <xf numFmtId="0" fontId="8" fillId="8" borderId="0" xfId="0" applyFont="1" applyFill="1"/>
    <xf numFmtId="3" fontId="0" fillId="0" borderId="101" xfId="0" applyNumberFormat="1" applyBorder="1" applyAlignment="1">
      <alignment horizontal="center"/>
    </xf>
    <xf numFmtId="0" fontId="0" fillId="36" borderId="7" xfId="0" applyFill="1" applyBorder="1" applyAlignment="1">
      <alignment horizontal="center"/>
    </xf>
    <xf numFmtId="0" fontId="0" fillId="47" borderId="0" xfId="0" applyFill="1" applyAlignment="1">
      <alignment horizontal="center" vertical="center"/>
    </xf>
    <xf numFmtId="0" fontId="0" fillId="4" borderId="0" xfId="0" applyFill="1" applyAlignment="1">
      <alignment horizontal="center" vertical="center"/>
    </xf>
    <xf numFmtId="0" fontId="8" fillId="6" borderId="12" xfId="0" applyFont="1" applyFill="1" applyBorder="1" applyAlignment="1">
      <alignment horizontal="center" vertical="center"/>
    </xf>
    <xf numFmtId="0" fontId="8" fillId="6" borderId="37" xfId="0" applyFont="1" applyFill="1" applyBorder="1" applyAlignment="1">
      <alignment horizontal="center" vertical="center"/>
    </xf>
    <xf numFmtId="0" fontId="8" fillId="6" borderId="13" xfId="0" applyFont="1" applyFill="1" applyBorder="1" applyAlignment="1">
      <alignment horizontal="center" vertical="center"/>
    </xf>
    <xf numFmtId="9" fontId="0" fillId="0" borderId="25" xfId="4" applyFont="1" applyFill="1" applyBorder="1" applyAlignment="1">
      <alignment horizontal="center"/>
    </xf>
    <xf numFmtId="0" fontId="51" fillId="5" borderId="0" xfId="0" applyFont="1" applyFill="1" applyAlignment="1">
      <alignment horizontal="center"/>
    </xf>
    <xf numFmtId="0" fontId="0" fillId="0" borderId="67" xfId="0" applyBorder="1" applyAlignment="1">
      <alignment horizontal="left"/>
    </xf>
    <xf numFmtId="0" fontId="0" fillId="0" borderId="98" xfId="0" applyBorder="1" applyAlignment="1">
      <alignment horizontal="center"/>
    </xf>
    <xf numFmtId="165" fontId="17" fillId="0" borderId="0" xfId="1" applyFont="1" applyAlignment="1">
      <alignment horizontal="center"/>
    </xf>
    <xf numFmtId="0" fontId="17" fillId="0" borderId="25" xfId="0" applyFont="1" applyBorder="1"/>
    <xf numFmtId="165" fontId="0" fillId="0" borderId="18" xfId="1" applyFont="1" applyBorder="1" applyAlignment="1">
      <alignment vertical="center"/>
    </xf>
    <xf numFmtId="0" fontId="17" fillId="0" borderId="26" xfId="0" applyFont="1" applyBorder="1"/>
    <xf numFmtId="3" fontId="0" fillId="0" borderId="5" xfId="0" applyNumberFormat="1" applyBorder="1" applyAlignment="1">
      <alignment horizontal="center" vertical="center"/>
    </xf>
    <xf numFmtId="3" fontId="0" fillId="0" borderId="7" xfId="0" applyNumberFormat="1" applyBorder="1" applyAlignment="1">
      <alignment horizontal="center" vertical="center"/>
    </xf>
    <xf numFmtId="165" fontId="73" fillId="49" borderId="112" xfId="1" applyFont="1" applyFill="1" applyBorder="1" applyAlignment="1">
      <alignment horizontal="center" vertical="center"/>
    </xf>
    <xf numFmtId="165" fontId="73" fillId="49" borderId="115" xfId="1" applyFont="1" applyFill="1" applyBorder="1" applyAlignment="1">
      <alignment horizontal="center" vertical="center"/>
    </xf>
    <xf numFmtId="165" fontId="73" fillId="49" borderId="113" xfId="1" applyFont="1" applyFill="1" applyBorder="1" applyAlignment="1">
      <alignment horizontal="center" vertical="center"/>
    </xf>
    <xf numFmtId="165" fontId="72" fillId="49" borderId="115" xfId="1" applyFont="1" applyFill="1" applyBorder="1" applyAlignment="1">
      <alignment horizontal="center" vertical="center"/>
    </xf>
    <xf numFmtId="165" fontId="72" fillId="49" borderId="116" xfId="1" applyFont="1" applyFill="1" applyBorder="1" applyAlignment="1">
      <alignment horizontal="center" vertical="center"/>
    </xf>
    <xf numFmtId="165" fontId="72" fillId="49" borderId="117" xfId="1" applyFont="1" applyFill="1" applyBorder="1" applyAlignment="1">
      <alignment horizontal="center" vertical="center"/>
    </xf>
    <xf numFmtId="165" fontId="74" fillId="50" borderId="112" xfId="1" applyFont="1" applyFill="1" applyBorder="1" applyAlignment="1">
      <alignment horizontal="center" vertical="center"/>
    </xf>
    <xf numFmtId="165" fontId="74" fillId="38" borderId="116" xfId="1" applyFont="1" applyFill="1" applyBorder="1" applyAlignment="1">
      <alignment horizontal="center" vertical="center"/>
    </xf>
    <xf numFmtId="165" fontId="74" fillId="50" borderId="0" xfId="1" applyFont="1" applyFill="1" applyAlignment="1">
      <alignment horizontal="center" vertical="center"/>
    </xf>
    <xf numFmtId="165" fontId="71" fillId="10" borderId="0" xfId="1" applyFont="1" applyFill="1" applyAlignment="1">
      <alignment horizontal="center" vertical="center"/>
    </xf>
    <xf numFmtId="165" fontId="72" fillId="0" borderId="0" xfId="1" applyFont="1" applyAlignment="1">
      <alignment horizontal="center" vertical="center"/>
    </xf>
    <xf numFmtId="165" fontId="72" fillId="48" borderId="112" xfId="1" applyFont="1" applyFill="1" applyBorder="1" applyAlignment="1">
      <alignment horizontal="center" vertical="center"/>
    </xf>
    <xf numFmtId="165" fontId="72" fillId="48" borderId="113" xfId="1" applyFont="1" applyFill="1" applyBorder="1" applyAlignment="1">
      <alignment horizontal="center" vertical="center"/>
    </xf>
    <xf numFmtId="165" fontId="75" fillId="10" borderId="118" xfId="1" applyFont="1" applyFill="1" applyBorder="1" applyAlignment="1">
      <alignment horizontal="center" vertical="center"/>
    </xf>
    <xf numFmtId="165" fontId="74" fillId="50" borderId="113" xfId="1" applyFont="1" applyFill="1" applyBorder="1" applyAlignment="1">
      <alignment horizontal="center" vertical="center"/>
    </xf>
    <xf numFmtId="165" fontId="74" fillId="50" borderId="114" xfId="1" applyFont="1" applyFill="1" applyBorder="1" applyAlignment="1">
      <alignment horizontal="center" vertical="center"/>
    </xf>
    <xf numFmtId="165" fontId="74" fillId="38" borderId="119" xfId="1" applyFont="1" applyFill="1" applyBorder="1" applyAlignment="1">
      <alignment horizontal="center" vertical="center"/>
    </xf>
    <xf numFmtId="165" fontId="74" fillId="38" borderId="120" xfId="1" applyFont="1" applyFill="1" applyBorder="1" applyAlignment="1">
      <alignment horizontal="center" vertical="center"/>
    </xf>
    <xf numFmtId="165" fontId="74" fillId="50" borderId="116" xfId="1" applyFont="1" applyFill="1" applyBorder="1" applyAlignment="1">
      <alignment horizontal="center" vertical="center"/>
    </xf>
    <xf numFmtId="165" fontId="74" fillId="50" borderId="119" xfId="1" applyFont="1" applyFill="1" applyBorder="1" applyAlignment="1">
      <alignment horizontal="center" vertical="center"/>
    </xf>
    <xf numFmtId="165" fontId="74" fillId="50" borderId="120" xfId="1" applyFont="1" applyFill="1" applyBorder="1" applyAlignment="1">
      <alignment horizontal="center" vertical="center"/>
    </xf>
    <xf numFmtId="165" fontId="71" fillId="10" borderId="0" xfId="1" applyFont="1" applyFill="1" applyAlignment="1">
      <alignment horizontal="left" vertical="center"/>
    </xf>
    <xf numFmtId="165" fontId="72" fillId="0" borderId="0" xfId="1" applyFont="1" applyAlignment="1">
      <alignment horizontal="left" vertical="center"/>
    </xf>
    <xf numFmtId="165" fontId="72" fillId="48" borderId="112" xfId="1" applyFont="1" applyFill="1" applyBorder="1" applyAlignment="1">
      <alignment horizontal="left" vertical="center"/>
    </xf>
    <xf numFmtId="165" fontId="72" fillId="48" borderId="114" xfId="1" applyFont="1" applyFill="1" applyBorder="1" applyAlignment="1">
      <alignment horizontal="left" vertical="center"/>
    </xf>
    <xf numFmtId="165" fontId="70" fillId="6" borderId="0" xfId="0" applyNumberFormat="1" applyFont="1" applyFill="1" applyAlignment="1">
      <alignment vertical="center"/>
    </xf>
    <xf numFmtId="0" fontId="76" fillId="7" borderId="17" xfId="0" applyFont="1" applyFill="1" applyBorder="1" applyAlignment="1">
      <alignment horizontal="center" vertical="center"/>
    </xf>
    <xf numFmtId="0" fontId="76" fillId="7" borderId="67" xfId="0" applyFont="1" applyFill="1" applyBorder="1" applyAlignment="1">
      <alignment horizontal="center" vertical="center"/>
    </xf>
    <xf numFmtId="0" fontId="76" fillId="7" borderId="18" xfId="0" applyFont="1" applyFill="1" applyBorder="1" applyAlignment="1">
      <alignment horizontal="center" vertical="center"/>
    </xf>
    <xf numFmtId="0" fontId="8" fillId="7" borderId="10" xfId="0" applyFont="1" applyFill="1" applyBorder="1" applyAlignment="1">
      <alignment horizontal="center" vertical="center"/>
    </xf>
    <xf numFmtId="165" fontId="8" fillId="7" borderId="11" xfId="0" applyNumberFormat="1" applyFont="1" applyFill="1" applyBorder="1" applyAlignment="1">
      <alignment horizontal="center" vertical="center"/>
    </xf>
    <xf numFmtId="0" fontId="0" fillId="4" borderId="12" xfId="0" applyFill="1" applyBorder="1" applyAlignment="1">
      <alignment vertical="center"/>
    </xf>
    <xf numFmtId="9" fontId="8" fillId="4" borderId="13" xfId="4" applyFont="1" applyFill="1" applyBorder="1" applyAlignment="1">
      <alignment horizontal="center" vertical="center"/>
    </xf>
    <xf numFmtId="0" fontId="8" fillId="15" borderId="17" xfId="0" applyFont="1" applyFill="1" applyBorder="1" applyAlignment="1">
      <alignment horizontal="center" vertical="center"/>
    </xf>
    <xf numFmtId="0" fontId="8" fillId="15" borderId="67" xfId="0" applyFont="1" applyFill="1" applyBorder="1" applyAlignment="1">
      <alignment horizontal="center" vertical="center"/>
    </xf>
    <xf numFmtId="9" fontId="8" fillId="15" borderId="18" xfId="4" applyFont="1" applyFill="1" applyBorder="1" applyAlignment="1">
      <alignment horizontal="center" vertical="center"/>
    </xf>
    <xf numFmtId="9" fontId="8" fillId="4" borderId="17" xfId="4" applyFont="1" applyFill="1" applyBorder="1" applyAlignment="1">
      <alignment horizontal="center" vertical="center"/>
    </xf>
    <xf numFmtId="9" fontId="8" fillId="4" borderId="18" xfId="4" applyFont="1" applyFill="1" applyBorder="1" applyAlignment="1">
      <alignment horizontal="center" vertical="center"/>
    </xf>
    <xf numFmtId="165" fontId="0" fillId="0" borderId="30" xfId="1" applyFont="1" applyBorder="1" applyAlignment="1">
      <alignment vertical="center"/>
    </xf>
    <xf numFmtId="165" fontId="0" fillId="0" borderId="31" xfId="0" applyNumberFormat="1" applyBorder="1" applyAlignment="1">
      <alignment vertical="center"/>
    </xf>
    <xf numFmtId="165" fontId="0" fillId="0" borderId="67" xfId="1" applyFont="1" applyBorder="1" applyAlignment="1">
      <alignment vertical="center"/>
    </xf>
    <xf numFmtId="165" fontId="0" fillId="0" borderId="17" xfId="1" applyFont="1" applyBorder="1" applyAlignment="1">
      <alignment vertical="center"/>
    </xf>
    <xf numFmtId="165" fontId="0" fillId="0" borderId="18" xfId="0" applyNumberFormat="1" applyBorder="1" applyAlignment="1">
      <alignment vertical="center"/>
    </xf>
    <xf numFmtId="165" fontId="0" fillId="0" borderId="31" xfId="1" applyFont="1" applyFill="1" applyBorder="1" applyAlignment="1">
      <alignment vertical="center"/>
    </xf>
    <xf numFmtId="165" fontId="0" fillId="0" borderId="30" xfId="1" applyFont="1" applyFill="1" applyBorder="1" applyAlignment="1">
      <alignment vertical="center"/>
    </xf>
    <xf numFmtId="178" fontId="0" fillId="0" borderId="0" xfId="1" quotePrefix="1" applyNumberFormat="1" applyFont="1" applyAlignment="1">
      <alignment vertical="center"/>
    </xf>
    <xf numFmtId="178" fontId="0" fillId="0" borderId="0" xfId="1" applyNumberFormat="1" applyFont="1" applyAlignment="1">
      <alignment vertical="center"/>
    </xf>
    <xf numFmtId="0" fontId="0" fillId="0" borderId="30" xfId="0" applyBorder="1" applyAlignment="1">
      <alignment horizontal="left" vertical="center"/>
    </xf>
    <xf numFmtId="2" fontId="0" fillId="0" borderId="67" xfId="0" applyNumberFormat="1" applyBorder="1" applyAlignment="1">
      <alignment vertical="center"/>
    </xf>
    <xf numFmtId="0" fontId="76" fillId="6" borderId="67" xfId="0" applyFont="1" applyFill="1" applyBorder="1" applyAlignment="1">
      <alignment horizontal="center" vertical="center"/>
    </xf>
    <xf numFmtId="0" fontId="22" fillId="7" borderId="0" xfId="0" applyFont="1" applyFill="1" applyAlignment="1">
      <alignment horizontal="center" vertical="center"/>
    </xf>
    <xf numFmtId="165" fontId="18" fillId="7" borderId="0" xfId="0" applyNumberFormat="1" applyFont="1" applyFill="1" applyAlignment="1">
      <alignment horizontal="center" vertical="center"/>
    </xf>
    <xf numFmtId="0" fontId="8" fillId="7" borderId="22" xfId="0" applyFont="1" applyFill="1" applyBorder="1" applyAlignment="1">
      <alignment horizontal="center" vertical="center"/>
    </xf>
    <xf numFmtId="0" fontId="8" fillId="7" borderId="1" xfId="0" applyFont="1" applyFill="1" applyBorder="1" applyAlignment="1">
      <alignment horizontal="center" vertical="center"/>
    </xf>
    <xf numFmtId="0" fontId="8" fillId="7" borderId="23" xfId="0" applyFont="1" applyFill="1" applyBorder="1" applyAlignment="1">
      <alignment horizontal="center" vertical="center"/>
    </xf>
    <xf numFmtId="0" fontId="0" fillId="4" borderId="17" xfId="0" applyFill="1" applyBorder="1" applyAlignment="1">
      <alignment horizontal="center" vertical="center"/>
    </xf>
    <xf numFmtId="0" fontId="0" fillId="6" borderId="20" xfId="0" applyFill="1" applyBorder="1" applyAlignment="1">
      <alignment horizontal="center"/>
    </xf>
    <xf numFmtId="0" fontId="38" fillId="0" borderId="0" xfId="0" applyFont="1"/>
    <xf numFmtId="173" fontId="0" fillId="0" borderId="0" xfId="0" applyNumberFormat="1"/>
    <xf numFmtId="165" fontId="8" fillId="6" borderId="3" xfId="1" applyFont="1" applyFill="1" applyBorder="1" applyAlignment="1">
      <alignment horizontal="center"/>
    </xf>
    <xf numFmtId="0" fontId="0" fillId="0" borderId="0" xfId="0" quotePrefix="1" applyAlignment="1">
      <alignment horizontal="right"/>
    </xf>
    <xf numFmtId="1" fontId="0" fillId="0" borderId="0" xfId="1" applyNumberFormat="1" applyFont="1" applyFill="1" applyAlignment="1">
      <alignment horizontal="center"/>
    </xf>
    <xf numFmtId="0" fontId="73" fillId="49" borderId="116" xfId="0" applyFont="1" applyFill="1" applyBorder="1" applyAlignment="1">
      <alignment horizontal="center" vertical="center"/>
    </xf>
    <xf numFmtId="0" fontId="73" fillId="49" borderId="115" xfId="0" applyFont="1" applyFill="1" applyBorder="1" applyAlignment="1">
      <alignment horizontal="center" vertical="center"/>
    </xf>
    <xf numFmtId="0" fontId="74" fillId="50" borderId="112" xfId="0" applyFont="1" applyFill="1" applyBorder="1" applyAlignment="1">
      <alignment horizontal="center" vertical="center"/>
    </xf>
    <xf numFmtId="0" fontId="74" fillId="38" borderId="0" xfId="0" applyFont="1" applyFill="1" applyAlignment="1">
      <alignment horizontal="center" vertical="center"/>
    </xf>
    <xf numFmtId="0" fontId="74" fillId="50" borderId="115" xfId="0" applyFont="1" applyFill="1" applyBorder="1" applyAlignment="1">
      <alignment horizontal="center" vertical="center"/>
    </xf>
    <xf numFmtId="0" fontId="74" fillId="50" borderId="117" xfId="0" applyFont="1" applyFill="1" applyBorder="1" applyAlignment="1">
      <alignment horizontal="center" vertical="center"/>
    </xf>
    <xf numFmtId="0" fontId="0" fillId="4" borderId="10" xfId="0" applyFill="1" applyBorder="1" applyAlignment="1">
      <alignment horizontal="center" vertical="center"/>
    </xf>
    <xf numFmtId="0" fontId="0" fillId="0" borderId="14" xfId="0" applyBorder="1" applyAlignment="1">
      <alignment vertical="center"/>
    </xf>
    <xf numFmtId="2" fontId="0" fillId="0" borderId="14" xfId="0" applyNumberFormat="1" applyBorder="1" applyAlignment="1">
      <alignment vertical="center"/>
    </xf>
    <xf numFmtId="165" fontId="0" fillId="0" borderId="11" xfId="0" applyNumberFormat="1" applyBorder="1" applyAlignment="1">
      <alignment vertical="center"/>
    </xf>
    <xf numFmtId="0" fontId="8" fillId="15" borderId="22" xfId="0" applyFont="1" applyFill="1" applyBorder="1" applyAlignment="1">
      <alignment horizontal="center"/>
    </xf>
    <xf numFmtId="0" fontId="8" fillId="15" borderId="1" xfId="0" applyFont="1" applyFill="1" applyBorder="1" applyAlignment="1">
      <alignment horizontal="center"/>
    </xf>
    <xf numFmtId="1" fontId="0" fillId="0" borderId="19" xfId="0" applyNumberFormat="1" applyBorder="1" applyAlignment="1">
      <alignment horizontal="center"/>
    </xf>
    <xf numFmtId="0" fontId="0" fillId="41" borderId="19" xfId="0" applyFill="1" applyBorder="1" applyAlignment="1">
      <alignment horizontal="center"/>
    </xf>
    <xf numFmtId="1" fontId="0" fillId="41" borderId="19" xfId="0" applyNumberFormat="1" applyFill="1" applyBorder="1" applyAlignment="1">
      <alignment horizontal="center"/>
    </xf>
    <xf numFmtId="0" fontId="13" fillId="0" borderId="0" xfId="0" applyFont="1" applyAlignment="1">
      <alignment horizontal="center" vertical="center"/>
    </xf>
    <xf numFmtId="0" fontId="78" fillId="0" borderId="30" xfId="0" applyFont="1" applyBorder="1" applyAlignment="1">
      <alignment vertical="center"/>
    </xf>
    <xf numFmtId="0" fontId="78" fillId="0" borderId="0" xfId="0" applyFont="1" applyAlignment="1">
      <alignment horizontal="center" vertical="center"/>
    </xf>
    <xf numFmtId="0" fontId="36" fillId="0" borderId="0" xfId="0" applyFont="1" applyAlignment="1">
      <alignment vertical="center"/>
    </xf>
    <xf numFmtId="0" fontId="36" fillId="5" borderId="0" xfId="0" applyFont="1" applyFill="1" applyAlignment="1">
      <alignment vertical="center"/>
    </xf>
    <xf numFmtId="0" fontId="79" fillId="0" borderId="0" xfId="0" applyFont="1" applyAlignment="1">
      <alignment vertical="center"/>
    </xf>
    <xf numFmtId="165" fontId="79" fillId="0" borderId="0" xfId="1" applyFont="1" applyFill="1" applyAlignment="1">
      <alignment horizontal="right" vertical="center"/>
    </xf>
    <xf numFmtId="0" fontId="36" fillId="0" borderId="0" xfId="0" applyFont="1" applyAlignment="1">
      <alignment horizontal="center" vertical="center"/>
    </xf>
    <xf numFmtId="0" fontId="36" fillId="6" borderId="0" xfId="0" applyFont="1" applyFill="1" applyAlignment="1">
      <alignment vertical="center"/>
    </xf>
    <xf numFmtId="0" fontId="78" fillId="6" borderId="30" xfId="0" applyFont="1" applyFill="1" applyBorder="1" applyAlignment="1">
      <alignment vertical="center"/>
    </xf>
    <xf numFmtId="0" fontId="36" fillId="6" borderId="0" xfId="0" applyFont="1" applyFill="1" applyAlignment="1">
      <alignment horizontal="center" vertical="center"/>
    </xf>
    <xf numFmtId="0" fontId="36" fillId="3" borderId="0" xfId="0" applyFont="1" applyFill="1" applyAlignment="1">
      <alignment vertical="center"/>
    </xf>
    <xf numFmtId="0" fontId="78" fillId="6" borderId="30" xfId="0" quotePrefix="1" applyFont="1" applyFill="1" applyBorder="1" applyAlignment="1">
      <alignment vertical="center"/>
    </xf>
    <xf numFmtId="165" fontId="79" fillId="0" borderId="0" xfId="1" applyFont="1" applyFill="1" applyAlignment="1">
      <alignment vertical="center"/>
    </xf>
    <xf numFmtId="0" fontId="13" fillId="15" borderId="17" xfId="0" applyFont="1" applyFill="1" applyBorder="1" applyAlignment="1">
      <alignment horizontal="center" vertical="center"/>
    </xf>
    <xf numFmtId="0" fontId="13" fillId="15" borderId="67" xfId="0" applyFont="1" applyFill="1" applyBorder="1" applyAlignment="1">
      <alignment horizontal="center" vertical="center"/>
    </xf>
    <xf numFmtId="0" fontId="13" fillId="15" borderId="18" xfId="0" applyFont="1" applyFill="1" applyBorder="1" applyAlignment="1">
      <alignment horizontal="center" vertical="center"/>
    </xf>
    <xf numFmtId="0" fontId="36" fillId="6" borderId="37" xfId="0" applyFont="1" applyFill="1" applyBorder="1" applyAlignment="1">
      <alignment vertical="center"/>
    </xf>
    <xf numFmtId="0" fontId="36" fillId="6" borderId="37" xfId="0" applyFont="1" applyFill="1" applyBorder="1" applyAlignment="1">
      <alignment horizontal="center" vertical="center"/>
    </xf>
    <xf numFmtId="0" fontId="36" fillId="0" borderId="37" xfId="0" applyFont="1" applyBorder="1" applyAlignment="1">
      <alignment vertical="center"/>
    </xf>
    <xf numFmtId="0" fontId="36" fillId="0" borderId="30" xfId="0" applyFont="1" applyBorder="1" applyAlignment="1">
      <alignment horizontal="center" vertical="center"/>
    </xf>
    <xf numFmtId="165" fontId="36" fillId="0" borderId="0" xfId="1" applyFont="1" applyBorder="1" applyAlignment="1">
      <alignment vertical="center"/>
    </xf>
    <xf numFmtId="165" fontId="36" fillId="0" borderId="31" xfId="0" applyNumberFormat="1" applyFont="1" applyBorder="1" applyAlignment="1">
      <alignment vertical="center"/>
    </xf>
    <xf numFmtId="0" fontId="36" fillId="0" borderId="17" xfId="0" applyFont="1" applyBorder="1" applyAlignment="1">
      <alignment horizontal="center" vertical="center"/>
    </xf>
    <xf numFmtId="0" fontId="36" fillId="0" borderId="67" xfId="0" applyFont="1" applyBorder="1" applyAlignment="1">
      <alignment vertical="center"/>
    </xf>
    <xf numFmtId="0" fontId="36" fillId="0" borderId="67" xfId="0" applyFont="1" applyBorder="1" applyAlignment="1">
      <alignment horizontal="center" vertical="center"/>
    </xf>
    <xf numFmtId="165" fontId="36" fillId="0" borderId="67" xfId="1" applyFont="1" applyBorder="1" applyAlignment="1">
      <alignment vertical="center"/>
    </xf>
    <xf numFmtId="165" fontId="36" fillId="0" borderId="18" xfId="0" applyNumberFormat="1" applyFont="1" applyBorder="1" applyAlignment="1">
      <alignment vertical="center"/>
    </xf>
    <xf numFmtId="0" fontId="13" fillId="6" borderId="17" xfId="0" applyFont="1" applyFill="1" applyBorder="1" applyAlignment="1">
      <alignment vertical="center"/>
    </xf>
    <xf numFmtId="0" fontId="36" fillId="6" borderId="67" xfId="0" applyFont="1" applyFill="1" applyBorder="1" applyAlignment="1">
      <alignment vertical="center"/>
    </xf>
    <xf numFmtId="0" fontId="36" fillId="6" borderId="67" xfId="0" applyFont="1" applyFill="1" applyBorder="1" applyAlignment="1">
      <alignment horizontal="center" vertical="center"/>
    </xf>
    <xf numFmtId="0" fontId="13" fillId="3" borderId="67" xfId="0" applyFont="1" applyFill="1" applyBorder="1" applyAlignment="1">
      <alignment horizontal="right" vertical="center"/>
    </xf>
    <xf numFmtId="165" fontId="13" fillId="3" borderId="18" xfId="1" applyFont="1" applyFill="1" applyBorder="1" applyAlignment="1">
      <alignment vertical="center"/>
    </xf>
    <xf numFmtId="0" fontId="36" fillId="0" borderId="12" xfId="0" applyFont="1" applyBorder="1" applyAlignment="1">
      <alignment horizontal="center" vertical="center"/>
    </xf>
    <xf numFmtId="0" fontId="36" fillId="0" borderId="37" xfId="0" applyFont="1" applyBorder="1" applyAlignment="1">
      <alignment horizontal="center" vertical="center"/>
    </xf>
    <xf numFmtId="165" fontId="36" fillId="0" borderId="13" xfId="0" applyNumberFormat="1" applyFont="1" applyBorder="1" applyAlignment="1">
      <alignment vertical="center"/>
    </xf>
    <xf numFmtId="0" fontId="13" fillId="6" borderId="30" xfId="0" applyFont="1" applyFill="1" applyBorder="1" applyAlignment="1">
      <alignment vertical="center"/>
    </xf>
    <xf numFmtId="0" fontId="13" fillId="3" borderId="0" xfId="0" applyFont="1" applyFill="1" applyAlignment="1">
      <alignment horizontal="right" vertical="center"/>
    </xf>
    <xf numFmtId="165" fontId="13" fillId="3" borderId="31" xfId="1" applyFont="1" applyFill="1" applyBorder="1" applyAlignment="1">
      <alignment vertical="center"/>
    </xf>
    <xf numFmtId="0" fontId="36" fillId="0" borderId="17" xfId="0" applyFont="1" applyBorder="1" applyAlignment="1">
      <alignment vertical="center"/>
    </xf>
    <xf numFmtId="165" fontId="13" fillId="6" borderId="0" xfId="0" applyNumberFormat="1" applyFont="1" applyFill="1" applyAlignment="1">
      <alignment vertical="center"/>
    </xf>
    <xf numFmtId="9" fontId="36" fillId="0" borderId="0" xfId="0" applyNumberFormat="1" applyFont="1" applyAlignment="1">
      <alignment vertical="center"/>
    </xf>
    <xf numFmtId="165" fontId="77" fillId="7" borderId="0" xfId="1" applyFont="1" applyFill="1" applyAlignment="1">
      <alignment vertical="center"/>
    </xf>
    <xf numFmtId="0" fontId="77" fillId="6" borderId="10" xfId="0" applyFont="1" applyFill="1" applyBorder="1" applyAlignment="1">
      <alignment vertical="center"/>
    </xf>
    <xf numFmtId="0" fontId="77" fillId="6" borderId="14" xfId="0" applyFont="1" applyFill="1" applyBorder="1" applyAlignment="1">
      <alignment vertical="center"/>
    </xf>
    <xf numFmtId="0" fontId="77" fillId="6" borderId="11" xfId="0" applyFont="1" applyFill="1" applyBorder="1" applyAlignment="1">
      <alignment vertical="center"/>
    </xf>
    <xf numFmtId="0" fontId="79" fillId="0" borderId="0" xfId="0" applyFont="1" applyAlignment="1">
      <alignment horizontal="center" vertical="center"/>
    </xf>
    <xf numFmtId="0" fontId="5" fillId="3" borderId="0" xfId="0" applyFont="1" applyFill="1" applyAlignment="1">
      <alignment horizontal="center"/>
    </xf>
    <xf numFmtId="0" fontId="81" fillId="5" borderId="122" xfId="3" applyFont="1" applyFill="1" applyBorder="1" applyAlignment="1">
      <alignment horizontal="center" vertical="center"/>
    </xf>
    <xf numFmtId="0" fontId="81" fillId="5" borderId="122" xfId="3" applyFont="1" applyFill="1" applyBorder="1" applyAlignment="1">
      <alignment horizontal="center" vertical="center" wrapText="1"/>
    </xf>
    <xf numFmtId="165" fontId="81" fillId="5" borderId="122" xfId="1" applyFont="1" applyFill="1" applyBorder="1" applyAlignment="1">
      <alignment horizontal="center" vertical="center"/>
    </xf>
    <xf numFmtId="0" fontId="81" fillId="5" borderId="24" xfId="3" applyFont="1" applyFill="1" applyBorder="1" applyAlignment="1">
      <alignment horizontal="center" vertical="center"/>
    </xf>
    <xf numFmtId="0" fontId="81" fillId="36" borderId="30" xfId="3" applyFont="1" applyFill="1" applyBorder="1" applyAlignment="1">
      <alignment horizontal="center" vertical="center"/>
    </xf>
    <xf numFmtId="0" fontId="81" fillId="36" borderId="0" xfId="3" applyFont="1" applyFill="1" applyAlignment="1">
      <alignment horizontal="center" vertical="center" wrapText="1"/>
    </xf>
    <xf numFmtId="165" fontId="81" fillId="36" borderId="0" xfId="1" applyFont="1" applyFill="1" applyBorder="1" applyAlignment="1">
      <alignment horizontal="center" vertical="center"/>
    </xf>
    <xf numFmtId="0" fontId="81" fillId="36" borderId="25" xfId="3" applyFont="1" applyFill="1" applyBorder="1" applyAlignment="1">
      <alignment horizontal="center" vertical="center"/>
    </xf>
    <xf numFmtId="0" fontId="5" fillId="0" borderId="123" xfId="0" applyFont="1" applyBorder="1" applyAlignment="1">
      <alignment horizontal="center" vertical="center"/>
    </xf>
    <xf numFmtId="0" fontId="45" fillId="0" borderId="124" xfId="0" applyFont="1" applyBorder="1" applyAlignment="1">
      <alignment vertical="center"/>
    </xf>
    <xf numFmtId="165" fontId="45" fillId="0" borderId="124" xfId="1" applyFont="1" applyBorder="1" applyAlignment="1">
      <alignment vertical="center"/>
    </xf>
    <xf numFmtId="0" fontId="17" fillId="0" borderId="125" xfId="0" applyFont="1" applyBorder="1" applyAlignment="1">
      <alignment horizontal="center" vertical="center"/>
    </xf>
    <xf numFmtId="0" fontId="5" fillId="0" borderId="126" xfId="0" applyFont="1" applyBorder="1" applyAlignment="1">
      <alignment horizontal="center" vertical="center"/>
    </xf>
    <xf numFmtId="0" fontId="45" fillId="0" borderId="127" xfId="0" applyFont="1" applyBorder="1" applyAlignment="1">
      <alignment vertical="center"/>
    </xf>
    <xf numFmtId="165" fontId="45" fillId="0" borderId="128" xfId="1" applyFont="1" applyBorder="1" applyAlignment="1">
      <alignment vertical="center"/>
    </xf>
    <xf numFmtId="0" fontId="17" fillId="0" borderId="129" xfId="0" applyFont="1" applyBorder="1" applyAlignment="1">
      <alignment horizontal="center" vertical="center"/>
    </xf>
    <xf numFmtId="0" fontId="82" fillId="0" borderId="129" xfId="0" applyFont="1" applyBorder="1" applyAlignment="1">
      <alignment horizontal="center" vertical="center"/>
    </xf>
    <xf numFmtId="0" fontId="5" fillId="0" borderId="130" xfId="0" applyFont="1" applyBorder="1" applyAlignment="1">
      <alignment horizontal="center" vertical="center"/>
    </xf>
    <xf numFmtId="0" fontId="45" fillId="0" borderId="131" xfId="0" applyFont="1" applyBorder="1" applyAlignment="1">
      <alignment vertical="center"/>
    </xf>
    <xf numFmtId="165" fontId="45" fillId="0" borderId="132" xfId="1" applyFont="1" applyBorder="1" applyAlignment="1">
      <alignment vertical="center"/>
    </xf>
    <xf numFmtId="0" fontId="17" fillId="0" borderId="25" xfId="0" applyFont="1" applyBorder="1" applyAlignment="1">
      <alignment horizontal="center" vertical="center"/>
    </xf>
    <xf numFmtId="0" fontId="5" fillId="0" borderId="30" xfId="0" applyFont="1" applyBorder="1" applyAlignment="1">
      <alignment horizontal="center" vertical="center"/>
    </xf>
    <xf numFmtId="165" fontId="17" fillId="0" borderId="0" xfId="1" applyFont="1" applyBorder="1" applyAlignment="1">
      <alignment vertical="center"/>
    </xf>
    <xf numFmtId="0" fontId="5" fillId="0" borderId="133" xfId="0" applyFont="1" applyBorder="1" applyAlignment="1">
      <alignment horizontal="center" vertical="center"/>
    </xf>
    <xf numFmtId="0" fontId="17" fillId="0" borderId="134" xfId="0" applyFont="1" applyBorder="1" applyAlignment="1">
      <alignment vertical="center"/>
    </xf>
    <xf numFmtId="165" fontId="45" fillId="0" borderId="134" xfId="1" applyFont="1" applyBorder="1" applyAlignment="1">
      <alignment vertical="center"/>
    </xf>
    <xf numFmtId="0" fontId="17" fillId="0" borderId="127" xfId="0" applyFont="1" applyBorder="1" applyAlignment="1">
      <alignment vertical="center"/>
    </xf>
    <xf numFmtId="165" fontId="45" fillId="0" borderId="127" xfId="1" applyFont="1" applyBorder="1" applyAlignment="1">
      <alignment vertical="center"/>
    </xf>
    <xf numFmtId="0" fontId="5" fillId="0" borderId="135" xfId="0" applyFont="1" applyBorder="1" applyAlignment="1">
      <alignment horizontal="center" vertical="center"/>
    </xf>
    <xf numFmtId="0" fontId="17" fillId="0" borderId="136" xfId="0" applyFont="1" applyBorder="1" applyAlignment="1">
      <alignment vertical="center"/>
    </xf>
    <xf numFmtId="165" fontId="45" fillId="0" borderId="136" xfId="1" applyFont="1" applyBorder="1" applyAlignment="1">
      <alignment vertical="center"/>
    </xf>
    <xf numFmtId="0" fontId="17" fillId="0" borderId="137" xfId="0" applyFont="1" applyBorder="1" applyAlignment="1">
      <alignment horizontal="center" vertical="center"/>
    </xf>
    <xf numFmtId="0" fontId="80" fillId="10" borderId="10" xfId="0" applyFont="1" applyFill="1" applyBorder="1" applyAlignment="1">
      <alignment horizontal="center" vertical="center"/>
    </xf>
    <xf numFmtId="0" fontId="80" fillId="10" borderId="14" xfId="0" applyFont="1" applyFill="1" applyBorder="1" applyAlignment="1">
      <alignment horizontal="center" vertical="center"/>
    </xf>
    <xf numFmtId="0" fontId="36" fillId="0" borderId="30" xfId="0" quotePrefix="1" applyFont="1" applyBorder="1" applyAlignment="1">
      <alignment horizontal="center" vertical="center"/>
    </xf>
    <xf numFmtId="165" fontId="8" fillId="6" borderId="0" xfId="0" applyNumberFormat="1" applyFont="1" applyFill="1"/>
    <xf numFmtId="172" fontId="23" fillId="0" borderId="19" xfId="8" applyFont="1" applyBorder="1" applyAlignment="1">
      <alignment horizontal="center" vertical="center"/>
    </xf>
    <xf numFmtId="172" fontId="23" fillId="0" borderId="33" xfId="8" applyFont="1" applyBorder="1" applyAlignment="1">
      <alignment horizontal="center" vertical="center"/>
    </xf>
    <xf numFmtId="0" fontId="23" fillId="0" borderId="6" xfId="9" applyBorder="1" applyAlignment="1">
      <alignment horizontal="center" vertical="center"/>
    </xf>
    <xf numFmtId="0" fontId="23" fillId="0" borderId="8" xfId="9" applyBorder="1" applyAlignment="1">
      <alignment horizontal="center" vertical="center"/>
    </xf>
    <xf numFmtId="172" fontId="23" fillId="0" borderId="95" xfId="8" applyFont="1" applyBorder="1" applyAlignment="1">
      <alignment horizontal="center" vertical="center"/>
    </xf>
    <xf numFmtId="0" fontId="23" fillId="0" borderId="19" xfId="9" applyBorder="1" applyAlignment="1">
      <alignment horizontal="center" vertical="center"/>
    </xf>
    <xf numFmtId="0" fontId="31" fillId="5" borderId="22" xfId="0" applyFont="1" applyFill="1" applyBorder="1" applyAlignment="1">
      <alignment horizontal="center" vertical="center"/>
    </xf>
    <xf numFmtId="0" fontId="31" fillId="5" borderId="1" xfId="0" applyFont="1" applyFill="1" applyBorder="1" applyAlignment="1">
      <alignment horizontal="center" vertical="center" wrapText="1"/>
    </xf>
    <xf numFmtId="0" fontId="3" fillId="0" borderId="19" xfId="0" applyFont="1" applyBorder="1" applyAlignment="1">
      <alignment vertical="center"/>
    </xf>
    <xf numFmtId="0" fontId="3" fillId="0" borderId="32" xfId="0" applyFont="1" applyBorder="1" applyAlignment="1">
      <alignment vertical="center"/>
    </xf>
    <xf numFmtId="0" fontId="3" fillId="0" borderId="33" xfId="0" applyFont="1" applyBorder="1" applyAlignment="1">
      <alignment vertical="center"/>
    </xf>
    <xf numFmtId="1" fontId="31" fillId="5" borderId="23" xfId="0" applyNumberFormat="1" applyFont="1" applyFill="1" applyBorder="1" applyAlignment="1">
      <alignment horizontal="center" vertical="center" wrapText="1"/>
    </xf>
    <xf numFmtId="1" fontId="3" fillId="0" borderId="5" xfId="1" applyNumberFormat="1" applyFont="1" applyBorder="1" applyAlignment="1">
      <alignment horizontal="center" vertical="center"/>
    </xf>
    <xf numFmtId="1" fontId="3" fillId="0" borderId="7" xfId="1" applyNumberFormat="1" applyFont="1" applyBorder="1" applyAlignment="1">
      <alignment horizontal="center" vertical="center"/>
    </xf>
    <xf numFmtId="1" fontId="3" fillId="0" borderId="9" xfId="1" applyNumberFormat="1" applyFont="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0" borderId="8" xfId="0" applyFont="1" applyBorder="1" applyAlignment="1">
      <alignment horizontal="center" vertical="center"/>
    </xf>
    <xf numFmtId="17" fontId="0" fillId="0" borderId="0" xfId="0" applyNumberFormat="1" applyAlignment="1">
      <alignment horizontal="center"/>
    </xf>
    <xf numFmtId="0" fontId="8" fillId="42" borderId="0" xfId="0" applyFont="1" applyFill="1" applyAlignment="1">
      <alignment horizontal="left" vertical="center"/>
    </xf>
    <xf numFmtId="0" fontId="37" fillId="0" borderId="0" xfId="0" applyFont="1" applyAlignment="1">
      <alignment horizontal="left" vertical="center"/>
    </xf>
    <xf numFmtId="0" fontId="50" fillId="0" borderId="0" xfId="0" applyFont="1" applyAlignment="1">
      <alignment horizontal="center"/>
    </xf>
    <xf numFmtId="0" fontId="85" fillId="0" borderId="0" xfId="9" applyFont="1"/>
    <xf numFmtId="9" fontId="86" fillId="0" borderId="0" xfId="9" applyNumberFormat="1" applyFont="1"/>
    <xf numFmtId="172" fontId="85" fillId="0" borderId="0" xfId="8" applyFont="1" applyFill="1" applyBorder="1"/>
    <xf numFmtId="0" fontId="87" fillId="0" borderId="0" xfId="9" applyFont="1"/>
    <xf numFmtId="172" fontId="87" fillId="0" borderId="0" xfId="8" applyFont="1"/>
    <xf numFmtId="9" fontId="87" fillId="0" borderId="0" xfId="30" applyFont="1"/>
    <xf numFmtId="14" fontId="87" fillId="0" borderId="0" xfId="8" applyNumberFormat="1" applyFont="1" applyBorder="1"/>
    <xf numFmtId="172" fontId="85" fillId="0" borderId="0" xfId="8" applyFont="1" applyAlignment="1">
      <alignment horizontal="center"/>
    </xf>
    <xf numFmtId="9" fontId="85" fillId="0" borderId="0" xfId="30" applyFont="1" applyAlignment="1">
      <alignment horizontal="center"/>
    </xf>
    <xf numFmtId="172" fontId="85" fillId="52" borderId="0" xfId="8" applyFont="1" applyFill="1" applyAlignment="1">
      <alignment horizontal="center"/>
    </xf>
    <xf numFmtId="0" fontId="87" fillId="0" borderId="19" xfId="9" applyFont="1" applyBorder="1"/>
    <xf numFmtId="172" fontId="87" fillId="0" borderId="19" xfId="8" applyFont="1" applyBorder="1"/>
    <xf numFmtId="9" fontId="87" fillId="0" borderId="0" xfId="30" applyFont="1" applyAlignment="1">
      <alignment horizontal="center"/>
    </xf>
    <xf numFmtId="172" fontId="87" fillId="0" borderId="0" xfId="9" applyNumberFormat="1" applyFont="1"/>
    <xf numFmtId="165" fontId="87" fillId="0" borderId="0" xfId="9" applyNumberFormat="1" applyFont="1"/>
    <xf numFmtId="0" fontId="87" fillId="6" borderId="0" xfId="9" applyFont="1" applyFill="1"/>
    <xf numFmtId="0" fontId="87" fillId="0" borderId="19" xfId="9" applyFont="1" applyBorder="1" applyAlignment="1">
      <alignment horizontal="center"/>
    </xf>
    <xf numFmtId="172" fontId="86" fillId="0" borderId="0" xfId="8" applyFont="1"/>
    <xf numFmtId="9" fontId="85" fillId="0" borderId="0" xfId="8" applyNumberFormat="1" applyFont="1"/>
    <xf numFmtId="14" fontId="86" fillId="0" borderId="0" xfId="8" applyNumberFormat="1" applyFont="1"/>
    <xf numFmtId="172" fontId="88" fillId="0" borderId="0" xfId="8" applyFont="1"/>
    <xf numFmtId="0" fontId="0" fillId="0" borderId="96" xfId="0" applyBorder="1"/>
    <xf numFmtId="0" fontId="8" fillId="41" borderId="23" xfId="0" applyFont="1" applyFill="1" applyBorder="1" applyAlignment="1">
      <alignment horizontal="center"/>
    </xf>
    <xf numFmtId="0" fontId="17" fillId="0" borderId="19" xfId="3" applyFont="1" applyBorder="1" applyAlignment="1">
      <alignment horizontal="center" vertical="center"/>
    </xf>
    <xf numFmtId="0" fontId="16" fillId="27" borderId="0" xfId="0" applyFont="1" applyFill="1" applyAlignment="1">
      <alignment horizontal="center" vertical="center"/>
    </xf>
    <xf numFmtId="0" fontId="17" fillId="54" borderId="139" xfId="3" applyFont="1" applyFill="1" applyBorder="1" applyAlignment="1">
      <alignment horizontal="center" vertical="center"/>
    </xf>
    <xf numFmtId="0" fontId="8" fillId="7" borderId="0" xfId="0" applyFont="1" applyFill="1" applyAlignment="1">
      <alignment horizontal="center"/>
    </xf>
    <xf numFmtId="3" fontId="0" fillId="0" borderId="0" xfId="0" applyNumberFormat="1" applyAlignment="1">
      <alignment horizontal="center"/>
    </xf>
    <xf numFmtId="0" fontId="0" fillId="9" borderId="19" xfId="0" applyFill="1" applyBorder="1" applyAlignment="1">
      <alignment vertical="center"/>
    </xf>
    <xf numFmtId="0" fontId="4" fillId="0" borderId="0" xfId="2"/>
    <xf numFmtId="0" fontId="38" fillId="0" borderId="0" xfId="0" applyFont="1" applyAlignment="1">
      <alignment horizontal="right"/>
    </xf>
    <xf numFmtId="0" fontId="87" fillId="0" borderId="0" xfId="9" applyFont="1" applyAlignment="1">
      <alignment horizontal="center"/>
    </xf>
    <xf numFmtId="1" fontId="17" fillId="0" borderId="0" xfId="1" applyNumberFormat="1" applyFont="1" applyAlignment="1">
      <alignment horizontal="center" vertical="center"/>
    </xf>
    <xf numFmtId="0" fontId="21" fillId="9" borderId="0" xfId="0" applyFont="1" applyFill="1" applyAlignment="1">
      <alignment vertical="center"/>
    </xf>
    <xf numFmtId="0" fontId="8" fillId="9" borderId="3" xfId="0" applyFont="1" applyFill="1" applyBorder="1" applyAlignment="1">
      <alignment horizontal="center" vertical="center"/>
    </xf>
    <xf numFmtId="165" fontId="0" fillId="9" borderId="30" xfId="1" applyFont="1" applyFill="1" applyBorder="1" applyAlignment="1">
      <alignment vertical="center"/>
    </xf>
    <xf numFmtId="165" fontId="0" fillId="9" borderId="31" xfId="1" applyFont="1" applyFill="1" applyBorder="1" applyAlignment="1">
      <alignment vertical="center"/>
    </xf>
    <xf numFmtId="182" fontId="18" fillId="9" borderId="0" xfId="1" applyNumberFormat="1" applyFont="1" applyFill="1" applyAlignment="1">
      <alignment vertical="center"/>
    </xf>
    <xf numFmtId="0" fontId="21" fillId="0" borderId="7" xfId="0" applyFont="1" applyBorder="1"/>
    <xf numFmtId="0" fontId="14" fillId="0" borderId="140" xfId="21" applyFont="1" applyBorder="1" applyAlignment="1">
      <alignment horizontal="right" vertical="center"/>
    </xf>
    <xf numFmtId="0" fontId="14" fillId="0" borderId="141" xfId="21" applyFont="1" applyBorder="1" applyAlignment="1">
      <alignment horizontal="right" vertical="center"/>
    </xf>
    <xf numFmtId="0" fontId="0" fillId="0" borderId="141" xfId="0" applyBorder="1"/>
    <xf numFmtId="0" fontId="0" fillId="0" borderId="142" xfId="0" applyBorder="1" applyAlignment="1">
      <alignment horizontal="left"/>
    </xf>
    <xf numFmtId="9" fontId="0" fillId="0" borderId="34" xfId="4" applyFont="1" applyBorder="1" applyAlignment="1">
      <alignment horizontal="center"/>
    </xf>
    <xf numFmtId="0" fontId="50" fillId="0" borderId="0" xfId="32" applyFont="1" applyAlignment="1">
      <alignment horizontal="center"/>
    </xf>
    <xf numFmtId="0" fontId="8" fillId="0" borderId="17" xfId="0" applyFont="1" applyBorder="1" applyAlignment="1">
      <alignment horizontal="center"/>
    </xf>
    <xf numFmtId="0" fontId="0" fillId="0" borderId="67" xfId="0" applyBorder="1" applyAlignment="1">
      <alignment horizontal="center" vertical="center"/>
    </xf>
    <xf numFmtId="0" fontId="0" fillId="0" borderId="17" xfId="0" applyBorder="1" applyAlignment="1">
      <alignment horizontal="left" vertical="center"/>
    </xf>
    <xf numFmtId="10" fontId="0" fillId="0" borderId="0" xfId="4" applyNumberFormat="1" applyFont="1" applyAlignment="1">
      <alignment horizontal="center" vertical="center"/>
    </xf>
    <xf numFmtId="186" fontId="0" fillId="0" borderId="0" xfId="1" applyNumberFormat="1" applyFont="1" applyAlignment="1">
      <alignment vertical="center"/>
    </xf>
    <xf numFmtId="0" fontId="8" fillId="9" borderId="19" xfId="0" applyFont="1" applyFill="1" applyBorder="1" applyAlignment="1">
      <alignment horizontal="center" vertical="center"/>
    </xf>
    <xf numFmtId="0" fontId="8" fillId="0" borderId="19" xfId="0" applyFont="1" applyBorder="1" applyAlignment="1">
      <alignment horizontal="left" vertical="center"/>
    </xf>
    <xf numFmtId="0" fontId="8" fillId="41" borderId="0" xfId="0" applyFont="1" applyFill="1" applyAlignment="1">
      <alignment vertical="center"/>
    </xf>
    <xf numFmtId="186" fontId="8" fillId="41" borderId="0" xfId="0" applyNumberFormat="1" applyFont="1" applyFill="1" applyAlignment="1">
      <alignment vertical="center"/>
    </xf>
    <xf numFmtId="172" fontId="0" fillId="0" borderId="0" xfId="0" applyNumberFormat="1"/>
    <xf numFmtId="0" fontId="0" fillId="0" borderId="0" xfId="3" applyFont="1" applyAlignment="1">
      <alignment vertical="center"/>
    </xf>
    <xf numFmtId="0" fontId="92" fillId="0" borderId="0" xfId="0" applyFont="1" applyAlignment="1">
      <alignment horizontal="left" vertical="top" wrapText="1"/>
    </xf>
    <xf numFmtId="0" fontId="92" fillId="0" borderId="0" xfId="0" applyFont="1" applyAlignment="1">
      <alignment horizontal="left" vertical="top"/>
    </xf>
    <xf numFmtId="0" fontId="92" fillId="0" borderId="84" xfId="0" applyFont="1" applyBorder="1" applyAlignment="1">
      <alignment horizontal="left" wrapText="1"/>
    </xf>
    <xf numFmtId="0" fontId="23" fillId="56" borderId="84" xfId="0" applyFont="1" applyFill="1" applyBorder="1" applyAlignment="1">
      <alignment horizontal="center" vertical="top" wrapText="1"/>
    </xf>
    <xf numFmtId="9" fontId="94" fillId="0" borderId="12" xfId="4" applyFont="1" applyBorder="1" applyAlignment="1">
      <alignment horizontal="center" vertical="top"/>
    </xf>
    <xf numFmtId="9" fontId="94" fillId="0" borderId="37" xfId="4" applyFont="1" applyBorder="1" applyAlignment="1">
      <alignment horizontal="center" vertical="top"/>
    </xf>
    <xf numFmtId="9" fontId="94" fillId="0" borderId="13" xfId="4" applyFont="1" applyBorder="1" applyAlignment="1">
      <alignment horizontal="center" vertical="top"/>
    </xf>
    <xf numFmtId="0" fontId="92" fillId="0" borderId="37" xfId="0" applyFont="1" applyBorder="1" applyAlignment="1">
      <alignment horizontal="left" vertical="top"/>
    </xf>
    <xf numFmtId="0" fontId="92" fillId="0" borderId="13" xfId="0" applyFont="1" applyBorder="1" applyAlignment="1">
      <alignment horizontal="left" vertical="top"/>
    </xf>
    <xf numFmtId="0" fontId="23" fillId="57" borderId="84" xfId="0" applyFont="1" applyFill="1" applyBorder="1" applyAlignment="1">
      <alignment horizontal="left" vertical="top" wrapText="1" indent="2"/>
    </xf>
    <xf numFmtId="0" fontId="23" fillId="57" borderId="84" xfId="0" applyFont="1" applyFill="1" applyBorder="1" applyAlignment="1">
      <alignment horizontal="center" vertical="top" wrapText="1"/>
    </xf>
    <xf numFmtId="0" fontId="23" fillId="58" borderId="84" xfId="0" applyFont="1" applyFill="1" applyBorder="1" applyAlignment="1">
      <alignment horizontal="center" vertical="top" wrapText="1"/>
    </xf>
    <xf numFmtId="0" fontId="23" fillId="55" borderId="84" xfId="0" applyFont="1" applyFill="1" applyBorder="1" applyAlignment="1">
      <alignment horizontal="center" vertical="top" wrapText="1"/>
    </xf>
    <xf numFmtId="0" fontId="94" fillId="0" borderId="0" xfId="0" applyFont="1" applyAlignment="1">
      <alignment horizontal="center" vertical="top"/>
    </xf>
    <xf numFmtId="0" fontId="94" fillId="9" borderId="30" xfId="0" applyFont="1" applyFill="1" applyBorder="1" applyAlignment="1">
      <alignment horizontal="center" vertical="top"/>
    </xf>
    <xf numFmtId="0" fontId="94" fillId="9" borderId="0" xfId="0" applyFont="1" applyFill="1" applyAlignment="1">
      <alignment horizontal="center" vertical="top"/>
    </xf>
    <xf numFmtId="0" fontId="94" fillId="9" borderId="31" xfId="0" applyFont="1" applyFill="1" applyBorder="1" applyAlignment="1">
      <alignment horizontal="center" vertical="top"/>
    </xf>
    <xf numFmtId="0" fontId="23" fillId="0" borderId="84" xfId="0" applyFont="1" applyBorder="1" applyAlignment="1">
      <alignment horizontal="left" vertical="top" wrapText="1"/>
    </xf>
    <xf numFmtId="2" fontId="92" fillId="0" borderId="84" xfId="0" applyNumberFormat="1" applyFont="1" applyBorder="1" applyAlignment="1">
      <alignment horizontal="center" vertical="top" shrinkToFit="1"/>
    </xf>
    <xf numFmtId="1" fontId="92" fillId="0" borderId="84" xfId="0" applyNumberFormat="1" applyFont="1" applyBorder="1" applyAlignment="1">
      <alignment horizontal="center" vertical="top" shrinkToFit="1"/>
    </xf>
    <xf numFmtId="0" fontId="92" fillId="0" borderId="0" xfId="0" applyFont="1" applyAlignment="1">
      <alignment horizontal="center" vertical="top"/>
    </xf>
    <xf numFmtId="165" fontId="92" fillId="0" borderId="0" xfId="1" applyFont="1" applyAlignment="1">
      <alignment horizontal="left" vertical="top"/>
    </xf>
    <xf numFmtId="165" fontId="92" fillId="0" borderId="30" xfId="1" applyFont="1" applyBorder="1" applyAlignment="1">
      <alignment horizontal="center" vertical="top"/>
    </xf>
    <xf numFmtId="1" fontId="92" fillId="0" borderId="0" xfId="1" applyNumberFormat="1" applyFont="1" applyBorder="1" applyAlignment="1">
      <alignment horizontal="center" vertical="top"/>
    </xf>
    <xf numFmtId="165" fontId="92" fillId="0" borderId="31" xfId="1" applyFont="1" applyBorder="1" applyAlignment="1">
      <alignment horizontal="center" vertical="top"/>
    </xf>
    <xf numFmtId="165" fontId="92" fillId="0" borderId="17" xfId="1" applyFont="1" applyBorder="1" applyAlignment="1">
      <alignment horizontal="center" vertical="top"/>
    </xf>
    <xf numFmtId="165" fontId="92" fillId="0" borderId="18" xfId="1" applyFont="1" applyBorder="1" applyAlignment="1">
      <alignment horizontal="center" vertical="top"/>
    </xf>
    <xf numFmtId="1" fontId="92" fillId="0" borderId="0" xfId="0" applyNumberFormat="1" applyFont="1" applyAlignment="1">
      <alignment horizontal="left" vertical="top"/>
    </xf>
    <xf numFmtId="182" fontId="94" fillId="0" borderId="0" xfId="0" applyNumberFormat="1" applyFont="1" applyAlignment="1">
      <alignment horizontal="left" vertical="top"/>
    </xf>
    <xf numFmtId="1" fontId="92" fillId="0" borderId="84" xfId="0" applyNumberFormat="1" applyFont="1" applyBorder="1" applyAlignment="1">
      <alignment horizontal="right" vertical="top" indent="8" shrinkToFit="1"/>
    </xf>
    <xf numFmtId="0" fontId="23" fillId="0" borderId="84" xfId="0" applyFont="1" applyBorder="1" applyAlignment="1">
      <alignment horizontal="center" vertical="top" wrapText="1"/>
    </xf>
    <xf numFmtId="2" fontId="92" fillId="0" borderId="84" xfId="0" applyNumberFormat="1" applyFont="1" applyBorder="1" applyAlignment="1">
      <alignment horizontal="left" vertical="top" indent="3" shrinkToFit="1"/>
    </xf>
    <xf numFmtId="186" fontId="0" fillId="0" borderId="0" xfId="1" applyNumberFormat="1" applyFont="1"/>
    <xf numFmtId="0" fontId="3" fillId="0" borderId="0" xfId="0" applyFont="1" applyAlignment="1">
      <alignment horizontal="center"/>
    </xf>
    <xf numFmtId="0" fontId="15" fillId="0" borderId="145" xfId="3" applyFont="1" applyBorder="1" applyAlignment="1">
      <alignment horizontal="center" vertical="center" wrapText="1"/>
    </xf>
    <xf numFmtId="0" fontId="16" fillId="0" borderId="145" xfId="3" applyFont="1" applyBorder="1" applyAlignment="1">
      <alignment horizontal="center" vertical="center" wrapText="1"/>
    </xf>
    <xf numFmtId="182" fontId="0" fillId="0" borderId="0" xfId="0" applyNumberFormat="1"/>
    <xf numFmtId="0" fontId="11" fillId="0" borderId="144" xfId="0" applyFont="1" applyBorder="1"/>
    <xf numFmtId="0" fontId="10" fillId="0" borderId="144" xfId="0" applyFont="1" applyBorder="1" applyAlignment="1">
      <alignment horizontal="center"/>
    </xf>
    <xf numFmtId="165" fontId="10" fillId="0" borderId="144" xfId="1" applyFont="1" applyFill="1" applyBorder="1"/>
    <xf numFmtId="9" fontId="10" fillId="0" borderId="144" xfId="5" applyFont="1" applyFill="1" applyBorder="1" applyAlignment="1">
      <alignment horizontal="center"/>
    </xf>
    <xf numFmtId="165" fontId="10" fillId="0" borderId="144" xfId="11" applyFont="1" applyFill="1" applyBorder="1"/>
    <xf numFmtId="165" fontId="10" fillId="0" borderId="0" xfId="11" applyFont="1" applyFill="1" applyBorder="1"/>
    <xf numFmtId="182" fontId="0" fillId="0" borderId="0" xfId="1" applyNumberFormat="1" applyFont="1"/>
    <xf numFmtId="165" fontId="10" fillId="0" borderId="0" xfId="11" applyFont="1" applyFill="1"/>
    <xf numFmtId="0" fontId="10" fillId="0" borderId="0" xfId="0" applyFont="1" applyAlignment="1">
      <alignment horizontal="center"/>
    </xf>
    <xf numFmtId="9" fontId="10" fillId="0" borderId="0" xfId="5" applyFont="1" applyFill="1" applyBorder="1" applyAlignment="1">
      <alignment horizontal="center"/>
    </xf>
    <xf numFmtId="0" fontId="11" fillId="0" borderId="0" xfId="0" applyFont="1"/>
    <xf numFmtId="0" fontId="70" fillId="5" borderId="0" xfId="0" applyFont="1" applyFill="1" applyAlignment="1">
      <alignment horizontal="center" vertical="center"/>
    </xf>
    <xf numFmtId="0" fontId="70" fillId="0" borderId="0" xfId="0" applyFont="1"/>
    <xf numFmtId="187" fontId="0" fillId="0" borderId="0" xfId="0" applyNumberFormat="1"/>
    <xf numFmtId="188" fontId="0" fillId="0" borderId="0" xfId="0" applyNumberFormat="1"/>
    <xf numFmtId="0" fontId="14" fillId="59" borderId="145" xfId="3" applyFont="1" applyFill="1" applyBorder="1" applyAlignment="1">
      <alignment horizontal="center" vertical="center" wrapText="1"/>
    </xf>
    <xf numFmtId="0" fontId="15" fillId="11" borderId="145" xfId="3" applyFont="1" applyFill="1" applyBorder="1" applyAlignment="1">
      <alignment horizontal="center" vertical="center" wrapText="1"/>
    </xf>
    <xf numFmtId="165" fontId="8" fillId="16" borderId="0" xfId="1" applyFont="1" applyFill="1" applyBorder="1" applyAlignment="1">
      <alignment horizontal="center" vertical="center"/>
    </xf>
    <xf numFmtId="0" fontId="17" fillId="0" borderId="0" xfId="0" applyFont="1" applyAlignment="1">
      <alignment horizontal="center"/>
    </xf>
    <xf numFmtId="0" fontId="18" fillId="6" borderId="0" xfId="0" applyFont="1" applyFill="1" applyAlignment="1">
      <alignment horizontal="center" vertical="center"/>
    </xf>
    <xf numFmtId="0" fontId="10" fillId="0" borderId="0" xfId="0" applyFont="1" applyAlignment="1">
      <alignment horizontal="left"/>
    </xf>
    <xf numFmtId="165" fontId="10" fillId="0" borderId="0" xfId="1" applyFont="1" applyFill="1"/>
    <xf numFmtId="9" fontId="10" fillId="0" borderId="121" xfId="5" applyFont="1" applyFill="1" applyBorder="1" applyAlignment="1">
      <alignment horizontal="center"/>
    </xf>
    <xf numFmtId="165" fontId="10" fillId="0" borderId="121" xfId="11" applyFont="1" applyFill="1" applyBorder="1"/>
    <xf numFmtId="0" fontId="0" fillId="0" borderId="20" xfId="0" applyBorder="1" applyAlignment="1">
      <alignment horizontal="center" vertical="center"/>
    </xf>
    <xf numFmtId="1" fontId="3" fillId="0" borderId="0" xfId="0" applyNumberFormat="1" applyFont="1" applyAlignment="1">
      <alignment horizontal="left"/>
    </xf>
    <xf numFmtId="189" fontId="17" fillId="0" borderId="0" xfId="1" applyNumberFormat="1" applyFont="1" applyAlignment="1">
      <alignment horizontal="center"/>
    </xf>
    <xf numFmtId="0" fontId="25" fillId="0" borderId="0" xfId="0" applyFont="1" applyAlignment="1">
      <alignment horizontal="center"/>
    </xf>
    <xf numFmtId="0" fontId="25" fillId="0" borderId="0" xfId="0" applyFont="1" applyAlignment="1">
      <alignment horizontal="left"/>
    </xf>
    <xf numFmtId="0" fontId="48" fillId="0" borderId="0" xfId="0" applyFont="1"/>
    <xf numFmtId="165" fontId="25" fillId="0" borderId="0" xfId="1" applyFont="1" applyFill="1"/>
    <xf numFmtId="9" fontId="25" fillId="0" borderId="121" xfId="5" applyFont="1" applyFill="1" applyBorder="1" applyAlignment="1">
      <alignment horizontal="center"/>
    </xf>
    <xf numFmtId="165" fontId="25" fillId="0" borderId="121" xfId="11" applyFont="1" applyFill="1" applyBorder="1"/>
    <xf numFmtId="165" fontId="25" fillId="0" borderId="0" xfId="11" applyFont="1" applyFill="1" applyBorder="1"/>
    <xf numFmtId="0" fontId="70" fillId="0" borderId="6" xfId="0" applyFont="1" applyBorder="1" applyAlignment="1">
      <alignment horizontal="center" vertical="center"/>
    </xf>
    <xf numFmtId="0" fontId="70" fillId="0" borderId="30" xfId="0" applyFont="1" applyBorder="1" applyAlignment="1">
      <alignment horizontal="center" vertical="center"/>
    </xf>
    <xf numFmtId="0" fontId="18" fillId="0" borderId="0" xfId="0" applyFont="1" applyAlignment="1">
      <alignment horizontal="right"/>
    </xf>
    <xf numFmtId="165" fontId="70" fillId="0" borderId="25" xfId="1" applyFont="1" applyBorder="1" applyAlignment="1">
      <alignment vertical="center"/>
    </xf>
    <xf numFmtId="165" fontId="70" fillId="0" borderId="31" xfId="1" applyFont="1" applyBorder="1" applyAlignment="1">
      <alignment vertical="center"/>
    </xf>
    <xf numFmtId="165" fontId="70" fillId="0" borderId="0" xfId="1" applyFont="1" applyBorder="1" applyAlignment="1">
      <alignment vertical="center"/>
    </xf>
    <xf numFmtId="165" fontId="10" fillId="0" borderId="0" xfId="1" applyFont="1" applyFill="1" applyBorder="1"/>
    <xf numFmtId="1" fontId="17" fillId="0" borderId="0" xfId="1" applyNumberFormat="1" applyFont="1"/>
    <xf numFmtId="0" fontId="18" fillId="41" borderId="0" xfId="0" applyFont="1" applyFill="1" applyAlignment="1">
      <alignment horizontal="center"/>
    </xf>
    <xf numFmtId="165" fontId="18" fillId="41" borderId="0" xfId="1" applyFont="1" applyFill="1" applyAlignment="1">
      <alignment horizontal="center"/>
    </xf>
    <xf numFmtId="182" fontId="17" fillId="0" borderId="0" xfId="1" applyNumberFormat="1" applyFont="1" applyAlignment="1">
      <alignment horizontal="center"/>
    </xf>
    <xf numFmtId="182" fontId="17" fillId="0" borderId="0" xfId="1" applyNumberFormat="1" applyFont="1"/>
    <xf numFmtId="179" fontId="17" fillId="0" borderId="0" xfId="4" applyNumberFormat="1" applyFont="1" applyAlignment="1">
      <alignment horizontal="center" vertical="center"/>
    </xf>
    <xf numFmtId="182" fontId="18" fillId="0" borderId="0" xfId="0" applyNumberFormat="1" applyFont="1" applyAlignment="1">
      <alignment horizontal="center"/>
    </xf>
    <xf numFmtId="182" fontId="18" fillId="0" borderId="0" xfId="0" applyNumberFormat="1" applyFont="1"/>
    <xf numFmtId="165" fontId="92" fillId="0" borderId="12" xfId="1" applyFont="1" applyBorder="1" applyAlignment="1">
      <alignment horizontal="center" vertical="top"/>
    </xf>
    <xf numFmtId="1" fontId="92" fillId="0" borderId="37" xfId="1" applyNumberFormat="1" applyFont="1" applyBorder="1" applyAlignment="1">
      <alignment horizontal="center" vertical="top"/>
    </xf>
    <xf numFmtId="165" fontId="92" fillId="0" borderId="13" xfId="1" applyFont="1" applyBorder="1" applyAlignment="1">
      <alignment horizontal="center" vertical="top"/>
    </xf>
    <xf numFmtId="1" fontId="92" fillId="0" borderId="67" xfId="1" applyNumberFormat="1" applyFont="1" applyBorder="1" applyAlignment="1">
      <alignment horizontal="center" vertical="top"/>
    </xf>
    <xf numFmtId="0" fontId="18" fillId="51" borderId="0" xfId="0" applyFont="1" applyFill="1" applyAlignment="1">
      <alignment horizontal="center"/>
    </xf>
    <xf numFmtId="165" fontId="8" fillId="0" borderId="19" xfId="1" applyFont="1" applyBorder="1" applyAlignment="1">
      <alignment horizontal="left" vertical="center"/>
    </xf>
    <xf numFmtId="190" fontId="17" fillId="0" borderId="0" xfId="0" applyNumberFormat="1" applyFont="1" applyAlignment="1">
      <alignment vertical="center"/>
    </xf>
    <xf numFmtId="186" fontId="8" fillId="0" borderId="0" xfId="0" quotePrefix="1" applyNumberFormat="1" applyFont="1" applyAlignment="1">
      <alignment vertical="center"/>
    </xf>
    <xf numFmtId="0" fontId="50" fillId="0" borderId="84" xfId="0" applyFont="1" applyBorder="1" applyAlignment="1">
      <alignment horizontal="center"/>
    </xf>
    <xf numFmtId="186" fontId="8" fillId="0" borderId="0" xfId="0" applyNumberFormat="1" applyFont="1" applyAlignment="1">
      <alignment horizontal="center" vertical="center"/>
    </xf>
    <xf numFmtId="165" fontId="8" fillId="4" borderId="3" xfId="1" applyFont="1" applyFill="1" applyBorder="1" applyAlignment="1">
      <alignment horizontal="center" vertical="center"/>
    </xf>
    <xf numFmtId="1" fontId="92" fillId="0" borderId="0" xfId="0" applyNumberFormat="1" applyFont="1" applyAlignment="1">
      <alignment horizontal="center" vertical="top"/>
    </xf>
    <xf numFmtId="164" fontId="8" fillId="0" borderId="0" xfId="0" applyNumberFormat="1" applyFont="1" applyAlignment="1">
      <alignment vertical="center"/>
    </xf>
    <xf numFmtId="0" fontId="66" fillId="0" borderId="0" xfId="0" applyFont="1" applyAlignment="1">
      <alignment vertical="center"/>
    </xf>
    <xf numFmtId="186" fontId="8" fillId="0" borderId="0" xfId="0" applyNumberFormat="1" applyFont="1" applyAlignment="1">
      <alignment vertical="center"/>
    </xf>
    <xf numFmtId="166" fontId="0" fillId="0" borderId="0" xfId="1" applyNumberFormat="1" applyFont="1"/>
    <xf numFmtId="168" fontId="44" fillId="0" borderId="0" xfId="27" quotePrefix="1" applyFont="1" applyFill="1" applyBorder="1" applyAlignment="1">
      <alignment horizontal="center"/>
    </xf>
    <xf numFmtId="168" fontId="44" fillId="0" borderId="0" xfId="27" applyFont="1" applyFill="1" applyBorder="1" applyAlignment="1">
      <alignment horizontal="center"/>
    </xf>
    <xf numFmtId="168" fontId="44" fillId="0" borderId="0" xfId="27" applyFont="1" applyFill="1" applyBorder="1" applyAlignment="1"/>
    <xf numFmtId="4" fontId="44" fillId="0" borderId="0" xfId="0" applyNumberFormat="1" applyFont="1" applyAlignment="1">
      <alignment horizontal="center"/>
    </xf>
    <xf numFmtId="0" fontId="3" fillId="0" borderId="67" xfId="3" applyFont="1" applyBorder="1" applyAlignment="1">
      <alignment vertical="center"/>
    </xf>
    <xf numFmtId="0" fontId="8" fillId="23" borderId="10" xfId="0" applyFont="1" applyFill="1" applyBorder="1" applyAlignment="1">
      <alignment horizontal="center" vertical="center"/>
    </xf>
    <xf numFmtId="0" fontId="8" fillId="23" borderId="11" xfId="0" applyFont="1" applyFill="1" applyBorder="1" applyAlignment="1">
      <alignment horizontal="center" vertical="center"/>
    </xf>
    <xf numFmtId="0" fontId="8" fillId="41" borderId="0" xfId="0" applyFont="1" applyFill="1" applyAlignment="1">
      <alignment horizontal="center" vertical="center"/>
    </xf>
    <xf numFmtId="165" fontId="8" fillId="0" borderId="0" xfId="1" applyFont="1" applyAlignment="1" applyProtection="1">
      <alignment horizontal="center"/>
    </xf>
    <xf numFmtId="1" fontId="0" fillId="0" borderId="20" xfId="0" applyNumberFormat="1" applyBorder="1" applyAlignment="1">
      <alignment horizontal="center"/>
    </xf>
    <xf numFmtId="0" fontId="17" fillId="0" borderId="21" xfId="3" applyFont="1" applyBorder="1" applyAlignment="1">
      <alignment horizontal="center" vertical="center"/>
    </xf>
    <xf numFmtId="1" fontId="0" fillId="0" borderId="28" xfId="0" applyNumberFormat="1" applyBorder="1" applyAlignment="1">
      <alignment horizontal="center"/>
    </xf>
    <xf numFmtId="1" fontId="0" fillId="0" borderId="4" xfId="0" applyNumberFormat="1" applyBorder="1" applyAlignment="1">
      <alignment horizontal="center"/>
    </xf>
    <xf numFmtId="1" fontId="0" fillId="0" borderId="6" xfId="0" applyNumberFormat="1" applyBorder="1" applyAlignment="1">
      <alignment horizontal="center"/>
    </xf>
    <xf numFmtId="165" fontId="0" fillId="0" borderId="0" xfId="1" applyFont="1" applyAlignment="1" applyProtection="1">
      <alignment horizontal="center"/>
    </xf>
    <xf numFmtId="1" fontId="0" fillId="0" borderId="27" xfId="0" applyNumberFormat="1" applyBorder="1" applyAlignment="1">
      <alignment horizontal="center"/>
    </xf>
    <xf numFmtId="0" fontId="0" fillId="0" borderId="27" xfId="0" applyBorder="1" applyAlignment="1">
      <alignment horizontal="center"/>
    </xf>
    <xf numFmtId="1" fontId="0" fillId="0" borderId="8" xfId="0" applyNumberFormat="1" applyBorder="1" applyAlignment="1">
      <alignment horizontal="center"/>
    </xf>
    <xf numFmtId="0" fontId="17" fillId="0" borderId="9" xfId="3" applyFont="1" applyBorder="1" applyAlignment="1">
      <alignment horizontal="center" vertical="center"/>
    </xf>
    <xf numFmtId="1" fontId="0" fillId="0" borderId="29" xfId="0" applyNumberFormat="1" applyBorder="1" applyAlignment="1">
      <alignment horizontal="center"/>
    </xf>
    <xf numFmtId="165" fontId="12" fillId="0" borderId="0" xfId="0" applyNumberFormat="1" applyFont="1"/>
    <xf numFmtId="165" fontId="0" fillId="0" borderId="0" xfId="1" applyFont="1" applyProtection="1"/>
    <xf numFmtId="165" fontId="21" fillId="0" borderId="0" xfId="1" applyFont="1" applyProtection="1"/>
    <xf numFmtId="165" fontId="8" fillId="0" borderId="0" xfId="1" applyFont="1" applyBorder="1" applyAlignment="1" applyProtection="1">
      <alignment horizontal="center"/>
    </xf>
    <xf numFmtId="14" fontId="0" fillId="0" borderId="0" xfId="4" applyNumberFormat="1" applyFont="1" applyAlignment="1" applyProtection="1">
      <alignment horizontal="center"/>
    </xf>
    <xf numFmtId="2" fontId="21" fillId="0" borderId="0" xfId="1" applyNumberFormat="1" applyFont="1" applyAlignment="1" applyProtection="1">
      <alignment horizontal="center" vertical="center"/>
    </xf>
    <xf numFmtId="0" fontId="12" fillId="0" borderId="0" xfId="0" applyFont="1" applyAlignment="1">
      <alignment shrinkToFit="1"/>
    </xf>
    <xf numFmtId="0" fontId="8" fillId="51" borderId="30" xfId="3" applyFont="1" applyFill="1" applyBorder="1" applyAlignment="1">
      <alignment horizontal="right" vertical="center"/>
    </xf>
    <xf numFmtId="0" fontId="8" fillId="51" borderId="0" xfId="3" applyFont="1" applyFill="1" applyAlignment="1">
      <alignment horizontal="right" vertical="center"/>
    </xf>
    <xf numFmtId="0" fontId="8" fillId="0" borderId="0" xfId="3" applyFont="1" applyAlignment="1">
      <alignment horizontal="center" vertical="center"/>
    </xf>
    <xf numFmtId="0" fontId="8" fillId="41" borderId="0" xfId="3" applyFont="1" applyFill="1" applyAlignment="1">
      <alignment horizontal="left" vertical="center"/>
    </xf>
    <xf numFmtId="0" fontId="8" fillId="41" borderId="31" xfId="3" applyFont="1" applyFill="1" applyBorder="1" applyAlignment="1">
      <alignment horizontal="left" vertical="center"/>
    </xf>
    <xf numFmtId="0" fontId="12" fillId="0" borderId="0" xfId="3" applyFont="1" applyAlignment="1">
      <alignment vertical="center" shrinkToFit="1"/>
    </xf>
    <xf numFmtId="0" fontId="32" fillId="0" borderId="30" xfId="3" applyFont="1" applyBorder="1" applyAlignment="1">
      <alignment vertical="center"/>
    </xf>
    <xf numFmtId="0" fontId="3" fillId="0" borderId="31" xfId="3" applyFont="1" applyBorder="1" applyAlignment="1">
      <alignment vertical="center"/>
    </xf>
    <xf numFmtId="0" fontId="32" fillId="0" borderId="17" xfId="3" applyFont="1" applyBorder="1" applyAlignment="1">
      <alignment vertical="center"/>
    </xf>
    <xf numFmtId="0" fontId="3" fillId="0" borderId="18" xfId="3" applyFont="1" applyBorder="1" applyAlignment="1">
      <alignment vertical="center"/>
    </xf>
    <xf numFmtId="0" fontId="8" fillId="0" borderId="0" xfId="3" applyFont="1" applyAlignment="1">
      <alignment vertical="center"/>
    </xf>
    <xf numFmtId="0" fontId="76" fillId="0" borderId="0" xfId="3" applyFont="1" applyAlignment="1">
      <alignment vertical="center" shrinkToFit="1"/>
    </xf>
    <xf numFmtId="0" fontId="32" fillId="51" borderId="30" xfId="3" applyFont="1" applyFill="1" applyBorder="1" applyAlignment="1">
      <alignment vertical="center"/>
    </xf>
    <xf numFmtId="0" fontId="3" fillId="0" borderId="67" xfId="3" applyFont="1" applyBorder="1" applyAlignment="1">
      <alignment horizontal="center" vertical="center"/>
    </xf>
    <xf numFmtId="0" fontId="0" fillId="0" borderId="18" xfId="0" applyBorder="1"/>
    <xf numFmtId="0" fontId="17" fillId="0" borderId="121" xfId="3" applyFont="1" applyBorder="1" applyAlignment="1">
      <alignment horizontal="center" vertical="center"/>
    </xf>
    <xf numFmtId="0" fontId="21" fillId="0" borderId="24" xfId="0" applyFont="1" applyBorder="1" applyAlignment="1">
      <alignment horizontal="left" vertical="center" wrapText="1"/>
    </xf>
    <xf numFmtId="49" fontId="26" fillId="20" borderId="54" xfId="0" applyNumberFormat="1" applyFont="1" applyFill="1" applyBorder="1" applyAlignment="1">
      <alignment horizontal="center"/>
    </xf>
    <xf numFmtId="165" fontId="0" fillId="0" borderId="12" xfId="1" applyFont="1" applyBorder="1"/>
    <xf numFmtId="9" fontId="0" fillId="0" borderId="13" xfId="4" applyFont="1" applyBorder="1" applyAlignment="1">
      <alignment horizontal="center"/>
    </xf>
    <xf numFmtId="0" fontId="0" fillId="0" borderId="65" xfId="0" applyBorder="1" applyAlignment="1">
      <alignment horizontal="center" vertical="center"/>
    </xf>
    <xf numFmtId="0" fontId="0" fillId="22" borderId="65" xfId="0" applyFill="1" applyBorder="1" applyAlignment="1">
      <alignment horizontal="center" vertical="center"/>
    </xf>
    <xf numFmtId="9" fontId="0" fillId="6" borderId="0" xfId="4" applyFont="1" applyFill="1"/>
    <xf numFmtId="165" fontId="0" fillId="0" borderId="12" xfId="1" quotePrefix="1" applyFont="1" applyBorder="1"/>
    <xf numFmtId="165" fontId="0" fillId="0" borderId="13" xfId="1" applyFont="1" applyBorder="1"/>
    <xf numFmtId="182" fontId="18" fillId="0" borderId="0" xfId="1" applyNumberFormat="1" applyFont="1" applyFill="1" applyAlignment="1">
      <alignment horizontal="center"/>
    </xf>
    <xf numFmtId="0" fontId="0" fillId="0" borderId="12" xfId="0" applyBorder="1"/>
    <xf numFmtId="0" fontId="0" fillId="0" borderId="37" xfId="0" applyBorder="1"/>
    <xf numFmtId="0" fontId="85" fillId="6" borderId="0" xfId="9" applyFont="1" applyFill="1"/>
    <xf numFmtId="0" fontId="85" fillId="6" borderId="0" xfId="9" applyFont="1" applyFill="1" applyAlignment="1">
      <alignment horizontal="right"/>
    </xf>
    <xf numFmtId="0" fontId="18" fillId="2" borderId="10" xfId="0" applyFont="1" applyFill="1" applyBorder="1"/>
    <xf numFmtId="0" fontId="18" fillId="2" borderId="14" xfId="0" applyFont="1" applyFill="1" applyBorder="1"/>
    <xf numFmtId="0" fontId="18" fillId="2" borderId="11" xfId="0" applyFont="1" applyFill="1" applyBorder="1"/>
    <xf numFmtId="0" fontId="21" fillId="0" borderId="15" xfId="0" applyFont="1" applyBorder="1" applyAlignment="1">
      <alignment horizontal="left"/>
    </xf>
    <xf numFmtId="1" fontId="8" fillId="3" borderId="26" xfId="0" applyNumberFormat="1" applyFont="1" applyFill="1" applyBorder="1" applyAlignment="1">
      <alignment horizontal="center" vertical="center"/>
    </xf>
    <xf numFmtId="186" fontId="18" fillId="0" borderId="0" xfId="0" applyNumberFormat="1" applyFont="1"/>
    <xf numFmtId="3" fontId="17" fillId="0" borderId="0" xfId="0" applyNumberFormat="1" applyFont="1" applyAlignment="1">
      <alignment horizontal="right"/>
    </xf>
    <xf numFmtId="186" fontId="17" fillId="9" borderId="0" xfId="1" applyNumberFormat="1" applyFont="1" applyFill="1"/>
    <xf numFmtId="186" fontId="18" fillId="0" borderId="0" xfId="1" applyNumberFormat="1" applyFont="1"/>
    <xf numFmtId="186" fontId="17" fillId="0" borderId="0" xfId="1" applyNumberFormat="1" applyFont="1"/>
    <xf numFmtId="0" fontId="17" fillId="9" borderId="0" xfId="0" applyFont="1" applyFill="1"/>
    <xf numFmtId="182" fontId="17" fillId="0" borderId="0" xfId="1" applyNumberFormat="1" applyFont="1" applyFill="1" applyAlignment="1">
      <alignment horizontal="center"/>
    </xf>
    <xf numFmtId="182" fontId="17" fillId="0" borderId="0" xfId="1" applyNumberFormat="1" applyFont="1" applyFill="1"/>
    <xf numFmtId="165" fontId="18" fillId="6" borderId="3" xfId="1" applyFont="1" applyFill="1" applyBorder="1" applyAlignment="1">
      <alignment horizontal="center"/>
    </xf>
    <xf numFmtId="14" fontId="95" fillId="0" borderId="0" xfId="0" applyNumberFormat="1" applyFont="1" applyAlignment="1">
      <alignment horizontal="center" wrapText="1"/>
    </xf>
    <xf numFmtId="0" fontId="21" fillId="0" borderId="0" xfId="0" applyFont="1" applyAlignment="1">
      <alignment horizontal="right"/>
    </xf>
    <xf numFmtId="165" fontId="17" fillId="0" borderId="0" xfId="0" applyNumberFormat="1" applyFont="1"/>
    <xf numFmtId="0" fontId="18" fillId="9" borderId="17" xfId="0" applyFont="1" applyFill="1" applyBorder="1" applyAlignment="1">
      <alignment horizontal="center"/>
    </xf>
    <xf numFmtId="0" fontId="18" fillId="9" borderId="67" xfId="0" applyFont="1" applyFill="1" applyBorder="1" applyAlignment="1">
      <alignment horizontal="center" vertical="center"/>
    </xf>
    <xf numFmtId="0" fontId="18" fillId="9" borderId="18" xfId="0" applyFont="1" applyFill="1" applyBorder="1" applyAlignment="1">
      <alignment horizontal="center"/>
    </xf>
    <xf numFmtId="182" fontId="18" fillId="0" borderId="3" xfId="0" applyNumberFormat="1" applyFont="1" applyBorder="1"/>
    <xf numFmtId="0" fontId="23" fillId="0" borderId="20" xfId="9" applyBorder="1" applyAlignment="1">
      <alignment horizontal="center" vertical="center"/>
    </xf>
    <xf numFmtId="172" fontId="23" fillId="0" borderId="2" xfId="8" applyFont="1" applyBorder="1" applyAlignment="1">
      <alignment horizontal="center" vertical="center"/>
    </xf>
    <xf numFmtId="0" fontId="23" fillId="0" borderId="2" xfId="9" applyBorder="1" applyAlignment="1">
      <alignment horizontal="center" vertical="center"/>
    </xf>
    <xf numFmtId="0" fontId="83" fillId="16" borderId="36" xfId="9" applyFont="1" applyFill="1" applyBorder="1" applyAlignment="1">
      <alignment horizontal="center" vertical="center" wrapText="1"/>
    </xf>
    <xf numFmtId="0" fontId="83" fillId="16" borderId="38" xfId="9" applyFont="1" applyFill="1" applyBorder="1" applyAlignment="1">
      <alignment horizontal="center" vertical="center" wrapText="1"/>
    </xf>
    <xf numFmtId="0" fontId="83" fillId="16" borderId="39" xfId="9" applyFont="1" applyFill="1" applyBorder="1" applyAlignment="1">
      <alignment horizontal="center" vertical="center" wrapText="1"/>
    </xf>
    <xf numFmtId="182" fontId="8" fillId="0" borderId="31" xfId="1" applyNumberFormat="1" applyFont="1" applyBorder="1" applyAlignment="1">
      <alignment vertical="center"/>
    </xf>
    <xf numFmtId="182" fontId="8" fillId="0" borderId="0" xfId="1" applyNumberFormat="1" applyFont="1" applyFill="1" applyBorder="1" applyAlignment="1">
      <alignment vertical="center"/>
    </xf>
    <xf numFmtId="186" fontId="8" fillId="0" borderId="0" xfId="1" applyNumberFormat="1" applyFont="1" applyFill="1" applyBorder="1" applyAlignment="1">
      <alignment vertical="center"/>
    </xf>
    <xf numFmtId="186" fontId="0" fillId="0" borderId="0" xfId="1" applyNumberFormat="1" applyFont="1" applyFill="1" applyBorder="1" applyAlignment="1">
      <alignment vertical="center"/>
    </xf>
    <xf numFmtId="186" fontId="8" fillId="60" borderId="0" xfId="1" applyNumberFormat="1" applyFont="1" applyFill="1" applyAlignment="1">
      <alignment horizontal="center" vertical="center"/>
    </xf>
    <xf numFmtId="0" fontId="18" fillId="4" borderId="0" xfId="0" applyFont="1" applyFill="1" applyAlignment="1">
      <alignment horizontal="center" vertical="center"/>
    </xf>
    <xf numFmtId="186" fontId="18" fillId="4" borderId="0" xfId="0" applyNumberFormat="1" applyFont="1" applyFill="1" applyAlignment="1">
      <alignment horizontal="center" vertical="center"/>
    </xf>
    <xf numFmtId="186" fontId="8" fillId="0" borderId="0" xfId="1" applyNumberFormat="1" applyFont="1" applyAlignment="1">
      <alignment horizontal="center" vertical="center"/>
    </xf>
    <xf numFmtId="0" fontId="17" fillId="0" borderId="0" xfId="0" applyFont="1" applyAlignment="1">
      <alignment shrinkToFit="1"/>
    </xf>
    <xf numFmtId="191" fontId="0" fillId="0" borderId="30" xfId="0" applyNumberFormat="1" applyBorder="1" applyAlignment="1">
      <alignment horizontal="center"/>
    </xf>
    <xf numFmtId="1" fontId="0" fillId="0" borderId="68" xfId="1" applyNumberFormat="1" applyFont="1" applyBorder="1" applyAlignment="1">
      <alignment horizontal="center"/>
    </xf>
    <xf numFmtId="165" fontId="0" fillId="0" borderId="68" xfId="1" applyFont="1" applyBorder="1"/>
    <xf numFmtId="9" fontId="0" fillId="0" borderId="68" xfId="4" applyFont="1" applyBorder="1" applyAlignment="1">
      <alignment horizontal="center"/>
    </xf>
    <xf numFmtId="1" fontId="0" fillId="0" borderId="146" xfId="1" applyNumberFormat="1" applyFont="1" applyBorder="1" applyAlignment="1">
      <alignment horizontal="center"/>
    </xf>
    <xf numFmtId="165" fontId="0" fillId="0" borderId="146" xfId="1" applyFont="1" applyBorder="1"/>
    <xf numFmtId="0" fontId="0" fillId="0" borderId="146" xfId="0" applyBorder="1"/>
    <xf numFmtId="9" fontId="0" fillId="0" borderId="146" xfId="4" applyFont="1" applyBorder="1" applyAlignment="1">
      <alignment horizontal="center"/>
    </xf>
    <xf numFmtId="1" fontId="0" fillId="0" borderId="147" xfId="1" applyNumberFormat="1" applyFont="1" applyBorder="1" applyAlignment="1">
      <alignment horizontal="center"/>
    </xf>
    <xf numFmtId="165" fontId="0" fillId="0" borderId="147" xfId="1" applyFont="1" applyBorder="1"/>
    <xf numFmtId="0" fontId="0" fillId="0" borderId="147" xfId="0" applyBorder="1"/>
    <xf numFmtId="9" fontId="0" fillId="0" borderId="147" xfId="4" applyFont="1" applyBorder="1" applyAlignment="1">
      <alignment horizontal="center"/>
    </xf>
    <xf numFmtId="165" fontId="8" fillId="0" borderId="10" xfId="1" applyFont="1" applyBorder="1" applyAlignment="1">
      <alignment horizontal="center" vertical="center"/>
    </xf>
    <xf numFmtId="165" fontId="8" fillId="0" borderId="14" xfId="1" applyFont="1" applyBorder="1" applyAlignment="1">
      <alignment horizontal="center" vertical="center"/>
    </xf>
    <xf numFmtId="165" fontId="8" fillId="0" borderId="11" xfId="1" applyFont="1" applyBorder="1" applyAlignment="1">
      <alignment horizontal="center" vertical="center"/>
    </xf>
    <xf numFmtId="186" fontId="0" fillId="0" borderId="19" xfId="1" applyNumberFormat="1" applyFont="1" applyFill="1" applyBorder="1" applyAlignment="1">
      <alignment vertical="center"/>
    </xf>
    <xf numFmtId="1" fontId="17" fillId="0" borderId="0" xfId="3" applyNumberFormat="1" applyFont="1" applyAlignment="1">
      <alignment horizontal="center" vertical="center"/>
    </xf>
    <xf numFmtId="0" fontId="14" fillId="6" borderId="148" xfId="0" applyFont="1" applyFill="1" applyBorder="1" applyAlignment="1">
      <alignment horizontal="center"/>
    </xf>
    <xf numFmtId="0" fontId="14" fillId="6" borderId="121" xfId="0" applyFont="1" applyFill="1" applyBorder="1" applyAlignment="1">
      <alignment horizontal="center"/>
    </xf>
    <xf numFmtId="0" fontId="15" fillId="11" borderId="121" xfId="0" applyFont="1" applyFill="1" applyBorder="1" applyAlignment="1">
      <alignment horizontal="center"/>
    </xf>
    <xf numFmtId="0" fontId="0" fillId="0" borderId="145" xfId="0" applyBorder="1" applyAlignment="1">
      <alignment horizontal="center"/>
    </xf>
    <xf numFmtId="0" fontId="0" fillId="0" borderId="149" xfId="0" applyBorder="1"/>
    <xf numFmtId="0" fontId="0" fillId="0" borderId="149" xfId="0" applyBorder="1" applyAlignment="1">
      <alignment horizontal="center"/>
    </xf>
    <xf numFmtId="0" fontId="0" fillId="0" borderId="141" xfId="0" applyBorder="1" applyAlignment="1">
      <alignment horizontal="center"/>
    </xf>
    <xf numFmtId="0" fontId="0" fillId="0" borderId="149" xfId="0" applyBorder="1" applyAlignment="1">
      <alignment shrinkToFit="1"/>
    </xf>
    <xf numFmtId="0" fontId="0" fillId="0" borderId="141" xfId="0" applyBorder="1" applyAlignment="1">
      <alignment shrinkToFit="1"/>
    </xf>
    <xf numFmtId="186" fontId="17" fillId="0" borderId="0" xfId="1" applyNumberFormat="1" applyFont="1" applyAlignment="1">
      <alignment horizontal="center" vertical="center"/>
    </xf>
    <xf numFmtId="186" fontId="17" fillId="0" borderId="0" xfId="3" applyNumberFormat="1" applyFont="1" applyAlignment="1">
      <alignment vertical="center"/>
    </xf>
    <xf numFmtId="0" fontId="96" fillId="0" borderId="0" xfId="0" applyFont="1"/>
    <xf numFmtId="186" fontId="8" fillId="0" borderId="0" xfId="0" applyNumberFormat="1" applyFont="1"/>
    <xf numFmtId="186" fontId="0" fillId="0" borderId="0" xfId="0" applyNumberFormat="1"/>
    <xf numFmtId="186" fontId="8" fillId="6" borderId="0" xfId="0" applyNumberFormat="1" applyFont="1" applyFill="1"/>
    <xf numFmtId="182" fontId="5" fillId="60" borderId="18" xfId="1" applyNumberFormat="1" applyFont="1" applyFill="1" applyBorder="1" applyAlignment="1">
      <alignment vertical="center"/>
    </xf>
    <xf numFmtId="0" fontId="5" fillId="9" borderId="0" xfId="0" applyFont="1" applyFill="1" applyAlignment="1">
      <alignment vertical="center"/>
    </xf>
    <xf numFmtId="0" fontId="18" fillId="7" borderId="12" xfId="0" applyFont="1" applyFill="1" applyBorder="1" applyAlignment="1">
      <alignment horizontal="center" vertical="center"/>
    </xf>
    <xf numFmtId="0" fontId="18" fillId="7" borderId="37" xfId="0" applyFont="1" applyFill="1" applyBorder="1" applyAlignment="1">
      <alignment horizontal="center" vertical="center"/>
    </xf>
    <xf numFmtId="0" fontId="18" fillId="7" borderId="13" xfId="0" applyFont="1" applyFill="1" applyBorder="1" applyAlignment="1">
      <alignment horizontal="center" vertical="center"/>
    </xf>
    <xf numFmtId="0" fontId="18" fillId="5" borderId="12" xfId="0" applyFont="1" applyFill="1" applyBorder="1" applyAlignment="1">
      <alignment horizontal="center" vertical="center"/>
    </xf>
    <xf numFmtId="0" fontId="18" fillId="5" borderId="37" xfId="0" applyFont="1" applyFill="1" applyBorder="1" applyAlignment="1">
      <alignment horizontal="center" vertical="center"/>
    </xf>
    <xf numFmtId="0" fontId="18" fillId="5" borderId="13" xfId="0" applyFont="1" applyFill="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0" fontId="97" fillId="0" borderId="5" xfId="13" applyFont="1" applyBorder="1" applyAlignment="1">
      <alignment horizontal="center" vertical="center"/>
    </xf>
    <xf numFmtId="0" fontId="97" fillId="0" borderId="7" xfId="13" applyFont="1" applyBorder="1" applyAlignment="1">
      <alignment horizontal="center" vertical="center"/>
    </xf>
    <xf numFmtId="0" fontId="4" fillId="0" borderId="7" xfId="2" applyBorder="1" applyAlignment="1">
      <alignment horizontal="center" vertical="center"/>
    </xf>
    <xf numFmtId="0" fontId="0" fillId="0" borderId="31" xfId="0" applyBorder="1" applyAlignment="1">
      <alignment vertical="center"/>
    </xf>
    <xf numFmtId="0" fontId="0" fillId="0" borderId="17" xfId="0" applyBorder="1" applyAlignment="1">
      <alignment vertical="center"/>
    </xf>
    <xf numFmtId="167" fontId="0" fillId="0" borderId="0" xfId="0" applyNumberFormat="1" applyAlignment="1">
      <alignment vertical="center"/>
    </xf>
    <xf numFmtId="0" fontId="0" fillId="0" borderId="19" xfId="0" quotePrefix="1" applyBorder="1" applyAlignment="1">
      <alignment vertical="center"/>
    </xf>
    <xf numFmtId="16" fontId="0" fillId="0" borderId="0" xfId="0" applyNumberFormat="1" applyAlignment="1">
      <alignment vertical="center"/>
    </xf>
    <xf numFmtId="186" fontId="0" fillId="0" borderId="0" xfId="0" quotePrefix="1" applyNumberFormat="1" applyAlignment="1">
      <alignment horizontal="right" vertical="center"/>
    </xf>
    <xf numFmtId="164" fontId="0" fillId="0" borderId="0" xfId="0" applyNumberFormat="1" applyAlignment="1">
      <alignment vertical="center"/>
    </xf>
    <xf numFmtId="0" fontId="0" fillId="0" borderId="0" xfId="0" applyAlignment="1">
      <alignment horizontal="right" vertical="center"/>
    </xf>
    <xf numFmtId="0" fontId="0" fillId="0" borderId="0" xfId="0" quotePrefix="1" applyAlignment="1">
      <alignment vertical="center"/>
    </xf>
    <xf numFmtId="186" fontId="0" fillId="0" borderId="0" xfId="0" applyNumberFormat="1" applyAlignment="1">
      <alignment vertical="center"/>
    </xf>
    <xf numFmtId="164" fontId="0" fillId="8" borderId="0" xfId="0" applyNumberFormat="1" applyFill="1" applyAlignment="1">
      <alignment vertical="center"/>
    </xf>
    <xf numFmtId="186" fontId="0" fillId="0" borderId="0" xfId="1" applyNumberFormat="1" applyFont="1" applyBorder="1" applyAlignment="1">
      <alignment vertical="center"/>
    </xf>
    <xf numFmtId="14" fontId="0" fillId="0" borderId="0" xfId="0" applyNumberFormat="1" applyAlignment="1">
      <alignment horizontal="center" vertical="center"/>
    </xf>
    <xf numFmtId="186" fontId="8" fillId="0" borderId="0" xfId="0" quotePrefix="1" applyNumberFormat="1" applyFont="1" applyAlignment="1">
      <alignment horizontal="center" vertical="center"/>
    </xf>
    <xf numFmtId="0" fontId="98" fillId="0" borderId="0" xfId="0" applyFont="1" applyAlignment="1">
      <alignment vertical="center"/>
    </xf>
    <xf numFmtId="188" fontId="21" fillId="0" borderId="0" xfId="1" applyNumberFormat="1" applyFont="1" applyAlignment="1">
      <alignment vertical="center"/>
    </xf>
    <xf numFmtId="0" fontId="17" fillId="6" borderId="0" xfId="0" applyFont="1" applyFill="1"/>
    <xf numFmtId="182" fontId="18" fillId="9" borderId="0" xfId="0" applyNumberFormat="1" applyFont="1" applyFill="1" applyAlignment="1">
      <alignment vertical="center"/>
    </xf>
    <xf numFmtId="0" fontId="0" fillId="0" borderId="0" xfId="0" quotePrefix="1" applyAlignment="1">
      <alignment horizontal="center"/>
    </xf>
    <xf numFmtId="2" fontId="0" fillId="0" borderId="0" xfId="1" applyNumberFormat="1" applyFont="1" applyAlignment="1">
      <alignment vertical="center"/>
    </xf>
    <xf numFmtId="186" fontId="17" fillId="0" borderId="0" xfId="1" applyNumberFormat="1" applyFont="1" applyAlignment="1">
      <alignment vertical="center"/>
    </xf>
    <xf numFmtId="186" fontId="17" fillId="6" borderId="0" xfId="1" applyNumberFormat="1" applyFont="1" applyFill="1"/>
    <xf numFmtId="3" fontId="0" fillId="0" borderId="0" xfId="0" applyNumberFormat="1" applyAlignment="1">
      <alignment vertical="center"/>
    </xf>
    <xf numFmtId="3" fontId="17" fillId="0" borderId="0" xfId="0" applyNumberFormat="1" applyFont="1" applyAlignment="1">
      <alignment vertical="center"/>
    </xf>
    <xf numFmtId="186" fontId="8" fillId="0" borderId="0" xfId="1" quotePrefix="1" applyNumberFormat="1" applyFont="1" applyAlignment="1">
      <alignment vertical="center"/>
    </xf>
    <xf numFmtId="0" fontId="98" fillId="44" borderId="12" xfId="0" applyFont="1" applyFill="1" applyBorder="1" applyAlignment="1">
      <alignment horizontal="center" vertical="center"/>
    </xf>
    <xf numFmtId="0" fontId="98" fillId="44" borderId="37" xfId="0" applyFont="1" applyFill="1" applyBorder="1" applyAlignment="1">
      <alignment horizontal="center" vertical="center"/>
    </xf>
    <xf numFmtId="0" fontId="98" fillId="44" borderId="13" xfId="0" applyFont="1" applyFill="1" applyBorder="1" applyAlignment="1">
      <alignment horizontal="center" vertical="center"/>
    </xf>
    <xf numFmtId="186" fontId="0" fillId="0" borderId="31" xfId="1" applyNumberFormat="1" applyFont="1" applyBorder="1" applyAlignment="1">
      <alignment vertical="center"/>
    </xf>
    <xf numFmtId="3" fontId="0" fillId="0" borderId="67" xfId="0" applyNumberFormat="1" applyBorder="1" applyAlignment="1">
      <alignment vertical="center"/>
    </xf>
    <xf numFmtId="186" fontId="0" fillId="0" borderId="18" xfId="1" applyNumberFormat="1" applyFont="1" applyBorder="1" applyAlignment="1">
      <alignment vertical="center"/>
    </xf>
    <xf numFmtId="186" fontId="8" fillId="0" borderId="11" xfId="1" quotePrefix="1" applyNumberFormat="1" applyFont="1" applyBorder="1" applyAlignment="1">
      <alignment vertical="center"/>
    </xf>
    <xf numFmtId="16" fontId="0" fillId="0" borderId="0" xfId="0" applyNumberFormat="1" applyAlignment="1">
      <alignment horizontal="center"/>
    </xf>
    <xf numFmtId="0" fontId="17" fillId="6" borderId="0" xfId="0" applyFont="1" applyFill="1" applyAlignment="1">
      <alignment horizontal="center"/>
    </xf>
    <xf numFmtId="165" fontId="92" fillId="4" borderId="30" xfId="1" applyFont="1" applyFill="1" applyBorder="1" applyAlignment="1">
      <alignment horizontal="center" vertical="top"/>
    </xf>
    <xf numFmtId="1" fontId="92" fillId="4" borderId="0" xfId="1" applyNumberFormat="1" applyFont="1" applyFill="1" applyBorder="1" applyAlignment="1">
      <alignment horizontal="center" vertical="top"/>
    </xf>
    <xf numFmtId="165" fontId="92" fillId="4" borderId="31" xfId="1" applyFont="1" applyFill="1" applyBorder="1" applyAlignment="1">
      <alignment horizontal="center" vertical="top"/>
    </xf>
    <xf numFmtId="0" fontId="4" fillId="0" borderId="23" xfId="2" applyBorder="1" applyAlignment="1">
      <alignment horizontal="center" vertical="center"/>
    </xf>
    <xf numFmtId="0" fontId="97" fillId="0" borderId="9" xfId="13" applyFont="1" applyBorder="1" applyAlignment="1">
      <alignment horizontal="center" vertical="center"/>
    </xf>
    <xf numFmtId="0" fontId="8" fillId="0" borderId="19" xfId="0" applyFont="1" applyBorder="1" applyAlignment="1">
      <alignment vertical="center"/>
    </xf>
    <xf numFmtId="173" fontId="8" fillId="0" borderId="0" xfId="0" applyNumberFormat="1" applyFont="1" applyAlignment="1">
      <alignment horizontal="center" vertical="center"/>
    </xf>
    <xf numFmtId="0" fontId="17" fillId="8" borderId="0" xfId="0" applyFont="1" applyFill="1"/>
    <xf numFmtId="165" fontId="17" fillId="0" borderId="19" xfId="1" applyFont="1" applyBorder="1"/>
    <xf numFmtId="1" fontId="17" fillId="0" borderId="19" xfId="1" applyNumberFormat="1" applyFont="1" applyBorder="1" applyAlignment="1">
      <alignment horizontal="center"/>
    </xf>
    <xf numFmtId="0" fontId="17" fillId="0" borderId="6" xfId="0" applyFont="1" applyBorder="1" applyAlignment="1">
      <alignment horizontal="center"/>
    </xf>
    <xf numFmtId="165" fontId="17" fillId="0" borderId="7" xfId="1" applyFont="1" applyBorder="1"/>
    <xf numFmtId="0" fontId="17" fillId="0" borderId="8" xfId="0" applyFont="1" applyBorder="1" applyAlignment="1">
      <alignment horizontal="center"/>
    </xf>
    <xf numFmtId="1" fontId="17" fillId="0" borderId="33" xfId="1" applyNumberFormat="1" applyFont="1" applyBorder="1" applyAlignment="1">
      <alignment horizontal="center"/>
    </xf>
    <xf numFmtId="165" fontId="17" fillId="0" borderId="33" xfId="1" applyFont="1" applyBorder="1"/>
    <xf numFmtId="165" fontId="17" fillId="0" borderId="9" xfId="1" applyFont="1" applyBorder="1"/>
    <xf numFmtId="0" fontId="18" fillId="23" borderId="4" xfId="0" applyFont="1" applyFill="1" applyBorder="1" applyAlignment="1">
      <alignment horizontal="center"/>
    </xf>
    <xf numFmtId="165" fontId="18" fillId="23" borderId="32" xfId="1" applyFont="1" applyFill="1" applyBorder="1" applyAlignment="1">
      <alignment horizontal="center"/>
    </xf>
    <xf numFmtId="165" fontId="17" fillId="0" borderId="150" xfId="1" applyFont="1" applyBorder="1" applyAlignment="1"/>
    <xf numFmtId="165" fontId="17" fillId="0" borderId="40" xfId="1" applyFont="1" applyBorder="1" applyAlignment="1"/>
    <xf numFmtId="165" fontId="17" fillId="0" borderId="34" xfId="1" applyFont="1" applyBorder="1" applyAlignment="1"/>
    <xf numFmtId="165" fontId="17" fillId="0" borderId="48" xfId="1" applyFont="1" applyBorder="1" applyAlignment="1"/>
    <xf numFmtId="0" fontId="37" fillId="6" borderId="7" xfId="0" applyFont="1" applyFill="1" applyBorder="1"/>
    <xf numFmtId="0" fontId="0" fillId="0" borderId="22" xfId="0" applyBorder="1" applyAlignment="1">
      <alignment vertical="center"/>
    </xf>
    <xf numFmtId="0" fontId="0" fillId="0" borderId="0" xfId="32" applyFont="1" applyAlignment="1">
      <alignment horizontal="center"/>
    </xf>
    <xf numFmtId="0" fontId="50" fillId="6" borderId="84" xfId="0" applyFont="1" applyFill="1" applyBorder="1" applyAlignment="1">
      <alignment horizontal="center"/>
    </xf>
    <xf numFmtId="2" fontId="21" fillId="0" borderId="154" xfId="0" applyNumberFormat="1" applyFont="1" applyBorder="1" applyAlignment="1">
      <alignment horizontal="center"/>
    </xf>
    <xf numFmtId="14" fontId="25" fillId="25" borderId="155" xfId="3" applyNumberFormat="1" applyFont="1" applyFill="1" applyBorder="1" applyAlignment="1">
      <alignment vertical="center"/>
    </xf>
    <xf numFmtId="0" fontId="10" fillId="0" borderId="0" xfId="0" applyFont="1" applyAlignment="1">
      <alignment horizontal="left" vertical="center" wrapText="1"/>
    </xf>
    <xf numFmtId="0" fontId="50" fillId="0" borderId="0" xfId="0" applyFont="1" applyAlignment="1">
      <alignment horizontal="center" vertical="center"/>
    </xf>
    <xf numFmtId="186" fontId="0" fillId="0" borderId="0" xfId="1" applyNumberFormat="1" applyFont="1" applyAlignment="1">
      <alignment horizontal="center"/>
    </xf>
    <xf numFmtId="165" fontId="0" fillId="0" borderId="0" xfId="1" applyFont="1" applyFill="1"/>
    <xf numFmtId="0" fontId="17" fillId="0" borderId="66" xfId="3" applyFont="1" applyBorder="1" applyAlignment="1">
      <alignment horizontal="center" vertical="center"/>
    </xf>
    <xf numFmtId="0" fontId="0" fillId="9" borderId="0" xfId="0" applyFill="1" applyAlignment="1">
      <alignment horizontal="center" vertical="center"/>
    </xf>
    <xf numFmtId="165" fontId="17" fillId="0" borderId="0" xfId="1" applyFont="1" applyAlignment="1">
      <alignment horizontal="center" vertical="center"/>
    </xf>
    <xf numFmtId="9" fontId="17" fillId="0" borderId="0" xfId="4" applyFont="1" applyAlignment="1">
      <alignment horizontal="center" vertical="center"/>
    </xf>
    <xf numFmtId="186" fontId="8" fillId="19" borderId="0" xfId="1" applyNumberFormat="1" applyFont="1" applyFill="1" applyAlignment="1">
      <alignment vertical="center"/>
    </xf>
    <xf numFmtId="0" fontId="8" fillId="0" borderId="67" xfId="0" applyFont="1" applyBorder="1" applyAlignment="1">
      <alignment horizontal="right" vertical="center"/>
    </xf>
    <xf numFmtId="44" fontId="0" fillId="0" borderId="0" xfId="0" applyNumberFormat="1" applyAlignment="1">
      <alignment vertical="center"/>
    </xf>
    <xf numFmtId="0" fontId="8" fillId="3" borderId="0" xfId="0" applyFont="1" applyFill="1" applyAlignment="1">
      <alignment horizontal="center" vertical="center"/>
    </xf>
    <xf numFmtId="165" fontId="8" fillId="3" borderId="0" xfId="0" applyNumberFormat="1" applyFont="1" applyFill="1" applyAlignment="1">
      <alignment horizontal="center" vertical="center"/>
    </xf>
    <xf numFmtId="186" fontId="8" fillId="0" borderId="0" xfId="1" applyNumberFormat="1" applyFont="1"/>
    <xf numFmtId="186" fontId="8" fillId="0" borderId="0" xfId="1" applyNumberFormat="1" applyFont="1" applyAlignment="1">
      <alignment horizontal="center"/>
    </xf>
    <xf numFmtId="1" fontId="0" fillId="0" borderId="0" xfId="1" applyNumberFormat="1" applyFont="1" applyAlignment="1">
      <alignment horizontal="center" vertical="center"/>
    </xf>
    <xf numFmtId="1" fontId="8" fillId="0" borderId="0" xfId="0" applyNumberFormat="1" applyFont="1" applyAlignment="1">
      <alignment horizontal="center"/>
    </xf>
    <xf numFmtId="186" fontId="3" fillId="0" borderId="0" xfId="0" applyNumberFormat="1" applyFont="1"/>
    <xf numFmtId="1" fontId="0" fillId="6" borderId="0" xfId="0" applyNumberFormat="1" applyFill="1" applyAlignment="1">
      <alignment horizontal="center" vertical="center"/>
    </xf>
    <xf numFmtId="0" fontId="0" fillId="0" borderId="0" xfId="0" applyAlignment="1">
      <alignment horizontal="left" vertical="center" indent="1"/>
    </xf>
    <xf numFmtId="8" fontId="0" fillId="0" borderId="0" xfId="0" applyNumberFormat="1" applyAlignment="1">
      <alignment vertical="center"/>
    </xf>
    <xf numFmtId="44" fontId="8" fillId="0" borderId="0" xfId="0" applyNumberFormat="1" applyFont="1" applyAlignment="1">
      <alignment vertical="center"/>
    </xf>
    <xf numFmtId="8" fontId="8" fillId="0" borderId="0" xfId="0" applyNumberFormat="1" applyFont="1" applyAlignment="1">
      <alignment vertical="center"/>
    </xf>
    <xf numFmtId="165" fontId="8" fillId="60" borderId="0" xfId="1" applyFont="1" applyFill="1" applyAlignment="1">
      <alignment vertical="center"/>
    </xf>
    <xf numFmtId="0" fontId="79" fillId="4" borderId="0" xfId="0" applyFont="1" applyFill="1" applyAlignment="1">
      <alignment vertical="center"/>
    </xf>
    <xf numFmtId="165" fontId="95" fillId="0" borderId="0" xfId="1" applyFont="1" applyAlignment="1">
      <alignment horizontal="center" wrapText="1"/>
    </xf>
    <xf numFmtId="0" fontId="0" fillId="23" borderId="0" xfId="0" applyFill="1" applyAlignment="1">
      <alignment horizontal="center"/>
    </xf>
    <xf numFmtId="0" fontId="3" fillId="0" borderId="0" xfId="1" applyNumberFormat="1" applyAlignment="1">
      <alignment horizontal="center" vertical="center"/>
    </xf>
    <xf numFmtId="1" fontId="8" fillId="0" borderId="0" xfId="0" applyNumberFormat="1" applyFont="1" applyAlignment="1">
      <alignment horizontal="center" vertical="center"/>
    </xf>
    <xf numFmtId="165" fontId="8" fillId="0" borderId="0" xfId="1" applyFont="1" applyAlignment="1">
      <alignment horizontal="right"/>
    </xf>
    <xf numFmtId="0" fontId="8" fillId="0" borderId="19" xfId="0" quotePrefix="1" applyFont="1" applyBorder="1" applyAlignment="1">
      <alignment horizontal="left" vertical="center"/>
    </xf>
    <xf numFmtId="44" fontId="17" fillId="0" borderId="0" xfId="0" applyNumberFormat="1" applyFont="1"/>
    <xf numFmtId="186" fontId="12" fillId="0" borderId="0" xfId="0" applyNumberFormat="1" applyFont="1" applyAlignment="1">
      <alignment horizontal="center"/>
    </xf>
    <xf numFmtId="190" fontId="18" fillId="0" borderId="10" xfId="0" applyNumberFormat="1" applyFont="1" applyBorder="1" applyAlignment="1">
      <alignment horizontal="center" vertical="center"/>
    </xf>
    <xf numFmtId="190" fontId="18" fillId="0" borderId="14" xfId="0" applyNumberFormat="1" applyFont="1" applyBorder="1" applyAlignment="1">
      <alignment horizontal="center" vertical="center"/>
    </xf>
    <xf numFmtId="0" fontId="5" fillId="2" borderId="10" xfId="0" applyFont="1" applyFill="1" applyBorder="1" applyAlignment="1">
      <alignment horizontal="center"/>
    </xf>
    <xf numFmtId="0" fontId="5" fillId="2" borderId="13" xfId="0" applyFont="1" applyFill="1" applyBorder="1" applyAlignment="1">
      <alignment horizontal="center"/>
    </xf>
    <xf numFmtId="0" fontId="8" fillId="2" borderId="10" xfId="0" applyFont="1" applyFill="1" applyBorder="1" applyAlignment="1">
      <alignment horizontal="center"/>
    </xf>
    <xf numFmtId="0" fontId="8" fillId="2" borderId="14" xfId="0" applyFont="1" applyFill="1" applyBorder="1" applyAlignment="1">
      <alignment horizontal="center"/>
    </xf>
    <xf numFmtId="0" fontId="8" fillId="2" borderId="11" xfId="0" applyFont="1" applyFill="1" applyBorder="1" applyAlignment="1">
      <alignment horizontal="center"/>
    </xf>
    <xf numFmtId="165" fontId="4" fillId="0" borderId="25" xfId="2" applyNumberFormat="1" applyBorder="1" applyAlignment="1">
      <alignment horizontal="center" vertical="center" wrapText="1"/>
    </xf>
    <xf numFmtId="165" fontId="61" fillId="0" borderId="25" xfId="2" applyNumberFormat="1" applyFont="1" applyBorder="1" applyAlignment="1">
      <alignment horizontal="center" vertical="center" wrapText="1"/>
    </xf>
    <xf numFmtId="0" fontId="8" fillId="3" borderId="151" xfId="0" applyFont="1" applyFill="1" applyBorder="1" applyAlignment="1">
      <alignment horizontal="center"/>
    </xf>
    <xf numFmtId="0" fontId="8" fillId="3" borderId="152" xfId="0" applyFont="1" applyFill="1" applyBorder="1" applyAlignment="1">
      <alignment horizontal="center"/>
    </xf>
    <xf numFmtId="0" fontId="8" fillId="3" borderId="153" xfId="0" applyFont="1" applyFill="1" applyBorder="1" applyAlignment="1">
      <alignment horizontal="center"/>
    </xf>
    <xf numFmtId="0" fontId="14" fillId="23" borderId="10" xfId="0" applyFont="1" applyFill="1" applyBorder="1" applyAlignment="1">
      <alignment horizontal="center"/>
    </xf>
    <xf numFmtId="0" fontId="14" fillId="23" borderId="11" xfId="0" applyFont="1" applyFill="1" applyBorder="1" applyAlignment="1">
      <alignment horizontal="center"/>
    </xf>
    <xf numFmtId="0" fontId="93" fillId="55" borderId="86" xfId="0" applyFont="1" applyFill="1" applyBorder="1" applyAlignment="1">
      <alignment horizontal="center" vertical="top" wrapText="1"/>
    </xf>
    <xf numFmtId="0" fontId="93" fillId="55" borderId="63" xfId="0" applyFont="1" applyFill="1" applyBorder="1" applyAlignment="1">
      <alignment horizontal="center" vertical="top" wrapText="1"/>
    </xf>
    <xf numFmtId="0" fontId="93" fillId="55" borderId="143" xfId="0" applyFont="1" applyFill="1" applyBorder="1" applyAlignment="1">
      <alignment horizontal="center" vertical="top" wrapText="1"/>
    </xf>
    <xf numFmtId="0" fontId="8" fillId="41" borderId="4" xfId="0" applyFont="1" applyFill="1" applyBorder="1" applyAlignment="1">
      <alignment horizontal="center"/>
    </xf>
    <xf numFmtId="0" fontId="8" fillId="41" borderId="5" xfId="0" applyFont="1" applyFill="1" applyBorder="1" applyAlignment="1">
      <alignment horizontal="center"/>
    </xf>
    <xf numFmtId="0" fontId="8" fillId="22" borderId="92" xfId="0" applyFont="1" applyFill="1" applyBorder="1" applyAlignment="1">
      <alignment horizontal="center" vertical="center"/>
    </xf>
    <xf numFmtId="0" fontId="18" fillId="6" borderId="12" xfId="0" applyFont="1" applyFill="1" applyBorder="1" applyAlignment="1">
      <alignment horizontal="center"/>
    </xf>
    <xf numFmtId="0" fontId="18" fillId="6" borderId="13" xfId="0" applyFont="1" applyFill="1" applyBorder="1" applyAlignment="1">
      <alignment horizontal="center"/>
    </xf>
    <xf numFmtId="0" fontId="8" fillId="0" borderId="65" xfId="0" applyFont="1" applyBorder="1" applyAlignment="1">
      <alignment horizontal="center"/>
    </xf>
    <xf numFmtId="0" fontId="8" fillId="53" borderId="10" xfId="0" applyFont="1" applyFill="1" applyBorder="1" applyAlignment="1">
      <alignment horizontal="center"/>
    </xf>
    <xf numFmtId="0" fontId="8" fillId="53" borderId="14" xfId="0" applyFont="1" applyFill="1" applyBorder="1" applyAlignment="1">
      <alignment horizontal="center"/>
    </xf>
    <xf numFmtId="0" fontId="8" fillId="53" borderId="11" xfId="0" applyFont="1" applyFill="1" applyBorder="1" applyAlignment="1">
      <alignment horizontal="center"/>
    </xf>
    <xf numFmtId="0" fontId="8" fillId="45" borderId="0" xfId="0" applyFont="1" applyFill="1" applyAlignment="1">
      <alignment horizontal="center"/>
    </xf>
    <xf numFmtId="165" fontId="8" fillId="6" borderId="10" xfId="1" applyFont="1" applyFill="1" applyBorder="1" applyAlignment="1" applyProtection="1">
      <alignment horizontal="center"/>
    </xf>
    <xf numFmtId="165" fontId="8" fillId="6" borderId="11" xfId="1" applyFont="1" applyFill="1" applyBorder="1" applyAlignment="1" applyProtection="1">
      <alignment horizontal="center"/>
    </xf>
    <xf numFmtId="182" fontId="18" fillId="3" borderId="10" xfId="1" applyNumberFormat="1" applyFont="1" applyFill="1" applyBorder="1" applyAlignment="1" applyProtection="1">
      <alignment horizontal="center"/>
    </xf>
    <xf numFmtId="182" fontId="18" fillId="3" borderId="11" xfId="1" applyNumberFormat="1" applyFont="1" applyFill="1" applyBorder="1" applyAlignment="1" applyProtection="1">
      <alignment horizontal="center"/>
    </xf>
    <xf numFmtId="0" fontId="8" fillId="8" borderId="10" xfId="0" applyFont="1" applyFill="1" applyBorder="1" applyAlignment="1">
      <alignment horizontal="center"/>
    </xf>
    <xf numFmtId="0" fontId="8" fillId="8" borderId="11" xfId="0" applyFont="1" applyFill="1" applyBorder="1" applyAlignment="1">
      <alignment horizontal="center"/>
    </xf>
    <xf numFmtId="0" fontId="8" fillId="0" borderId="0" xfId="0" applyFont="1" applyAlignment="1">
      <alignment horizontal="center"/>
    </xf>
    <xf numFmtId="165" fontId="8" fillId="0" borderId="30" xfId="0" applyNumberFormat="1" applyFont="1" applyBorder="1" applyAlignment="1">
      <alignment horizontal="center"/>
    </xf>
    <xf numFmtId="165" fontId="8" fillId="0" borderId="0" xfId="0" applyNumberFormat="1" applyFont="1" applyAlignment="1">
      <alignment horizontal="center"/>
    </xf>
    <xf numFmtId="0" fontId="8" fillId="15" borderId="12" xfId="0" applyFont="1" applyFill="1" applyBorder="1" applyAlignment="1">
      <alignment horizontal="center"/>
    </xf>
    <xf numFmtId="0" fontId="8" fillId="15" borderId="37" xfId="0" applyFont="1" applyFill="1" applyBorder="1" applyAlignment="1">
      <alignment horizontal="center"/>
    </xf>
    <xf numFmtId="0" fontId="8" fillId="15" borderId="13" xfId="0" applyFont="1" applyFill="1" applyBorder="1" applyAlignment="1">
      <alignment horizontal="center"/>
    </xf>
    <xf numFmtId="0" fontId="8" fillId="5" borderId="10" xfId="0" applyFont="1" applyFill="1" applyBorder="1" applyAlignment="1">
      <alignment horizontal="center" wrapText="1"/>
    </xf>
    <xf numFmtId="0" fontId="8" fillId="5" borderId="11" xfId="0" applyFont="1" applyFill="1" applyBorder="1" applyAlignment="1">
      <alignment horizontal="center"/>
    </xf>
    <xf numFmtId="0" fontId="20" fillId="10" borderId="30" xfId="0" applyFont="1" applyFill="1" applyBorder="1" applyAlignment="1">
      <alignment horizontal="center" vertical="center"/>
    </xf>
    <xf numFmtId="0" fontId="20" fillId="10" borderId="0" xfId="0" applyFont="1" applyFill="1" applyAlignment="1">
      <alignment horizontal="center" vertical="center"/>
    </xf>
    <xf numFmtId="0" fontId="8" fillId="0" borderId="0" xfId="0" applyFont="1" applyAlignment="1">
      <alignment horizontal="center" vertical="center"/>
    </xf>
    <xf numFmtId="0" fontId="8" fillId="0" borderId="100" xfId="0" applyFont="1" applyBorder="1" applyAlignment="1">
      <alignment horizontal="center" vertical="center"/>
    </xf>
    <xf numFmtId="0" fontId="15" fillId="10" borderId="12" xfId="0" applyFont="1" applyFill="1" applyBorder="1" applyAlignment="1">
      <alignment horizontal="center" vertical="center"/>
    </xf>
    <xf numFmtId="0" fontId="15" fillId="10" borderId="13" xfId="0" applyFont="1" applyFill="1" applyBorder="1" applyAlignment="1">
      <alignment horizontal="center" vertical="center"/>
    </xf>
    <xf numFmtId="165" fontId="8" fillId="0" borderId="10" xfId="1" applyFont="1" applyBorder="1" applyAlignment="1">
      <alignment horizontal="center"/>
    </xf>
    <xf numFmtId="165" fontId="8" fillId="0" borderId="11" xfId="1" applyFont="1" applyBorder="1" applyAlignment="1">
      <alignment horizontal="center"/>
    </xf>
    <xf numFmtId="0" fontId="8" fillId="6" borderId="4" xfId="0" applyFont="1" applyFill="1" applyBorder="1" applyAlignment="1">
      <alignment horizontal="center"/>
    </xf>
    <xf numFmtId="0" fontId="8" fillId="6" borderId="5" xfId="0" applyFont="1" applyFill="1" applyBorder="1" applyAlignment="1">
      <alignment horizontal="center"/>
    </xf>
    <xf numFmtId="0" fontId="18" fillId="9" borderId="10" xfId="0" applyFont="1" applyFill="1" applyBorder="1" applyAlignment="1">
      <alignment horizontal="center"/>
    </xf>
    <xf numFmtId="0" fontId="18" fillId="9" borderId="14" xfId="0" applyFont="1" applyFill="1" applyBorder="1" applyAlignment="1">
      <alignment horizontal="center"/>
    </xf>
    <xf numFmtId="0" fontId="18" fillId="9" borderId="11" xfId="0" applyFont="1" applyFill="1" applyBorder="1" applyAlignment="1">
      <alignment horizontal="center"/>
    </xf>
    <xf numFmtId="0" fontId="62" fillId="43" borderId="4" xfId="0" applyFont="1" applyFill="1" applyBorder="1" applyAlignment="1">
      <alignment horizontal="center" vertical="center"/>
    </xf>
    <xf numFmtId="0" fontId="62" fillId="43" borderId="32" xfId="0" applyFont="1" applyFill="1" applyBorder="1" applyAlignment="1">
      <alignment horizontal="center" vertical="center"/>
    </xf>
    <xf numFmtId="0" fontId="62" fillId="43" borderId="5" xfId="0" applyFont="1" applyFill="1" applyBorder="1" applyAlignment="1">
      <alignment horizontal="center" vertical="center"/>
    </xf>
    <xf numFmtId="0" fontId="65" fillId="43" borderId="10" xfId="0" applyFont="1" applyFill="1" applyBorder="1" applyAlignment="1">
      <alignment horizontal="center" vertical="center"/>
    </xf>
    <xf numFmtId="0" fontId="65" fillId="43" borderId="14" xfId="0" applyFont="1" applyFill="1" applyBorder="1" applyAlignment="1">
      <alignment horizontal="center" vertical="center"/>
    </xf>
    <xf numFmtId="0" fontId="65" fillId="43" borderId="11" xfId="0" applyFont="1" applyFill="1" applyBorder="1" applyAlignment="1">
      <alignment horizontal="center" vertical="center"/>
    </xf>
    <xf numFmtId="0" fontId="22" fillId="6" borderId="12" xfId="0" applyFont="1" applyFill="1" applyBorder="1" applyAlignment="1">
      <alignment horizontal="center" vertical="center" wrapText="1"/>
    </xf>
    <xf numFmtId="0" fontId="22" fillId="6" borderId="37" xfId="0" applyFont="1" applyFill="1" applyBorder="1" applyAlignment="1">
      <alignment horizontal="center" vertical="center" wrapText="1"/>
    </xf>
    <xf numFmtId="0" fontId="22" fillId="6" borderId="13" xfId="0" applyFont="1" applyFill="1" applyBorder="1" applyAlignment="1">
      <alignment horizontal="center" vertical="center" wrapText="1"/>
    </xf>
    <xf numFmtId="0" fontId="16" fillId="10" borderId="30" xfId="0" applyFont="1" applyFill="1" applyBorder="1" applyAlignment="1">
      <alignment horizontal="center" vertical="center" wrapText="1"/>
    </xf>
    <xf numFmtId="0" fontId="16" fillId="10" borderId="0" xfId="0" applyFont="1" applyFill="1" applyAlignment="1">
      <alignment horizontal="center" vertical="center" wrapText="1"/>
    </xf>
    <xf numFmtId="0" fontId="18" fillId="5" borderId="0" xfId="0" applyFont="1" applyFill="1" applyAlignment="1">
      <alignment horizontal="center" vertical="center"/>
    </xf>
    <xf numFmtId="0" fontId="42" fillId="25" borderId="12" xfId="3" applyFont="1" applyFill="1" applyBorder="1" applyAlignment="1">
      <alignment horizontal="center" vertical="center"/>
    </xf>
    <xf numFmtId="0" fontId="42" fillId="25" borderId="37" xfId="3" applyFont="1" applyFill="1" applyBorder="1" applyAlignment="1">
      <alignment horizontal="center" vertical="center"/>
    </xf>
    <xf numFmtId="0" fontId="18" fillId="23" borderId="4" xfId="3" applyFont="1" applyFill="1" applyBorder="1" applyAlignment="1">
      <alignment horizontal="center" vertical="center" wrapText="1"/>
    </xf>
    <xf numFmtId="0" fontId="18" fillId="23" borderId="5" xfId="3" applyFont="1" applyFill="1" applyBorder="1" applyAlignment="1">
      <alignment horizontal="center" vertical="center" wrapText="1"/>
    </xf>
    <xf numFmtId="0" fontId="8" fillId="26" borderId="10" xfId="0" applyFont="1" applyFill="1" applyBorder="1" applyAlignment="1">
      <alignment horizontal="center" vertical="center"/>
    </xf>
    <xf numFmtId="0" fontId="8" fillId="26" borderId="11" xfId="0" applyFont="1" applyFill="1" applyBorder="1" applyAlignment="1">
      <alignment horizontal="center" vertical="center"/>
    </xf>
    <xf numFmtId="0" fontId="6" fillId="26" borderId="10" xfId="0" applyFont="1" applyFill="1" applyBorder="1" applyAlignment="1">
      <alignment horizontal="center"/>
    </xf>
    <xf numFmtId="0" fontId="6" fillId="26" borderId="14" xfId="0" applyFont="1" applyFill="1" applyBorder="1" applyAlignment="1">
      <alignment horizontal="center"/>
    </xf>
    <xf numFmtId="0" fontId="6" fillId="26" borderId="11" xfId="0" applyFont="1" applyFill="1" applyBorder="1" applyAlignment="1">
      <alignment horizontal="center"/>
    </xf>
    <xf numFmtId="0" fontId="40" fillId="10" borderId="4" xfId="0" applyFont="1" applyFill="1" applyBorder="1" applyAlignment="1">
      <alignment horizontal="center" vertical="center" wrapText="1"/>
    </xf>
    <xf numFmtId="0" fontId="40" fillId="10" borderId="5" xfId="0" applyFont="1" applyFill="1" applyBorder="1" applyAlignment="1">
      <alignment horizontal="center" vertical="center" wrapText="1"/>
    </xf>
    <xf numFmtId="0" fontId="84" fillId="10" borderId="28" xfId="0" applyFont="1" applyFill="1" applyBorder="1" applyAlignment="1">
      <alignment horizontal="center" vertical="center" wrapText="1"/>
    </xf>
    <xf numFmtId="0" fontId="84" fillId="10" borderId="138" xfId="0" applyFont="1" applyFill="1" applyBorder="1" applyAlignment="1">
      <alignment horizontal="center" vertical="center" wrapText="1"/>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5" fillId="3" borderId="10" xfId="0" applyFont="1" applyFill="1" applyBorder="1" applyAlignment="1">
      <alignment horizontal="center"/>
    </xf>
    <xf numFmtId="0" fontId="5" fillId="3" borderId="14" xfId="0" applyFont="1" applyFill="1" applyBorder="1" applyAlignment="1">
      <alignment horizontal="center"/>
    </xf>
    <xf numFmtId="0" fontId="5" fillId="3" borderId="11" xfId="0" applyFont="1" applyFill="1" applyBorder="1" applyAlignment="1">
      <alignment horizontal="center"/>
    </xf>
    <xf numFmtId="0" fontId="74" fillId="50" borderId="116" xfId="0" applyFont="1" applyFill="1" applyBorder="1" applyAlignment="1">
      <alignment horizontal="center"/>
    </xf>
    <xf numFmtId="2" fontId="75" fillId="10" borderId="112" xfId="0" applyNumberFormat="1" applyFont="1" applyFill="1" applyBorder="1" applyAlignment="1">
      <alignment horizontal="center"/>
    </xf>
    <xf numFmtId="0" fontId="70" fillId="7" borderId="12" xfId="0" applyFont="1" applyFill="1" applyBorder="1" applyAlignment="1">
      <alignment horizontal="center" vertical="center"/>
    </xf>
    <xf numFmtId="0" fontId="70" fillId="7" borderId="37" xfId="0" applyFont="1" applyFill="1" applyBorder="1" applyAlignment="1">
      <alignment horizontal="center" vertical="center"/>
    </xf>
    <xf numFmtId="0" fontId="70" fillId="7" borderId="13" xfId="0" applyFont="1" applyFill="1" applyBorder="1" applyAlignment="1">
      <alignment horizontal="center" vertical="center"/>
    </xf>
    <xf numFmtId="0" fontId="72" fillId="48" borderId="112" xfId="0" applyFont="1" applyFill="1" applyBorder="1" applyAlignment="1">
      <alignment horizontal="center"/>
    </xf>
    <xf numFmtId="0" fontId="72" fillId="49" borderId="115" xfId="0" applyFont="1" applyFill="1" applyBorder="1" applyAlignment="1">
      <alignment horizontal="center" vertical="center"/>
    </xf>
    <xf numFmtId="0" fontId="72" fillId="49" borderId="116" xfId="0" applyFont="1" applyFill="1" applyBorder="1" applyAlignment="1">
      <alignment horizontal="center" vertical="center"/>
    </xf>
    <xf numFmtId="0" fontId="74" fillId="50" borderId="112" xfId="0" applyFont="1" applyFill="1" applyBorder="1" applyAlignment="1">
      <alignment horizontal="center"/>
    </xf>
    <xf numFmtId="0" fontId="74" fillId="38" borderId="0" xfId="0" applyFont="1" applyFill="1" applyAlignment="1">
      <alignment horizontal="center"/>
    </xf>
    <xf numFmtId="0" fontId="15" fillId="10" borderId="10" xfId="0" applyFont="1" applyFill="1" applyBorder="1" applyAlignment="1">
      <alignment horizontal="center" vertical="center" wrapText="1"/>
    </xf>
    <xf numFmtId="0" fontId="15" fillId="10" borderId="11" xfId="0" applyFont="1" applyFill="1" applyBorder="1" applyAlignment="1">
      <alignment horizontal="center" vertical="center" wrapText="1"/>
    </xf>
    <xf numFmtId="0" fontId="8" fillId="15" borderId="12" xfId="0" applyFont="1" applyFill="1" applyBorder="1" applyAlignment="1">
      <alignment horizontal="center" vertical="center"/>
    </xf>
    <xf numFmtId="0" fontId="8" fillId="15" borderId="37" xfId="0" applyFont="1" applyFill="1" applyBorder="1" applyAlignment="1">
      <alignment horizontal="center" vertical="center"/>
    </xf>
    <xf numFmtId="0" fontId="8" fillId="15" borderId="13" xfId="0" applyFont="1" applyFill="1" applyBorder="1" applyAlignment="1">
      <alignment horizontal="center" vertical="center"/>
    </xf>
    <xf numFmtId="0" fontId="22" fillId="7" borderId="4" xfId="0" applyFont="1" applyFill="1" applyBorder="1" applyAlignment="1">
      <alignment horizontal="center" vertical="center"/>
    </xf>
    <xf numFmtId="0" fontId="22" fillId="7" borderId="32" xfId="0" applyFont="1" applyFill="1" applyBorder="1" applyAlignment="1">
      <alignment horizontal="center" vertical="center"/>
    </xf>
    <xf numFmtId="0" fontId="22" fillId="7" borderId="5" xfId="0" applyFont="1" applyFill="1" applyBorder="1" applyAlignment="1">
      <alignment horizontal="center" vertical="center"/>
    </xf>
    <xf numFmtId="0" fontId="18" fillId="41" borderId="17" xfId="0" applyFont="1" applyFill="1" applyBorder="1" applyAlignment="1">
      <alignment horizontal="center" vertical="center"/>
    </xf>
    <xf numFmtId="0" fontId="18" fillId="41" borderId="67" xfId="0" applyFont="1" applyFill="1" applyBorder="1" applyAlignment="1">
      <alignment horizontal="center" vertical="center"/>
    </xf>
    <xf numFmtId="0" fontId="18" fillId="41" borderId="18" xfId="0" applyFont="1" applyFill="1" applyBorder="1" applyAlignment="1">
      <alignment horizontal="center" vertical="center"/>
    </xf>
    <xf numFmtId="9" fontId="85" fillId="0" borderId="68" xfId="8" applyNumberFormat="1" applyFont="1" applyBorder="1" applyAlignment="1">
      <alignment horizontal="center"/>
    </xf>
    <xf numFmtId="0" fontId="85" fillId="41" borderId="0" xfId="9" applyFont="1" applyFill="1" applyAlignment="1">
      <alignment horizontal="center"/>
    </xf>
    <xf numFmtId="0" fontId="8" fillId="2" borderId="10" xfId="0" applyFont="1" applyFill="1" applyBorder="1" applyAlignment="1">
      <alignment horizontal="center" vertical="center"/>
    </xf>
    <xf numFmtId="0" fontId="8" fillId="2" borderId="14" xfId="0" applyFont="1" applyFill="1" applyBorder="1" applyAlignment="1">
      <alignment horizontal="center" vertical="center"/>
    </xf>
    <xf numFmtId="0" fontId="8" fillId="2" borderId="11" xfId="0" applyFont="1" applyFill="1" applyBorder="1" applyAlignment="1">
      <alignment horizontal="center" vertical="center"/>
    </xf>
    <xf numFmtId="0" fontId="15" fillId="10" borderId="4" xfId="0" applyFont="1" applyFill="1" applyBorder="1" applyAlignment="1">
      <alignment horizontal="center" wrapText="1"/>
    </xf>
    <xf numFmtId="0" fontId="15" fillId="10" borderId="5" xfId="0" applyFont="1" applyFill="1" applyBorder="1" applyAlignment="1">
      <alignment horizontal="center" wrapText="1"/>
    </xf>
    <xf numFmtId="0" fontId="15" fillId="10" borderId="6" xfId="0" applyFont="1" applyFill="1" applyBorder="1" applyAlignment="1">
      <alignment horizontal="center" wrapText="1"/>
    </xf>
    <xf numFmtId="0" fontId="15" fillId="10" borderId="7" xfId="0" applyFont="1" applyFill="1" applyBorder="1" applyAlignment="1">
      <alignment horizontal="center" wrapText="1"/>
    </xf>
    <xf numFmtId="0" fontId="15" fillId="10" borderId="4" xfId="0" applyFont="1" applyFill="1" applyBorder="1" applyAlignment="1">
      <alignment horizontal="center" vertical="center" wrapText="1"/>
    </xf>
    <xf numFmtId="0" fontId="15" fillId="10" borderId="5" xfId="0" applyFont="1" applyFill="1" applyBorder="1" applyAlignment="1">
      <alignment horizontal="center" vertical="center" wrapText="1"/>
    </xf>
    <xf numFmtId="0" fontId="8" fillId="6" borderId="12" xfId="0" applyFont="1" applyFill="1" applyBorder="1" applyAlignment="1">
      <alignment horizontal="center" vertical="center"/>
    </xf>
    <xf numFmtId="0" fontId="8" fillId="6" borderId="37" xfId="0" applyFont="1" applyFill="1" applyBorder="1" applyAlignment="1">
      <alignment horizontal="center" vertical="center"/>
    </xf>
    <xf numFmtId="0" fontId="8" fillId="6" borderId="1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20" xfId="0" applyFont="1" applyFill="1" applyBorder="1" applyAlignment="1">
      <alignment horizontal="center" vertical="center"/>
    </xf>
    <xf numFmtId="0" fontId="8" fillId="4" borderId="21" xfId="0" applyFont="1" applyFill="1" applyBorder="1" applyAlignment="1">
      <alignment horizontal="center" vertical="center"/>
    </xf>
    <xf numFmtId="0" fontId="8" fillId="5" borderId="10" xfId="0" applyFont="1" applyFill="1" applyBorder="1" applyAlignment="1">
      <alignment horizontal="center" vertical="center"/>
    </xf>
    <xf numFmtId="0" fontId="8" fillId="5" borderId="14" xfId="0" applyFont="1" applyFill="1" applyBorder="1" applyAlignment="1">
      <alignment horizontal="center" vertical="center"/>
    </xf>
    <xf numFmtId="0" fontId="8" fillId="5" borderId="11" xfId="0" applyFont="1" applyFill="1" applyBorder="1" applyAlignment="1">
      <alignment horizontal="center" vertical="center"/>
    </xf>
    <xf numFmtId="0" fontId="38" fillId="0" borderId="30" xfId="0" applyFont="1" applyBorder="1" applyAlignment="1">
      <alignment horizontal="center" vertical="center" wrapText="1"/>
    </xf>
    <xf numFmtId="1" fontId="38" fillId="0" borderId="0" xfId="0" applyNumberFormat="1" applyFont="1" applyAlignment="1">
      <alignment horizontal="center" vertical="center" wrapText="1"/>
    </xf>
    <xf numFmtId="1" fontId="38" fillId="0" borderId="31" xfId="0" applyNumberFormat="1" applyFont="1" applyBorder="1" applyAlignment="1">
      <alignment horizontal="center" vertical="center" wrapText="1"/>
    </xf>
    <xf numFmtId="0" fontId="8" fillId="7" borderId="10" xfId="0" applyFont="1" applyFill="1" applyBorder="1" applyAlignment="1">
      <alignment horizontal="center"/>
    </xf>
    <xf numFmtId="0" fontId="8" fillId="7" borderId="11" xfId="0" applyFont="1" applyFill="1" applyBorder="1" applyAlignment="1">
      <alignment horizontal="center"/>
    </xf>
    <xf numFmtId="0" fontId="8" fillId="5" borderId="4" xfId="0" applyFont="1" applyFill="1" applyBorder="1" applyAlignment="1">
      <alignment horizontal="center"/>
    </xf>
    <xf numFmtId="0" fontId="8" fillId="5" borderId="32" xfId="0" applyFont="1" applyFill="1" applyBorder="1" applyAlignment="1">
      <alignment horizontal="center"/>
    </xf>
    <xf numFmtId="0" fontId="8" fillId="5" borderId="5" xfId="0" applyFont="1" applyFill="1" applyBorder="1" applyAlignment="1">
      <alignment horizontal="center"/>
    </xf>
    <xf numFmtId="0" fontId="8" fillId="4" borderId="17"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18" xfId="0" applyFont="1" applyFill="1" applyBorder="1" applyAlignment="1">
      <alignment horizontal="center" vertical="center"/>
    </xf>
    <xf numFmtId="0" fontId="8" fillId="44" borderId="12" xfId="0" applyFont="1" applyFill="1" applyBorder="1" applyAlignment="1">
      <alignment horizontal="center"/>
    </xf>
    <xf numFmtId="0" fontId="8" fillId="44" borderId="37" xfId="0" applyFont="1" applyFill="1" applyBorder="1" applyAlignment="1">
      <alignment horizontal="center"/>
    </xf>
    <xf numFmtId="0" fontId="8" fillId="44" borderId="13" xfId="0" applyFont="1" applyFill="1" applyBorder="1" applyAlignment="1">
      <alignment horizontal="center"/>
    </xf>
    <xf numFmtId="0" fontId="7" fillId="6" borderId="37" xfId="0" applyFont="1" applyFill="1" applyBorder="1" applyAlignment="1">
      <alignment horizontal="center" vertical="center" wrapText="1"/>
    </xf>
    <xf numFmtId="0" fontId="7" fillId="6" borderId="67" xfId="0" applyFont="1" applyFill="1" applyBorder="1" applyAlignment="1">
      <alignment horizontal="center" vertical="center" wrapText="1"/>
    </xf>
    <xf numFmtId="1" fontId="17" fillId="0" borderId="0" xfId="0" applyNumberFormat="1" applyFont="1" applyAlignment="1">
      <alignment horizontal="center"/>
    </xf>
  </cellXfs>
  <cellStyles count="37">
    <cellStyle name="Hipervínculo" xfId="2" builtinId="8"/>
    <cellStyle name="Hipervínculo 2" xfId="13" xr:uid="{D061D09B-F10C-4559-8ACF-113E9195FB22}"/>
    <cellStyle name="Millares" xfId="27" builtinId="3"/>
    <cellStyle name="Millares 2" xfId="25" xr:uid="{1D3CE79D-79B4-4A49-A119-1D925C1968A5}"/>
    <cellStyle name="Moneda" xfId="1" builtinId="4"/>
    <cellStyle name="Moneda 10" xfId="35" xr:uid="{A6F5C9DC-8437-4D78-9069-09C8FA1656C9}"/>
    <cellStyle name="Moneda 2" xfId="6" xr:uid="{272B2888-E08F-44A1-9405-9BC1BDB43630}"/>
    <cellStyle name="Moneda 2 2" xfId="11" xr:uid="{C178B5D3-96A0-441A-B6B7-09456230AC24}"/>
    <cellStyle name="Moneda 2 2 2" xfId="19" xr:uid="{89D30EAA-79FF-4A6E-86B7-A9907005AB7C}"/>
    <cellStyle name="Moneda 3" xfId="8" xr:uid="{E59E9A88-EF0B-415A-BAB9-37978C6A4ADC}"/>
    <cellStyle name="Moneda 4" xfId="10" xr:uid="{BFCF4F90-13BF-4495-9092-8A8C9588DF74}"/>
    <cellStyle name="Moneda 4 2" xfId="18" xr:uid="{CA1A8734-744C-40D0-AB4E-5B9EE086E34B}"/>
    <cellStyle name="Moneda 5" xfId="12" xr:uid="{ECBE2909-5A20-46E0-BCE3-9C892E2686C1}"/>
    <cellStyle name="Moneda 5 2" xfId="20" xr:uid="{216DC4CB-CA8D-49F8-BB77-674900909700}"/>
    <cellStyle name="Moneda 6" xfId="15" xr:uid="{6002321C-8D32-43A0-A67D-99CBADDCAA8A}"/>
    <cellStyle name="Moneda 7" xfId="24" xr:uid="{9BD906B3-8B51-47C0-B220-D06BFC253665}"/>
    <cellStyle name="Moneda 8" xfId="26" xr:uid="{C53F7947-599A-47F6-AEAF-6E5A16424212}"/>
    <cellStyle name="Moneda 9" xfId="29" xr:uid="{DFCD3206-2079-480A-A8EF-C9531A938499}"/>
    <cellStyle name="Normal" xfId="0" builtinId="0"/>
    <cellStyle name="Normal 10" xfId="33" xr:uid="{4DC0C950-AF30-43A1-8C97-DA9840BE3CEF}"/>
    <cellStyle name="Normal 11" xfId="34" xr:uid="{C02A0A3E-2739-4104-B07A-7688E960AFC5}"/>
    <cellStyle name="Normal 2" xfId="3" xr:uid="{6F6FBF4F-F23F-4B8C-9488-C254B101694D}"/>
    <cellStyle name="Normal 2 2" xfId="9" xr:uid="{E831C54C-CB56-4F45-918C-E04643AC3A44}"/>
    <cellStyle name="Normal 2 3" xfId="22" xr:uid="{EC202164-D276-4BAB-B6CB-F9E371E93568}"/>
    <cellStyle name="Normal 3" xfId="7" xr:uid="{BDE4CAA9-F071-4D7A-B20E-935DF6E21E31}"/>
    <cellStyle name="Normal 3 2" xfId="17" xr:uid="{C9DFE8E7-CBD5-4907-8BA2-99B5FDD17046}"/>
    <cellStyle name="Normal 4" xfId="14" xr:uid="{FB69D13A-0E16-4340-8133-78C55D19C4A8}"/>
    <cellStyle name="Normal 5" xfId="21" xr:uid="{CA01066D-9DAE-4226-B588-D7823F33043E}"/>
    <cellStyle name="Normal 6" xfId="23" xr:uid="{3D8A4653-5373-4ED2-A7D4-440D1129514E}"/>
    <cellStyle name="Normal 7" xfId="28" xr:uid="{0C480A1E-B536-428E-AB16-16B96C21ABD2}"/>
    <cellStyle name="Normal 8" xfId="31" xr:uid="{C371B7F7-09EC-4FF6-8CAE-AF625DAF5997}"/>
    <cellStyle name="Normal 9" xfId="32" xr:uid="{33F674C2-F81A-4E3D-A302-040982B2A07E}"/>
    <cellStyle name="Porcentaje" xfId="4" builtinId="5"/>
    <cellStyle name="Porcentaje 2" xfId="5" xr:uid="{3BD31A0D-C284-4E90-B862-A799B134520E}"/>
    <cellStyle name="Porcentaje 3" xfId="16" xr:uid="{314F6CF0-12F1-4AFE-AF93-5B31A8B1E27A}"/>
    <cellStyle name="Porcentaje 4" xfId="30" xr:uid="{F41B9CF7-1D08-48F1-B855-0E487DACF7ED}"/>
    <cellStyle name="Porcentaje 5" xfId="36" xr:uid="{0CFAEFDF-1300-4A8D-BB07-0840B88D523A}"/>
  </cellStyles>
  <dxfs count="353">
    <dxf>
      <font>
        <color rgb="FF9C0006"/>
      </font>
      <fill>
        <patternFill>
          <bgColor rgb="FFFFC7CE"/>
        </patternFill>
      </fill>
    </dxf>
    <dxf>
      <font>
        <b/>
        <i val="0"/>
      </font>
      <fill>
        <patternFill>
          <bgColor rgb="FFFF0000"/>
        </patternFill>
      </fill>
    </dxf>
    <dxf>
      <fill>
        <patternFill>
          <bgColor theme="9" tint="0.79998168889431442"/>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none"/>
      </fill>
    </dxf>
    <dxf>
      <fill>
        <patternFill patternType="none"/>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none"/>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ill>
        <patternFill patternType="solid">
          <fgColor rgb="FFBFBFBF"/>
          <bgColor rgb="FFBFBFBF"/>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font>
      <fill>
        <patternFill>
          <bgColor theme="4" tint="0.39994506668294322"/>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ill>
        <patternFill>
          <bgColor theme="7" tint="0.59996337778862885"/>
        </patternFill>
      </fill>
    </dxf>
    <dxf>
      <font>
        <b/>
        <i val="0"/>
        <color theme="0"/>
      </font>
      <fill>
        <patternFill>
          <bgColor theme="1"/>
        </patternFill>
      </fill>
    </dxf>
    <dxf>
      <font>
        <b/>
        <i val="0"/>
        <color theme="0"/>
      </font>
      <fill>
        <patternFill>
          <bgColor theme="1"/>
        </patternFill>
      </fill>
    </dxf>
    <dxf>
      <font>
        <b val="0"/>
        <i val="0"/>
        <strike val="0"/>
        <condense val="0"/>
        <extend val="0"/>
        <outline val="0"/>
        <shadow val="0"/>
        <u val="none"/>
        <vertAlign val="baseline"/>
        <sz val="10"/>
        <color indexed="8"/>
        <name val="Arial"/>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8.3000000000000007"/>
        <color indexed="8"/>
        <name val="Arial"/>
        <family val="2"/>
        <scheme val="none"/>
      </font>
      <fill>
        <patternFill patternType="solid">
          <fgColor indexed="64"/>
          <bgColor theme="5"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10"/>
        <color indexed="8"/>
        <name val="Arial"/>
        <family val="2"/>
        <scheme val="none"/>
      </font>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8.3000000000000007"/>
        <color indexed="8"/>
        <name val="Arial"/>
        <family val="2"/>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8.3000000000000007"/>
        <color indexed="8"/>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indexed="64"/>
        </left>
        <right/>
        <top/>
        <bottom/>
      </border>
    </dxf>
    <dxf>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none">
          <fgColor indexed="64"/>
          <bgColor auto="1"/>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alignment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rgb="FFFFFF00"/>
        </patternFill>
      </fill>
      <alignment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0"/>
        <color auto="1"/>
        <name val="Arial"/>
        <family val="2"/>
        <scheme val="none"/>
      </font>
      <fill>
        <patternFill patternType="solid">
          <fgColor indexed="64"/>
          <bgColor rgb="FFFFFF00"/>
        </patternFill>
      </fill>
      <alignment vertical="center" textRotation="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alignment vertical="center" textRotation="0" wrapText="0" indent="0" justifyLastLine="0" shrinkToFit="0" readingOrder="0"/>
    </dxf>
    <dxf>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alignment horizontal="center" vertical="bottom" textRotation="0" wrapText="0" indent="0" justifyLastLine="0" shrinkToFit="0" readingOrder="0"/>
      <border diagonalUp="0" diagonalDown="0">
        <left style="medium">
          <color indexed="64"/>
        </left>
        <right/>
        <top style="thin">
          <color theme="9" tint="0.39997558519241921"/>
        </top>
        <bottom style="thin">
          <color theme="9" tint="0.39997558519241921"/>
        </bottom>
        <vertical/>
      </border>
    </dxf>
    <dxf>
      <font>
        <b val="0"/>
        <i val="0"/>
        <strike val="0"/>
        <condense val="0"/>
        <extend val="0"/>
        <outline val="0"/>
        <shadow val="0"/>
        <u val="none"/>
        <vertAlign val="baseline"/>
        <sz val="10"/>
        <color theme="1"/>
        <name val="Arial"/>
        <family val="2"/>
        <scheme val="none"/>
      </font>
      <fill>
        <patternFill patternType="none">
          <bgColor auto="1"/>
        </patternFill>
      </fill>
      <border diagonalUp="0" diagonalDown="0">
        <left/>
        <right style="medium">
          <color indexed="64"/>
        </right>
        <top style="thin">
          <color theme="9" tint="0.39997558519241921"/>
        </top>
        <bottom style="thin">
          <color theme="9" tint="0.39997558519241921"/>
        </bottom>
        <vertical/>
      </border>
    </dxf>
    <dxf>
      <fill>
        <patternFill patternType="none">
          <bgColor auto="1"/>
        </patternFill>
      </fill>
      <border diagonalUp="0" diagonalDown="0">
        <left/>
        <right/>
        <top style="thin">
          <color theme="9" tint="0.39997558519241921"/>
        </top>
        <bottom style="thin">
          <color theme="9" tint="0.39997558519241921"/>
        </bottom>
        <vertical/>
      </border>
    </dxf>
    <dxf>
      <fill>
        <patternFill patternType="none">
          <bgColor auto="1"/>
        </patternFill>
      </fill>
      <border diagonalUp="0" diagonalDown="0">
        <left/>
        <right/>
        <top style="thin">
          <color theme="9" tint="0.39997558519241921"/>
        </top>
        <bottom style="thin">
          <color theme="9" tint="0.39997558519241921"/>
        </bottom>
        <vertical/>
      </border>
    </dxf>
    <dxf>
      <border diagonalUp="0" diagonalDown="0">
        <left style="medium">
          <color indexed="64"/>
        </left>
        <right style="medium">
          <color indexed="64"/>
        </right>
        <top style="medium">
          <color indexed="64"/>
        </top>
        <bottom style="medium">
          <color indexed="64"/>
        </bottom>
      </border>
    </dxf>
    <dxf>
      <fill>
        <patternFill patternType="none">
          <bgColor auto="1"/>
        </patternFill>
      </fill>
    </dxf>
    <dxf>
      <font>
        <b/>
        <i val="0"/>
        <strike val="0"/>
        <condense val="0"/>
        <extend val="0"/>
        <outline val="0"/>
        <shadow val="0"/>
        <u val="none"/>
        <vertAlign val="baseline"/>
        <sz val="10"/>
        <color theme="1"/>
        <name val="Arial"/>
        <family val="2"/>
        <scheme val="none"/>
      </font>
      <fill>
        <patternFill patternType="none">
          <bgColor auto="1"/>
        </patternFill>
      </fill>
      <alignment horizontal="center" vertical="center" textRotation="0" wrapText="1" indent="0" justifyLastLine="0" shrinkToFit="0" readingOrder="0"/>
    </dxf>
    <dxf>
      <font>
        <sz val="11"/>
        <name val="Arial"/>
        <family val="2"/>
        <scheme val="none"/>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Arial"/>
        <family val="2"/>
        <scheme val="none"/>
      </font>
      <fill>
        <patternFill patternType="solid">
          <fgColor theme="9"/>
          <bgColor theme="9"/>
        </patternFill>
      </fill>
      <alignment horizontal="center" vertical="center" textRotation="0" wrapText="0" indent="0" justifyLastLine="0" shrinkToFit="0" readingOrder="0"/>
    </dxf>
    <dxf>
      <numFmt numFmtId="165" formatCode="_(&quot;$&quot;* #,##0.00_);_(&quot;$&quot;* \(#,##0.00\);_(&quot;$&quot;* &quot;-&quot;??_);_(@_)"/>
    </dxf>
    <dxf>
      <fill>
        <patternFill patternType="none">
          <fgColor indexed="64"/>
          <bgColor auto="1"/>
        </patternFill>
      </fill>
      <alignment vertical="center" textRotation="0" wrapText="0" indent="0" justifyLastLine="0" shrinkToFit="0" readingOrder="0"/>
    </dxf>
    <dxf>
      <numFmt numFmtId="165" formatCode="_(&quot;$&quot;* #,##0.00_);_(&quot;$&quot;* \(#,##0.00\);_(&quot;$&quot;* &quot;-&quot;??_);_(@_)"/>
      <alignment horizontal="general"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alignment horizontal="general"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fill>
        <patternFill patternType="none">
          <fgColor indexed="64"/>
          <bgColor auto="1"/>
        </patternFill>
      </fill>
      <alignment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font>
        <b/>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name val="Arial"/>
        <family val="2"/>
        <scheme val="none"/>
      </font>
      <numFmt numFmtId="165" formatCode="_(&quot;$&quot;* #,##0.00_);_(&quot;$&quot;* \(#,##0.00\);_(&quot;$&quot;* &quot;-&quot;??_);_(@_)"/>
    </dxf>
    <dxf>
      <font>
        <strike val="0"/>
        <outline val="0"/>
        <shadow val="0"/>
        <u val="none"/>
        <vertAlign val="baseline"/>
        <color auto="1"/>
        <name val="Arial"/>
        <family val="2"/>
        <scheme val="none"/>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strike val="0"/>
        <outline val="0"/>
        <shadow val="0"/>
        <u val="none"/>
        <vertAlign val="baseline"/>
        <color auto="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strike val="0"/>
        <outline val="0"/>
        <shadow val="0"/>
        <u val="none"/>
        <vertAlign val="baseline"/>
        <name val="Arial"/>
        <family val="2"/>
        <scheme val="none"/>
      </font>
    </dxf>
    <dxf>
      <font>
        <strike val="0"/>
        <outline val="0"/>
        <shadow val="0"/>
        <u val="none"/>
        <vertAlign val="baseline"/>
        <name val="Arial"/>
        <family val="2"/>
        <scheme val="none"/>
      </font>
      <numFmt numFmtId="165" formatCode="_(&quot;$&quot;* #,##0.00_);_(&quot;$&quot;* \(#,##0.00\);_(&quot;$&quot;* &quot;-&quot;??_);_(@_)"/>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sz val="8"/>
        <color auto="1"/>
        <name val="Arial"/>
        <family val="2"/>
        <scheme val="none"/>
      </font>
      <fill>
        <patternFill patternType="none">
          <fgColor indexed="64"/>
          <bgColor indexed="65"/>
        </patternFill>
      </fill>
    </dxf>
    <dxf>
      <border outline="0">
        <top style="thin">
          <color theme="4" tint="0.39997558519241921"/>
        </top>
      </border>
    </dxf>
    <dxf>
      <font>
        <strike val="0"/>
        <outline val="0"/>
        <shadow val="0"/>
        <u val="none"/>
        <vertAlign val="baseline"/>
        <name val="Arial"/>
        <family val="2"/>
        <scheme val="none"/>
      </font>
    </dxf>
    <dxf>
      <border outline="0">
        <bottom style="thin">
          <color theme="4" tint="0.39997558519241921"/>
        </bottom>
      </border>
    </dxf>
    <dxf>
      <font>
        <b/>
        <i val="0"/>
        <strike val="0"/>
        <condense val="0"/>
        <extend val="0"/>
        <outline val="0"/>
        <shadow val="0"/>
        <u val="none"/>
        <vertAlign val="baseline"/>
        <sz val="10"/>
        <color theme="0"/>
        <name val="Arial"/>
        <family val="2"/>
        <scheme val="none"/>
      </font>
      <numFmt numFmtId="0" formatCode="General"/>
      <fill>
        <patternFill patternType="solid">
          <fgColor theme="4"/>
          <bgColor theme="4"/>
        </patternFill>
      </fill>
      <alignment horizontal="center" vertical="center" textRotation="0" wrapText="1" indent="0" justifyLastLine="0" shrinkToFit="0" readingOrder="0"/>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numFmt numFmtId="165" formatCode="_(&quot;$&quot;* #,##0.00_);_(&quot;$&quot;* \(#,##0.00\);_(&quot;$&quot;* &quot;-&quot;??_);_(@_)"/>
    </dxf>
    <dxf>
      <fill>
        <patternFill patternType="none">
          <fgColor theme="4" tint="0.79998168889431442"/>
          <bgColor auto="1"/>
        </patternFill>
      </fill>
      <border diagonalUp="0" diagonalDown="0">
        <left/>
        <right/>
        <top style="thin">
          <color theme="5" tint="0.39997558519241921"/>
        </top>
        <bottom/>
        <vertical/>
        <horizontal/>
      </border>
    </dxf>
    <dxf>
      <font>
        <sz val="1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5" tint="0.39997558519241921"/>
        </top>
        <bottom/>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5" tint="0.39997558519241921"/>
        </left>
        <right/>
        <top/>
        <bottom/>
        <vertical/>
        <horizontal/>
      </border>
    </dxf>
    <dxf>
      <border outline="0">
        <top style="thin">
          <color theme="5"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0"/>
        <color theme="1"/>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0"/>
        <color theme="0"/>
        <name val="Arial"/>
        <family val="2"/>
        <scheme val="none"/>
      </font>
      <fill>
        <patternFill patternType="none">
          <fgColor indexed="64"/>
          <bgColor auto="1"/>
        </patternFill>
      </fill>
    </dxf>
    <dxf>
      <numFmt numFmtId="0" formatCode="General"/>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outline="0">
        <left/>
        <right style="thin">
          <color theme="5" tint="0.39997558519241921"/>
        </right>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outline="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165" formatCode="_(&quot;$&quot;* #,##0.00_);_(&quot;$&quot;* \(#,##0.00\);_(&quot;$&quot;* &quot;-&quot;??_);_(@_)"/>
      <fill>
        <patternFill patternType="none">
          <fgColor indexed="64"/>
          <bgColor auto="1"/>
        </patternFill>
      </fill>
      <border diagonalUp="0" diagonalDown="0">
        <left/>
        <right/>
        <top style="thin">
          <color theme="5" tint="0.39997558519241921"/>
        </top>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border diagonalUp="0" diagonalDown="0">
        <left/>
        <right/>
        <top style="thin">
          <color theme="5" tint="0.39997558519241921"/>
        </top>
        <bottom/>
        <vertical/>
        <horizontal/>
      </border>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theme="5" tint="0.39997558519241921"/>
        </left>
        <right/>
        <top/>
        <bottom/>
      </border>
    </dxf>
    <dxf>
      <border outline="0">
        <bottom style="thin">
          <color theme="5" tint="0.39997558519241921"/>
        </bottom>
      </border>
    </dxf>
    <dxf>
      <font>
        <b/>
        <i val="0"/>
        <strike val="0"/>
        <condense val="0"/>
        <extend val="0"/>
        <outline val="0"/>
        <shadow val="0"/>
        <u val="none"/>
        <vertAlign val="baseline"/>
        <sz val="10"/>
        <color auto="1"/>
        <name val="Arial"/>
        <family val="2"/>
        <scheme val="none"/>
      </font>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6"/>
        <color auto="1"/>
        <name val="Arial"/>
        <family val="2"/>
        <scheme val="none"/>
      </font>
      <numFmt numFmtId="0" formatCode="General"/>
      <alignment horizontal="left" vertical="center" textRotation="0" wrapText="0" indent="0" justifyLastLine="0" shrinkToFit="0" readingOrder="0"/>
    </dxf>
    <dxf>
      <font>
        <strike val="0"/>
        <outline val="0"/>
        <shadow val="0"/>
        <u val="none"/>
        <vertAlign val="baseline"/>
        <sz val="8"/>
        <color auto="1"/>
        <name val="Arial"/>
        <family val="2"/>
        <scheme val="none"/>
      </font>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USD]\ #,##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vertical="center" textRotation="0" wrapText="0" indent="0" justifyLastLine="0" shrinkToFit="0" readingOrder="0"/>
    </dxf>
    <dxf>
      <numFmt numFmtId="165" formatCode="_(&quot;$&quot;* #,##0.00_);_(&quot;$&quot;* \(#,##0.00\);_(&quot;$&quot;* &quot;-&quot;??_);_(@_)"/>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auto="1"/>
        </patternFill>
      </fill>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65" formatCode="_(&quot;$&quot;* #,##0.00_);_(&quot;$&quot;* \(#,##0.00\);_(&quot;$&quot;* &quot;-&quot;??_);_(@_)"/>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auto="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8"/>
        <color auto="1"/>
        <name val="Arial"/>
        <family val="2"/>
        <scheme val="none"/>
      </font>
      <fill>
        <patternFill patternType="none">
          <fgColor indexed="64"/>
          <bgColor auto="1"/>
        </patternFill>
      </fill>
      <border diagonalUp="0" diagonalDown="0">
        <left/>
        <right/>
        <top style="thin">
          <color theme="4" tint="0.39997558519241921"/>
        </top>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ill>
        <patternFill patternType="none">
          <fgColor rgb="FF000000"/>
          <bgColor auto="1"/>
        </patternFill>
      </fill>
    </dxf>
    <dxf>
      <border outline="0">
        <bottom style="thin">
          <color rgb="FF8EA9DB"/>
        </bottom>
      </border>
    </dxf>
    <dxf>
      <font>
        <b/>
        <i val="0"/>
        <strike val="0"/>
        <condense val="0"/>
        <extend val="0"/>
        <outline val="0"/>
        <shadow val="0"/>
        <u val="none"/>
        <vertAlign val="baseline"/>
        <sz val="10"/>
        <color theme="0"/>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86" formatCode="_(&quot;$&quot;* #,##0_);_(&quot;$&quot;* \(#,##0\);_(&quot;$&quot;*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numFmt numFmtId="186" formatCode="_(&quot;$&quot;* #,##0_);_(&quot;$&quot;* \(#,##0\);_(&quot;$&quot;* &quot;-&quot;??_);_(@_)"/>
      <alignment horizontal="center" vertical="bottom" textRotation="0" wrapText="0" indent="0" justifyLastLine="0" shrinkToFit="0" readingOrder="0"/>
    </dxf>
    <dxf>
      <numFmt numFmtId="165" formatCode="_(&quot;$&quot;* #,##0.00_);_(&quot;$&quot;* \(#,##0.00\);_(&quot;$&quot;*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quot;$&quot;* #,##0.00_);_(&quot;$&quot;* \(#,##0.00\);_(&quot;$&quot;* &quot;-&quot;??_);_(@_)"/>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vertical/>
      </border>
    </dxf>
    <dxf>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vertical/>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0" formatCode="General"/>
    </dxf>
    <dxf>
      <numFmt numFmtId="0" formatCode="Genera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0" formatCode="Genera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06/relationships/rdRichValue" Target="richData/rdrichvalue.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 xr16:uid="{8C17788A-5D8F-41E5-9535-FA65AB612163}" autoFormatId="16" applyNumberFormats="0" applyBorderFormats="0" applyFontFormats="0" applyPatternFormats="0" applyAlignmentFormats="0" applyWidthHeightFormats="0">
  <queryTableRefresh nextId="24">
    <queryTableFields count="14">
      <queryTableField id="11" name="ID" tableColumnId="2"/>
      <queryTableField id="6" name="Producto" tableColumnId="6"/>
      <queryTableField id="7" name="Numero" tableColumnId="7"/>
      <queryTableField id="12" name="Precio" tableColumnId="4"/>
      <queryTableField id="1" name="FABRICA" tableColumnId="1"/>
      <queryTableField id="3" name="Codigo" tableColumnId="3"/>
      <queryTableField id="5" name="COSTO" tableColumnId="5"/>
      <queryTableField id="13" name="Descripción - FABRICA" tableColumnId="8"/>
      <queryTableField id="18" name="Column9" tableColumnId="9"/>
      <queryTableField id="19" name="Column10" tableColumnId="10"/>
      <queryTableField id="20" name="Column11" tableColumnId="11"/>
      <queryTableField id="21" name="Column12" tableColumnId="12"/>
      <queryTableField id="22" name="Column13" tableColumnId="13"/>
      <queryTableField id="23" name="Column14" tableColumnId="14"/>
    </queryTableFields>
  </queryTableRefresh>
</queryTable>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9">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4</v>
  </rv>
  <rv s="0">
    <v>26</v>
    <v>4</v>
  </rv>
  <rv s="0">
    <v>27</v>
    <v>4</v>
  </rv>
  <rv s="0">
    <v>28</v>
    <v>4</v>
  </rv>
  <rv s="0">
    <v>29</v>
    <v>5</v>
  </rv>
  <rv s="0">
    <v>30</v>
    <v>5</v>
  </rv>
  <rv s="0">
    <v>31</v>
    <v>5</v>
  </rv>
  <rv s="0">
    <v>25</v>
    <v>5</v>
  </rv>
  <rv s="0">
    <v>32</v>
    <v>5</v>
  </rv>
  <rv s="0">
    <v>33</v>
    <v>5</v>
  </rv>
  <rv s="0">
    <v>34</v>
    <v>5</v>
  </rv>
  <rv s="0">
    <v>35</v>
    <v>5</v>
  </rv>
  <rv s="0">
    <v>26</v>
    <v>5</v>
  </rv>
  <rv s="0">
    <v>36</v>
    <v>5</v>
  </rv>
  <rv s="0">
    <v>27</v>
    <v>5</v>
  </rv>
  <rv s="0">
    <v>37</v>
    <v>5</v>
  </rv>
  <rv s="0">
    <v>38</v>
    <v>5</v>
  </rv>
  <rv s="0">
    <v>28</v>
    <v>5</v>
  </rv>
  <rv s="0">
    <v>39</v>
    <v>5</v>
  </rv>
  <rv s="0">
    <v>40</v>
    <v>5</v>
  </rv>
  <rv s="0">
    <v>41</v>
    <v>5</v>
  </rv>
  <rv s="0">
    <v>42</v>
    <v>5</v>
  </rv>
  <rv s="0">
    <v>43</v>
    <v>5</v>
  </rv>
  <rv s="0">
    <v>44</v>
    <v>5</v>
  </rv>
  <rv s="0">
    <v>45</v>
    <v>5</v>
  </rv>
  <rv s="0">
    <v>46</v>
    <v>5</v>
  </rv>
  <rv s="0">
    <v>47</v>
    <v>5</v>
  </rv>
  <rv s="0">
    <v>48</v>
    <v>4</v>
  </rv>
  <rv s="0">
    <v>49</v>
    <v>4</v>
  </rv>
  <rv s="0">
    <v>50</v>
    <v>4</v>
  </rv>
  <rv s="0">
    <v>51</v>
    <v>4</v>
  </rv>
  <rv s="0">
    <v>52</v>
    <v>4</v>
  </rv>
  <rv s="0">
    <v>53</v>
    <v>4</v>
  </rv>
  <rv s="0">
    <v>54</v>
    <v>4</v>
  </rv>
  <rv s="0">
    <v>55</v>
    <v>4</v>
  </rv>
  <rv s="0">
    <v>56</v>
    <v>5</v>
  </rv>
  <rv s="0">
    <v>57</v>
    <v>5</v>
  </rv>
  <rv s="0">
    <v>58</v>
    <v>5</v>
  </rv>
  <rv s="0">
    <v>59</v>
    <v>5</v>
  </rv>
  <rv s="0">
    <v>48</v>
    <v>5</v>
  </rv>
  <rv s="0">
    <v>60</v>
    <v>5</v>
  </rv>
  <rv s="0">
    <v>61</v>
    <v>5</v>
  </rv>
  <rv s="0">
    <v>62</v>
    <v>5</v>
  </rv>
  <rv s="0">
    <v>63</v>
    <v>5</v>
  </rv>
  <rv s="0">
    <v>64</v>
    <v>5</v>
  </rv>
  <rv s="0">
    <v>65</v>
    <v>5</v>
  </rv>
  <rv s="0">
    <v>49</v>
    <v>5</v>
  </rv>
  <rv s="0">
    <v>66</v>
    <v>5</v>
  </rv>
  <rv s="0">
    <v>50</v>
    <v>5</v>
  </rv>
  <rv s="0">
    <v>67</v>
    <v>5</v>
  </rv>
  <rv s="0">
    <v>68</v>
    <v>5</v>
  </rv>
  <rv s="0">
    <v>69</v>
    <v>5</v>
  </rv>
  <rv s="0">
    <v>70</v>
    <v>5</v>
  </rv>
  <rv s="0">
    <v>71</v>
    <v>5</v>
  </rv>
  <rv s="0">
    <v>72</v>
    <v>5</v>
  </rv>
  <rv s="0">
    <v>51</v>
    <v>5</v>
  </rv>
  <rv s="0">
    <v>52</v>
    <v>5</v>
  </rv>
  <rv s="0">
    <v>73</v>
    <v>5</v>
  </rv>
  <rv s="0">
    <v>74</v>
    <v>5</v>
  </rv>
  <rv s="0">
    <v>53</v>
    <v>5</v>
  </rv>
  <rv s="0">
    <v>75</v>
    <v>5</v>
  </rv>
  <rv s="0">
    <v>54</v>
    <v>5</v>
  </rv>
  <rv s="0">
    <v>55</v>
    <v>5</v>
  </rv>
  <rv s="0">
    <v>76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2DF49E-28F7-449F-AFAE-9B0DB8218521}" name="CODIGOS_Y_COSTOS" displayName="CODIGOS_Y_COSTOS" ref="A1:N3336" tableType="queryTable" totalsRowShown="0">
  <autoFilter ref="A1:N3336" xr:uid="{FC2DF49E-28F7-449F-AFAE-9B0DB8218521}"/>
  <tableColumns count="14">
    <tableColumn id="2" xr3:uid="{C9D432F6-F646-4EE0-A034-46B15B262814}" uniqueName="2" name="ID" queryTableFieldId="11" dataDxfId="352" dataCellStyle="Moneda"/>
    <tableColumn id="6" xr3:uid="{4F4DA69B-8D3D-4FCF-8CA1-3480B89C9863}" uniqueName="6" name="Producto" queryTableFieldId="6" dataDxfId="351" dataCellStyle="Moneda"/>
    <tableColumn id="7" xr3:uid="{E627F3B2-827C-485B-8F8B-FDFBB115FE8D}" uniqueName="7" name="Numero" queryTableFieldId="7" dataDxfId="350" dataCellStyle="Moneda"/>
    <tableColumn id="4" xr3:uid="{087DEF1C-508D-4BD7-BE41-1D5425E19D65}" uniqueName="4" name="Precio" queryTableFieldId="12" dataDxfId="349" dataCellStyle="Moneda"/>
    <tableColumn id="1" xr3:uid="{1BC1965C-56FB-411B-8462-97FB6C5A5BD7}" uniqueName="1" name="FABRICA" queryTableFieldId="1" dataDxfId="348"/>
    <tableColumn id="3" xr3:uid="{205104BA-FFFB-4F06-8CB0-73DAB96C355B}" uniqueName="3" name="CODIGO" queryTableFieldId="3"/>
    <tableColumn id="5" xr3:uid="{193F1FE1-CFA1-4C91-8C87-26FBCA784573}" uniqueName="5" name="COSTO" queryTableFieldId="5" dataDxfId="347" dataCellStyle="Moneda"/>
    <tableColumn id="8" xr3:uid="{38DF8996-634B-4D6C-AAA8-101F1B2FE0D9}" uniqueName="8" name="Descripción - FABRICA" queryTableFieldId="13" dataDxfId="346" dataCellStyle="Moneda"/>
    <tableColumn id="9" xr3:uid="{B81F636F-F200-4073-BEF1-7F2D1A4FD66E}" uniqueName="9" name="Column9" queryTableFieldId="18" dataDxfId="345" dataCellStyle="Moneda"/>
    <tableColumn id="10" xr3:uid="{CDA0AF6C-E1B9-4C2B-AF5E-BE4FACD32E7A}" uniqueName="10" name="Column10" queryTableFieldId="19" dataDxfId="344" dataCellStyle="Moneda"/>
    <tableColumn id="11" xr3:uid="{9C6524A7-9831-4EC3-8BEF-0E8266E25424}" uniqueName="11" name="Column11" queryTableFieldId="20" dataDxfId="343" dataCellStyle="Moneda"/>
    <tableColumn id="12" xr3:uid="{A425DFAE-98DE-42AD-A336-ED833B641BFF}" uniqueName="12" name="Column12" queryTableFieldId="21" dataDxfId="342" dataCellStyle="Moneda"/>
    <tableColumn id="13" xr3:uid="{06BB18C6-D74A-47CB-A101-25ABF77265C4}" uniqueName="13" name="Column13" queryTableFieldId="22" dataDxfId="341" dataCellStyle="Moneda"/>
    <tableColumn id="14" xr3:uid="{DF2EBCB2-D7B3-429F-BAC3-95BA399519BA}" uniqueName="14" name="Column14" queryTableFieldId="23" dataDxfId="340" dataCellStyle="Moneda"/>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951897D-24B9-49D3-94B3-9F617BFC9E1C}" name="CECATTO_1" displayName="CECATTO_1" ref="A2:H11" totalsRowCount="1" headerRowDxfId="339">
  <autoFilter ref="A2:H10" xr:uid="{9951897D-24B9-49D3-94B3-9F617BFC9E1C}">
    <filterColumn colId="1">
      <customFilters>
        <customFilter operator="notEqual" val=" "/>
      </customFilters>
    </filterColumn>
  </autoFilter>
  <tableColumns count="8">
    <tableColumn id="1" xr3:uid="{DC374E67-7388-4A24-BABD-22F03B629F39}" name="Plancha N°" totalsRowLabel="Total" dataDxfId="338" totalsRowDxfId="337">
      <calculatedColumnFormula>+ROW()-2</calculatedColumnFormula>
    </tableColumn>
    <tableColumn id="2" xr3:uid="{C58BF57E-7834-4EA9-BE06-AA7A70CE132C}" name="Cantidad" totalsRowFunction="sum" dataDxfId="336" totalsRowDxfId="335"/>
    <tableColumn id="3" xr3:uid="{99C8099C-35FB-4E72-BE73-113E44808B91}" name="Largo" totalsRowLabel="Planchas" dataDxfId="334" totalsRowDxfId="333"/>
    <tableColumn id="4" xr3:uid="{7E4B125F-003D-4524-A8C4-40B9F48A5634}" name="Ancho" dataDxfId="332" totalsRowDxfId="331"/>
    <tableColumn id="5" xr3:uid="{F57D067D-C35A-4284-9821-42AD82951582}" name="Cant. Cortes p/plancha" dataDxfId="330" totalsRowDxfId="329"/>
    <tableColumn id="8" xr3:uid="{E65A9465-D90D-4414-9406-15BFAB936138}" name="TOTAL" totalsRowFunction="custom" dataDxfId="328" totalsRowDxfId="327">
      <calculatedColumnFormula>+CECATTO_1[[#This Row],[Cant. Cortes p/plancha]]*CECATTO_1[[#This Row],[Cantidad]]</calculatedColumnFormula>
      <totalsRowFormula>+SUM(CECATTO_1[TOTAL])</totalsRowFormula>
    </tableColumn>
    <tableColumn id="6" xr3:uid="{DEC10A8B-F7D9-47F6-8445-B80BF2BE8418}" name="P. Unitario" dataDxfId="326" dataCellStyle="Moneda">
      <calculatedColumnFormula>+$M$2</calculatedColumnFormula>
    </tableColumn>
    <tableColumn id="7" xr3:uid="{7035371A-1B75-4B82-95EA-A67CD95B584A}" name="P. Final" totalsRowFunction="sum" dataDxfId="325" totalsRowDxfId="324" dataCellStyle="Moneda">
      <calculatedColumnFormula>+G3*B3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05D462A-EE18-4D42-9A59-D164428A2E49}" name="Tabla6" displayName="Tabla6" ref="BD4:BG199" totalsRowCount="1" headerRowDxfId="323" headerRowCellStyle="Moneda">
  <autoFilter ref="BD4:BG198" xr:uid="{105D462A-EE18-4D42-9A59-D164428A2E49}"/>
  <sortState xmlns:xlrd2="http://schemas.microsoft.com/office/spreadsheetml/2017/richdata2" ref="BD5:BG198">
    <sortCondition ref="BD4:BD198"/>
  </sortState>
  <tableColumns count="4">
    <tableColumn id="1" xr3:uid="{4160475A-2ECA-41BC-945F-86601ACE202B}" name="N°" totalsRowLabel="Total" dataDxfId="322" totalsRowDxfId="321" dataCellStyle="Moneda" totalsRowCellStyle="Moneda"/>
    <tableColumn id="2" xr3:uid="{267D38D9-27FC-4331-9BD8-E2B2DA21B8AF}" name="Cantidad" dataDxfId="320" totalsRowDxfId="319"/>
    <tableColumn id="3" xr3:uid="{347C0720-9D29-4C6A-B9EF-961A0A01B676}" name="P. Unitario" dataDxfId="318" totalsRowDxfId="317" dataCellStyle="Moneda" totalsRowCellStyle="Moneda"/>
    <tableColumn id="4" xr3:uid="{8314FA4D-0784-4C56-88C5-D5293ACC4D33}" name="TOTAL" totalsRowFunction="sum" dataDxfId="316" totalsRowDxfId="315" dataCellStyle="Moneda" totalsRowCellStyle="Mone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7A1BEAF-455D-4773-A368-B44FF2E09E8E}" name="ALCIDES.TESSA" displayName="ALCIDES.TESSA" ref="A1:I47" totalsRowShown="0" headerRowDxfId="314" dataDxfId="312" headerRowBorderDxfId="313" tableBorderDxfId="311" totalsRowBorderDxfId="310" headerRowCellStyle="Normal 2">
  <autoFilter ref="A1:I47" xr:uid="{17A1BEAF-455D-4773-A368-B44FF2E09E8E}"/>
  <tableColumns count="9">
    <tableColumn id="1" xr3:uid="{7B506C05-1B9B-4D26-BC56-73F3B076D893}" name="Producto" dataDxfId="309"/>
    <tableColumn id="2" xr3:uid="{2AED944A-64BC-4027-94B4-6A5AB4BCF0BE}" name="Numero" dataDxfId="308"/>
    <tableColumn id="3" xr3:uid="{47BD407B-9D0D-4FEC-B11C-672BFE899CB1}" name="Codigo" dataDxfId="307"/>
    <tableColumn id="4" xr3:uid="{56A6B1E8-EE96-4A0D-8517-3A426A78F9AC}" name="Descripción" dataDxfId="306"/>
    <tableColumn id="5" xr3:uid="{81388454-831B-4602-BF7D-3507681D1C36}" name="COSTO" dataDxfId="305" dataCellStyle="Moneda">
      <calculatedColumnFormula>+_xlfn.XLOOKUP(ALCIDES.TESSA[[#This Row],[Producto - ID]],CODIGOS_Y_COSTOS[ID],CODIGOS_Y_COSTOS[COSTO],0,0)</calculatedColumnFormula>
    </tableColumn>
    <tableColumn id="6" xr3:uid="{F6BFB471-79E0-42DE-8F84-17D82704B18C}" name="Descuento 1" dataDxfId="304" dataCellStyle="Porcentaje 2"/>
    <tableColumn id="7" xr3:uid="{D448D7C1-6DA3-4556-B94F-2ED769978C39}" name="Descuento 2" dataDxfId="303" dataCellStyle="Porcentaje 2"/>
    <tableColumn id="8" xr3:uid="{6D38368B-D1E6-41FB-A289-1B2988D5D454}" name="Precio Unitario" dataDxfId="302" dataCellStyle="Moneda 2 2">
      <calculatedColumnFormula>+(1-F2)*(1-G2)*E2</calculatedColumnFormula>
    </tableColumn>
    <tableColumn id="9" xr3:uid="{97AF63B5-D0D5-4F44-BD45-AEA45F66787A}" name="Producto - ID" dataDxfId="301" dataCellStyle="Moneda 2 2">
      <calculatedColumnFormula>+ALCIDES.TESSA[[#This Row],[Producto]]&amp;ALCIDES.TESSA[[#This Row],[Numero]]</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567E1C-0B84-4176-8A99-E8A4458F3AF5}" name="Tabla26" displayName="Tabla26" ref="A1:H9" totalsRowCount="1" headerRowDxfId="300" dataDxfId="299" headerRowCellStyle="Moneda">
  <autoFilter ref="A1:H8" xr:uid="{BE567E1C-0B84-4176-8A99-E8A4458F3AF5}"/>
  <tableColumns count="8">
    <tableColumn id="1" xr3:uid="{ECE54FFD-D9B2-48BC-98BA-3515332E294B}" name="ITEM" totalsRowLabel="Total" dataDxfId="298" totalsRowDxfId="297">
      <calculatedColumnFormula>+ROW()-1</calculatedColumnFormula>
    </tableColumn>
    <tableColumn id="2" xr3:uid="{496052D9-DEF3-4B5D-9B5D-1F866331509D}" name="CANTIDAD" dataDxfId="296" totalsRowDxfId="295"/>
    <tableColumn id="3" xr3:uid="{44F889ED-EB67-4CB1-89C9-41A9D5509AAD}" name="PRENDA" dataDxfId="294" totalsRowDxfId="293"/>
    <tableColumn id="4" xr3:uid="{7691C318-080F-4F6A-B2BA-9949AB08CDA8}" name="DESCRIPCIÓN" dataDxfId="292" totalsRowDxfId="291"/>
    <tableColumn id="5" xr3:uid="{414DD388-0CFA-4737-9393-B115B685D7F4}" name="COLOR" dataDxfId="290" totalsRowDxfId="289"/>
    <tableColumn id="6" xr3:uid="{38ECA257-E1AB-4BC1-B880-2917C74E770A}" name="TALLE" dataDxfId="288" totalsRowDxfId="287"/>
    <tableColumn id="7" xr3:uid="{C08B30E0-EA17-4E6F-97F9-A1452F62B00C}" name="Precio" totalsRowFunction="sum" dataDxfId="286" totalsRowDxfId="285" dataCellStyle="Moneda"/>
    <tableColumn id="8" xr3:uid="{42A4FFEB-AE83-438A-9E2F-AABAE89310D6}" name="Logo" dataDxfId="284" totalsRowDxfId="283" dataCellStyle="Moned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FD54F7-4360-4EC6-B447-B1B80432D2AB}" name="Resortes_2" displayName="Resortes_2" ref="O1:Z118" totalsRowShown="0" headerRowDxfId="282" dataDxfId="281">
  <autoFilter ref="O1:Z118" xr:uid="{20FD54F7-4360-4EC6-B447-B1B80432D2AB}"/>
  <tableColumns count="12">
    <tableColumn id="1" xr3:uid="{38583116-465A-46B3-A16E-1EF917758411}" name="Alambre" dataDxfId="280"/>
    <tableColumn id="2" xr3:uid="{F9836886-62DD-4135-B981-170C100CB887}" name="Diametro" dataDxfId="279"/>
    <tableColumn id="3" xr3:uid="{5497597D-8381-42E5-89E0-4C141797DDB2}" name="Largo" dataDxfId="278"/>
    <tableColumn id="4" xr3:uid="{9D2FE1BC-D0A0-462B-8ECD-DDFE175AD6AE}" name="Vueltas" dataDxfId="277"/>
    <tableColumn id="5" xr3:uid="{3705CB98-EC39-41EE-9900-57B806B3FA5A}" name="Precio USD" dataDxfId="276"/>
    <tableColumn id="10" xr3:uid="{1CAAE950-601D-440B-A23D-5EBAD12B1033}" name="ROBER" dataDxfId="275" dataCellStyle="Moneda">
      <calculatedColumnFormula>+Resortes_2[[#This Row],[Precio USD]]*$AJ$1</calculatedColumnFormula>
    </tableColumn>
    <tableColumn id="11" xr3:uid="{0827E78A-96A5-4DC9-A067-4BEBBA3E684E}" name="ROFFER" dataDxfId="274" dataCellStyle="Moneda 3"/>
    <tableColumn id="6" xr3:uid="{8EE97200-E6EE-476E-BD01-D4D472D95612}" name="MEDIDA" dataDxfId="273">
      <calculatedColumnFormula>+IF(Resortes_2[[#This Row],[Vueltas]]="",Resortes_2[[#This Row],[Alambre]]&amp;" x "&amp;Resortes_2[[#This Row],[Diametro]]&amp;" x "&amp;Resortes_2[[#This Row],[Largo]],Resortes_2[[#This Row],[Alambre]]&amp;" x "&amp;Resortes_2[[#This Row],[Diametro]]&amp;" x "&amp;Resortes_2[[#This Row],[Largo]]&amp;" x "&amp;Resortes_2[[#This Row],[Vueltas]])</calculatedColumnFormula>
    </tableColumn>
    <tableColumn id="7" xr3:uid="{888C1DDE-70F8-4256-B118-DE6CB18FE386}" name="TIPO" dataDxfId="272"/>
    <tableColumn id="8" xr3:uid="{B6DD1AD9-1830-4AF4-AE61-75AB6B3375F1}" name="Columna1" dataDxfId="271">
      <calculatedColumnFormula>+Resortes_2[[#This Row],[MEDIDA]]&amp;Resortes_2[[#This Row],[TIPO]]</calculatedColumnFormula>
    </tableColumn>
    <tableColumn id="9" xr3:uid="{261CBDC4-2FF2-425A-85FF-27486146B799}" name="Nº" dataDxfId="270"/>
    <tableColumn id="12" xr3:uid="{49DB3B3C-A54B-4D02-A54D-06F3AE84A242}" name="CANT. MIN." dataDxfId="26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C91FAC0-604B-4F12-85C6-9082CB1C06C1}" name="Resortes_1" displayName="Resortes_1" ref="A1:C19" totalsRowShown="0" headerRowDxfId="268" dataDxfId="267" tableBorderDxfId="266">
  <autoFilter ref="A1:C19" xr:uid="{8C91FAC0-604B-4F12-85C6-9082CB1C06C1}"/>
  <tableColumns count="3">
    <tableColumn id="1" xr3:uid="{9B1D635D-EB31-4608-A623-7BAD5F4075D6}" name="MEDIDA" dataDxfId="265">
      <calculatedColumnFormula>+IFERROR(IFERROR(INDEX(Resortes_2[MEDIDA],MATCH(E2,Resortes_2[Nº],0),1),VLOOKUP(E2,$AL$2:$AM$286,2,0)),"")</calculatedColumnFormula>
    </tableColumn>
    <tableColumn id="3" xr3:uid="{6F81B50A-12F1-4D3C-A079-00DC70210076}" name="TIPO" dataDxfId="264">
      <calculatedColumnFormula>IFERROR(INDEX(Resortes_2[TIPO],MATCH(E2,Resortes_2[Nº],0),1),"")</calculatedColumnFormula>
    </tableColumn>
    <tableColumn id="2" xr3:uid="{82F7537B-ED9F-4538-B854-328DACC73087}" name="CANTIDAD" dataDxfId="2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2DCDEF1-78F6-42A3-A198-0E134076E851}" name="Tabla29" displayName="Tabla29" ref="A238:C257" totalsRowShown="0" headerRowDxfId="262">
  <autoFilter ref="A238:C257" xr:uid="{82DCDEF1-78F6-42A3-A198-0E134076E851}"/>
  <tableColumns count="3">
    <tableColumn id="1" xr3:uid="{D843E737-CDA4-4C1D-81FE-A7440FE42A49}" name="MEDIDA" dataDxfId="261"/>
    <tableColumn id="2" xr3:uid="{EAB6741A-46F7-4293-A547-4E2A886D2CDC}" name="TIPO" dataDxfId="260"/>
    <tableColumn id="3" xr3:uid="{05D49047-CD2C-423C-BC1B-C78229559191}" name="CANTIDAD" dataDxfId="25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93F4750-0298-4C5C-AE6D-1B883EE8BCBF}" name="Tabla17" displayName="Tabla17" ref="J2:P72" totalsRowShown="0" headerRowDxfId="258" tableBorderDxfId="257">
  <autoFilter ref="J2:P72" xr:uid="{393F4750-0298-4C5C-AE6D-1B883EE8BCBF}"/>
  <tableColumns count="7">
    <tableColumn id="1" xr3:uid="{A1E9696D-66B2-40BE-B2DB-14DAFA0A96C6}" name="CODIGO" dataDxfId="256">
      <calculatedColumnFormula>IFERROR(INDEX(ALNAT[CODIGO],MATCH(Tabla17[[#This Row],[TIPO]]&amp;Tabla17[[#This Row],[N°]],$I$3:$I$308,0),1),"")</calculatedColumnFormula>
    </tableColumn>
    <tableColumn id="2" xr3:uid="{4413C6CB-FFE3-4721-8975-45BC6C43878D}" name="CANTIDAD" dataDxfId="255" dataCellStyle="Normal 2">
      <calculatedColumnFormula>IFERROR(VLOOKUP(Tabla17[[#This Row],[CODIGO]],ALNAT[[CODIGO]:[DESCRIPCIÓN]],2,0),"")</calculatedColumnFormula>
    </tableColumn>
    <tableColumn id="3" xr3:uid="{CF1F5C0B-AAD1-4DEC-91D9-E85BC072968B}" name="DESCRIPCIÓN" dataDxfId="254">
      <calculatedColumnFormula>IFERROR(VLOOKUP(Tabla17[[#This Row],[CODIGO]],ALNAT[[CODIGO]:[DESCRIPCIÓN]],3,0),"")</calculatedColumnFormula>
    </tableColumn>
    <tableColumn id="4" xr3:uid="{6564DCDC-7ED2-4B1A-B6F5-66B28BE6A451}" name="PRECIO" dataDxfId="253" dataCellStyle="Moneda">
      <calculatedColumnFormula>IFERROR(VLOOKUP(Tabla17[[#This Row],[CODIGO]],ALNAT[],4,0),0)</calculatedColumnFormula>
    </tableColumn>
    <tableColumn id="5" xr3:uid="{8451AB9A-F468-4D81-A06E-00FE0977FBCD}" name="FINAL" dataDxfId="252" totalsRowDxfId="251" dataCellStyle="Moneda">
      <calculatedColumnFormula>+IFERROR(M3*K3,0)</calculatedColumnFormula>
    </tableColumn>
    <tableColumn id="6" xr3:uid="{4854DD5D-A60D-44DE-B759-35837DB98F3C}" name="N°" dataDxfId="250"/>
    <tableColumn id="7" xr3:uid="{FFFE82BF-A0FC-48EA-A500-AFB5F689791D}" name="TIPO" dataDxfId="24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76CF3A-CAF0-48D7-9974-BF7A5273A88B}" name="ALNAT" displayName="ALNAT" ref="B2:G263" headerRowDxfId="248" dataDxfId="247">
  <autoFilter ref="B2:G263" xr:uid="{2476CF3A-CAF0-48D7-9974-BF7A5273A88B}"/>
  <tableColumns count="6">
    <tableColumn id="1" xr3:uid="{F80B914B-B266-4B04-B013-A1ECAF002319}" name="CODIGO" dataDxfId="246" totalsRowDxfId="245"/>
    <tableColumn id="2" xr3:uid="{6F05F5AF-DD44-48A5-9AA0-A5C8519659DC}" name="CANTIDAD" dataDxfId="244" totalsRowDxfId="243"/>
    <tableColumn id="3" xr3:uid="{EE0EF757-84EA-47D8-989C-028CA78A887A}" name="DESCRIPCIÓN" dataDxfId="242" totalsRowDxfId="241">
      <calculatedColumnFormula>+VLOOKUP(B3,$S$1:$W$1375,2,0)</calculatedColumnFormula>
    </tableColumn>
    <tableColumn id="4" xr3:uid="{9E2FC835-075E-4A0C-8380-C63F8A7D804A}" name="PRECIO" dataDxfId="240" dataCellStyle="Moneda">
      <calculatedColumnFormula>+VLOOKUP(H3&amp;ALNAT[[#This Row],[N°]],CODIGOS_Y_COSTOS[[ID]:[COSTO]],7,0)</calculatedColumnFormula>
    </tableColumn>
    <tableColumn id="5" xr3:uid="{1FE742A5-A199-4139-AC23-E12C215BC7E2}" name="FINAL" dataDxfId="239" totalsRowDxfId="238" dataCellStyle="Moneda">
      <calculatedColumnFormula>+E3*C3</calculatedColumnFormula>
    </tableColumn>
    <tableColumn id="6" xr3:uid="{C9E2C65A-AE0C-4108-8A05-2D5C10382C23}" name="N°" dataDxfId="237" totalsRowDxfId="236" dataCellStyle="Moned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8CFD88C-032C-48F7-8FC7-B4CDD7CBD0DA}" name="Tabla24" displayName="Tabla24" ref="J74:P141" totalsRowShown="0" headerRowBorderDxfId="235" tableBorderDxfId="234" totalsRowBorderDxfId="233">
  <autoFilter ref="J74:P141" xr:uid="{28CFD88C-032C-48F7-8FC7-B4CDD7CBD0DA}"/>
  <tableColumns count="7">
    <tableColumn id="1" xr3:uid="{18B72E85-B532-421E-8E2D-238A922EC999}" name="CODIGO" dataDxfId="232"/>
    <tableColumn id="2" xr3:uid="{80B853D1-C8B4-4DF3-96AF-CD41CC2D97F5}" name="CANTIDAD" dataDxfId="231" dataCellStyle="Normal 2"/>
    <tableColumn id="3" xr3:uid="{1DC38AD0-ABDA-45AD-93AF-260E0ACEB19F}" name="DESCRIPCIÓN" dataDxfId="230"/>
    <tableColumn id="4" xr3:uid="{A09EB04E-2052-4EF8-87CF-10110C56647B}" name="Unitario" dataDxfId="229" dataCellStyle="Moneda">
      <calculatedColumnFormula>+_xlfn.XLOOKUP(Tabla24[[#This Row],[CODIGO]],CODIGOS_Y_COSTOS[CODIGO],CODIGOS_Y_COSTOS[COSTO],0,0)</calculatedColumnFormula>
    </tableColumn>
    <tableColumn id="5" xr3:uid="{7F273FD0-D3AD-4BB4-8AD8-8679FC8BD3CF}" name="Total" dataDxfId="228" dataCellStyle="Moneda">
      <calculatedColumnFormula>+Tabla24[[#This Row],[Unitario]]*Tabla24[[#This Row],[CANTIDAD]]</calculatedColumnFormula>
    </tableColumn>
    <tableColumn id="6" xr3:uid="{1137E38F-F1B7-43C7-A168-59393A126E8E}" name="Columna1" dataDxfId="227">
      <calculatedColumnFormula>+VLOOKUP(Tabla24[[#This Row],[CODIGO]],B:H,6,0)</calculatedColumnFormula>
    </tableColumn>
    <tableColumn id="7" xr3:uid="{76EA498C-2D26-4CAC-8B1B-989E4A523EA4}" name="Tipo" dataDxfId="226">
      <calculatedColumnFormula>+VLOOKUP(Tabla24[[#This Row],[CODIGO]],B:H,7,0)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E2C388-CB36-4944-BFEE-E30FCEC7432D}" name="REGATONES" displayName="REGATONES" ref="A1:I89" totalsRowShown="0" headerRowDxfId="225" dataDxfId="223" headerRowBorderDxfId="224" tableBorderDxfId="222" headerRowCellStyle="Normal 2">
  <autoFilter ref="A1:I89" xr:uid="{52E2C388-CB36-4944-BFEE-E30FCEC7432D}"/>
  <tableColumns count="9">
    <tableColumn id="1" xr3:uid="{E034EDCE-12C5-431B-A326-93FA4538837A}" name="Producto" dataDxfId="221"/>
    <tableColumn id="2" xr3:uid="{8430C008-98F0-4FDC-A7DC-C8BBBEDB3929}" name="Numero" dataDxfId="220"/>
    <tableColumn id="3" xr3:uid="{CDC105D3-DB6F-4B97-AEEA-0DFE5B0FFDE9}" name="Codigo" dataDxfId="219"/>
    <tableColumn id="4" xr3:uid="{1EA1FBBE-CBB9-4850-B307-9CEF514365CE}" name="Descripción" dataDxfId="218"/>
    <tableColumn id="5" xr3:uid="{3C63369D-E961-4359-AC8E-A8ACF98D047B}" name="COSTO" dataDxfId="217">
      <calculatedColumnFormula>+Z2</calculatedColumnFormula>
    </tableColumn>
    <tableColumn id="6" xr3:uid="{57C19FAC-A979-4561-B9C5-1B35AEDF9A9C}" name="Descuento 1" dataDxfId="216"/>
    <tableColumn id="7" xr3:uid="{2D158D41-5179-441A-BF6F-27C18D2D94CE}" name="Descuento 2" dataDxfId="215" dataCellStyle="Porcentaje 2"/>
    <tableColumn id="8" xr3:uid="{5ACB2C82-D40F-4331-865A-97247B283560}" name="Precio Unitario" dataDxfId="214" dataCellStyle="Moneda 2 2">
      <calculatedColumnFormula>+(1-F2)*(1-G2)*E2</calculatedColumnFormula>
    </tableColumn>
    <tableColumn id="9" xr3:uid="{B933C459-F899-49AC-83C9-ED0D1E56E496}" name="Producto - ID" dataDxfId="213">
      <calculatedColumnFormula>+REGATONES[[#This Row],[Producto]]&amp;REGATONES[[#This Row],[Numero]]</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043125-B619-4BA8-9DC0-F638548F41B6}" name="Tabla3" displayName="Tabla3" ref="I2:N53" totalsRowCount="1" headerRowDxfId="212" dataDxfId="211">
  <autoFilter ref="I2:N52" xr:uid="{BF043125-B619-4BA8-9DC0-F638548F41B6}"/>
  <tableColumns count="6">
    <tableColumn id="1" xr3:uid="{B320EAE7-A16B-47CC-B3EA-0CA2AA66E0C5}" name="CÓDIGO" totalsRowLabel="Total" dataDxfId="210" totalsRowDxfId="209"/>
    <tableColumn id="2" xr3:uid="{5FE91F0A-298E-4E78-A590-2A167FDA7F74}" name="DESCRIPCIÒN" dataDxfId="208" totalsRowDxfId="207"/>
    <tableColumn id="3" xr3:uid="{3DD410CE-3C7D-4339-AA04-76E3378E658B}" name="CANTIDAD" dataDxfId="206" totalsRowDxfId="205">
      <calculatedColumnFormula>+IFERROR(LEFT(RIGHT(Tabla3[[#This Row],[DESCRIPCIÒN]],4),3)+0,0)</calculatedColumnFormula>
    </tableColumn>
    <tableColumn id="4" xr3:uid="{0384B49C-79C6-4415-90F4-782EE4057D17}" name="Nº" dataDxfId="204" totalsRowDxfId="203"/>
    <tableColumn id="5" xr3:uid="{F3065A6A-0C45-40EF-A18A-7C5F602AADFD}" name="Importe" dataDxfId="202" totalsRowDxfId="201" dataCellStyle="Moneda"/>
    <tableColumn id="6" xr3:uid="{56B481B6-F767-47D8-BC66-830983CE43ED}" name="TOTAL" totalsRowFunction="sum" dataDxfId="200" totalsRowDxfId="199" dataCellStyle="Moneda">
      <calculatedColumnFormula>+Tabla3[[#This Row],[Importe]]*Tabla3[[#This Row],[CANTIDAD]]</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6A0D985-1161-44EA-8EAE-0D54DBDD057A}" name="Tabla20" displayName="Tabla20" ref="A2:B23" totalsRowShown="0" headerRowDxfId="198" headerRowBorderDxfId="197" tableBorderDxfId="196">
  <autoFilter ref="A2:B23" xr:uid="{46A0D985-1161-44EA-8EAE-0D54DBDD057A}"/>
  <tableColumns count="2">
    <tableColumn id="1" xr3:uid="{540F035A-6E45-4FAD-838E-F7204D1E6B5A}" name="CÓDIGO" dataDxfId="195">
      <calculatedColumnFormula>+IFERROR(INDEX(I:I,MATCH(D3,L:L,0),1),"-")</calculatedColumnFormula>
    </tableColumn>
    <tableColumn id="2" xr3:uid="{E454DF86-4F6A-4377-B749-CD356E3AB0C1}" name="CANTIDAD" dataDxfId="194" dataCellStyle="Normal 2">
      <calculatedColumnFormula>+VLOOKUP(Tabla20[[#This Row],[CÓDIGO]],Tabla3[[#Data],[#Totals],[CÓDIGO]:[CANTIDAD]],3,0)</calculatedColumnFormula>
    </tableColumn>
  </tableColumns>
  <tableStyleInfo name="TableStyleLight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A2EBFC6-4932-4931-BCC2-3749B7793685}" name="Tabla18" displayName="Tabla18" ref="L2:R41" totalsRowShown="0" headerRowDxfId="193" dataDxfId="192" tableBorderDxfId="191">
  <autoFilter ref="L2:R41" xr:uid="{7A2EBFC6-4932-4931-BCC2-3749B7793685}"/>
  <tableColumns count="7">
    <tableColumn id="1" xr3:uid="{C32B72E3-3BD7-480C-A891-4806C5411E2C}" name="Nº" dataDxfId="190"/>
    <tableColumn id="2" xr3:uid="{7A8C181D-AE80-48C5-838A-6D32D59F1358}" name="Descripcion" dataDxfId="189"/>
    <tableColumn id="3" xr3:uid="{A0CCBEE2-1931-4E4B-988A-9AEF1FCEEF7B}" name="Precio Lista" dataDxfId="188" dataCellStyle="Moneda"/>
    <tableColumn id="4" xr3:uid="{CFBCADC2-D661-44E4-9D0A-703987B6BB65}" name="Codigo Articulo" dataDxfId="187"/>
    <tableColumn id="5" xr3:uid="{D8B84329-7438-4AAC-94B8-832A4FDA04E0}" name="LCT Descripcion" dataDxfId="186"/>
    <tableColumn id="6" xr3:uid="{68637C16-F9EF-42BF-A658-D40E7E4007B8}" name="Unitario LCT" dataDxfId="185"/>
    <tableColumn id="7" xr3:uid="{843D233E-6D57-475A-B7AD-488CBFB8CAB1}" name="CANTIDAD" dataDxfId="1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8A34CD-FAFA-46C7-AD2F-CB7985E18A67}" name="Tabla1" displayName="Tabla1" ref="A2:C11" totalsRowCount="1" dataDxfId="183">
  <autoFilter ref="A2:C10" xr:uid="{4D8A34CD-FAFA-46C7-AD2F-CB7985E18A67}"/>
  <tableColumns count="3">
    <tableColumn id="1" xr3:uid="{D8CDEB93-29AE-4C74-A1A1-32174965E3A2}" name="MEDIDA" totalsRowLabel="Total" dataDxfId="182" totalsRowDxfId="181">
      <calculatedColumnFormula>IFERROR(VLOOKUP(D3,$I$2:$J$26,2,0),0)</calculatedColumnFormula>
    </tableColumn>
    <tableColumn id="2" xr3:uid="{A8CA9E09-599A-4A0D-A1D9-C473D6827B14}" name="CANT" totalsRowFunction="sum" dataDxfId="180"/>
    <tableColumn id="3" xr3:uid="{0A1B5502-CB41-4A27-A76F-5B4FA9EB29A2}" name="IMAGEN" dataDxfId="179">
      <calculatedColumnFormula>IFERROR(VLOOKUP(D3,$A$24:$D$48,4,0),0)</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662CDB-1BED-40DC-8FD9-80BCDF989168}" name="Tabla16" displayName="Tabla16" ref="A2:B36" totalsRowShown="0" headerRowDxfId="178" dataDxfId="177">
  <autoFilter ref="A2:B36" xr:uid="{4D8A34CD-FAFA-46C7-AD2F-CB7985E18A67}"/>
  <tableColumns count="2">
    <tableColumn id="1" xr3:uid="{317483C9-291A-4CA3-927B-499892F405C4}" name="MEDIDA" dataDxfId="176"/>
    <tableColumn id="2" xr3:uid="{CC1CBBB6-32A2-46E1-9843-F045AEA982E9}" name="CANT" dataDxfId="1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6E44B1-CC59-414F-975A-F8B6A39E6A25}" name="Tabla168" displayName="Tabla168" ref="AS2:AT22" totalsRowShown="0" headerRowDxfId="174" dataDxfId="173">
  <autoFilter ref="AS2:AT22" xr:uid="{AF6E44B1-CC59-414F-975A-F8B6A39E6A25}"/>
  <tableColumns count="2">
    <tableColumn id="1" xr3:uid="{948B240F-279D-47C9-BFC3-F27317ABC71A}" name="MEDIDA" dataDxfId="172">
      <calculatedColumnFormula>+IF(Tabla16[[#This Row],[MEDIDA]]=0,"",Tabla16[[#This Row],[MEDIDA]])</calculatedColumnFormula>
    </tableColumn>
    <tableColumn id="2" xr3:uid="{BF2BE630-3D03-4612-9FF3-032DD1D7AF1E}" name="CANT" dataDxfId="171">
      <calculatedColumnFormula>IF(Tabla16[[#This Row],[CANT]]=0,"",Tabla16[[#This Row],[CANT]])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C25F4C5-D246-4676-AA6E-30D1EB091FA6}" name="Tabla114" displayName="Tabla114" ref="A2:D27" dataDxfId="170">
  <autoFilter ref="A2:D27" xr:uid="{4D8A34CD-FAFA-46C7-AD2F-CB7985E18A67}"/>
  <tableColumns count="4">
    <tableColumn id="1" xr3:uid="{372140CD-6ECC-4932-AD22-F8BB893CA897}" name="Codigo" totalsRowLabel="Total" dataDxfId="169" totalsRowDxfId="168">
      <calculatedColumnFormula>IF(E3="","",_xlfn.XLOOKUP(E3,$R$1:$R$107,$N$1:$N$107,"",0,1))</calculatedColumnFormula>
    </tableColumn>
    <tableColumn id="2" xr3:uid="{D6A34202-7930-421D-9BF7-1CC3EE8E4478}" name="CANT" totalsRowFunction="sum" dataDxfId="167"/>
    <tableColumn id="3" xr3:uid="{9C0DBE30-F2F2-467E-8AF2-AEC48C9B1EB2}" name="Detalle" dataDxfId="166">
      <calculatedColumnFormula>IF(E3="","",_xlfn.XLOOKUP(E3,$R$1:$R$107,$S$1:$S$107,"",0,1))</calculatedColumnFormula>
    </tableColumn>
    <tableColumn id="4" xr3:uid="{4606AA49-8DC7-4DC7-845F-347B272ED18B}" name="IMAGEN" dataDxfId="165">
      <calculatedColumnFormula>IFERROR(VLOOKUP(E3,$A$74:$E$118,5,0),"")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C1207BA-9F81-4250-89BF-834B273E3D65}" name="Tabla128" displayName="Tabla128" ref="N2:U33" totalsRowShown="0" headerRowDxfId="164" dataDxfId="163">
  <autoFilter ref="N2:U33" xr:uid="{2C1207BA-9F81-4250-89BF-834B273E3D65}"/>
  <tableColumns count="8">
    <tableColumn id="1" xr3:uid="{80C40CDC-6374-4188-91F5-02EC8005FCB7}" name="CODIGO" dataDxfId="162"/>
    <tableColumn id="7" xr3:uid="{4E277678-3DBE-4523-BC25-E2DDC005DE5C}" name="Cant." dataDxfId="161"/>
    <tableColumn id="2" xr3:uid="{0D30C97A-28CA-4EEF-8ADB-AE05069247EE}" name="INDUSTRIA" dataDxfId="160"/>
    <tableColumn id="6" xr3:uid="{4F0E4A21-91EA-4895-A783-20694566D65C}" name="TIPO" dataDxfId="159"/>
    <tableColumn id="8" xr3:uid="{20BEA7FA-DC50-47E4-85A3-67310A38A876}" name="NUMERO" dataDxfId="158"/>
    <tableColumn id="3" xr3:uid="{6A3BD984-4F3F-46E0-B0A6-31006E9E5D03}" name="MEDIDA" dataDxfId="157"/>
    <tableColumn id="4" xr3:uid="{F8AEEEB0-E9F6-4C35-B963-392CC8719A98}" name="IMPORTE" dataDxfId="156" dataCellStyle="Moneda">
      <calculatedColumnFormula>+_xlfn.XLOOKUP(Tabla128[[#This Row],[CODIGO]],CODIGOS_Y_COSTOS[CODIGO],CODIGOS_Y_COSTOS[COSTO],0,0)</calculatedColumnFormula>
    </tableColumn>
    <tableColumn id="5" xr3:uid="{F51198FC-F470-4893-BD42-20E1F82FB841}" name="STOCK" dataDxfId="155"/>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13.bin"/><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5.bin"/><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s://inyect-gas.com.ar/mi-cuenta/?redir=1"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mailto:ventas@metalgrab.com.ar" TargetMode="External"/></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printerSettings" Target="../printerSettings/printerSettings23.bin"/><Relationship Id="rId1" Type="http://schemas.openxmlformats.org/officeDocument/2006/relationships/hyperlink" Target="mailto:info@lct.com.ar"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67F1A-897A-4F7B-8B65-5971245C7B94}">
  <sheetPr codeName="Hoja3"/>
  <dimension ref="A1:U3336"/>
  <sheetViews>
    <sheetView topLeftCell="A3294" zoomScaleNormal="100" zoomScaleSheetLayoutView="85" zoomScalePageLayoutView="70" workbookViewId="0">
      <selection activeCell="G1852" sqref="G1852"/>
    </sheetView>
  </sheetViews>
  <sheetFormatPr baseColWidth="10" defaultColWidth="14.28515625" defaultRowHeight="13.15" customHeight="1" x14ac:dyDescent="0.2"/>
  <cols>
    <col min="1" max="1" width="15.5703125" bestFit="1" customWidth="1"/>
    <col min="2" max="2" width="34.5703125" customWidth="1"/>
    <col min="3" max="3" width="14.7109375" customWidth="1"/>
    <col min="4" max="4" width="19" customWidth="1"/>
    <col min="5" max="6" width="50.28515625" customWidth="1"/>
    <col min="7" max="7" width="20" customWidth="1"/>
    <col min="8" max="14" width="50.28515625" customWidth="1"/>
    <col min="15" max="15" width="11.85546875" bestFit="1" customWidth="1"/>
    <col min="16" max="16" width="11.85546875" customWidth="1"/>
    <col min="17" max="17" width="11.85546875" style="1" bestFit="1" customWidth="1"/>
  </cols>
  <sheetData>
    <row r="1" spans="1:17" ht="13.15" customHeight="1" x14ac:dyDescent="0.2">
      <c r="A1" t="s">
        <v>0</v>
      </c>
      <c r="B1" t="s">
        <v>1</v>
      </c>
      <c r="C1" t="s">
        <v>2</v>
      </c>
      <c r="D1" t="s">
        <v>3</v>
      </c>
      <c r="E1" t="s">
        <v>4</v>
      </c>
      <c r="F1" t="s">
        <v>5</v>
      </c>
      <c r="G1" s="1" t="s">
        <v>6</v>
      </c>
      <c r="H1" t="s">
        <v>7</v>
      </c>
      <c r="I1" t="s">
        <v>8</v>
      </c>
      <c r="J1" t="s">
        <v>9</v>
      </c>
      <c r="K1" t="s">
        <v>10</v>
      </c>
      <c r="L1" t="s">
        <v>11</v>
      </c>
      <c r="M1" t="s">
        <v>12</v>
      </c>
      <c r="N1" t="s">
        <v>13</v>
      </c>
      <c r="Q1"/>
    </row>
    <row r="2" spans="1:17" ht="13.15" customHeight="1" x14ac:dyDescent="0.2">
      <c r="A2" s="1" t="s">
        <v>14</v>
      </c>
      <c r="B2" s="1" t="s">
        <v>15</v>
      </c>
      <c r="C2" s="580">
        <v>1</v>
      </c>
      <c r="D2" s="1">
        <v>1159.02</v>
      </c>
      <c r="E2" t="s">
        <v>16</v>
      </c>
      <c r="F2" t="s">
        <v>17</v>
      </c>
      <c r="G2" s="580">
        <v>243.39</v>
      </c>
      <c r="H2" s="1" t="s">
        <v>18</v>
      </c>
      <c r="I2" s="1"/>
      <c r="J2" s="1"/>
      <c r="K2" s="1"/>
      <c r="L2" s="1"/>
      <c r="M2" s="1"/>
      <c r="N2" s="1"/>
      <c r="Q2"/>
    </row>
    <row r="3" spans="1:17" ht="13.15" customHeight="1" x14ac:dyDescent="0.2">
      <c r="A3" s="1" t="s">
        <v>19</v>
      </c>
      <c r="B3" s="1" t="s">
        <v>15</v>
      </c>
      <c r="C3" s="580">
        <v>2</v>
      </c>
      <c r="D3" s="1">
        <v>578.92999999999995</v>
      </c>
      <c r="E3" t="s">
        <v>16</v>
      </c>
      <c r="F3" t="s">
        <v>20</v>
      </c>
      <c r="G3" s="580">
        <v>129.67500000000001</v>
      </c>
      <c r="H3" s="1" t="s">
        <v>21</v>
      </c>
      <c r="I3" s="1"/>
      <c r="J3" s="1"/>
      <c r="K3" s="1"/>
      <c r="L3" s="1"/>
      <c r="M3" s="1"/>
      <c r="N3" s="1"/>
      <c r="Q3"/>
    </row>
    <row r="4" spans="1:17" ht="13.15" customHeight="1" x14ac:dyDescent="0.2">
      <c r="A4" s="1" t="s">
        <v>22</v>
      </c>
      <c r="B4" s="1" t="s">
        <v>15</v>
      </c>
      <c r="C4" s="580">
        <v>3</v>
      </c>
      <c r="D4" s="1">
        <v>578.92999999999995</v>
      </c>
      <c r="E4" t="s">
        <v>16</v>
      </c>
      <c r="F4" t="s">
        <v>23</v>
      </c>
      <c r="G4" s="580">
        <v>141.64500000000001</v>
      </c>
      <c r="H4" s="1" t="s">
        <v>24</v>
      </c>
      <c r="I4" s="1"/>
      <c r="J4" s="1"/>
      <c r="K4" s="1"/>
      <c r="L4" s="1"/>
      <c r="M4" s="1"/>
      <c r="N4" s="1"/>
      <c r="Q4"/>
    </row>
    <row r="5" spans="1:17" ht="13.15" customHeight="1" x14ac:dyDescent="0.2">
      <c r="A5" s="1" t="s">
        <v>25</v>
      </c>
      <c r="B5" s="1" t="s">
        <v>15</v>
      </c>
      <c r="C5" s="580">
        <v>4</v>
      </c>
      <c r="D5" s="1">
        <v>654.85</v>
      </c>
      <c r="E5" t="s">
        <v>16</v>
      </c>
      <c r="F5" t="s">
        <v>26</v>
      </c>
      <c r="G5" s="580">
        <v>140.25649999999999</v>
      </c>
      <c r="H5" s="1" t="s">
        <v>27</v>
      </c>
      <c r="I5" s="1"/>
      <c r="J5" s="1"/>
      <c r="K5" s="1"/>
      <c r="L5" s="1"/>
      <c r="M5" s="1"/>
      <c r="N5" s="1"/>
      <c r="Q5"/>
    </row>
    <row r="6" spans="1:17" ht="13.15" customHeight="1" x14ac:dyDescent="0.2">
      <c r="A6" s="1" t="s">
        <v>28</v>
      </c>
      <c r="B6" s="1" t="s">
        <v>15</v>
      </c>
      <c r="C6" s="580">
        <v>5</v>
      </c>
      <c r="D6" s="1">
        <v>727.61</v>
      </c>
      <c r="E6" t="s">
        <v>16</v>
      </c>
      <c r="F6" t="s">
        <v>29</v>
      </c>
      <c r="G6" s="580">
        <v>170.46559999999999</v>
      </c>
      <c r="H6" s="1" t="s">
        <v>30</v>
      </c>
      <c r="I6" s="1"/>
      <c r="J6" s="1"/>
      <c r="K6" s="1"/>
      <c r="L6" s="1"/>
      <c r="M6" s="1"/>
      <c r="N6" s="1"/>
      <c r="Q6"/>
    </row>
    <row r="7" spans="1:17" ht="13.15" customHeight="1" x14ac:dyDescent="0.2">
      <c r="A7" s="1" t="s">
        <v>31</v>
      </c>
      <c r="B7" s="1" t="s">
        <v>15</v>
      </c>
      <c r="C7" s="580">
        <v>6</v>
      </c>
      <c r="D7" s="1">
        <v>914.71</v>
      </c>
      <c r="E7" t="s">
        <v>16</v>
      </c>
      <c r="F7" t="s">
        <v>32</v>
      </c>
      <c r="G7" s="580">
        <v>203.91130000000001</v>
      </c>
      <c r="H7" s="1" t="s">
        <v>33</v>
      </c>
      <c r="I7" s="1"/>
      <c r="J7" s="1"/>
      <c r="K7" s="1"/>
      <c r="L7" s="1"/>
      <c r="M7" s="1"/>
      <c r="N7" s="1"/>
      <c r="Q7"/>
    </row>
    <row r="8" spans="1:17" ht="13.15" customHeight="1" x14ac:dyDescent="0.2">
      <c r="A8" s="1" t="s">
        <v>34</v>
      </c>
      <c r="B8" s="1" t="s">
        <v>15</v>
      </c>
      <c r="C8" s="580">
        <v>7</v>
      </c>
      <c r="D8" s="1">
        <v>578.92999999999995</v>
      </c>
      <c r="E8" t="s">
        <v>16</v>
      </c>
      <c r="F8" t="s">
        <v>35</v>
      </c>
      <c r="G8" s="580">
        <v>137.0198</v>
      </c>
      <c r="H8" s="1" t="s">
        <v>36</v>
      </c>
      <c r="I8" s="1"/>
      <c r="J8" s="1"/>
      <c r="K8" s="1"/>
      <c r="L8" s="1"/>
      <c r="M8" s="1"/>
      <c r="N8" s="1"/>
      <c r="Q8"/>
    </row>
    <row r="9" spans="1:17" ht="13.15" customHeight="1" x14ac:dyDescent="0.2">
      <c r="A9" s="1" t="s">
        <v>37</v>
      </c>
      <c r="B9" s="1" t="s">
        <v>15</v>
      </c>
      <c r="C9" s="580">
        <v>8</v>
      </c>
      <c r="D9" s="1">
        <v>654.85</v>
      </c>
      <c r="E9" t="s">
        <v>16</v>
      </c>
      <c r="F9" t="s">
        <v>38</v>
      </c>
      <c r="G9" s="580">
        <v>151.0454</v>
      </c>
      <c r="H9" s="1" t="s">
        <v>39</v>
      </c>
      <c r="I9" s="1"/>
      <c r="J9" s="1"/>
      <c r="K9" s="1"/>
      <c r="L9" s="1"/>
      <c r="M9" s="1"/>
      <c r="N9" s="1"/>
      <c r="Q9"/>
    </row>
    <row r="10" spans="1:17" ht="13.15" customHeight="1" x14ac:dyDescent="0.2">
      <c r="A10" s="1" t="s">
        <v>40</v>
      </c>
      <c r="B10" s="1" t="s">
        <v>15</v>
      </c>
      <c r="C10" s="580">
        <v>9</v>
      </c>
      <c r="D10" s="1">
        <v>637.98</v>
      </c>
      <c r="E10" t="s">
        <v>16</v>
      </c>
      <c r="F10" t="s">
        <v>41</v>
      </c>
      <c r="G10" s="580">
        <v>153.20320000000001</v>
      </c>
      <c r="H10" s="1" t="s">
        <v>42</v>
      </c>
      <c r="I10" s="1"/>
      <c r="J10" s="1"/>
      <c r="K10" s="1"/>
      <c r="L10" s="1"/>
      <c r="M10" s="1"/>
      <c r="N10" s="1"/>
      <c r="Q10"/>
    </row>
    <row r="11" spans="1:17" ht="13.15" customHeight="1" x14ac:dyDescent="0.2">
      <c r="A11" s="1" t="s">
        <v>43</v>
      </c>
      <c r="B11" s="1" t="s">
        <v>15</v>
      </c>
      <c r="C11" s="580">
        <v>10</v>
      </c>
      <c r="D11" s="1">
        <v>771.26</v>
      </c>
      <c r="E11" t="s">
        <v>16</v>
      </c>
      <c r="F11" t="s">
        <v>44</v>
      </c>
      <c r="G11" s="580">
        <v>178.01779999999999</v>
      </c>
      <c r="H11" s="1" t="s">
        <v>45</v>
      </c>
      <c r="I11" s="1"/>
      <c r="J11" s="1"/>
      <c r="K11" s="1"/>
      <c r="L11" s="1"/>
      <c r="M11" s="1"/>
      <c r="N11" s="1"/>
      <c r="Q11"/>
    </row>
    <row r="12" spans="1:17" ht="13.15" customHeight="1" x14ac:dyDescent="0.2">
      <c r="A12" s="1" t="s">
        <v>46</v>
      </c>
      <c r="B12" s="1" t="s">
        <v>15</v>
      </c>
      <c r="C12" s="580">
        <v>11</v>
      </c>
      <c r="D12" s="1">
        <v>917.77</v>
      </c>
      <c r="E12" t="s">
        <v>16</v>
      </c>
      <c r="F12" t="s">
        <v>47</v>
      </c>
      <c r="G12" s="580">
        <v>189.52500000000001</v>
      </c>
      <c r="H12" s="1" t="s">
        <v>48</v>
      </c>
      <c r="I12" s="1"/>
      <c r="J12" s="1"/>
      <c r="K12" s="1"/>
      <c r="L12" s="1"/>
      <c r="M12" s="1"/>
      <c r="N12" s="1"/>
      <c r="Q12"/>
    </row>
    <row r="13" spans="1:17" ht="13.15" customHeight="1" x14ac:dyDescent="0.2">
      <c r="A13" s="1" t="s">
        <v>49</v>
      </c>
      <c r="B13" s="1" t="s">
        <v>15</v>
      </c>
      <c r="C13" s="580">
        <v>12</v>
      </c>
      <c r="D13" s="1">
        <v>933.24</v>
      </c>
      <c r="E13" t="s">
        <v>16</v>
      </c>
      <c r="F13" t="s">
        <v>50</v>
      </c>
      <c r="G13" s="580">
        <v>204.48750000000001</v>
      </c>
      <c r="H13" s="1" t="s">
        <v>51</v>
      </c>
      <c r="I13" s="1"/>
      <c r="J13" s="1"/>
      <c r="K13" s="1"/>
      <c r="L13" s="1"/>
      <c r="M13" s="1"/>
      <c r="N13" s="1"/>
      <c r="Q13"/>
    </row>
    <row r="14" spans="1:17" ht="13.15" customHeight="1" x14ac:dyDescent="0.2">
      <c r="A14" s="1" t="s">
        <v>52</v>
      </c>
      <c r="B14" s="1" t="s">
        <v>15</v>
      </c>
      <c r="C14" s="580">
        <v>13</v>
      </c>
      <c r="D14" s="1">
        <v>1202.08</v>
      </c>
      <c r="E14" t="s">
        <v>16</v>
      </c>
      <c r="F14" t="s">
        <v>53</v>
      </c>
      <c r="G14" s="580">
        <v>244.38749999999999</v>
      </c>
      <c r="H14" s="1" t="s">
        <v>54</v>
      </c>
      <c r="I14" s="1"/>
      <c r="J14" s="1"/>
      <c r="K14" s="1"/>
      <c r="L14" s="1"/>
      <c r="M14" s="1"/>
      <c r="N14" s="1"/>
      <c r="Q14"/>
    </row>
    <row r="15" spans="1:17" ht="13.15" customHeight="1" x14ac:dyDescent="0.2">
      <c r="A15" s="1" t="s">
        <v>55</v>
      </c>
      <c r="B15" s="1" t="s">
        <v>15</v>
      </c>
      <c r="C15" s="580">
        <v>14</v>
      </c>
      <c r="D15" s="1">
        <v>622.52</v>
      </c>
      <c r="E15" t="s">
        <v>16</v>
      </c>
      <c r="F15" t="s">
        <v>56</v>
      </c>
      <c r="G15" s="580">
        <v>140.25649999999999</v>
      </c>
      <c r="H15" s="1" t="s">
        <v>57</v>
      </c>
      <c r="I15" s="1"/>
      <c r="J15" s="1"/>
      <c r="K15" s="1"/>
      <c r="L15" s="1"/>
      <c r="M15" s="1"/>
      <c r="N15" s="1"/>
      <c r="Q15"/>
    </row>
    <row r="16" spans="1:17" ht="13.15" customHeight="1" x14ac:dyDescent="0.2">
      <c r="A16" s="1" t="s">
        <v>58</v>
      </c>
      <c r="B16" s="1" t="s">
        <v>15</v>
      </c>
      <c r="C16" s="580">
        <v>15</v>
      </c>
      <c r="D16" s="1">
        <v>800.37</v>
      </c>
      <c r="E16" t="s">
        <v>16</v>
      </c>
      <c r="F16" t="s">
        <v>59</v>
      </c>
      <c r="G16" s="580">
        <v>187.72790000000001</v>
      </c>
      <c r="H16" s="1" t="s">
        <v>60</v>
      </c>
      <c r="I16" s="1"/>
      <c r="J16" s="1"/>
      <c r="K16" s="1"/>
      <c r="L16" s="1"/>
      <c r="M16" s="1"/>
      <c r="N16" s="1"/>
      <c r="Q16"/>
    </row>
    <row r="17" spans="1:17" ht="13.15" customHeight="1" x14ac:dyDescent="0.2">
      <c r="A17" s="1" t="s">
        <v>61</v>
      </c>
      <c r="B17" s="1" t="s">
        <v>15</v>
      </c>
      <c r="C17" s="580">
        <v>16</v>
      </c>
      <c r="D17" s="1">
        <v>858.58</v>
      </c>
      <c r="E17" t="s">
        <v>16</v>
      </c>
      <c r="F17" t="s">
        <v>62</v>
      </c>
      <c r="G17" s="580">
        <v>200.6747</v>
      </c>
      <c r="H17" s="1" t="s">
        <v>63</v>
      </c>
      <c r="I17" s="1"/>
      <c r="J17" s="1"/>
      <c r="K17" s="1"/>
      <c r="L17" s="1"/>
      <c r="M17" s="1"/>
      <c r="N17" s="1"/>
      <c r="Q17"/>
    </row>
    <row r="18" spans="1:17" ht="13.15" customHeight="1" x14ac:dyDescent="0.2">
      <c r="A18" s="1" t="s">
        <v>64</v>
      </c>
      <c r="B18" s="1" t="s">
        <v>15</v>
      </c>
      <c r="C18" s="580">
        <v>17</v>
      </c>
      <c r="D18" s="1">
        <v>771.26</v>
      </c>
      <c r="E18" t="s">
        <v>16</v>
      </c>
      <c r="F18" t="s">
        <v>65</v>
      </c>
      <c r="G18" s="580">
        <v>172.6234</v>
      </c>
      <c r="H18" s="1" t="s">
        <v>66</v>
      </c>
      <c r="I18" s="1"/>
      <c r="J18" s="1"/>
      <c r="K18" s="1"/>
      <c r="L18" s="1"/>
      <c r="M18" s="1"/>
      <c r="N18" s="1"/>
      <c r="Q18"/>
    </row>
    <row r="19" spans="1:17" ht="13.15" customHeight="1" x14ac:dyDescent="0.2">
      <c r="A19" s="1" t="s">
        <v>67</v>
      </c>
      <c r="B19" s="1" t="s">
        <v>15</v>
      </c>
      <c r="C19" s="580">
        <v>18</v>
      </c>
      <c r="D19" s="1">
        <v>873.13</v>
      </c>
      <c r="E19" t="s">
        <v>16</v>
      </c>
      <c r="F19" t="s">
        <v>68</v>
      </c>
      <c r="G19" s="580">
        <v>204.99019999999999</v>
      </c>
      <c r="H19" s="1" t="s">
        <v>69</v>
      </c>
      <c r="I19" s="1"/>
      <c r="J19" s="1"/>
      <c r="K19" s="1"/>
      <c r="L19" s="1"/>
      <c r="M19" s="1"/>
      <c r="N19" s="1"/>
      <c r="Q19"/>
    </row>
    <row r="20" spans="1:17" ht="13.15" customHeight="1" x14ac:dyDescent="0.2">
      <c r="A20" s="1" t="s">
        <v>70</v>
      </c>
      <c r="B20" s="1" t="s">
        <v>15</v>
      </c>
      <c r="C20" s="580">
        <v>19</v>
      </c>
      <c r="D20" s="1">
        <v>613.98</v>
      </c>
      <c r="E20" t="s">
        <v>16</v>
      </c>
      <c r="F20" t="s">
        <v>71</v>
      </c>
      <c r="G20" s="580">
        <v>151.0454</v>
      </c>
      <c r="H20" s="1" t="s">
        <v>72</v>
      </c>
      <c r="I20" s="1"/>
      <c r="J20" s="1"/>
      <c r="K20" s="1"/>
      <c r="L20" s="1"/>
      <c r="M20" s="1"/>
      <c r="N20" s="1"/>
      <c r="Q20"/>
    </row>
    <row r="21" spans="1:17" ht="13.15" customHeight="1" x14ac:dyDescent="0.2">
      <c r="A21" s="1" t="s">
        <v>73</v>
      </c>
      <c r="B21" s="1" t="s">
        <v>15</v>
      </c>
      <c r="C21" s="580">
        <v>20</v>
      </c>
      <c r="D21" s="1">
        <v>683.95</v>
      </c>
      <c r="E21" t="s">
        <v>16</v>
      </c>
      <c r="F21" t="s">
        <v>74</v>
      </c>
      <c r="G21" s="580">
        <v>159.67660000000001</v>
      </c>
      <c r="H21" s="1" t="s">
        <v>75</v>
      </c>
      <c r="I21" s="1"/>
      <c r="J21" s="1"/>
      <c r="K21" s="1"/>
      <c r="L21" s="1"/>
      <c r="M21" s="1"/>
      <c r="N21" s="1"/>
      <c r="Q21"/>
    </row>
    <row r="22" spans="1:17" ht="13.15" customHeight="1" x14ac:dyDescent="0.2">
      <c r="A22" s="1" t="s">
        <v>76</v>
      </c>
      <c r="B22" s="1" t="s">
        <v>15</v>
      </c>
      <c r="C22" s="580">
        <v>21</v>
      </c>
      <c r="D22" s="1">
        <v>669.4</v>
      </c>
      <c r="E22" t="s">
        <v>16</v>
      </c>
      <c r="F22" t="s">
        <v>21555</v>
      </c>
      <c r="G22" s="580">
        <v>156.43989999999999</v>
      </c>
      <c r="H22" s="1" t="s">
        <v>77</v>
      </c>
      <c r="I22" s="1"/>
      <c r="J22" s="1"/>
      <c r="K22" s="1"/>
      <c r="L22" s="1"/>
      <c r="M22" s="1"/>
      <c r="N22" s="1"/>
      <c r="Q22"/>
    </row>
    <row r="23" spans="1:17" ht="13.15" customHeight="1" x14ac:dyDescent="0.2">
      <c r="A23" s="1" t="s">
        <v>78</v>
      </c>
      <c r="B23" s="1" t="s">
        <v>15</v>
      </c>
      <c r="C23" s="580">
        <v>22</v>
      </c>
      <c r="D23" s="1">
        <v>1057.97</v>
      </c>
      <c r="E23" t="s">
        <v>16</v>
      </c>
      <c r="F23" t="s">
        <v>79</v>
      </c>
      <c r="G23" s="580">
        <v>192.04349999999999</v>
      </c>
      <c r="H23" s="1" t="s">
        <v>80</v>
      </c>
      <c r="I23" s="1"/>
      <c r="J23" s="1"/>
      <c r="K23" s="1"/>
      <c r="L23" s="1"/>
      <c r="M23" s="1"/>
      <c r="N23" s="1"/>
      <c r="Q23"/>
    </row>
    <row r="24" spans="1:17" ht="13.15" customHeight="1" x14ac:dyDescent="0.2">
      <c r="A24" s="1" t="s">
        <v>81</v>
      </c>
      <c r="B24" s="1" t="s">
        <v>15</v>
      </c>
      <c r="C24" s="580">
        <v>23</v>
      </c>
      <c r="D24" s="1">
        <v>659.1</v>
      </c>
      <c r="E24" t="s">
        <v>16</v>
      </c>
      <c r="F24" t="s">
        <v>82</v>
      </c>
      <c r="G24" s="580">
        <v>153.20320000000001</v>
      </c>
      <c r="H24" s="1" t="s">
        <v>83</v>
      </c>
      <c r="I24" s="1"/>
      <c r="J24" s="1"/>
      <c r="K24" s="1"/>
      <c r="L24" s="1"/>
      <c r="M24" s="1"/>
      <c r="N24" s="1"/>
      <c r="Q24"/>
    </row>
    <row r="25" spans="1:17" ht="13.15" customHeight="1" x14ac:dyDescent="0.2">
      <c r="A25" s="1" t="s">
        <v>84</v>
      </c>
      <c r="B25" s="1" t="s">
        <v>15</v>
      </c>
      <c r="C25" s="580">
        <v>24</v>
      </c>
      <c r="D25" s="1">
        <v>517.86</v>
      </c>
      <c r="E25" t="s">
        <v>16</v>
      </c>
      <c r="F25" t="s">
        <v>85</v>
      </c>
      <c r="G25" s="580">
        <v>119.75749999999999</v>
      </c>
      <c r="H25" s="1" t="s">
        <v>86</v>
      </c>
      <c r="I25" s="1"/>
      <c r="J25" s="1"/>
      <c r="K25" s="1"/>
      <c r="L25" s="1"/>
      <c r="M25" s="1"/>
      <c r="N25" s="1"/>
      <c r="Q25"/>
    </row>
    <row r="26" spans="1:17" ht="13.15" customHeight="1" x14ac:dyDescent="0.2">
      <c r="A26" s="1" t="s">
        <v>87</v>
      </c>
      <c r="B26" s="1" t="s">
        <v>15</v>
      </c>
      <c r="C26" s="580">
        <v>25</v>
      </c>
      <c r="D26" s="1">
        <v>669.45</v>
      </c>
      <c r="E26" t="s">
        <v>16</v>
      </c>
      <c r="F26" t="s">
        <v>88</v>
      </c>
      <c r="G26" s="580">
        <v>134.86199999999999</v>
      </c>
      <c r="H26" s="1" t="s">
        <v>89</v>
      </c>
      <c r="I26" s="1"/>
      <c r="J26" s="1"/>
      <c r="K26" s="1"/>
      <c r="L26" s="1"/>
      <c r="M26" s="1"/>
      <c r="N26" s="1"/>
      <c r="Q26"/>
    </row>
    <row r="27" spans="1:17" ht="13.15" customHeight="1" x14ac:dyDescent="0.2">
      <c r="A27" s="1" t="s">
        <v>90</v>
      </c>
      <c r="B27" s="1" t="s">
        <v>15</v>
      </c>
      <c r="C27" s="580">
        <v>26</v>
      </c>
      <c r="D27" s="1">
        <v>785.82</v>
      </c>
      <c r="E27" t="s">
        <v>16</v>
      </c>
      <c r="F27" t="s">
        <v>91</v>
      </c>
      <c r="G27" s="580">
        <v>183.41229999999999</v>
      </c>
      <c r="H27" s="1" t="s">
        <v>92</v>
      </c>
      <c r="I27" s="1"/>
      <c r="J27" s="1"/>
      <c r="K27" s="1"/>
      <c r="L27" s="1"/>
      <c r="M27" s="1"/>
      <c r="N27" s="1"/>
      <c r="Q27"/>
    </row>
    <row r="28" spans="1:17" ht="13.15" customHeight="1" x14ac:dyDescent="0.2">
      <c r="A28" s="1" t="s">
        <v>93</v>
      </c>
      <c r="B28" s="1" t="s">
        <v>15</v>
      </c>
      <c r="C28" s="580">
        <v>27</v>
      </c>
      <c r="D28" s="1">
        <v>776.79</v>
      </c>
      <c r="E28" t="s">
        <v>16</v>
      </c>
      <c r="F28" t="s">
        <v>94</v>
      </c>
      <c r="G28" s="580">
        <v>180.1756</v>
      </c>
      <c r="H28" s="1" t="s">
        <v>95</v>
      </c>
      <c r="I28" s="1"/>
      <c r="J28" s="1"/>
      <c r="K28" s="1"/>
      <c r="L28" s="1"/>
      <c r="M28" s="1"/>
      <c r="N28" s="1"/>
      <c r="Q28"/>
    </row>
    <row r="29" spans="1:17" ht="13.15" customHeight="1" x14ac:dyDescent="0.2">
      <c r="A29" s="1" t="s">
        <v>96</v>
      </c>
      <c r="B29" s="1" t="s">
        <v>15</v>
      </c>
      <c r="C29" s="580">
        <v>28</v>
      </c>
      <c r="D29" s="1">
        <v>776.79</v>
      </c>
      <c r="E29" t="s">
        <v>16</v>
      </c>
      <c r="F29" t="s">
        <v>97</v>
      </c>
      <c r="G29" s="580">
        <v>180.1756</v>
      </c>
      <c r="H29" s="1" t="s">
        <v>98</v>
      </c>
      <c r="I29" s="1"/>
      <c r="J29" s="1"/>
      <c r="K29" s="1"/>
      <c r="L29" s="1"/>
      <c r="M29" s="1"/>
      <c r="N29" s="1"/>
      <c r="Q29"/>
    </row>
    <row r="30" spans="1:17" ht="13.15" customHeight="1" x14ac:dyDescent="0.2">
      <c r="A30" s="1" t="s">
        <v>99</v>
      </c>
      <c r="B30" s="1" t="s">
        <v>15</v>
      </c>
      <c r="C30" s="580">
        <v>29</v>
      </c>
      <c r="D30" s="1">
        <v>785.82</v>
      </c>
      <c r="E30" t="s">
        <v>16</v>
      </c>
      <c r="F30" t="s">
        <v>100</v>
      </c>
      <c r="G30" s="580">
        <v>180.1756</v>
      </c>
      <c r="H30" s="1" t="s">
        <v>101</v>
      </c>
      <c r="I30" s="1"/>
      <c r="J30" s="1"/>
      <c r="K30" s="1"/>
      <c r="L30" s="1"/>
      <c r="M30" s="1"/>
      <c r="N30" s="1"/>
      <c r="Q30"/>
    </row>
    <row r="31" spans="1:17" ht="13.15" customHeight="1" x14ac:dyDescent="0.2">
      <c r="A31" s="1" t="s">
        <v>102</v>
      </c>
      <c r="B31" s="1" t="s">
        <v>15</v>
      </c>
      <c r="C31" s="580">
        <v>30</v>
      </c>
      <c r="D31" s="1">
        <v>626.20000000000005</v>
      </c>
      <c r="E31" t="s">
        <v>16</v>
      </c>
      <c r="F31" t="s">
        <v>103</v>
      </c>
      <c r="G31" s="580">
        <v>157.60499999999999</v>
      </c>
      <c r="H31" s="1" t="s">
        <v>104</v>
      </c>
      <c r="I31" s="1"/>
      <c r="J31" s="1"/>
      <c r="K31" s="1"/>
      <c r="L31" s="1"/>
      <c r="M31" s="1"/>
      <c r="N31" s="1"/>
      <c r="Q31"/>
    </row>
    <row r="32" spans="1:17" ht="13.15" customHeight="1" x14ac:dyDescent="0.2">
      <c r="A32" s="1" t="s">
        <v>105</v>
      </c>
      <c r="B32" s="1" t="s">
        <v>15</v>
      </c>
      <c r="C32" s="580">
        <v>31</v>
      </c>
      <c r="D32" s="1">
        <v>637.98</v>
      </c>
      <c r="E32" t="s">
        <v>16</v>
      </c>
      <c r="F32" t="s">
        <v>106</v>
      </c>
      <c r="G32" s="580">
        <v>127.30970000000001</v>
      </c>
      <c r="H32" s="1" t="s">
        <v>107</v>
      </c>
      <c r="I32" s="1"/>
      <c r="J32" s="1"/>
      <c r="K32" s="1"/>
      <c r="L32" s="1"/>
      <c r="M32" s="1"/>
      <c r="N32" s="1"/>
      <c r="Q32"/>
    </row>
    <row r="33" spans="1:17" ht="13.15" customHeight="1" x14ac:dyDescent="0.2">
      <c r="A33" s="1" t="s">
        <v>108</v>
      </c>
      <c r="B33" s="1" t="s">
        <v>15</v>
      </c>
      <c r="C33" s="580">
        <v>32</v>
      </c>
      <c r="D33" s="1">
        <v>785.82</v>
      </c>
      <c r="E33" t="s">
        <v>16</v>
      </c>
      <c r="F33" t="s">
        <v>109</v>
      </c>
      <c r="G33" s="580">
        <v>183.41229999999999</v>
      </c>
      <c r="H33" s="1" t="s">
        <v>110</v>
      </c>
      <c r="I33" s="1"/>
      <c r="J33" s="1"/>
      <c r="K33" s="1"/>
      <c r="L33" s="1"/>
      <c r="M33" s="1"/>
      <c r="N33" s="1"/>
      <c r="Q33"/>
    </row>
    <row r="34" spans="1:17" ht="13.15" customHeight="1" x14ac:dyDescent="0.2">
      <c r="A34" s="1" t="s">
        <v>111</v>
      </c>
      <c r="B34" s="1" t="s">
        <v>15</v>
      </c>
      <c r="C34" s="580">
        <v>33</v>
      </c>
      <c r="D34" s="1">
        <v>591.04999999999995</v>
      </c>
      <c r="E34" t="s">
        <v>16</v>
      </c>
      <c r="F34" t="s">
        <v>112</v>
      </c>
      <c r="G34" s="580">
        <v>131.62530000000001</v>
      </c>
      <c r="H34" s="1" t="s">
        <v>113</v>
      </c>
      <c r="I34" s="1"/>
      <c r="J34" s="1"/>
      <c r="K34" s="1"/>
      <c r="L34" s="1"/>
      <c r="M34" s="1"/>
      <c r="N34" s="1"/>
      <c r="Q34"/>
    </row>
    <row r="35" spans="1:17" ht="13.15" customHeight="1" x14ac:dyDescent="0.2">
      <c r="A35" s="1" t="s">
        <v>114</v>
      </c>
      <c r="B35" s="1" t="s">
        <v>15</v>
      </c>
      <c r="C35" s="580">
        <v>34</v>
      </c>
      <c r="D35" s="1">
        <v>659.1</v>
      </c>
      <c r="E35" t="s">
        <v>16</v>
      </c>
      <c r="F35" t="s">
        <v>115</v>
      </c>
      <c r="G35" s="580">
        <v>153.20320000000001</v>
      </c>
      <c r="H35" s="1" t="s">
        <v>116</v>
      </c>
      <c r="I35" s="1"/>
      <c r="J35" s="1"/>
      <c r="K35" s="1"/>
      <c r="L35" s="1"/>
      <c r="M35" s="1"/>
      <c r="N35" s="1"/>
      <c r="Q35"/>
    </row>
    <row r="36" spans="1:17" ht="13.15" customHeight="1" x14ac:dyDescent="0.2">
      <c r="A36" s="1" t="s">
        <v>117</v>
      </c>
      <c r="B36" s="1" t="s">
        <v>15</v>
      </c>
      <c r="C36" s="580">
        <v>35</v>
      </c>
      <c r="D36" s="1">
        <v>771.26</v>
      </c>
      <c r="E36" t="s">
        <v>16</v>
      </c>
      <c r="F36" t="s">
        <v>118</v>
      </c>
      <c r="G36" s="580">
        <v>180.1756</v>
      </c>
      <c r="H36" s="1" t="s">
        <v>119</v>
      </c>
      <c r="I36" s="1"/>
      <c r="J36" s="1"/>
      <c r="K36" s="1"/>
      <c r="L36" s="1"/>
      <c r="M36" s="1"/>
      <c r="N36" s="1"/>
      <c r="Q36"/>
    </row>
    <row r="37" spans="1:17" ht="13.15" customHeight="1" x14ac:dyDescent="0.2">
      <c r="A37" s="1" t="s">
        <v>120</v>
      </c>
      <c r="B37" s="1" t="s">
        <v>15</v>
      </c>
      <c r="C37" s="580">
        <v>36</v>
      </c>
      <c r="D37" s="1">
        <v>727.61</v>
      </c>
      <c r="E37" t="s">
        <v>16</v>
      </c>
      <c r="F37" t="s">
        <v>121</v>
      </c>
      <c r="G37" s="580">
        <v>168.30779999999999</v>
      </c>
      <c r="H37" s="1" t="s">
        <v>122</v>
      </c>
      <c r="I37" s="1"/>
      <c r="J37" s="1"/>
      <c r="K37" s="1"/>
      <c r="L37" s="1"/>
      <c r="M37" s="1"/>
      <c r="N37" s="1"/>
      <c r="Q37"/>
    </row>
    <row r="38" spans="1:17" ht="13.15" customHeight="1" x14ac:dyDescent="0.2">
      <c r="A38" s="1" t="s">
        <v>123</v>
      </c>
      <c r="B38" s="1" t="s">
        <v>15</v>
      </c>
      <c r="C38" s="580">
        <v>37</v>
      </c>
      <c r="D38" s="1">
        <v>669.4</v>
      </c>
      <c r="E38" t="s">
        <v>16</v>
      </c>
      <c r="F38" t="s">
        <v>124</v>
      </c>
      <c r="G38" s="580">
        <v>156.43989999999999</v>
      </c>
      <c r="H38" s="1" t="s">
        <v>125</v>
      </c>
      <c r="I38" s="1"/>
      <c r="J38" s="1"/>
      <c r="K38" s="1"/>
      <c r="L38" s="1"/>
      <c r="M38" s="1"/>
      <c r="N38" s="1"/>
      <c r="Q38"/>
    </row>
    <row r="39" spans="1:17" ht="13.15" customHeight="1" x14ac:dyDescent="0.2">
      <c r="A39" s="1" t="s">
        <v>126</v>
      </c>
      <c r="B39" s="1" t="s">
        <v>15</v>
      </c>
      <c r="C39" s="580">
        <v>38</v>
      </c>
      <c r="D39" s="1">
        <v>964.7</v>
      </c>
      <c r="E39" t="s">
        <v>16</v>
      </c>
      <c r="F39" t="s">
        <v>127</v>
      </c>
      <c r="G39" s="580">
        <v>167.58</v>
      </c>
      <c r="H39" s="1" t="s">
        <v>128</v>
      </c>
      <c r="I39" s="1"/>
      <c r="J39" s="1"/>
      <c r="K39" s="1"/>
      <c r="L39" s="1"/>
      <c r="M39" s="1"/>
      <c r="N39" s="1"/>
      <c r="Q39"/>
    </row>
    <row r="40" spans="1:17" ht="13.15" customHeight="1" x14ac:dyDescent="0.2">
      <c r="A40" s="1" t="s">
        <v>129</v>
      </c>
      <c r="B40" s="1" t="s">
        <v>15</v>
      </c>
      <c r="C40" s="580">
        <v>39</v>
      </c>
      <c r="D40" s="1">
        <v>654.85</v>
      </c>
      <c r="E40" t="s">
        <v>16</v>
      </c>
      <c r="F40" t="s">
        <v>130</v>
      </c>
      <c r="G40" s="580">
        <v>140.25649999999999</v>
      </c>
      <c r="H40" s="1" t="s">
        <v>131</v>
      </c>
      <c r="I40" s="1"/>
      <c r="J40" s="1"/>
      <c r="K40" s="1"/>
      <c r="L40" s="1"/>
      <c r="M40" s="1"/>
      <c r="N40" s="1"/>
      <c r="Q40"/>
    </row>
    <row r="41" spans="1:17" ht="13.15" customHeight="1" x14ac:dyDescent="0.2">
      <c r="A41" s="1" t="s">
        <v>132</v>
      </c>
      <c r="B41" s="1" t="s">
        <v>15</v>
      </c>
      <c r="C41" s="580">
        <v>40</v>
      </c>
      <c r="D41" s="1">
        <v>668.91</v>
      </c>
      <c r="E41" t="s">
        <v>16</v>
      </c>
      <c r="F41" t="s">
        <v>133</v>
      </c>
      <c r="G41" s="580">
        <v>151.0454</v>
      </c>
      <c r="H41" s="1" t="s">
        <v>134</v>
      </c>
      <c r="I41" s="1"/>
      <c r="J41" s="1"/>
      <c r="K41" s="1"/>
      <c r="L41" s="1"/>
      <c r="M41" s="1"/>
      <c r="N41" s="1"/>
      <c r="Q41"/>
    </row>
    <row r="42" spans="1:17" ht="13.15" customHeight="1" x14ac:dyDescent="0.2">
      <c r="A42" s="1" t="s">
        <v>135</v>
      </c>
      <c r="B42" s="1" t="s">
        <v>15</v>
      </c>
      <c r="C42" s="580">
        <v>41</v>
      </c>
      <c r="D42" s="1">
        <v>625.74</v>
      </c>
      <c r="E42" t="s">
        <v>16</v>
      </c>
      <c r="F42" t="s">
        <v>136</v>
      </c>
      <c r="G42" s="580">
        <v>146.72989999999999</v>
      </c>
      <c r="H42" s="1" t="s">
        <v>137</v>
      </c>
      <c r="I42" s="1"/>
      <c r="J42" s="1"/>
      <c r="K42" s="1"/>
      <c r="L42" s="1"/>
      <c r="M42" s="1"/>
      <c r="N42" s="1"/>
      <c r="Q42"/>
    </row>
    <row r="43" spans="1:17" ht="13.15" customHeight="1" x14ac:dyDescent="0.2">
      <c r="A43" s="1" t="s">
        <v>138</v>
      </c>
      <c r="B43" s="1" t="s">
        <v>15</v>
      </c>
      <c r="C43" s="580">
        <v>42</v>
      </c>
      <c r="D43" s="1">
        <v>684.31</v>
      </c>
      <c r="E43" t="s">
        <v>16</v>
      </c>
      <c r="F43" t="s">
        <v>139</v>
      </c>
      <c r="G43" s="580">
        <v>129.67500000000001</v>
      </c>
      <c r="H43" s="1" t="s">
        <v>140</v>
      </c>
      <c r="I43" s="1"/>
      <c r="J43" s="1"/>
      <c r="K43" s="1"/>
      <c r="L43" s="1"/>
      <c r="M43" s="1"/>
      <c r="N43" s="1"/>
      <c r="Q43"/>
    </row>
    <row r="44" spans="1:17" ht="13.15" customHeight="1" x14ac:dyDescent="0.2">
      <c r="A44" s="1" t="s">
        <v>141</v>
      </c>
      <c r="B44" s="1" t="s">
        <v>15</v>
      </c>
      <c r="C44" s="580">
        <v>43</v>
      </c>
      <c r="D44" s="1">
        <v>578.92999999999995</v>
      </c>
      <c r="E44" t="s">
        <v>16</v>
      </c>
      <c r="F44" t="s">
        <v>142</v>
      </c>
      <c r="G44" s="580">
        <v>135.66</v>
      </c>
      <c r="H44" s="1" t="s">
        <v>143</v>
      </c>
      <c r="I44" s="1"/>
      <c r="J44" s="1"/>
      <c r="K44" s="1"/>
      <c r="L44" s="1"/>
      <c r="M44" s="1"/>
      <c r="N44" s="1"/>
      <c r="Q44"/>
    </row>
    <row r="45" spans="1:17" ht="13.15" customHeight="1" x14ac:dyDescent="0.2">
      <c r="A45" s="1" t="s">
        <v>144</v>
      </c>
      <c r="B45" s="1" t="s">
        <v>15</v>
      </c>
      <c r="C45" s="580">
        <v>44</v>
      </c>
      <c r="D45" s="1">
        <v>683.95</v>
      </c>
      <c r="E45" t="s">
        <v>16</v>
      </c>
      <c r="F45" t="s">
        <v>145</v>
      </c>
      <c r="G45" s="580">
        <v>161.595</v>
      </c>
      <c r="H45" s="1" t="s">
        <v>146</v>
      </c>
      <c r="I45" s="1"/>
      <c r="J45" s="1"/>
      <c r="K45" s="1"/>
      <c r="L45" s="1"/>
      <c r="M45" s="1"/>
      <c r="N45" s="1"/>
      <c r="Q45"/>
    </row>
    <row r="46" spans="1:17" ht="13.15" customHeight="1" x14ac:dyDescent="0.2">
      <c r="A46" s="1" t="s">
        <v>147</v>
      </c>
      <c r="B46" s="1" t="s">
        <v>15</v>
      </c>
      <c r="C46" s="580">
        <v>45</v>
      </c>
      <c r="D46" s="1">
        <v>659.1</v>
      </c>
      <c r="E46" t="s">
        <v>16</v>
      </c>
      <c r="F46" t="s">
        <v>148</v>
      </c>
      <c r="G46" s="580">
        <v>157.60499999999999</v>
      </c>
      <c r="H46" s="1" t="s">
        <v>149</v>
      </c>
      <c r="I46" s="1"/>
      <c r="J46" s="1"/>
      <c r="K46" s="1"/>
      <c r="L46" s="1"/>
      <c r="M46" s="1"/>
      <c r="N46" s="1"/>
      <c r="Q46"/>
    </row>
    <row r="47" spans="1:17" ht="13.15" customHeight="1" x14ac:dyDescent="0.2">
      <c r="A47" s="1" t="s">
        <v>150</v>
      </c>
      <c r="B47" s="1" t="s">
        <v>15</v>
      </c>
      <c r="C47" s="580">
        <v>46</v>
      </c>
      <c r="D47" s="1">
        <v>626.20000000000005</v>
      </c>
      <c r="E47" t="s">
        <v>16</v>
      </c>
      <c r="F47" t="s">
        <v>151</v>
      </c>
      <c r="G47" s="580">
        <v>157.60499999999999</v>
      </c>
      <c r="H47" s="1" t="s">
        <v>152</v>
      </c>
      <c r="I47" s="1"/>
      <c r="J47" s="1"/>
      <c r="K47" s="1"/>
      <c r="L47" s="1"/>
      <c r="M47" s="1"/>
      <c r="N47" s="1"/>
      <c r="Q47"/>
    </row>
    <row r="48" spans="1:17" ht="13.15" customHeight="1" x14ac:dyDescent="0.2">
      <c r="A48" s="1" t="s">
        <v>153</v>
      </c>
      <c r="B48" s="1" t="s">
        <v>15</v>
      </c>
      <c r="C48" s="580">
        <v>47</v>
      </c>
      <c r="D48" s="1">
        <v>887.5</v>
      </c>
      <c r="E48" t="s">
        <v>16</v>
      </c>
      <c r="F48" t="s">
        <v>154</v>
      </c>
      <c r="G48" s="580">
        <v>127.68</v>
      </c>
      <c r="H48" s="1" t="s">
        <v>155</v>
      </c>
      <c r="I48" s="1"/>
      <c r="J48" s="1"/>
      <c r="K48" s="1"/>
      <c r="L48" s="1"/>
      <c r="M48" s="1"/>
      <c r="N48" s="1"/>
      <c r="Q48"/>
    </row>
    <row r="49" spans="1:17" ht="13.15" customHeight="1" x14ac:dyDescent="0.2">
      <c r="A49" s="1" t="s">
        <v>156</v>
      </c>
      <c r="B49" s="1" t="s">
        <v>15</v>
      </c>
      <c r="C49" s="580">
        <v>48</v>
      </c>
      <c r="D49" s="1">
        <v>668.91</v>
      </c>
      <c r="E49" t="s">
        <v>16</v>
      </c>
      <c r="F49" t="s">
        <v>157</v>
      </c>
      <c r="G49" s="580">
        <v>170.57249999999999</v>
      </c>
      <c r="H49" s="1" t="s">
        <v>158</v>
      </c>
      <c r="I49" s="1"/>
      <c r="J49" s="1"/>
      <c r="K49" s="1"/>
      <c r="L49" s="1"/>
      <c r="M49" s="1"/>
      <c r="N49" s="1"/>
      <c r="Q49"/>
    </row>
    <row r="50" spans="1:17" ht="13.15" customHeight="1" x14ac:dyDescent="0.2">
      <c r="A50" s="1" t="s">
        <v>159</v>
      </c>
      <c r="B50" s="1" t="s">
        <v>15</v>
      </c>
      <c r="C50" s="580">
        <v>49</v>
      </c>
      <c r="D50" s="1">
        <v>669.45</v>
      </c>
      <c r="E50" t="s">
        <v>16</v>
      </c>
      <c r="F50" t="s">
        <v>160</v>
      </c>
      <c r="G50" s="580">
        <v>159.6</v>
      </c>
      <c r="H50" s="1" t="s">
        <v>161</v>
      </c>
      <c r="I50" s="1"/>
      <c r="J50" s="1"/>
      <c r="K50" s="1"/>
      <c r="L50" s="1"/>
      <c r="M50" s="1"/>
      <c r="N50" s="1"/>
      <c r="Q50"/>
    </row>
    <row r="51" spans="1:17" ht="13.15" customHeight="1" x14ac:dyDescent="0.2">
      <c r="A51" s="1" t="s">
        <v>162</v>
      </c>
      <c r="B51" s="1" t="s">
        <v>15</v>
      </c>
      <c r="C51" s="580">
        <v>50</v>
      </c>
      <c r="D51" s="1">
        <v>964.7</v>
      </c>
      <c r="E51" t="s">
        <v>16</v>
      </c>
      <c r="F51" t="s">
        <v>163</v>
      </c>
      <c r="G51" s="580">
        <v>204.48750000000001</v>
      </c>
      <c r="H51" s="1" t="s">
        <v>164</v>
      </c>
      <c r="I51" s="1"/>
      <c r="J51" s="1"/>
      <c r="K51" s="1"/>
      <c r="L51" s="1"/>
      <c r="M51" s="1"/>
      <c r="N51" s="1"/>
      <c r="Q51"/>
    </row>
    <row r="52" spans="1:17" ht="13.15" customHeight="1" x14ac:dyDescent="0.2">
      <c r="A52" s="1" t="s">
        <v>165</v>
      </c>
      <c r="B52" s="1" t="s">
        <v>15</v>
      </c>
      <c r="C52" s="580">
        <v>51</v>
      </c>
      <c r="D52" s="1">
        <v>964.7</v>
      </c>
      <c r="E52" t="s">
        <v>16</v>
      </c>
      <c r="F52" t="s">
        <v>166</v>
      </c>
      <c r="G52" s="580">
        <v>199.5</v>
      </c>
      <c r="H52" s="1" t="s">
        <v>167</v>
      </c>
      <c r="I52" s="1"/>
      <c r="J52" s="1"/>
      <c r="K52" s="1"/>
      <c r="L52" s="1"/>
      <c r="M52" s="1"/>
      <c r="N52" s="1"/>
      <c r="Q52"/>
    </row>
    <row r="53" spans="1:17" ht="13.15" customHeight="1" x14ac:dyDescent="0.2">
      <c r="A53" s="1" t="s">
        <v>168</v>
      </c>
      <c r="B53" s="1" t="s">
        <v>15</v>
      </c>
      <c r="C53" s="580">
        <v>52</v>
      </c>
      <c r="D53" s="1">
        <v>669.45</v>
      </c>
      <c r="E53" t="s">
        <v>16</v>
      </c>
      <c r="F53" t="s">
        <v>169</v>
      </c>
      <c r="G53" s="580">
        <v>137.655</v>
      </c>
      <c r="H53" s="1" t="s">
        <v>170</v>
      </c>
      <c r="I53" s="1"/>
      <c r="J53" s="1"/>
      <c r="K53" s="1"/>
      <c r="L53" s="1"/>
      <c r="M53" s="1"/>
      <c r="N53" s="1"/>
      <c r="Q53"/>
    </row>
    <row r="54" spans="1:17" ht="13.15" customHeight="1" x14ac:dyDescent="0.2">
      <c r="A54" s="1" t="s">
        <v>171</v>
      </c>
      <c r="B54" s="1" t="s">
        <v>15</v>
      </c>
      <c r="C54" s="580">
        <v>53</v>
      </c>
      <c r="D54" s="1">
        <v>1018.65</v>
      </c>
      <c r="E54" t="s">
        <v>16</v>
      </c>
      <c r="F54" t="s">
        <v>172</v>
      </c>
      <c r="G54" s="580">
        <v>237.405</v>
      </c>
      <c r="H54" s="1" t="s">
        <v>173</v>
      </c>
      <c r="I54" s="1"/>
      <c r="J54" s="1"/>
      <c r="K54" s="1"/>
      <c r="L54" s="1"/>
      <c r="M54" s="1"/>
      <c r="N54" s="1"/>
      <c r="Q54"/>
    </row>
    <row r="55" spans="1:17" ht="13.15" customHeight="1" x14ac:dyDescent="0.2">
      <c r="A55" s="1" t="s">
        <v>174</v>
      </c>
      <c r="B55" s="1" t="s">
        <v>15</v>
      </c>
      <c r="C55" s="580">
        <v>54</v>
      </c>
      <c r="D55" s="1">
        <v>669.45</v>
      </c>
      <c r="E55" t="s">
        <v>16</v>
      </c>
      <c r="F55" t="s">
        <v>175</v>
      </c>
      <c r="G55" s="580">
        <v>154.61250000000001</v>
      </c>
      <c r="H55" s="1" t="s">
        <v>176</v>
      </c>
      <c r="I55" s="1"/>
      <c r="J55" s="1"/>
      <c r="K55" s="1"/>
      <c r="L55" s="1"/>
      <c r="M55" s="1"/>
      <c r="N55" s="1"/>
      <c r="Q55"/>
    </row>
    <row r="56" spans="1:17" ht="13.15" customHeight="1" x14ac:dyDescent="0.2">
      <c r="A56" s="1" t="s">
        <v>177</v>
      </c>
      <c r="B56" s="1" t="s">
        <v>15</v>
      </c>
      <c r="C56" s="580">
        <v>55</v>
      </c>
      <c r="D56" s="1">
        <v>778.17</v>
      </c>
      <c r="E56" t="s">
        <v>16</v>
      </c>
      <c r="F56" t="s">
        <v>178</v>
      </c>
      <c r="G56" s="580">
        <v>154.61250000000001</v>
      </c>
      <c r="H56" s="1" t="s">
        <v>179</v>
      </c>
      <c r="I56" s="1"/>
      <c r="J56" s="1"/>
      <c r="K56" s="1"/>
      <c r="L56" s="1"/>
      <c r="M56" s="1"/>
      <c r="N56" s="1"/>
      <c r="Q56"/>
    </row>
    <row r="57" spans="1:17" ht="13.15" customHeight="1" x14ac:dyDescent="0.2">
      <c r="A57" s="1" t="s">
        <v>180</v>
      </c>
      <c r="B57" s="1" t="s">
        <v>15</v>
      </c>
      <c r="C57" s="580">
        <v>56</v>
      </c>
      <c r="D57" s="1">
        <v>578.92999999999995</v>
      </c>
      <c r="E57" t="s">
        <v>16</v>
      </c>
      <c r="F57" t="s">
        <v>181</v>
      </c>
      <c r="G57" s="580">
        <v>118.7025</v>
      </c>
      <c r="H57" s="1" t="s">
        <v>182</v>
      </c>
      <c r="I57" s="1"/>
      <c r="J57" s="1"/>
      <c r="K57" s="1"/>
      <c r="L57" s="1"/>
      <c r="M57" s="1"/>
      <c r="N57" s="1"/>
      <c r="Q57"/>
    </row>
    <row r="58" spans="1:17" ht="13.15" customHeight="1" x14ac:dyDescent="0.2">
      <c r="A58" s="1" t="s">
        <v>183</v>
      </c>
      <c r="B58" s="1" t="s">
        <v>15</v>
      </c>
      <c r="C58" s="580">
        <v>57</v>
      </c>
      <c r="D58" s="1">
        <v>1845.05</v>
      </c>
      <c r="E58" t="s">
        <v>16</v>
      </c>
      <c r="F58" t="s">
        <v>184</v>
      </c>
      <c r="G58" s="580">
        <v>399</v>
      </c>
      <c r="H58" s="1" t="s">
        <v>185</v>
      </c>
      <c r="I58" s="1"/>
      <c r="J58" s="1"/>
      <c r="K58" s="1"/>
      <c r="L58" s="1"/>
      <c r="M58" s="1"/>
      <c r="N58" s="1"/>
      <c r="Q58"/>
    </row>
    <row r="59" spans="1:17" ht="13.15" customHeight="1" x14ac:dyDescent="0.2">
      <c r="A59" s="1" t="s">
        <v>186</v>
      </c>
      <c r="B59" s="1" t="s">
        <v>15</v>
      </c>
      <c r="C59" s="580">
        <v>58</v>
      </c>
      <c r="D59" s="1">
        <v>1088.8399999999999</v>
      </c>
      <c r="E59" t="s">
        <v>16</v>
      </c>
      <c r="F59" t="s">
        <v>187</v>
      </c>
      <c r="G59" s="580">
        <v>159.6</v>
      </c>
      <c r="H59" s="1" t="s">
        <v>188</v>
      </c>
      <c r="I59" s="1"/>
      <c r="J59" s="1"/>
      <c r="K59" s="1"/>
      <c r="L59" s="1"/>
      <c r="M59" s="1"/>
      <c r="N59" s="1"/>
      <c r="Q59"/>
    </row>
    <row r="60" spans="1:17" ht="13.15" customHeight="1" x14ac:dyDescent="0.2">
      <c r="A60" s="1" t="s">
        <v>189</v>
      </c>
      <c r="B60" s="1" t="s">
        <v>15</v>
      </c>
      <c r="C60" s="580">
        <v>59</v>
      </c>
      <c r="D60" s="1">
        <v>964.7</v>
      </c>
      <c r="E60" t="s">
        <v>16</v>
      </c>
      <c r="F60" t="s">
        <v>190</v>
      </c>
      <c r="G60" s="580">
        <v>149.625</v>
      </c>
      <c r="H60" s="1" t="s">
        <v>188</v>
      </c>
      <c r="I60" s="1"/>
      <c r="J60" s="1"/>
      <c r="K60" s="1"/>
      <c r="L60" s="1"/>
      <c r="M60" s="1"/>
      <c r="N60" s="1"/>
      <c r="Q60"/>
    </row>
    <row r="61" spans="1:17" ht="13.15" customHeight="1" x14ac:dyDescent="0.2">
      <c r="A61" s="1" t="s">
        <v>191</v>
      </c>
      <c r="B61" s="1" t="s">
        <v>15</v>
      </c>
      <c r="C61" s="580">
        <v>60</v>
      </c>
      <c r="D61" s="1">
        <v>964.7</v>
      </c>
      <c r="E61" t="s">
        <v>16</v>
      </c>
      <c r="F61" t="s">
        <v>192</v>
      </c>
      <c r="G61" s="580">
        <v>149.625</v>
      </c>
      <c r="H61" s="1" t="s">
        <v>193</v>
      </c>
      <c r="I61" s="1"/>
      <c r="J61" s="1"/>
      <c r="K61" s="1"/>
      <c r="L61" s="1"/>
      <c r="M61" s="1"/>
      <c r="N61" s="1"/>
      <c r="Q61"/>
    </row>
    <row r="62" spans="1:17" ht="13.15" customHeight="1" x14ac:dyDescent="0.2">
      <c r="A62" s="1" t="s">
        <v>194</v>
      </c>
      <c r="B62" s="1" t="s">
        <v>15</v>
      </c>
      <c r="C62" s="580">
        <v>61</v>
      </c>
      <c r="D62" s="1">
        <v>910.22</v>
      </c>
      <c r="E62" t="s">
        <v>16</v>
      </c>
      <c r="F62" t="s">
        <v>195</v>
      </c>
      <c r="G62" s="580">
        <v>211.47</v>
      </c>
      <c r="H62" s="1" t="s">
        <v>196</v>
      </c>
      <c r="I62" s="1"/>
      <c r="J62" s="1"/>
      <c r="K62" s="1"/>
      <c r="L62" s="1"/>
      <c r="M62" s="1"/>
      <c r="N62" s="1"/>
      <c r="Q62"/>
    </row>
    <row r="63" spans="1:17" ht="13.15" customHeight="1" x14ac:dyDescent="0.2">
      <c r="A63" s="1" t="s">
        <v>197</v>
      </c>
      <c r="B63" s="1" t="s">
        <v>15</v>
      </c>
      <c r="C63" s="580">
        <v>62</v>
      </c>
      <c r="D63" s="1">
        <v>1027.04</v>
      </c>
      <c r="E63" t="s">
        <v>16</v>
      </c>
      <c r="F63" t="s">
        <v>198</v>
      </c>
      <c r="G63" s="580">
        <v>215.46</v>
      </c>
      <c r="H63" s="1" t="s">
        <v>199</v>
      </c>
      <c r="I63" s="1"/>
      <c r="J63" s="1"/>
      <c r="K63" s="1"/>
      <c r="L63" s="1"/>
      <c r="M63" s="1"/>
      <c r="N63" s="1"/>
      <c r="Q63"/>
    </row>
    <row r="64" spans="1:17" ht="13.15" customHeight="1" x14ac:dyDescent="0.2">
      <c r="A64" s="1" t="s">
        <v>200</v>
      </c>
      <c r="B64" s="1" t="s">
        <v>15</v>
      </c>
      <c r="C64" s="580">
        <v>63</v>
      </c>
      <c r="D64" s="1">
        <v>1244.49</v>
      </c>
      <c r="E64" t="s">
        <v>16</v>
      </c>
      <c r="F64" t="s">
        <v>201</v>
      </c>
      <c r="G64" s="580">
        <v>221.44499999999999</v>
      </c>
      <c r="H64" s="1" t="s">
        <v>202</v>
      </c>
      <c r="I64" s="1"/>
      <c r="J64" s="1"/>
      <c r="K64" s="1"/>
      <c r="L64" s="1"/>
      <c r="M64" s="1"/>
      <c r="N64" s="1"/>
      <c r="Q64"/>
    </row>
    <row r="65" spans="1:17" ht="13.15" customHeight="1" x14ac:dyDescent="0.2">
      <c r="A65" s="1" t="s">
        <v>203</v>
      </c>
      <c r="B65" s="1" t="s">
        <v>15</v>
      </c>
      <c r="C65" s="580">
        <v>64</v>
      </c>
      <c r="D65" s="1">
        <v>1186.46</v>
      </c>
      <c r="E65" t="s">
        <v>16</v>
      </c>
      <c r="F65" t="s">
        <v>204</v>
      </c>
      <c r="G65" s="580">
        <v>253.36500000000001</v>
      </c>
      <c r="H65" s="1" t="s">
        <v>205</v>
      </c>
      <c r="I65" s="1"/>
      <c r="J65" s="1"/>
      <c r="K65" s="1"/>
      <c r="L65" s="1"/>
      <c r="M65" s="1"/>
      <c r="N65" s="1"/>
      <c r="Q65"/>
    </row>
    <row r="66" spans="1:17" ht="13.15" customHeight="1" x14ac:dyDescent="0.2">
      <c r="A66" s="1" t="s">
        <v>206</v>
      </c>
      <c r="B66" s="1" t="s">
        <v>15</v>
      </c>
      <c r="C66" s="580">
        <v>65</v>
      </c>
      <c r="D66" s="1">
        <v>1027.04</v>
      </c>
      <c r="E66" t="s">
        <v>16</v>
      </c>
      <c r="F66" t="s">
        <v>207</v>
      </c>
      <c r="G66" s="580">
        <v>215.46</v>
      </c>
      <c r="H66" s="1" t="s">
        <v>208</v>
      </c>
      <c r="I66" s="1"/>
      <c r="J66" s="1"/>
      <c r="K66" s="1"/>
      <c r="L66" s="1"/>
      <c r="M66" s="1"/>
      <c r="N66" s="1"/>
      <c r="Q66"/>
    </row>
    <row r="67" spans="1:17" ht="13.15" customHeight="1" x14ac:dyDescent="0.2">
      <c r="A67" s="1" t="s">
        <v>209</v>
      </c>
      <c r="B67" s="1" t="s">
        <v>15</v>
      </c>
      <c r="C67" s="580">
        <v>66</v>
      </c>
      <c r="D67" s="1">
        <v>756.71</v>
      </c>
      <c r="E67" t="s">
        <v>16</v>
      </c>
      <c r="F67" t="s">
        <v>210</v>
      </c>
      <c r="G67" s="580">
        <v>179.55</v>
      </c>
      <c r="H67" s="1" t="s">
        <v>211</v>
      </c>
      <c r="I67" s="1"/>
      <c r="J67" s="1"/>
      <c r="K67" s="1"/>
      <c r="L67" s="1"/>
      <c r="M67" s="1"/>
      <c r="N67" s="1"/>
      <c r="Q67"/>
    </row>
    <row r="68" spans="1:17" ht="13.15" customHeight="1" x14ac:dyDescent="0.2">
      <c r="A68" s="1" t="s">
        <v>212</v>
      </c>
      <c r="B68" s="1" t="s">
        <v>15</v>
      </c>
      <c r="C68" s="580">
        <v>67</v>
      </c>
      <c r="D68" s="1">
        <v>1244.49</v>
      </c>
      <c r="E68" t="s">
        <v>16</v>
      </c>
      <c r="F68" t="s">
        <v>213</v>
      </c>
      <c r="G68" s="580">
        <v>289.27499999999998</v>
      </c>
      <c r="H68" s="1" t="s">
        <v>214</v>
      </c>
      <c r="I68" s="1"/>
      <c r="J68" s="1"/>
      <c r="K68" s="1"/>
      <c r="L68" s="1"/>
      <c r="M68" s="1"/>
      <c r="N68" s="1"/>
      <c r="Q68"/>
    </row>
    <row r="69" spans="1:17" ht="13.15" customHeight="1" x14ac:dyDescent="0.2">
      <c r="A69" s="1" t="s">
        <v>215</v>
      </c>
      <c r="B69" s="1" t="s">
        <v>15</v>
      </c>
      <c r="C69" s="580">
        <v>69</v>
      </c>
      <c r="D69" s="1">
        <v>683.78</v>
      </c>
      <c r="E69" t="s">
        <v>16</v>
      </c>
      <c r="F69" t="s">
        <v>216</v>
      </c>
      <c r="G69" s="580">
        <v>137.655</v>
      </c>
      <c r="H69" s="1" t="s">
        <v>217</v>
      </c>
      <c r="I69" s="1"/>
      <c r="J69" s="1"/>
      <c r="K69" s="1"/>
      <c r="L69" s="1"/>
      <c r="M69" s="1"/>
      <c r="N69" s="1"/>
      <c r="Q69"/>
    </row>
    <row r="70" spans="1:17" ht="13.15" customHeight="1" x14ac:dyDescent="0.2">
      <c r="A70" s="1" t="s">
        <v>218</v>
      </c>
      <c r="B70" s="1" t="s">
        <v>15</v>
      </c>
      <c r="C70" s="580">
        <v>70</v>
      </c>
      <c r="D70" s="1">
        <v>669.45</v>
      </c>
      <c r="E70" t="s">
        <v>16</v>
      </c>
      <c r="F70" t="s">
        <v>219</v>
      </c>
      <c r="G70" s="580">
        <v>137.655</v>
      </c>
      <c r="H70" s="1" t="s">
        <v>220</v>
      </c>
      <c r="I70" s="1"/>
      <c r="J70" s="1"/>
      <c r="K70" s="1"/>
      <c r="L70" s="1"/>
      <c r="M70" s="1"/>
      <c r="N70" s="1"/>
      <c r="Q70"/>
    </row>
    <row r="71" spans="1:17" ht="13.15" customHeight="1" x14ac:dyDescent="0.2">
      <c r="A71" s="1" t="s">
        <v>221</v>
      </c>
      <c r="B71" s="1" t="s">
        <v>15</v>
      </c>
      <c r="C71" s="580">
        <v>71</v>
      </c>
      <c r="D71" s="1">
        <v>1322.92</v>
      </c>
      <c r="E71" t="s">
        <v>16</v>
      </c>
      <c r="F71" t="s">
        <v>222</v>
      </c>
      <c r="G71" s="580">
        <v>299.25</v>
      </c>
      <c r="H71" s="1" t="s">
        <v>223</v>
      </c>
      <c r="I71" s="1"/>
      <c r="J71" s="1"/>
      <c r="K71" s="1"/>
      <c r="L71" s="1"/>
      <c r="M71" s="1"/>
      <c r="N71" s="1"/>
      <c r="Q71"/>
    </row>
    <row r="72" spans="1:17" ht="13.15" customHeight="1" x14ac:dyDescent="0.2">
      <c r="A72" s="1" t="s">
        <v>224</v>
      </c>
      <c r="B72" s="1" t="s">
        <v>15</v>
      </c>
      <c r="C72" s="580">
        <v>72</v>
      </c>
      <c r="D72" s="1">
        <v>1049.1300000000001</v>
      </c>
      <c r="E72" t="s">
        <v>16</v>
      </c>
      <c r="F72" t="s">
        <v>225</v>
      </c>
      <c r="G72" s="580">
        <v>215.46</v>
      </c>
      <c r="H72" s="1" t="s">
        <v>226</v>
      </c>
      <c r="I72" s="1"/>
      <c r="J72" s="1"/>
      <c r="K72" s="1"/>
      <c r="L72" s="1"/>
      <c r="M72" s="1"/>
      <c r="N72" s="1"/>
      <c r="Q72"/>
    </row>
    <row r="73" spans="1:17" ht="13.15" customHeight="1" x14ac:dyDescent="0.2">
      <c r="A73" s="1" t="s">
        <v>227</v>
      </c>
      <c r="B73" s="1" t="s">
        <v>15</v>
      </c>
      <c r="C73" s="580">
        <v>73</v>
      </c>
      <c r="D73" s="1">
        <v>1964.54</v>
      </c>
      <c r="E73" t="s">
        <v>16</v>
      </c>
      <c r="F73" t="s">
        <v>228</v>
      </c>
      <c r="G73" s="580">
        <v>431.91750000000002</v>
      </c>
      <c r="H73" s="1" t="s">
        <v>229</v>
      </c>
      <c r="I73" s="1"/>
      <c r="J73" s="1"/>
      <c r="K73" s="1"/>
      <c r="L73" s="1"/>
      <c r="M73" s="1"/>
      <c r="N73" s="1"/>
      <c r="Q73"/>
    </row>
    <row r="74" spans="1:17" ht="13.15" customHeight="1" x14ac:dyDescent="0.2">
      <c r="A74" s="1" t="s">
        <v>230</v>
      </c>
      <c r="B74" s="1" t="s">
        <v>15</v>
      </c>
      <c r="C74" s="580">
        <v>74</v>
      </c>
      <c r="D74" s="1">
        <v>741.75</v>
      </c>
      <c r="E74" t="s">
        <v>16</v>
      </c>
      <c r="F74" t="s">
        <v>231</v>
      </c>
      <c r="G74" s="580">
        <v>164.58750000000001</v>
      </c>
      <c r="H74" s="1" t="s">
        <v>232</v>
      </c>
      <c r="I74" s="1"/>
      <c r="J74" s="1"/>
      <c r="K74" s="1"/>
      <c r="L74" s="1"/>
      <c r="M74" s="1"/>
      <c r="N74" s="1"/>
      <c r="Q74"/>
    </row>
    <row r="75" spans="1:17" ht="13.15" customHeight="1" x14ac:dyDescent="0.2">
      <c r="A75" s="1" t="s">
        <v>233</v>
      </c>
      <c r="B75" s="1" t="s">
        <v>15</v>
      </c>
      <c r="C75" s="580">
        <v>75</v>
      </c>
      <c r="D75" s="1">
        <v>873.13</v>
      </c>
      <c r="E75" t="s">
        <v>16</v>
      </c>
      <c r="F75" t="s">
        <v>234</v>
      </c>
      <c r="G75" s="580">
        <v>194.51249999999999</v>
      </c>
      <c r="H75" s="1" t="s">
        <v>235</v>
      </c>
      <c r="I75" s="1"/>
      <c r="J75" s="1"/>
      <c r="K75" s="1"/>
      <c r="L75" s="1"/>
      <c r="M75" s="1"/>
      <c r="N75" s="1"/>
      <c r="Q75"/>
    </row>
    <row r="76" spans="1:17" ht="13.15" customHeight="1" x14ac:dyDescent="0.2">
      <c r="A76" s="1" t="s">
        <v>236</v>
      </c>
      <c r="B76" s="1" t="s">
        <v>15</v>
      </c>
      <c r="C76" s="580">
        <v>76</v>
      </c>
      <c r="D76" s="1">
        <v>778.17</v>
      </c>
      <c r="E76" t="s">
        <v>16</v>
      </c>
      <c r="F76" t="s">
        <v>237</v>
      </c>
      <c r="G76" s="580">
        <v>153.61500000000001</v>
      </c>
      <c r="H76" s="1" t="s">
        <v>238</v>
      </c>
      <c r="I76" s="1"/>
      <c r="J76" s="1"/>
      <c r="K76" s="1"/>
      <c r="L76" s="1"/>
      <c r="M76" s="1"/>
      <c r="N76" s="1"/>
      <c r="Q76"/>
    </row>
    <row r="77" spans="1:17" ht="13.15" customHeight="1" x14ac:dyDescent="0.2">
      <c r="A77" s="1" t="s">
        <v>239</v>
      </c>
      <c r="B77" s="1" t="s">
        <v>15</v>
      </c>
      <c r="C77" s="580">
        <v>77</v>
      </c>
      <c r="D77" s="1">
        <v>1013.24</v>
      </c>
      <c r="E77" t="s">
        <v>16</v>
      </c>
      <c r="F77" t="s">
        <v>240</v>
      </c>
      <c r="G77" s="580">
        <v>196.50749999999999</v>
      </c>
      <c r="H77" s="1" t="s">
        <v>241</v>
      </c>
      <c r="I77" s="1"/>
      <c r="J77" s="1"/>
      <c r="K77" s="1"/>
      <c r="L77" s="1"/>
      <c r="M77" s="1"/>
      <c r="N77" s="1"/>
      <c r="Q77"/>
    </row>
    <row r="78" spans="1:17" ht="13.15" customHeight="1" x14ac:dyDescent="0.2">
      <c r="A78" s="1" t="s">
        <v>242</v>
      </c>
      <c r="B78" s="1" t="s">
        <v>15</v>
      </c>
      <c r="C78" s="580">
        <v>78</v>
      </c>
      <c r="D78" s="1">
        <v>829.47</v>
      </c>
      <c r="E78" t="s">
        <v>16</v>
      </c>
      <c r="F78" t="s">
        <v>243</v>
      </c>
      <c r="G78" s="580">
        <v>192.04349999999999</v>
      </c>
      <c r="H78" s="1" t="s">
        <v>244</v>
      </c>
      <c r="I78" s="1"/>
      <c r="J78" s="1"/>
      <c r="K78" s="1"/>
      <c r="L78" s="1"/>
      <c r="M78" s="1"/>
      <c r="N78" s="1"/>
      <c r="Q78"/>
    </row>
    <row r="79" spans="1:17" ht="13.15" customHeight="1" x14ac:dyDescent="0.2">
      <c r="A79" s="1" t="s">
        <v>245</v>
      </c>
      <c r="B79" s="1" t="s">
        <v>15</v>
      </c>
      <c r="C79" s="580">
        <v>79</v>
      </c>
      <c r="D79" s="1">
        <v>578.92999999999995</v>
      </c>
      <c r="E79" t="s">
        <v>16</v>
      </c>
      <c r="F79" t="s">
        <v>246</v>
      </c>
      <c r="G79" s="580">
        <v>131.66999999999999</v>
      </c>
      <c r="H79" s="1" t="s">
        <v>247</v>
      </c>
      <c r="I79" s="1"/>
      <c r="J79" s="1"/>
      <c r="K79" s="1"/>
      <c r="L79" s="1"/>
      <c r="M79" s="1"/>
      <c r="N79" s="1"/>
      <c r="Q79"/>
    </row>
    <row r="80" spans="1:17" ht="13.15" customHeight="1" x14ac:dyDescent="0.2">
      <c r="A80" s="1" t="s">
        <v>248</v>
      </c>
      <c r="B80" s="1" t="s">
        <v>15</v>
      </c>
      <c r="C80" s="580">
        <v>80</v>
      </c>
      <c r="D80" s="1">
        <v>642.4</v>
      </c>
      <c r="E80" t="s">
        <v>16</v>
      </c>
      <c r="F80" t="s">
        <v>249</v>
      </c>
      <c r="G80" s="580">
        <v>155.61000000000001</v>
      </c>
      <c r="H80" s="1" t="s">
        <v>250</v>
      </c>
      <c r="I80" s="1"/>
      <c r="J80" s="1"/>
      <c r="K80" s="1"/>
      <c r="L80" s="1"/>
      <c r="M80" s="1"/>
      <c r="N80" s="1"/>
      <c r="Q80"/>
    </row>
    <row r="81" spans="1:17" ht="13.15" customHeight="1" x14ac:dyDescent="0.2">
      <c r="A81" s="1" t="s">
        <v>251</v>
      </c>
      <c r="B81" s="1" t="s">
        <v>15</v>
      </c>
      <c r="C81" s="580">
        <v>81</v>
      </c>
      <c r="D81" s="1">
        <v>933.24</v>
      </c>
      <c r="E81" t="s">
        <v>16</v>
      </c>
      <c r="F81" t="s">
        <v>252</v>
      </c>
      <c r="G81" s="580">
        <v>187.53</v>
      </c>
      <c r="H81" s="1" t="s">
        <v>253</v>
      </c>
      <c r="I81" s="1"/>
      <c r="J81" s="1"/>
      <c r="K81" s="1"/>
      <c r="L81" s="1"/>
      <c r="M81" s="1"/>
      <c r="N81" s="1"/>
      <c r="Q81"/>
    </row>
    <row r="82" spans="1:17" ht="13.15" customHeight="1" x14ac:dyDescent="0.2">
      <c r="A82" s="1" t="s">
        <v>254</v>
      </c>
      <c r="B82" s="1" t="s">
        <v>15</v>
      </c>
      <c r="C82" s="580">
        <v>82</v>
      </c>
      <c r="D82" s="1">
        <v>839.97</v>
      </c>
      <c r="E82" t="s">
        <v>16</v>
      </c>
      <c r="F82" t="s">
        <v>255</v>
      </c>
      <c r="G82" s="580">
        <v>194.51249999999999</v>
      </c>
      <c r="H82" s="1" t="s">
        <v>256</v>
      </c>
      <c r="I82" s="1"/>
      <c r="J82" s="1"/>
      <c r="K82" s="1"/>
      <c r="L82" s="1"/>
      <c r="M82" s="1"/>
      <c r="N82" s="1"/>
      <c r="Q82"/>
    </row>
    <row r="83" spans="1:17" ht="13.15" customHeight="1" x14ac:dyDescent="0.2">
      <c r="A83" s="1" t="s">
        <v>257</v>
      </c>
      <c r="B83" s="1" t="s">
        <v>15</v>
      </c>
      <c r="C83" s="580">
        <v>84</v>
      </c>
      <c r="D83" s="1">
        <v>902.31</v>
      </c>
      <c r="E83" t="s">
        <v>16</v>
      </c>
      <c r="F83" t="s">
        <v>258</v>
      </c>
      <c r="G83" s="580">
        <v>179.55</v>
      </c>
      <c r="H83" s="1" t="s">
        <v>259</v>
      </c>
      <c r="I83" s="1"/>
      <c r="J83" s="1"/>
      <c r="K83" s="1"/>
      <c r="L83" s="1"/>
      <c r="M83" s="1"/>
      <c r="N83" s="1"/>
      <c r="Q83"/>
    </row>
    <row r="84" spans="1:17" ht="13.15" customHeight="1" x14ac:dyDescent="0.2">
      <c r="A84" s="1" t="s">
        <v>260</v>
      </c>
      <c r="B84" s="1" t="s">
        <v>15</v>
      </c>
      <c r="C84" s="580">
        <v>85</v>
      </c>
      <c r="D84" s="1">
        <v>902.31</v>
      </c>
      <c r="E84" t="s">
        <v>16</v>
      </c>
      <c r="F84" t="s">
        <v>261</v>
      </c>
      <c r="G84" s="580">
        <v>204.48750000000001</v>
      </c>
      <c r="H84" s="1" t="s">
        <v>262</v>
      </c>
      <c r="I84" s="1"/>
      <c r="J84" s="1"/>
      <c r="K84" s="1"/>
      <c r="L84" s="1"/>
      <c r="M84" s="1"/>
      <c r="N84" s="1"/>
      <c r="Q84"/>
    </row>
    <row r="85" spans="1:17" ht="13.15" customHeight="1" x14ac:dyDescent="0.2">
      <c r="A85" s="1" t="s">
        <v>263</v>
      </c>
      <c r="B85" s="1" t="s">
        <v>15</v>
      </c>
      <c r="C85" s="580">
        <v>86</v>
      </c>
      <c r="D85" s="1">
        <v>642.4</v>
      </c>
      <c r="E85" t="s">
        <v>16</v>
      </c>
      <c r="F85" t="s">
        <v>264</v>
      </c>
      <c r="G85" s="580">
        <v>144.63749999999999</v>
      </c>
      <c r="H85" s="1" t="s">
        <v>265</v>
      </c>
      <c r="I85" s="1"/>
      <c r="J85" s="1"/>
      <c r="K85" s="1"/>
      <c r="L85" s="1"/>
      <c r="M85" s="1"/>
      <c r="N85" s="1"/>
      <c r="Q85"/>
    </row>
    <row r="86" spans="1:17" ht="13.15" customHeight="1" x14ac:dyDescent="0.2">
      <c r="A86" s="1" t="s">
        <v>266</v>
      </c>
      <c r="B86" s="1" t="s">
        <v>15</v>
      </c>
      <c r="C86" s="580">
        <v>87</v>
      </c>
      <c r="D86" s="1">
        <v>839.97</v>
      </c>
      <c r="E86" t="s">
        <v>16</v>
      </c>
      <c r="F86" t="s">
        <v>267</v>
      </c>
      <c r="G86" s="580">
        <v>183.54</v>
      </c>
      <c r="H86" s="1" t="s">
        <v>268</v>
      </c>
      <c r="I86" s="1"/>
      <c r="J86" s="1"/>
      <c r="K86" s="1"/>
      <c r="L86" s="1"/>
      <c r="M86" s="1"/>
      <c r="N86" s="1"/>
      <c r="Q86"/>
    </row>
    <row r="87" spans="1:17" ht="13.15" customHeight="1" x14ac:dyDescent="0.2">
      <c r="A87" s="1" t="s">
        <v>269</v>
      </c>
      <c r="B87" s="1" t="s">
        <v>15</v>
      </c>
      <c r="C87" s="580">
        <v>88</v>
      </c>
      <c r="D87" s="1">
        <v>980.17</v>
      </c>
      <c r="E87" t="s">
        <v>16</v>
      </c>
      <c r="F87" t="s">
        <v>270</v>
      </c>
      <c r="G87" s="580">
        <v>239.4</v>
      </c>
      <c r="H87" s="1" t="s">
        <v>271</v>
      </c>
      <c r="I87" s="1"/>
      <c r="J87" s="1"/>
      <c r="K87" s="1"/>
      <c r="L87" s="1"/>
      <c r="M87" s="1"/>
      <c r="N87" s="1"/>
      <c r="Q87"/>
    </row>
    <row r="88" spans="1:17" ht="13.15" customHeight="1" x14ac:dyDescent="0.2">
      <c r="A88" s="1" t="s">
        <v>272</v>
      </c>
      <c r="B88" s="1" t="s">
        <v>15</v>
      </c>
      <c r="C88" s="580">
        <v>89</v>
      </c>
      <c r="D88" s="1">
        <v>727.61</v>
      </c>
      <c r="E88" t="s">
        <v>16</v>
      </c>
      <c r="F88" t="s">
        <v>273</v>
      </c>
      <c r="G88" s="580">
        <v>169.57499999999999</v>
      </c>
      <c r="H88" s="1" t="s">
        <v>274</v>
      </c>
      <c r="I88" s="1"/>
      <c r="J88" s="1"/>
      <c r="K88" s="1"/>
      <c r="L88" s="1"/>
      <c r="M88" s="1"/>
      <c r="N88" s="1"/>
      <c r="Q88"/>
    </row>
    <row r="89" spans="1:17" ht="13.15" customHeight="1" x14ac:dyDescent="0.2">
      <c r="A89" s="1" t="s">
        <v>275</v>
      </c>
      <c r="B89" s="1" t="s">
        <v>15</v>
      </c>
      <c r="C89" s="580">
        <v>91</v>
      </c>
      <c r="D89" s="1">
        <v>447.75</v>
      </c>
      <c r="E89" t="s">
        <v>16</v>
      </c>
      <c r="F89" t="s">
        <v>276</v>
      </c>
      <c r="G89" s="580">
        <v>91.77</v>
      </c>
      <c r="H89" s="1" t="s">
        <v>277</v>
      </c>
      <c r="I89" s="1"/>
      <c r="J89" s="1"/>
      <c r="K89" s="1"/>
      <c r="L89" s="1"/>
      <c r="M89" s="1"/>
      <c r="N89" s="1"/>
      <c r="Q89"/>
    </row>
    <row r="90" spans="1:17" ht="13.15" customHeight="1" x14ac:dyDescent="0.2">
      <c r="A90" s="1" t="s">
        <v>278</v>
      </c>
      <c r="B90" s="1" t="s">
        <v>15</v>
      </c>
      <c r="C90" s="580">
        <v>92</v>
      </c>
      <c r="D90" s="1">
        <v>809.04</v>
      </c>
      <c r="E90" t="s">
        <v>16</v>
      </c>
      <c r="F90" t="s">
        <v>279</v>
      </c>
      <c r="G90" s="580">
        <v>194.51249999999999</v>
      </c>
      <c r="H90" s="1" t="s">
        <v>280</v>
      </c>
      <c r="I90" s="1"/>
      <c r="J90" s="1"/>
      <c r="K90" s="1"/>
      <c r="L90" s="1"/>
      <c r="M90" s="1"/>
      <c r="N90" s="1"/>
      <c r="Q90"/>
    </row>
    <row r="91" spans="1:17" ht="13.15" customHeight="1" x14ac:dyDescent="0.2">
      <c r="A91" s="1" t="s">
        <v>281</v>
      </c>
      <c r="B91" s="1" t="s">
        <v>15</v>
      </c>
      <c r="C91" s="580">
        <v>93</v>
      </c>
      <c r="D91" s="1">
        <v>706.18</v>
      </c>
      <c r="E91" t="s">
        <v>16</v>
      </c>
      <c r="F91" t="s">
        <v>282</v>
      </c>
      <c r="G91" s="580">
        <v>161.595</v>
      </c>
      <c r="H91" s="1" t="s">
        <v>283</v>
      </c>
      <c r="I91" s="1"/>
      <c r="J91" s="1"/>
      <c r="K91" s="1"/>
      <c r="L91" s="1"/>
      <c r="M91" s="1"/>
      <c r="N91" s="1"/>
      <c r="Q91"/>
    </row>
    <row r="92" spans="1:17" ht="13.15" customHeight="1" x14ac:dyDescent="0.2">
      <c r="A92" s="1" t="s">
        <v>284</v>
      </c>
      <c r="B92" s="1" t="s">
        <v>15</v>
      </c>
      <c r="C92" s="580">
        <v>94</v>
      </c>
      <c r="D92" s="1">
        <v>668.91</v>
      </c>
      <c r="E92" t="s">
        <v>16</v>
      </c>
      <c r="F92" t="s">
        <v>285</v>
      </c>
      <c r="G92" s="580">
        <v>119.7</v>
      </c>
      <c r="H92" s="1" t="s">
        <v>286</v>
      </c>
      <c r="I92" s="1"/>
      <c r="J92" s="1"/>
      <c r="K92" s="1"/>
      <c r="L92" s="1"/>
      <c r="M92" s="1"/>
      <c r="N92" s="1"/>
      <c r="Q92"/>
    </row>
    <row r="93" spans="1:17" ht="13.15" customHeight="1" x14ac:dyDescent="0.2">
      <c r="A93" s="1" t="s">
        <v>287</v>
      </c>
      <c r="B93" s="1" t="s">
        <v>15</v>
      </c>
      <c r="C93" s="580">
        <v>95</v>
      </c>
      <c r="D93" s="1">
        <v>1073.43</v>
      </c>
      <c r="E93" t="s">
        <v>16</v>
      </c>
      <c r="F93" t="s">
        <v>288</v>
      </c>
      <c r="G93" s="580">
        <v>249.375</v>
      </c>
      <c r="H93" s="1" t="s">
        <v>289</v>
      </c>
      <c r="I93" s="1"/>
      <c r="J93" s="1"/>
      <c r="K93" s="1"/>
      <c r="L93" s="1"/>
      <c r="M93" s="1"/>
      <c r="N93" s="1"/>
      <c r="Q93"/>
    </row>
    <row r="94" spans="1:17" ht="13.15" customHeight="1" x14ac:dyDescent="0.2">
      <c r="A94" s="1" t="s">
        <v>290</v>
      </c>
      <c r="B94" s="1" t="s">
        <v>15</v>
      </c>
      <c r="C94" s="580">
        <v>96</v>
      </c>
      <c r="D94" s="1">
        <v>713.06</v>
      </c>
      <c r="E94" t="s">
        <v>16</v>
      </c>
      <c r="F94" t="s">
        <v>291</v>
      </c>
      <c r="G94" s="580">
        <v>168.30779999999999</v>
      </c>
      <c r="H94" s="1" t="s">
        <v>292</v>
      </c>
      <c r="I94" s="1"/>
      <c r="J94" s="1"/>
      <c r="K94" s="1"/>
      <c r="L94" s="1"/>
      <c r="M94" s="1"/>
      <c r="N94" s="1"/>
      <c r="Q94"/>
    </row>
    <row r="95" spans="1:17" ht="13.15" customHeight="1" x14ac:dyDescent="0.2">
      <c r="A95" s="1" t="s">
        <v>293</v>
      </c>
      <c r="B95" s="1" t="s">
        <v>15</v>
      </c>
      <c r="C95" s="580">
        <v>97</v>
      </c>
      <c r="D95" s="1">
        <v>1229.03</v>
      </c>
      <c r="E95" t="s">
        <v>16</v>
      </c>
      <c r="F95" t="s">
        <v>294</v>
      </c>
      <c r="G95" s="580">
        <v>259.35000000000002</v>
      </c>
      <c r="H95" s="1" t="s">
        <v>295</v>
      </c>
      <c r="I95" s="1"/>
      <c r="J95" s="1"/>
      <c r="K95" s="1"/>
      <c r="L95" s="1"/>
      <c r="M95" s="1"/>
      <c r="N95" s="1"/>
      <c r="Q95"/>
    </row>
    <row r="96" spans="1:17" ht="13.15" customHeight="1" x14ac:dyDescent="0.2">
      <c r="A96" s="1" t="s">
        <v>296</v>
      </c>
      <c r="B96" s="1" t="s">
        <v>15</v>
      </c>
      <c r="C96" s="580">
        <v>98</v>
      </c>
      <c r="D96" s="1">
        <v>1027.04</v>
      </c>
      <c r="E96" t="s">
        <v>16</v>
      </c>
      <c r="F96" t="s">
        <v>297</v>
      </c>
      <c r="G96" s="580">
        <v>215.46</v>
      </c>
      <c r="H96" s="1" t="s">
        <v>298</v>
      </c>
      <c r="I96" s="1"/>
      <c r="J96" s="1"/>
      <c r="K96" s="1"/>
      <c r="L96" s="1"/>
      <c r="M96" s="1"/>
      <c r="N96" s="1"/>
      <c r="Q96"/>
    </row>
    <row r="97" spans="1:17" ht="13.15" customHeight="1" x14ac:dyDescent="0.2">
      <c r="A97" s="1" t="s">
        <v>299</v>
      </c>
      <c r="B97" s="1" t="s">
        <v>15</v>
      </c>
      <c r="C97" s="580">
        <v>99</v>
      </c>
      <c r="D97" s="1">
        <v>654.85</v>
      </c>
      <c r="E97" t="s">
        <v>16</v>
      </c>
      <c r="F97" t="s">
        <v>300</v>
      </c>
      <c r="G97" s="580">
        <v>167.58</v>
      </c>
      <c r="H97" s="1" t="s">
        <v>301</v>
      </c>
      <c r="I97" s="1"/>
      <c r="J97" s="1"/>
      <c r="K97" s="1"/>
      <c r="L97" s="1"/>
      <c r="M97" s="1"/>
      <c r="N97" s="1"/>
      <c r="Q97"/>
    </row>
    <row r="98" spans="1:17" ht="13.15" customHeight="1" x14ac:dyDescent="0.2">
      <c r="A98" s="1" t="s">
        <v>302</v>
      </c>
      <c r="B98" s="1" t="s">
        <v>15</v>
      </c>
      <c r="C98" s="580">
        <v>100</v>
      </c>
      <c r="D98" s="1">
        <v>771.26</v>
      </c>
      <c r="E98" t="s">
        <v>16</v>
      </c>
      <c r="F98" t="s">
        <v>303</v>
      </c>
      <c r="G98" s="580">
        <v>180.1756</v>
      </c>
      <c r="H98" s="1" t="s">
        <v>304</v>
      </c>
      <c r="I98" s="1"/>
      <c r="J98" s="1"/>
      <c r="K98" s="1"/>
      <c r="L98" s="1"/>
      <c r="M98" s="1"/>
      <c r="N98" s="1"/>
      <c r="Q98"/>
    </row>
    <row r="99" spans="1:17" ht="13.15" customHeight="1" x14ac:dyDescent="0.2">
      <c r="A99" s="1" t="s">
        <v>305</v>
      </c>
      <c r="B99" s="1" t="s">
        <v>15</v>
      </c>
      <c r="C99" s="580">
        <v>101</v>
      </c>
      <c r="D99" s="1">
        <v>756.71</v>
      </c>
      <c r="E99" t="s">
        <v>16</v>
      </c>
      <c r="F99" t="s">
        <v>306</v>
      </c>
      <c r="G99" s="580">
        <v>172.6234</v>
      </c>
      <c r="H99" s="1" t="s">
        <v>307</v>
      </c>
      <c r="I99" s="1"/>
      <c r="J99" s="1"/>
      <c r="K99" s="1"/>
      <c r="L99" s="1"/>
      <c r="M99" s="1"/>
      <c r="N99" s="1"/>
      <c r="Q99"/>
    </row>
    <row r="100" spans="1:17" ht="13.15" customHeight="1" x14ac:dyDescent="0.2">
      <c r="A100" s="1" t="s">
        <v>308</v>
      </c>
      <c r="B100" s="1" t="s">
        <v>15</v>
      </c>
      <c r="C100" s="580">
        <v>102</v>
      </c>
      <c r="D100" s="1">
        <v>1382.45</v>
      </c>
      <c r="E100" t="s">
        <v>16</v>
      </c>
      <c r="F100" t="s">
        <v>309</v>
      </c>
      <c r="G100" s="580">
        <v>280.51299999999998</v>
      </c>
      <c r="H100" s="1" t="s">
        <v>310</v>
      </c>
      <c r="I100" s="1"/>
      <c r="J100" s="1"/>
      <c r="K100" s="1"/>
      <c r="L100" s="1"/>
      <c r="M100" s="1"/>
      <c r="N100" s="1"/>
      <c r="Q100"/>
    </row>
    <row r="101" spans="1:17" ht="13.15" customHeight="1" x14ac:dyDescent="0.2">
      <c r="A101" s="1" t="s">
        <v>311</v>
      </c>
      <c r="B101" s="1" t="s">
        <v>15</v>
      </c>
      <c r="C101" s="580">
        <v>103</v>
      </c>
      <c r="D101" s="1">
        <v>1633.55</v>
      </c>
      <c r="E101" t="s">
        <v>16</v>
      </c>
      <c r="F101" t="s">
        <v>312</v>
      </c>
      <c r="G101" s="580">
        <v>215.7792</v>
      </c>
      <c r="H101" s="1" t="s">
        <v>313</v>
      </c>
      <c r="I101" s="1"/>
      <c r="J101" s="1"/>
      <c r="K101" s="1"/>
      <c r="L101" s="1"/>
      <c r="M101" s="1"/>
      <c r="N101" s="1"/>
      <c r="Q101"/>
    </row>
    <row r="102" spans="1:17" ht="13.15" customHeight="1" x14ac:dyDescent="0.2">
      <c r="A102" s="1" t="s">
        <v>314</v>
      </c>
      <c r="B102" s="1" t="s">
        <v>15</v>
      </c>
      <c r="C102" s="580">
        <v>104</v>
      </c>
      <c r="D102" s="1">
        <v>1600.74</v>
      </c>
      <c r="E102" t="s">
        <v>16</v>
      </c>
      <c r="F102" t="s">
        <v>315</v>
      </c>
      <c r="G102" s="580">
        <v>269.72399999999999</v>
      </c>
      <c r="H102" s="1" t="s">
        <v>316</v>
      </c>
      <c r="I102" s="1"/>
      <c r="J102" s="1"/>
      <c r="K102" s="1"/>
      <c r="L102" s="1"/>
      <c r="M102" s="1"/>
      <c r="N102" s="1"/>
      <c r="Q102"/>
    </row>
    <row r="103" spans="1:17" ht="13.15" customHeight="1" x14ac:dyDescent="0.2">
      <c r="A103" s="1" t="s">
        <v>317</v>
      </c>
      <c r="B103" s="1" t="s">
        <v>15</v>
      </c>
      <c r="C103" s="580">
        <v>105</v>
      </c>
      <c r="D103" s="1">
        <v>858.58</v>
      </c>
      <c r="E103" t="s">
        <v>16</v>
      </c>
      <c r="F103" t="s">
        <v>318</v>
      </c>
      <c r="G103" s="580">
        <v>201.75360000000001</v>
      </c>
      <c r="H103" s="1" t="s">
        <v>319</v>
      </c>
      <c r="I103" s="1"/>
      <c r="J103" s="1"/>
      <c r="K103" s="1"/>
      <c r="L103" s="1"/>
      <c r="M103" s="1"/>
      <c r="N103" s="1"/>
      <c r="Q103"/>
    </row>
    <row r="104" spans="1:17" ht="13.15" customHeight="1" x14ac:dyDescent="0.2">
      <c r="A104" s="1" t="s">
        <v>320</v>
      </c>
      <c r="B104" s="1" t="s">
        <v>15</v>
      </c>
      <c r="C104" s="580">
        <v>106</v>
      </c>
      <c r="D104" s="1">
        <v>858.58</v>
      </c>
      <c r="E104" t="s">
        <v>16</v>
      </c>
      <c r="F104" t="s">
        <v>321</v>
      </c>
      <c r="G104" s="580">
        <v>201.75360000000001</v>
      </c>
      <c r="H104" s="1" t="s">
        <v>322</v>
      </c>
      <c r="I104" s="1"/>
      <c r="J104" s="1"/>
      <c r="K104" s="1"/>
      <c r="L104" s="1"/>
      <c r="M104" s="1"/>
      <c r="N104" s="1"/>
      <c r="Q104"/>
    </row>
    <row r="105" spans="1:17" ht="13.15" customHeight="1" x14ac:dyDescent="0.2">
      <c r="A105" s="1" t="s">
        <v>323</v>
      </c>
      <c r="B105" s="1" t="s">
        <v>15</v>
      </c>
      <c r="C105" s="580">
        <v>107</v>
      </c>
      <c r="D105" s="1">
        <v>824.51</v>
      </c>
      <c r="E105" t="s">
        <v>16</v>
      </c>
      <c r="F105" t="s">
        <v>324</v>
      </c>
      <c r="G105" s="580">
        <v>183.41229999999999</v>
      </c>
      <c r="H105" s="1" t="s">
        <v>325</v>
      </c>
      <c r="I105" s="1"/>
      <c r="J105" s="1"/>
      <c r="K105" s="1"/>
      <c r="L105" s="1"/>
      <c r="M105" s="1"/>
      <c r="N105" s="1"/>
      <c r="Q105"/>
    </row>
    <row r="106" spans="1:17" ht="13.15" customHeight="1" x14ac:dyDescent="0.2">
      <c r="A106" s="1" t="s">
        <v>326</v>
      </c>
      <c r="B106" s="1" t="s">
        <v>15</v>
      </c>
      <c r="C106" s="580">
        <v>108</v>
      </c>
      <c r="D106" s="1">
        <v>668.91</v>
      </c>
      <c r="E106" t="s">
        <v>16</v>
      </c>
      <c r="F106" t="s">
        <v>327</v>
      </c>
      <c r="G106" s="580">
        <v>153.20320000000001</v>
      </c>
      <c r="H106" s="1" t="s">
        <v>328</v>
      </c>
      <c r="I106" s="1"/>
      <c r="J106" s="1"/>
      <c r="K106" s="1"/>
      <c r="L106" s="1"/>
      <c r="M106" s="1"/>
      <c r="N106" s="1"/>
      <c r="Q106"/>
    </row>
    <row r="107" spans="1:17" ht="13.15" customHeight="1" x14ac:dyDescent="0.2">
      <c r="A107" s="1" t="s">
        <v>329</v>
      </c>
      <c r="B107" s="1" t="s">
        <v>15</v>
      </c>
      <c r="C107" s="580">
        <v>109</v>
      </c>
      <c r="D107" s="1">
        <v>659.1</v>
      </c>
      <c r="E107" t="s">
        <v>16</v>
      </c>
      <c r="F107" t="s">
        <v>115</v>
      </c>
      <c r="G107" s="580">
        <v>153.20320000000001</v>
      </c>
      <c r="H107" s="1" t="s">
        <v>330</v>
      </c>
      <c r="I107" s="1"/>
      <c r="J107" s="1"/>
      <c r="K107" s="1"/>
      <c r="L107" s="1"/>
      <c r="M107" s="1"/>
      <c r="N107" s="1"/>
      <c r="Q107"/>
    </row>
    <row r="108" spans="1:17" ht="13.15" customHeight="1" x14ac:dyDescent="0.2">
      <c r="A108" s="1" t="s">
        <v>331</v>
      </c>
      <c r="B108" s="1" t="s">
        <v>15</v>
      </c>
      <c r="C108" s="580">
        <v>110</v>
      </c>
      <c r="D108" s="1">
        <v>873.13</v>
      </c>
      <c r="E108" t="s">
        <v>16</v>
      </c>
      <c r="F108" t="s">
        <v>332</v>
      </c>
      <c r="G108" s="580">
        <v>183.41229999999999</v>
      </c>
      <c r="H108" s="1" t="s">
        <v>333</v>
      </c>
      <c r="I108" s="1"/>
      <c r="J108" s="1"/>
      <c r="K108" s="1"/>
      <c r="L108" s="1"/>
      <c r="M108" s="1"/>
      <c r="N108" s="1"/>
      <c r="Q108"/>
    </row>
    <row r="109" spans="1:17" ht="13.15" customHeight="1" x14ac:dyDescent="0.2">
      <c r="A109" s="1" t="s">
        <v>334</v>
      </c>
      <c r="B109" s="1" t="s">
        <v>15</v>
      </c>
      <c r="C109" s="580">
        <v>111</v>
      </c>
      <c r="D109" s="1">
        <v>762.17</v>
      </c>
      <c r="E109" t="s">
        <v>16</v>
      </c>
      <c r="F109" t="s">
        <v>335</v>
      </c>
      <c r="G109" s="580">
        <v>123.69</v>
      </c>
      <c r="H109" s="1" t="s">
        <v>336</v>
      </c>
      <c r="I109" s="1"/>
      <c r="J109" s="1"/>
      <c r="K109" s="1"/>
      <c r="L109" s="1"/>
      <c r="M109" s="1"/>
      <c r="N109" s="1"/>
      <c r="Q109"/>
    </row>
    <row r="110" spans="1:17" ht="13.15" customHeight="1" x14ac:dyDescent="0.2">
      <c r="A110" s="1" t="s">
        <v>337</v>
      </c>
      <c r="B110" s="1" t="s">
        <v>15</v>
      </c>
      <c r="C110" s="580">
        <v>112</v>
      </c>
      <c r="D110" s="1">
        <v>804.69</v>
      </c>
      <c r="E110" t="s">
        <v>16</v>
      </c>
      <c r="F110" t="s">
        <v>338</v>
      </c>
      <c r="G110" s="580">
        <v>189.52500000000001</v>
      </c>
      <c r="H110" s="1" t="s">
        <v>339</v>
      </c>
      <c r="I110" s="1"/>
      <c r="J110" s="1"/>
      <c r="K110" s="1"/>
      <c r="L110" s="1"/>
      <c r="M110" s="1"/>
      <c r="N110" s="1"/>
      <c r="Q110"/>
    </row>
    <row r="111" spans="1:17" ht="13.15" customHeight="1" x14ac:dyDescent="0.2">
      <c r="A111" s="1" t="s">
        <v>340</v>
      </c>
      <c r="B111" s="1" t="s">
        <v>15</v>
      </c>
      <c r="C111" s="580">
        <v>113</v>
      </c>
      <c r="D111" s="1">
        <v>1013.24</v>
      </c>
      <c r="E111" t="s">
        <v>16</v>
      </c>
      <c r="F111" t="s">
        <v>341</v>
      </c>
      <c r="G111" s="580">
        <v>173.565</v>
      </c>
      <c r="H111" s="1" t="s">
        <v>342</v>
      </c>
      <c r="I111" s="1"/>
      <c r="J111" s="1"/>
      <c r="K111" s="1"/>
      <c r="L111" s="1"/>
      <c r="M111" s="1"/>
      <c r="N111" s="1"/>
      <c r="Q111"/>
    </row>
    <row r="112" spans="1:17" ht="13.15" customHeight="1" x14ac:dyDescent="0.2">
      <c r="A112" s="1" t="s">
        <v>343</v>
      </c>
      <c r="B112" s="1" t="s">
        <v>15</v>
      </c>
      <c r="C112" s="580">
        <v>114</v>
      </c>
      <c r="D112" s="1">
        <v>886.9</v>
      </c>
      <c r="E112" t="s">
        <v>16</v>
      </c>
      <c r="F112" t="s">
        <v>344</v>
      </c>
      <c r="G112" s="580">
        <v>151.62</v>
      </c>
      <c r="H112" s="1" t="s">
        <v>345</v>
      </c>
      <c r="I112" s="1"/>
      <c r="J112" s="1"/>
      <c r="K112" s="1"/>
      <c r="L112" s="1"/>
      <c r="M112" s="1"/>
      <c r="N112" s="1"/>
      <c r="Q112"/>
    </row>
    <row r="113" spans="1:17" ht="13.15" customHeight="1" x14ac:dyDescent="0.2">
      <c r="A113" s="1" t="s">
        <v>346</v>
      </c>
      <c r="B113" s="1" t="s">
        <v>15</v>
      </c>
      <c r="C113" s="580">
        <v>115</v>
      </c>
      <c r="D113" s="1">
        <v>785.82</v>
      </c>
      <c r="E113" t="s">
        <v>16</v>
      </c>
      <c r="F113" t="s">
        <v>347</v>
      </c>
      <c r="G113" s="580">
        <v>161.83439999999999</v>
      </c>
      <c r="H113" s="1" t="s">
        <v>348</v>
      </c>
      <c r="I113" s="1"/>
      <c r="J113" s="1"/>
      <c r="K113" s="1"/>
      <c r="L113" s="1"/>
      <c r="M113" s="1"/>
      <c r="N113" s="1"/>
      <c r="Q113"/>
    </row>
    <row r="114" spans="1:17" ht="13.15" customHeight="1" x14ac:dyDescent="0.2">
      <c r="A114" s="1" t="s">
        <v>349</v>
      </c>
      <c r="B114" s="1" t="s">
        <v>15</v>
      </c>
      <c r="C114" s="580">
        <v>116</v>
      </c>
      <c r="D114" s="1">
        <v>1618.09</v>
      </c>
      <c r="E114" t="s">
        <v>16</v>
      </c>
      <c r="F114" t="s">
        <v>350</v>
      </c>
      <c r="G114" s="580">
        <v>259.35000000000002</v>
      </c>
      <c r="H114" s="1" t="s">
        <v>351</v>
      </c>
      <c r="I114" s="1"/>
      <c r="J114" s="1"/>
      <c r="K114" s="1"/>
      <c r="L114" s="1"/>
      <c r="M114" s="1"/>
      <c r="N114" s="1"/>
      <c r="Q114"/>
    </row>
    <row r="115" spans="1:17" ht="13.15" customHeight="1" x14ac:dyDescent="0.2">
      <c r="A115" s="1" t="s">
        <v>352</v>
      </c>
      <c r="B115" s="1" t="s">
        <v>15</v>
      </c>
      <c r="C115" s="580">
        <v>117</v>
      </c>
      <c r="D115" s="1">
        <v>715.78</v>
      </c>
      <c r="E115" t="s">
        <v>16</v>
      </c>
      <c r="F115" t="s">
        <v>353</v>
      </c>
      <c r="G115" s="580">
        <v>151.0454</v>
      </c>
      <c r="H115" s="1" t="s">
        <v>354</v>
      </c>
      <c r="I115" s="1"/>
      <c r="J115" s="1"/>
      <c r="K115" s="1"/>
      <c r="L115" s="1"/>
      <c r="M115" s="1"/>
      <c r="N115" s="1"/>
      <c r="Q115"/>
    </row>
    <row r="116" spans="1:17" ht="13.15" customHeight="1" x14ac:dyDescent="0.2">
      <c r="A116" s="1" t="s">
        <v>355</v>
      </c>
      <c r="B116" s="1" t="s">
        <v>15</v>
      </c>
      <c r="C116" s="580">
        <v>118</v>
      </c>
      <c r="D116" s="1">
        <v>1120.52</v>
      </c>
      <c r="E116" t="s">
        <v>16</v>
      </c>
      <c r="F116" t="s">
        <v>356</v>
      </c>
      <c r="G116" s="580">
        <v>248.14609999999999</v>
      </c>
      <c r="H116" s="1" t="s">
        <v>357</v>
      </c>
      <c r="I116" s="1"/>
      <c r="J116" s="1"/>
      <c r="K116" s="1"/>
      <c r="L116" s="1"/>
      <c r="M116" s="1"/>
      <c r="N116" s="1"/>
      <c r="Q116"/>
    </row>
    <row r="117" spans="1:17" ht="13.15" customHeight="1" x14ac:dyDescent="0.2">
      <c r="A117" s="1" t="s">
        <v>358</v>
      </c>
      <c r="B117" s="1" t="s">
        <v>15</v>
      </c>
      <c r="C117" s="580">
        <v>119</v>
      </c>
      <c r="D117" s="1">
        <v>698.5</v>
      </c>
      <c r="E117" t="s">
        <v>16</v>
      </c>
      <c r="F117" t="s">
        <v>359</v>
      </c>
      <c r="G117" s="580">
        <v>149.625</v>
      </c>
      <c r="H117" s="1" t="s">
        <v>360</v>
      </c>
      <c r="I117" s="1"/>
      <c r="J117" s="1"/>
      <c r="K117" s="1"/>
      <c r="L117" s="1"/>
      <c r="M117" s="1"/>
      <c r="N117" s="1"/>
      <c r="Q117"/>
    </row>
    <row r="118" spans="1:17" ht="13.15" customHeight="1" x14ac:dyDescent="0.2">
      <c r="A118" s="1" t="s">
        <v>361</v>
      </c>
      <c r="B118" s="1" t="s">
        <v>15</v>
      </c>
      <c r="C118" s="580">
        <v>120</v>
      </c>
      <c r="D118" s="1">
        <v>578.92999999999995</v>
      </c>
      <c r="E118" t="s">
        <v>16</v>
      </c>
      <c r="F118" t="s">
        <v>362</v>
      </c>
      <c r="G118" s="580">
        <v>134.86199999999999</v>
      </c>
      <c r="H118" s="1" t="s">
        <v>363</v>
      </c>
      <c r="I118" s="1"/>
      <c r="J118" s="1"/>
      <c r="K118" s="1"/>
      <c r="L118" s="1"/>
      <c r="M118" s="1"/>
      <c r="N118" s="1"/>
      <c r="Q118"/>
    </row>
    <row r="119" spans="1:17" ht="13.15" customHeight="1" x14ac:dyDescent="0.2">
      <c r="A119" s="1" t="s">
        <v>364</v>
      </c>
      <c r="B119" s="1" t="s">
        <v>15</v>
      </c>
      <c r="C119" s="580">
        <v>121</v>
      </c>
      <c r="D119" s="1">
        <v>654.85</v>
      </c>
      <c r="E119" t="s">
        <v>16</v>
      </c>
      <c r="F119" t="s">
        <v>365</v>
      </c>
      <c r="G119" s="580">
        <v>152.50299999999999</v>
      </c>
      <c r="H119" s="1" t="s">
        <v>366</v>
      </c>
      <c r="I119" s="1"/>
      <c r="J119" s="1"/>
      <c r="K119" s="1"/>
      <c r="L119" s="1"/>
      <c r="M119" s="1"/>
      <c r="N119" s="1"/>
      <c r="Q119"/>
    </row>
    <row r="120" spans="1:17" ht="13.15" customHeight="1" x14ac:dyDescent="0.2">
      <c r="A120" s="1" t="s">
        <v>367</v>
      </c>
      <c r="B120" s="1" t="s">
        <v>15</v>
      </c>
      <c r="C120" s="580">
        <v>122</v>
      </c>
      <c r="D120" s="1">
        <v>1820.08</v>
      </c>
      <c r="E120" t="s">
        <v>16</v>
      </c>
      <c r="F120" t="s">
        <v>368</v>
      </c>
      <c r="G120" s="580">
        <v>299.25</v>
      </c>
      <c r="H120" s="1" t="s">
        <v>369</v>
      </c>
      <c r="I120" s="1"/>
      <c r="J120" s="1"/>
      <c r="K120" s="1"/>
      <c r="L120" s="1"/>
      <c r="M120" s="1"/>
      <c r="N120" s="1"/>
      <c r="Q120"/>
    </row>
    <row r="121" spans="1:17" ht="13.15" customHeight="1" x14ac:dyDescent="0.2">
      <c r="A121" s="1" t="s">
        <v>370</v>
      </c>
      <c r="B121" s="1" t="s">
        <v>15</v>
      </c>
      <c r="C121" s="580">
        <v>123</v>
      </c>
      <c r="D121" s="1">
        <v>654.85</v>
      </c>
      <c r="E121" t="s">
        <v>16</v>
      </c>
      <c r="F121" t="s">
        <v>371</v>
      </c>
      <c r="G121" s="580">
        <v>129.4675</v>
      </c>
      <c r="H121" s="1" t="s">
        <v>372</v>
      </c>
      <c r="I121" s="1"/>
      <c r="J121" s="1"/>
      <c r="K121" s="1"/>
      <c r="L121" s="1"/>
      <c r="M121" s="1"/>
      <c r="N121" s="1"/>
      <c r="Q121"/>
    </row>
    <row r="122" spans="1:17" ht="13.15" customHeight="1" x14ac:dyDescent="0.2">
      <c r="A122" s="1" t="s">
        <v>373</v>
      </c>
      <c r="B122" s="1" t="s">
        <v>15</v>
      </c>
      <c r="C122" s="580">
        <v>124</v>
      </c>
      <c r="D122" s="1">
        <v>910.22</v>
      </c>
      <c r="E122" t="s">
        <v>16</v>
      </c>
      <c r="F122" t="s">
        <v>374</v>
      </c>
      <c r="G122" s="580">
        <v>211.47</v>
      </c>
      <c r="H122" s="1" t="s">
        <v>375</v>
      </c>
      <c r="I122" s="1"/>
      <c r="J122" s="1"/>
      <c r="K122" s="1"/>
      <c r="L122" s="1"/>
      <c r="M122" s="1"/>
      <c r="N122" s="1"/>
      <c r="Q122"/>
    </row>
    <row r="123" spans="1:17" ht="13.15" customHeight="1" x14ac:dyDescent="0.2">
      <c r="A123" s="1" t="s">
        <v>376</v>
      </c>
      <c r="B123" s="1" t="s">
        <v>15</v>
      </c>
      <c r="C123" s="580">
        <v>125</v>
      </c>
      <c r="D123" s="1">
        <v>910.22</v>
      </c>
      <c r="E123" t="s">
        <v>16</v>
      </c>
      <c r="F123" t="s">
        <v>195</v>
      </c>
      <c r="G123" s="580">
        <v>211.47</v>
      </c>
      <c r="H123" s="1" t="s">
        <v>377</v>
      </c>
      <c r="I123" s="1"/>
      <c r="J123" s="1"/>
      <c r="K123" s="1"/>
      <c r="L123" s="1"/>
      <c r="M123" s="1"/>
      <c r="N123" s="1"/>
      <c r="Q123"/>
    </row>
    <row r="124" spans="1:17" ht="13.15" customHeight="1" x14ac:dyDescent="0.2">
      <c r="A124" s="1" t="s">
        <v>378</v>
      </c>
      <c r="B124" s="1" t="s">
        <v>15</v>
      </c>
      <c r="C124" s="580">
        <v>126</v>
      </c>
      <c r="D124" s="1">
        <v>2182.8200000000002</v>
      </c>
      <c r="E124" t="s">
        <v>16</v>
      </c>
      <c r="F124" t="s">
        <v>379</v>
      </c>
      <c r="G124" s="580">
        <v>0</v>
      </c>
      <c r="H124" s="1" t="s">
        <v>380</v>
      </c>
      <c r="I124" s="1"/>
      <c r="J124" s="1"/>
      <c r="K124" s="1"/>
      <c r="L124" s="1"/>
      <c r="M124" s="1"/>
      <c r="N124" s="1"/>
      <c r="Q124"/>
    </row>
    <row r="125" spans="1:17" ht="13.15" customHeight="1" x14ac:dyDescent="0.2">
      <c r="A125" s="1" t="s">
        <v>381</v>
      </c>
      <c r="B125" s="1" t="s">
        <v>15</v>
      </c>
      <c r="C125" s="580">
        <v>127</v>
      </c>
      <c r="D125" s="1">
        <v>668.91</v>
      </c>
      <c r="E125" t="s">
        <v>16</v>
      </c>
      <c r="F125" t="s">
        <v>382</v>
      </c>
      <c r="G125" s="580">
        <v>149.9665</v>
      </c>
      <c r="H125" s="1" t="s">
        <v>383</v>
      </c>
      <c r="I125" s="1"/>
      <c r="J125" s="1"/>
      <c r="K125" s="1"/>
      <c r="L125" s="1"/>
      <c r="M125" s="1"/>
      <c r="N125" s="1"/>
      <c r="Q125"/>
    </row>
    <row r="126" spans="1:17" ht="13.15" customHeight="1" x14ac:dyDescent="0.2">
      <c r="A126" s="1" t="s">
        <v>384</v>
      </c>
      <c r="B126" s="1" t="s">
        <v>15</v>
      </c>
      <c r="C126" s="580">
        <v>128</v>
      </c>
      <c r="D126" s="1">
        <v>2738.45</v>
      </c>
      <c r="E126" t="s">
        <v>16</v>
      </c>
      <c r="F126" t="s">
        <v>385</v>
      </c>
      <c r="G126" s="580">
        <v>364.08749999999998</v>
      </c>
      <c r="H126" s="1" t="s">
        <v>386</v>
      </c>
      <c r="I126" s="1"/>
      <c r="J126" s="1"/>
      <c r="K126" s="1"/>
      <c r="L126" s="1"/>
      <c r="M126" s="1"/>
      <c r="N126" s="1"/>
      <c r="Q126"/>
    </row>
    <row r="127" spans="1:17" ht="13.15" customHeight="1" x14ac:dyDescent="0.2">
      <c r="A127" s="1" t="s">
        <v>387</v>
      </c>
      <c r="B127" s="1" t="s">
        <v>15</v>
      </c>
      <c r="C127" s="580">
        <v>129</v>
      </c>
      <c r="D127" s="1">
        <v>1773.75</v>
      </c>
      <c r="E127" t="s">
        <v>16</v>
      </c>
      <c r="F127" t="s">
        <v>388</v>
      </c>
      <c r="G127" s="580">
        <v>249.375</v>
      </c>
      <c r="H127" s="1" t="s">
        <v>389</v>
      </c>
      <c r="I127" s="1"/>
      <c r="J127" s="1"/>
      <c r="K127" s="1"/>
      <c r="L127" s="1"/>
      <c r="M127" s="1"/>
      <c r="N127" s="1"/>
      <c r="Q127"/>
    </row>
    <row r="128" spans="1:17" ht="13.15" customHeight="1" x14ac:dyDescent="0.2">
      <c r="A128" s="1" t="s">
        <v>390</v>
      </c>
      <c r="B128" s="1" t="s">
        <v>15</v>
      </c>
      <c r="C128" s="580">
        <v>130</v>
      </c>
      <c r="D128" s="1">
        <v>2052.79</v>
      </c>
      <c r="E128" t="s">
        <v>16</v>
      </c>
      <c r="F128" t="s">
        <v>391</v>
      </c>
      <c r="G128" s="580">
        <v>204.48750000000001</v>
      </c>
      <c r="H128" s="1" t="s">
        <v>392</v>
      </c>
      <c r="I128" s="1"/>
      <c r="J128" s="1"/>
      <c r="K128" s="1"/>
      <c r="L128" s="1"/>
      <c r="M128" s="1"/>
      <c r="N128" s="1"/>
      <c r="Q128"/>
    </row>
    <row r="129" spans="1:17" ht="13.15" customHeight="1" x14ac:dyDescent="0.2">
      <c r="A129" s="1" t="s">
        <v>393</v>
      </c>
      <c r="B129" s="1" t="s">
        <v>15</v>
      </c>
      <c r="C129" s="580">
        <v>131</v>
      </c>
      <c r="D129" s="1">
        <v>2052.79</v>
      </c>
      <c r="E129" t="s">
        <v>16</v>
      </c>
      <c r="F129" t="s">
        <v>394</v>
      </c>
      <c r="G129" s="580">
        <v>204.48750000000001</v>
      </c>
      <c r="H129" s="1" t="s">
        <v>395</v>
      </c>
      <c r="I129" s="1"/>
      <c r="J129" s="1"/>
      <c r="K129" s="1"/>
      <c r="L129" s="1"/>
      <c r="M129" s="1"/>
      <c r="N129" s="1"/>
      <c r="Q129"/>
    </row>
    <row r="130" spans="1:17" ht="13.15" customHeight="1" x14ac:dyDescent="0.2">
      <c r="A130" s="1" t="s">
        <v>396</v>
      </c>
      <c r="B130" s="1" t="s">
        <v>15</v>
      </c>
      <c r="C130" s="580">
        <v>132</v>
      </c>
      <c r="D130" s="1">
        <v>1120.3</v>
      </c>
      <c r="E130" t="s">
        <v>16</v>
      </c>
      <c r="F130" t="s">
        <v>397</v>
      </c>
      <c r="G130" s="580">
        <v>203.91130000000001</v>
      </c>
      <c r="H130" s="1" t="s">
        <v>398</v>
      </c>
      <c r="I130" s="1"/>
      <c r="J130" s="1"/>
      <c r="K130" s="1"/>
      <c r="L130" s="1"/>
      <c r="M130" s="1"/>
      <c r="N130" s="1"/>
      <c r="Q130"/>
    </row>
    <row r="131" spans="1:17" ht="13.15" customHeight="1" x14ac:dyDescent="0.2">
      <c r="A131" s="1" t="s">
        <v>399</v>
      </c>
      <c r="B131" s="1" t="s">
        <v>15</v>
      </c>
      <c r="C131" s="580">
        <v>133</v>
      </c>
      <c r="D131" s="1">
        <v>700.32</v>
      </c>
      <c r="E131" t="s">
        <v>16</v>
      </c>
      <c r="F131" t="s">
        <v>400</v>
      </c>
      <c r="G131" s="580">
        <v>161.83439999999999</v>
      </c>
      <c r="H131" s="1" t="s">
        <v>401</v>
      </c>
      <c r="I131" s="1"/>
      <c r="J131" s="1"/>
      <c r="K131" s="1"/>
      <c r="L131" s="1"/>
      <c r="M131" s="1"/>
      <c r="N131" s="1"/>
      <c r="Q131"/>
    </row>
    <row r="132" spans="1:17" ht="13.15" customHeight="1" x14ac:dyDescent="0.2">
      <c r="A132" s="1" t="s">
        <v>402</v>
      </c>
      <c r="B132" s="1" t="s">
        <v>15</v>
      </c>
      <c r="C132" s="580">
        <v>134</v>
      </c>
      <c r="D132" s="1">
        <v>3111.5</v>
      </c>
      <c r="E132" t="s">
        <v>16</v>
      </c>
      <c r="F132" t="s">
        <v>403</v>
      </c>
      <c r="G132" s="580">
        <v>0</v>
      </c>
      <c r="H132" s="1" t="s">
        <v>404</v>
      </c>
      <c r="I132" s="1"/>
      <c r="J132" s="1"/>
      <c r="K132" s="1"/>
      <c r="L132" s="1"/>
      <c r="M132" s="1"/>
      <c r="N132" s="1"/>
      <c r="Q132"/>
    </row>
    <row r="133" spans="1:17" ht="13.15" customHeight="1" x14ac:dyDescent="0.2">
      <c r="A133" s="1" t="s">
        <v>405</v>
      </c>
      <c r="B133" s="1" t="s">
        <v>15</v>
      </c>
      <c r="C133" s="580">
        <v>135</v>
      </c>
      <c r="D133" s="1">
        <v>1120.3</v>
      </c>
      <c r="E133" t="s">
        <v>16</v>
      </c>
      <c r="F133" t="s">
        <v>406</v>
      </c>
      <c r="G133" s="580">
        <v>204.48750000000001</v>
      </c>
      <c r="H133" s="1" t="s">
        <v>407</v>
      </c>
      <c r="I133" s="1"/>
      <c r="J133" s="1"/>
      <c r="K133" s="1"/>
      <c r="L133" s="1"/>
      <c r="M133" s="1"/>
      <c r="N133" s="1"/>
      <c r="Q133"/>
    </row>
    <row r="134" spans="1:17" ht="13.15" customHeight="1" x14ac:dyDescent="0.2">
      <c r="A134" s="1" t="s">
        <v>408</v>
      </c>
      <c r="B134" s="1" t="s">
        <v>15</v>
      </c>
      <c r="C134" s="580">
        <v>136</v>
      </c>
      <c r="D134" s="1">
        <v>1477.95</v>
      </c>
      <c r="E134" t="s">
        <v>16</v>
      </c>
      <c r="F134" t="s">
        <v>409</v>
      </c>
      <c r="G134" s="580">
        <v>177.55500000000001</v>
      </c>
      <c r="H134" s="1" t="s">
        <v>410</v>
      </c>
      <c r="I134" s="1"/>
      <c r="J134" s="1"/>
      <c r="K134" s="1"/>
      <c r="L134" s="1"/>
      <c r="M134" s="1"/>
      <c r="N134" s="1"/>
      <c r="Q134"/>
    </row>
    <row r="135" spans="1:17" ht="13.15" customHeight="1" x14ac:dyDescent="0.2">
      <c r="A135" s="1" t="s">
        <v>411</v>
      </c>
      <c r="B135" s="1" t="s">
        <v>15</v>
      </c>
      <c r="C135" s="580">
        <v>137</v>
      </c>
      <c r="D135" s="1">
        <v>1073.43</v>
      </c>
      <c r="E135" t="s">
        <v>16</v>
      </c>
      <c r="F135" t="s">
        <v>412</v>
      </c>
      <c r="G135" s="580">
        <v>0</v>
      </c>
      <c r="H135" s="1" t="s">
        <v>413</v>
      </c>
      <c r="I135" s="1"/>
      <c r="J135" s="1"/>
      <c r="K135" s="1"/>
      <c r="L135" s="1"/>
      <c r="M135" s="1"/>
      <c r="N135" s="1"/>
      <c r="Q135"/>
    </row>
    <row r="136" spans="1:17" ht="13.15" customHeight="1" x14ac:dyDescent="0.2">
      <c r="A136" s="1" t="s">
        <v>414</v>
      </c>
      <c r="B136" s="1" t="s">
        <v>15</v>
      </c>
      <c r="C136" s="580">
        <v>138</v>
      </c>
      <c r="D136" s="1">
        <v>871.44</v>
      </c>
      <c r="E136" t="s">
        <v>16</v>
      </c>
      <c r="F136" t="s">
        <v>415</v>
      </c>
      <c r="G136" s="580">
        <v>124.6875</v>
      </c>
      <c r="H136" s="1" t="s">
        <v>416</v>
      </c>
      <c r="I136" s="1"/>
      <c r="J136" s="1"/>
      <c r="K136" s="1"/>
      <c r="L136" s="1"/>
      <c r="M136" s="1"/>
      <c r="N136" s="1"/>
      <c r="Q136"/>
    </row>
    <row r="137" spans="1:17" ht="13.15" customHeight="1" x14ac:dyDescent="0.2">
      <c r="A137" s="1" t="s">
        <v>417</v>
      </c>
      <c r="B137" s="1" t="s">
        <v>15</v>
      </c>
      <c r="C137" s="580">
        <v>139</v>
      </c>
      <c r="D137" s="1">
        <v>1088.8399999999999</v>
      </c>
      <c r="E137" t="s">
        <v>16</v>
      </c>
      <c r="F137" t="s">
        <v>418</v>
      </c>
      <c r="G137" s="580">
        <v>215.7792</v>
      </c>
      <c r="H137" s="1" t="s">
        <v>419</v>
      </c>
      <c r="I137" s="1"/>
      <c r="J137" s="1"/>
      <c r="K137" s="1"/>
      <c r="L137" s="1"/>
      <c r="M137" s="1"/>
      <c r="N137" s="1"/>
      <c r="Q137"/>
    </row>
    <row r="138" spans="1:17" ht="13.15" customHeight="1" x14ac:dyDescent="0.2">
      <c r="A138" s="1" t="s">
        <v>420</v>
      </c>
      <c r="B138" s="1" t="s">
        <v>15</v>
      </c>
      <c r="C138" s="580">
        <v>140</v>
      </c>
      <c r="D138" s="1">
        <v>815.55</v>
      </c>
      <c r="E138" t="s">
        <v>16</v>
      </c>
      <c r="F138" t="s">
        <v>421</v>
      </c>
      <c r="G138" s="580">
        <v>201.495</v>
      </c>
      <c r="H138" s="1" t="s">
        <v>422</v>
      </c>
      <c r="I138" s="1"/>
      <c r="J138" s="1"/>
      <c r="K138" s="1"/>
      <c r="L138" s="1"/>
      <c r="M138" s="1"/>
      <c r="N138" s="1"/>
      <c r="Q138"/>
    </row>
    <row r="139" spans="1:17" ht="13.15" customHeight="1" x14ac:dyDescent="0.2">
      <c r="A139" s="1" t="s">
        <v>423</v>
      </c>
      <c r="B139" s="1" t="s">
        <v>15</v>
      </c>
      <c r="C139" s="580">
        <v>141</v>
      </c>
      <c r="D139" s="1">
        <v>858.58</v>
      </c>
      <c r="E139" t="s">
        <v>16</v>
      </c>
      <c r="F139" t="s">
        <v>424</v>
      </c>
      <c r="G139" s="580">
        <v>201.75360000000001</v>
      </c>
      <c r="H139" s="1" t="s">
        <v>425</v>
      </c>
      <c r="I139" s="1"/>
      <c r="J139" s="1"/>
      <c r="K139" s="1"/>
      <c r="L139" s="1"/>
      <c r="M139" s="1"/>
      <c r="N139" s="1"/>
      <c r="Q139"/>
    </row>
    <row r="140" spans="1:17" ht="13.15" customHeight="1" x14ac:dyDescent="0.2">
      <c r="A140" s="1" t="s">
        <v>426</v>
      </c>
      <c r="B140" s="1" t="s">
        <v>15</v>
      </c>
      <c r="C140" s="580">
        <v>142</v>
      </c>
      <c r="D140" s="1">
        <v>855.44</v>
      </c>
      <c r="E140" t="s">
        <v>16</v>
      </c>
      <c r="F140" t="s">
        <v>427</v>
      </c>
      <c r="G140" s="580">
        <v>204.99019999999999</v>
      </c>
      <c r="H140" s="1" t="s">
        <v>428</v>
      </c>
      <c r="I140" s="1"/>
      <c r="J140" s="1"/>
      <c r="K140" s="1"/>
      <c r="L140" s="1"/>
      <c r="M140" s="1"/>
      <c r="N140" s="1"/>
      <c r="Q140"/>
    </row>
    <row r="141" spans="1:17" ht="13.15" customHeight="1" x14ac:dyDescent="0.2">
      <c r="A141" s="1" t="s">
        <v>429</v>
      </c>
      <c r="B141" s="1" t="s">
        <v>15</v>
      </c>
      <c r="C141" s="580">
        <v>143</v>
      </c>
      <c r="D141" s="1">
        <v>1159.96</v>
      </c>
      <c r="E141" t="s">
        <v>16</v>
      </c>
      <c r="F141" t="s">
        <v>430</v>
      </c>
      <c r="G141" s="580">
        <v>99.75</v>
      </c>
      <c r="H141" s="1" t="s">
        <v>431</v>
      </c>
      <c r="I141" s="1"/>
      <c r="J141" s="1"/>
      <c r="K141" s="1"/>
      <c r="L141" s="1"/>
      <c r="M141" s="1"/>
      <c r="N141" s="1"/>
      <c r="Q141"/>
    </row>
    <row r="142" spans="1:17" ht="13.15" customHeight="1" x14ac:dyDescent="0.2">
      <c r="A142" s="1" t="s">
        <v>432</v>
      </c>
      <c r="B142" s="1" t="s">
        <v>15</v>
      </c>
      <c r="C142" s="580">
        <v>144</v>
      </c>
      <c r="D142" s="1">
        <v>699.24</v>
      </c>
      <c r="E142" t="s">
        <v>16</v>
      </c>
      <c r="F142" t="s">
        <v>433</v>
      </c>
      <c r="G142" s="580">
        <v>145.65100000000001</v>
      </c>
      <c r="H142" s="1" t="s">
        <v>434</v>
      </c>
      <c r="I142" s="1"/>
      <c r="J142" s="1"/>
      <c r="K142" s="1"/>
      <c r="L142" s="1"/>
      <c r="M142" s="1"/>
      <c r="N142" s="1"/>
      <c r="Q142"/>
    </row>
    <row r="143" spans="1:17" ht="13.15" customHeight="1" x14ac:dyDescent="0.2">
      <c r="A143" s="1" t="s">
        <v>435</v>
      </c>
      <c r="B143" s="1" t="s">
        <v>15</v>
      </c>
      <c r="C143" s="580">
        <v>145</v>
      </c>
      <c r="D143" s="1">
        <v>720.2</v>
      </c>
      <c r="E143" t="s">
        <v>16</v>
      </c>
      <c r="F143" t="s">
        <v>436</v>
      </c>
      <c r="G143" s="580">
        <v>151.0454</v>
      </c>
      <c r="H143" s="1" t="s">
        <v>437</v>
      </c>
      <c r="I143" s="1"/>
      <c r="J143" s="1"/>
      <c r="K143" s="1"/>
      <c r="L143" s="1"/>
      <c r="M143" s="1"/>
      <c r="N143" s="1"/>
      <c r="Q143"/>
    </row>
    <row r="144" spans="1:17" ht="13.15" customHeight="1" x14ac:dyDescent="0.2">
      <c r="A144" s="1" t="s">
        <v>438</v>
      </c>
      <c r="B144" s="1" t="s">
        <v>15</v>
      </c>
      <c r="C144" s="580">
        <v>146</v>
      </c>
      <c r="D144" s="1">
        <v>2219.5100000000002</v>
      </c>
      <c r="E144" t="s">
        <v>16</v>
      </c>
      <c r="F144" t="s">
        <v>439</v>
      </c>
      <c r="G144" s="580">
        <v>0</v>
      </c>
      <c r="H144" s="1" t="s">
        <v>440</v>
      </c>
      <c r="I144" s="1"/>
      <c r="J144" s="1"/>
      <c r="K144" s="1"/>
      <c r="L144" s="1"/>
      <c r="M144" s="1"/>
      <c r="N144" s="1"/>
      <c r="Q144"/>
    </row>
    <row r="145" spans="1:17" ht="13.15" customHeight="1" x14ac:dyDescent="0.2">
      <c r="A145" s="1" t="s">
        <v>441</v>
      </c>
      <c r="B145" s="1" t="s">
        <v>15</v>
      </c>
      <c r="C145" s="580">
        <v>147</v>
      </c>
      <c r="D145" s="1">
        <v>1057.97</v>
      </c>
      <c r="E145" t="s">
        <v>16</v>
      </c>
      <c r="F145" t="s">
        <v>442</v>
      </c>
      <c r="G145" s="580">
        <v>161.83439999999999</v>
      </c>
      <c r="H145" s="1" t="s">
        <v>443</v>
      </c>
      <c r="I145" s="1"/>
      <c r="J145" s="1"/>
      <c r="K145" s="1"/>
      <c r="L145" s="1"/>
      <c r="M145" s="1"/>
      <c r="N145" s="1"/>
      <c r="Q145"/>
    </row>
    <row r="146" spans="1:17" ht="13.15" customHeight="1" x14ac:dyDescent="0.2">
      <c r="A146" s="1" t="s">
        <v>444</v>
      </c>
      <c r="B146" s="1" t="s">
        <v>15</v>
      </c>
      <c r="C146" s="580">
        <v>148</v>
      </c>
      <c r="D146" s="1">
        <v>668.91</v>
      </c>
      <c r="E146" t="s">
        <v>16</v>
      </c>
      <c r="F146" t="s">
        <v>445</v>
      </c>
      <c r="G146" s="580">
        <v>156.60749999999999</v>
      </c>
      <c r="H146" s="1" t="s">
        <v>446</v>
      </c>
      <c r="I146" s="1"/>
      <c r="J146" s="1"/>
      <c r="K146" s="1"/>
      <c r="L146" s="1"/>
      <c r="M146" s="1"/>
      <c r="N146" s="1"/>
      <c r="Q146"/>
    </row>
    <row r="147" spans="1:17" ht="13.15" customHeight="1" x14ac:dyDescent="0.2">
      <c r="A147" s="1" t="s">
        <v>447</v>
      </c>
      <c r="B147" s="1" t="s">
        <v>15</v>
      </c>
      <c r="C147" s="580">
        <v>149</v>
      </c>
      <c r="D147" s="1">
        <v>1120.3</v>
      </c>
      <c r="E147" t="s">
        <v>16</v>
      </c>
      <c r="F147" t="s">
        <v>448</v>
      </c>
      <c r="G147" s="580">
        <v>230.8837</v>
      </c>
      <c r="H147" s="1" t="s">
        <v>449</v>
      </c>
      <c r="I147" s="1"/>
      <c r="J147" s="1"/>
      <c r="K147" s="1"/>
      <c r="L147" s="1"/>
      <c r="M147" s="1"/>
      <c r="N147" s="1"/>
      <c r="Q147"/>
    </row>
    <row r="148" spans="1:17" ht="13.15" customHeight="1" x14ac:dyDescent="0.2">
      <c r="A148" s="1" t="s">
        <v>450</v>
      </c>
      <c r="B148" s="1" t="s">
        <v>15</v>
      </c>
      <c r="C148" s="580">
        <v>150</v>
      </c>
      <c r="D148" s="1">
        <v>800.37</v>
      </c>
      <c r="E148" t="s">
        <v>16</v>
      </c>
      <c r="F148" t="s">
        <v>451</v>
      </c>
      <c r="G148" s="580">
        <v>187.72790000000001</v>
      </c>
      <c r="H148" s="1" t="s">
        <v>452</v>
      </c>
      <c r="I148" s="1"/>
      <c r="J148" s="1"/>
      <c r="K148" s="1"/>
      <c r="L148" s="1"/>
      <c r="M148" s="1"/>
      <c r="N148" s="1"/>
      <c r="Q148"/>
    </row>
    <row r="149" spans="1:17" ht="13.15" customHeight="1" x14ac:dyDescent="0.2">
      <c r="A149" s="1" t="s">
        <v>453</v>
      </c>
      <c r="B149" s="1" t="s">
        <v>15</v>
      </c>
      <c r="C149" s="580">
        <v>151</v>
      </c>
      <c r="D149" s="1">
        <v>1324.25</v>
      </c>
      <c r="E149" t="s">
        <v>16</v>
      </c>
      <c r="F149" t="s">
        <v>454</v>
      </c>
      <c r="G149" s="580">
        <v>226.56819999999999</v>
      </c>
      <c r="H149" s="1" t="s">
        <v>455</v>
      </c>
      <c r="I149" s="1"/>
      <c r="J149" s="1"/>
      <c r="K149" s="1"/>
      <c r="L149" s="1"/>
      <c r="M149" s="1"/>
      <c r="N149" s="1"/>
      <c r="Q149"/>
    </row>
    <row r="150" spans="1:17" ht="13.15" customHeight="1" x14ac:dyDescent="0.2">
      <c r="A150" s="1" t="s">
        <v>456</v>
      </c>
      <c r="B150" s="1" t="s">
        <v>15</v>
      </c>
      <c r="C150" s="580">
        <v>152</v>
      </c>
      <c r="D150" s="1">
        <v>1018.65</v>
      </c>
      <c r="E150" t="s">
        <v>16</v>
      </c>
      <c r="F150" t="s">
        <v>457</v>
      </c>
      <c r="G150" s="580">
        <v>231.96260000000001</v>
      </c>
      <c r="H150" s="1" t="s">
        <v>458</v>
      </c>
      <c r="I150" s="1"/>
      <c r="J150" s="1"/>
      <c r="K150" s="1"/>
      <c r="L150" s="1"/>
      <c r="M150" s="1"/>
      <c r="N150" s="1"/>
      <c r="Q150"/>
    </row>
    <row r="151" spans="1:17" ht="13.15" customHeight="1" x14ac:dyDescent="0.2">
      <c r="A151" s="1" t="s">
        <v>459</v>
      </c>
      <c r="B151" s="1" t="s">
        <v>15</v>
      </c>
      <c r="C151" s="580">
        <v>153</v>
      </c>
      <c r="D151" s="1">
        <v>902.31</v>
      </c>
      <c r="E151" t="s">
        <v>16</v>
      </c>
      <c r="F151" t="s">
        <v>460</v>
      </c>
      <c r="G151" s="580">
        <v>174.5625</v>
      </c>
      <c r="H151" s="1" t="s">
        <v>461</v>
      </c>
      <c r="I151" s="1"/>
      <c r="J151" s="1"/>
      <c r="K151" s="1"/>
      <c r="L151" s="1"/>
      <c r="M151" s="1"/>
      <c r="N151" s="1"/>
      <c r="Q151"/>
    </row>
    <row r="152" spans="1:17" ht="13.15" customHeight="1" x14ac:dyDescent="0.2">
      <c r="A152" s="1" t="s">
        <v>462</v>
      </c>
      <c r="B152" s="1" t="s">
        <v>15</v>
      </c>
      <c r="C152" s="580">
        <v>154</v>
      </c>
      <c r="D152" s="1">
        <v>949.24</v>
      </c>
      <c r="E152" t="s">
        <v>16</v>
      </c>
      <c r="F152" t="s">
        <v>463</v>
      </c>
      <c r="G152" s="580">
        <v>221.44499999999999</v>
      </c>
      <c r="H152" s="1" t="s">
        <v>464</v>
      </c>
      <c r="I152" s="1"/>
      <c r="J152" s="1"/>
      <c r="K152" s="1"/>
      <c r="L152" s="1"/>
      <c r="M152" s="1"/>
      <c r="N152" s="1"/>
      <c r="Q152"/>
    </row>
    <row r="153" spans="1:17" ht="13.15" customHeight="1" x14ac:dyDescent="0.2">
      <c r="A153" s="1" t="s">
        <v>465</v>
      </c>
      <c r="B153" s="1" t="s">
        <v>15</v>
      </c>
      <c r="C153" s="580">
        <v>155</v>
      </c>
      <c r="D153" s="1">
        <v>873.13</v>
      </c>
      <c r="E153" t="s">
        <v>16</v>
      </c>
      <c r="F153" t="s">
        <v>466</v>
      </c>
      <c r="G153" s="580">
        <v>199.5958</v>
      </c>
      <c r="H153" s="1" t="s">
        <v>467</v>
      </c>
      <c r="I153" s="1"/>
      <c r="J153" s="1"/>
      <c r="K153" s="1"/>
      <c r="L153" s="1"/>
      <c r="M153" s="1"/>
      <c r="N153" s="1"/>
      <c r="Q153"/>
    </row>
    <row r="154" spans="1:17" ht="13.15" customHeight="1" x14ac:dyDescent="0.2">
      <c r="A154" s="1" t="s">
        <v>468</v>
      </c>
      <c r="B154" s="1" t="s">
        <v>15</v>
      </c>
      <c r="C154" s="580">
        <v>156</v>
      </c>
      <c r="D154" s="1">
        <v>1384.69</v>
      </c>
      <c r="E154" t="s">
        <v>16</v>
      </c>
      <c r="F154" t="s">
        <v>469</v>
      </c>
      <c r="G154" s="580">
        <v>237.3571</v>
      </c>
      <c r="H154" s="1" t="s">
        <v>470</v>
      </c>
      <c r="I154" s="1"/>
      <c r="J154" s="1"/>
      <c r="K154" s="1"/>
      <c r="L154" s="1"/>
      <c r="M154" s="1"/>
      <c r="N154" s="1"/>
      <c r="Q154"/>
    </row>
    <row r="155" spans="1:17" ht="13.15" customHeight="1" x14ac:dyDescent="0.2">
      <c r="A155" s="1" t="s">
        <v>471</v>
      </c>
      <c r="B155" s="1" t="s">
        <v>15</v>
      </c>
      <c r="C155" s="580">
        <v>157</v>
      </c>
      <c r="D155" s="1">
        <v>1018.65</v>
      </c>
      <c r="E155" t="s">
        <v>16</v>
      </c>
      <c r="F155" t="s">
        <v>472</v>
      </c>
      <c r="G155" s="580">
        <v>231.96260000000001</v>
      </c>
      <c r="H155" s="1" t="s">
        <v>473</v>
      </c>
      <c r="I155" s="1"/>
      <c r="J155" s="1"/>
      <c r="K155" s="1"/>
      <c r="L155" s="1"/>
      <c r="M155" s="1"/>
      <c r="N155" s="1"/>
      <c r="Q155"/>
    </row>
    <row r="156" spans="1:17" ht="13.15" customHeight="1" x14ac:dyDescent="0.2">
      <c r="A156" s="1" t="s">
        <v>474</v>
      </c>
      <c r="B156" s="1" t="s">
        <v>15</v>
      </c>
      <c r="C156" s="580">
        <v>158</v>
      </c>
      <c r="D156" s="1">
        <v>839.97</v>
      </c>
      <c r="E156" t="s">
        <v>16</v>
      </c>
      <c r="F156" t="s">
        <v>475</v>
      </c>
      <c r="G156" s="580">
        <v>180.1756</v>
      </c>
      <c r="H156" s="1" t="s">
        <v>476</v>
      </c>
      <c r="I156" s="1"/>
      <c r="J156" s="1"/>
      <c r="K156" s="1"/>
      <c r="L156" s="1"/>
      <c r="M156" s="1"/>
      <c r="N156" s="1"/>
      <c r="Q156"/>
    </row>
    <row r="157" spans="1:17" ht="13.15" customHeight="1" x14ac:dyDescent="0.2">
      <c r="A157" s="1" t="s">
        <v>477</v>
      </c>
      <c r="B157" s="1" t="s">
        <v>15</v>
      </c>
      <c r="C157" s="580">
        <v>159</v>
      </c>
      <c r="D157" s="1">
        <v>949.24</v>
      </c>
      <c r="E157" t="s">
        <v>16</v>
      </c>
      <c r="F157" t="s">
        <v>478</v>
      </c>
      <c r="G157" s="580">
        <v>0</v>
      </c>
      <c r="H157" s="1" t="s">
        <v>479</v>
      </c>
      <c r="I157" s="1"/>
      <c r="J157" s="1"/>
      <c r="K157" s="1"/>
      <c r="L157" s="1"/>
      <c r="M157" s="1"/>
      <c r="N157" s="1"/>
      <c r="Q157"/>
    </row>
    <row r="158" spans="1:17" ht="13.15" customHeight="1" x14ac:dyDescent="0.2">
      <c r="A158" s="1" t="s">
        <v>480</v>
      </c>
      <c r="B158" s="1" t="s">
        <v>15</v>
      </c>
      <c r="C158" s="580">
        <v>160</v>
      </c>
      <c r="D158" s="1">
        <v>1229.03</v>
      </c>
      <c r="E158" t="s">
        <v>16</v>
      </c>
      <c r="F158" t="s">
        <v>481</v>
      </c>
      <c r="G158" s="580">
        <v>215.46</v>
      </c>
      <c r="H158" s="1" t="s">
        <v>482</v>
      </c>
      <c r="I158" s="1"/>
      <c r="J158" s="1"/>
      <c r="K158" s="1"/>
      <c r="L158" s="1"/>
      <c r="M158" s="1"/>
      <c r="N158" s="1"/>
      <c r="Q158"/>
    </row>
    <row r="159" spans="1:17" ht="13.15" customHeight="1" x14ac:dyDescent="0.2">
      <c r="A159" s="1" t="s">
        <v>483</v>
      </c>
      <c r="B159" s="1" t="s">
        <v>15</v>
      </c>
      <c r="C159" s="580">
        <v>161</v>
      </c>
      <c r="D159" s="1">
        <v>1018.65</v>
      </c>
      <c r="E159" t="s">
        <v>16</v>
      </c>
      <c r="F159" t="s">
        <v>484</v>
      </c>
      <c r="G159" s="580">
        <v>239.4</v>
      </c>
      <c r="H159" s="1" t="s">
        <v>485</v>
      </c>
      <c r="I159" s="1"/>
      <c r="J159" s="1"/>
      <c r="K159" s="1"/>
      <c r="L159" s="1"/>
      <c r="M159" s="1"/>
      <c r="N159" s="1"/>
      <c r="Q159"/>
    </row>
    <row r="160" spans="1:17" ht="13.15" customHeight="1" x14ac:dyDescent="0.2">
      <c r="A160" s="1" t="s">
        <v>486</v>
      </c>
      <c r="B160" s="1" t="s">
        <v>15</v>
      </c>
      <c r="C160" s="580">
        <v>162</v>
      </c>
      <c r="D160" s="1">
        <v>1236.93</v>
      </c>
      <c r="E160" t="s">
        <v>16</v>
      </c>
      <c r="F160" t="s">
        <v>487</v>
      </c>
      <c r="G160" s="580">
        <v>239.4</v>
      </c>
      <c r="H160" s="1" t="s">
        <v>488</v>
      </c>
      <c r="I160" s="1"/>
      <c r="J160" s="1"/>
      <c r="K160" s="1"/>
      <c r="L160" s="1"/>
      <c r="M160" s="1"/>
      <c r="N160" s="1"/>
      <c r="Q160"/>
    </row>
    <row r="161" spans="1:17" ht="13.15" customHeight="1" x14ac:dyDescent="0.2">
      <c r="A161" s="1" t="s">
        <v>489</v>
      </c>
      <c r="B161" s="1" t="s">
        <v>15</v>
      </c>
      <c r="C161" s="580">
        <v>163</v>
      </c>
      <c r="D161" s="1">
        <v>1891.78</v>
      </c>
      <c r="E161" t="s">
        <v>16</v>
      </c>
      <c r="F161" t="s">
        <v>490</v>
      </c>
      <c r="G161" s="580">
        <v>339.15</v>
      </c>
      <c r="H161" s="1" t="s">
        <v>491</v>
      </c>
      <c r="I161" s="1"/>
      <c r="J161" s="1"/>
      <c r="K161" s="1"/>
      <c r="L161" s="1"/>
      <c r="M161" s="1"/>
      <c r="N161" s="1"/>
      <c r="Q161"/>
    </row>
    <row r="162" spans="1:17" ht="13.15" customHeight="1" x14ac:dyDescent="0.2">
      <c r="A162" s="1" t="s">
        <v>492</v>
      </c>
      <c r="B162" s="1" t="s">
        <v>15</v>
      </c>
      <c r="C162" s="580">
        <v>164</v>
      </c>
      <c r="D162" s="1">
        <v>1054.31</v>
      </c>
      <c r="E162" t="s">
        <v>16</v>
      </c>
      <c r="F162" t="s">
        <v>430</v>
      </c>
      <c r="G162" s="580">
        <v>99.75</v>
      </c>
      <c r="H162" s="1" t="s">
        <v>493</v>
      </c>
      <c r="I162" s="1"/>
      <c r="J162" s="1"/>
      <c r="K162" s="1"/>
      <c r="L162" s="1"/>
      <c r="M162" s="1"/>
      <c r="N162" s="1"/>
      <c r="Q162"/>
    </row>
    <row r="163" spans="1:17" ht="13.15" customHeight="1" x14ac:dyDescent="0.2">
      <c r="A163" s="1" t="s">
        <v>494</v>
      </c>
      <c r="B163" s="1" t="s">
        <v>15</v>
      </c>
      <c r="C163" s="580">
        <v>165</v>
      </c>
      <c r="D163" s="1">
        <v>606.51</v>
      </c>
      <c r="E163" t="s">
        <v>16</v>
      </c>
      <c r="F163" t="s">
        <v>495</v>
      </c>
      <c r="G163" s="580">
        <v>138.0933</v>
      </c>
      <c r="H163" s="1" t="s">
        <v>496</v>
      </c>
      <c r="I163" s="1"/>
      <c r="J163" s="1"/>
      <c r="K163" s="1"/>
      <c r="L163" s="1"/>
      <c r="M163" s="1"/>
      <c r="N163" s="1"/>
      <c r="Q163"/>
    </row>
    <row r="164" spans="1:17" ht="13.15" customHeight="1" x14ac:dyDescent="0.2">
      <c r="A164" s="1" t="s">
        <v>497</v>
      </c>
      <c r="B164" s="1" t="s">
        <v>15</v>
      </c>
      <c r="C164" s="580">
        <v>166</v>
      </c>
      <c r="D164" s="1">
        <v>582.09</v>
      </c>
      <c r="E164" t="s">
        <v>16</v>
      </c>
      <c r="F164" t="s">
        <v>498</v>
      </c>
      <c r="G164" s="580">
        <v>131.62530000000001</v>
      </c>
      <c r="H164" s="1" t="s">
        <v>499</v>
      </c>
      <c r="I164" s="1"/>
      <c r="J164" s="1"/>
      <c r="K164" s="1"/>
      <c r="L164" s="1"/>
      <c r="M164" s="1"/>
      <c r="N164" s="1"/>
      <c r="Q164"/>
    </row>
    <row r="165" spans="1:17" ht="13.15" customHeight="1" x14ac:dyDescent="0.2">
      <c r="A165" s="1" t="s">
        <v>500</v>
      </c>
      <c r="B165" s="1" t="s">
        <v>15</v>
      </c>
      <c r="C165" s="580">
        <v>167</v>
      </c>
      <c r="D165" s="1">
        <v>778.17</v>
      </c>
      <c r="E165" t="s">
        <v>16</v>
      </c>
      <c r="F165" t="s">
        <v>501</v>
      </c>
      <c r="G165" s="580">
        <v>180.1756</v>
      </c>
      <c r="H165" s="1" t="s">
        <v>502</v>
      </c>
      <c r="I165" s="1"/>
      <c r="J165" s="1"/>
      <c r="K165" s="1"/>
      <c r="L165" s="1"/>
      <c r="M165" s="1"/>
      <c r="N165" s="1"/>
      <c r="Q165"/>
    </row>
    <row r="166" spans="1:17" ht="13.15" customHeight="1" x14ac:dyDescent="0.2">
      <c r="A166" s="1" t="s">
        <v>503</v>
      </c>
      <c r="B166" s="1" t="s">
        <v>15</v>
      </c>
      <c r="C166" s="580">
        <v>168</v>
      </c>
      <c r="D166" s="1">
        <v>1042.5</v>
      </c>
      <c r="E166" t="s">
        <v>16</v>
      </c>
      <c r="F166" t="s">
        <v>504</v>
      </c>
      <c r="G166" s="580">
        <v>199.5958</v>
      </c>
      <c r="H166" s="1" t="s">
        <v>505</v>
      </c>
      <c r="I166" s="1"/>
      <c r="J166" s="1"/>
      <c r="K166" s="1"/>
      <c r="L166" s="1"/>
      <c r="M166" s="1"/>
      <c r="N166" s="1"/>
      <c r="Q166"/>
    </row>
    <row r="167" spans="1:17" ht="13.15" customHeight="1" x14ac:dyDescent="0.2">
      <c r="A167" s="1" t="s">
        <v>506</v>
      </c>
      <c r="B167" s="1" t="s">
        <v>15</v>
      </c>
      <c r="C167" s="580">
        <v>169</v>
      </c>
      <c r="D167" s="1">
        <v>839.97</v>
      </c>
      <c r="E167" t="s">
        <v>16</v>
      </c>
      <c r="F167" t="s">
        <v>507</v>
      </c>
      <c r="G167" s="580">
        <v>155.36099999999999</v>
      </c>
      <c r="H167" s="1" t="s">
        <v>508</v>
      </c>
      <c r="I167" s="1"/>
      <c r="J167" s="1"/>
      <c r="K167" s="1"/>
      <c r="L167" s="1"/>
      <c r="M167" s="1"/>
      <c r="N167" s="1"/>
      <c r="Q167"/>
    </row>
    <row r="168" spans="1:17" ht="13.15" customHeight="1" x14ac:dyDescent="0.2">
      <c r="A168" s="1" t="s">
        <v>509</v>
      </c>
      <c r="B168" s="1" t="s">
        <v>15</v>
      </c>
      <c r="C168" s="580">
        <v>170</v>
      </c>
      <c r="D168" s="1">
        <v>1680.48</v>
      </c>
      <c r="E168" t="s">
        <v>16</v>
      </c>
      <c r="F168" t="s">
        <v>510</v>
      </c>
      <c r="G168" s="580">
        <v>284.82850000000002</v>
      </c>
      <c r="H168" s="1" t="s">
        <v>511</v>
      </c>
      <c r="I168" s="1"/>
      <c r="J168" s="1"/>
      <c r="K168" s="1"/>
      <c r="L168" s="1"/>
      <c r="M168" s="1"/>
      <c r="N168" s="1"/>
      <c r="Q168"/>
    </row>
    <row r="169" spans="1:17" ht="13.15" customHeight="1" x14ac:dyDescent="0.2">
      <c r="A169" s="1" t="s">
        <v>512</v>
      </c>
      <c r="B169" s="1" t="s">
        <v>15</v>
      </c>
      <c r="C169" s="580">
        <v>171</v>
      </c>
      <c r="D169" s="1">
        <v>1680.48</v>
      </c>
      <c r="E169" t="s">
        <v>16</v>
      </c>
      <c r="F169" t="s">
        <v>513</v>
      </c>
      <c r="G169" s="580">
        <v>284.82850000000002</v>
      </c>
      <c r="H169" s="1" t="s">
        <v>514</v>
      </c>
      <c r="I169" s="1"/>
      <c r="J169" s="1"/>
      <c r="K169" s="1"/>
      <c r="L169" s="1"/>
      <c r="M169" s="1"/>
      <c r="N169" s="1"/>
      <c r="Q169"/>
    </row>
    <row r="170" spans="1:17" ht="13.15" customHeight="1" x14ac:dyDescent="0.2">
      <c r="A170" s="1" t="s">
        <v>515</v>
      </c>
      <c r="B170" s="1" t="s">
        <v>15</v>
      </c>
      <c r="C170" s="580">
        <v>172</v>
      </c>
      <c r="D170" s="1">
        <v>731.24</v>
      </c>
      <c r="E170" t="s">
        <v>16</v>
      </c>
      <c r="F170" t="s">
        <v>516</v>
      </c>
      <c r="G170" s="580">
        <v>163.9922</v>
      </c>
      <c r="H170" s="1" t="s">
        <v>517</v>
      </c>
      <c r="I170" s="1"/>
      <c r="J170" s="1"/>
      <c r="K170" s="1"/>
      <c r="L170" s="1"/>
      <c r="M170" s="1"/>
      <c r="N170" s="1"/>
      <c r="Q170"/>
    </row>
    <row r="171" spans="1:17" ht="13.15" customHeight="1" x14ac:dyDescent="0.2">
      <c r="A171" s="1" t="s">
        <v>518</v>
      </c>
      <c r="B171" s="1" t="s">
        <v>15</v>
      </c>
      <c r="C171" s="580">
        <v>173</v>
      </c>
      <c r="D171" s="1">
        <v>1493.42</v>
      </c>
      <c r="E171" t="s">
        <v>16</v>
      </c>
      <c r="F171" t="s">
        <v>519</v>
      </c>
      <c r="G171" s="580">
        <v>269.72399999999999</v>
      </c>
      <c r="H171" s="1" t="s">
        <v>520</v>
      </c>
      <c r="I171" s="1"/>
      <c r="J171" s="1"/>
      <c r="K171" s="1"/>
      <c r="L171" s="1"/>
      <c r="M171" s="1"/>
      <c r="N171" s="1"/>
      <c r="Q171"/>
    </row>
    <row r="172" spans="1:17" ht="13.15" customHeight="1" x14ac:dyDescent="0.2">
      <c r="A172" s="1" t="s">
        <v>521</v>
      </c>
      <c r="B172" s="1" t="s">
        <v>15</v>
      </c>
      <c r="C172" s="580">
        <v>174</v>
      </c>
      <c r="D172" s="1">
        <v>6316.27</v>
      </c>
      <c r="E172" t="s">
        <v>16</v>
      </c>
      <c r="F172" t="s">
        <v>522</v>
      </c>
      <c r="G172" s="580">
        <v>431.55840000000001</v>
      </c>
      <c r="H172" s="1" t="s">
        <v>523</v>
      </c>
      <c r="I172" s="1"/>
      <c r="J172" s="1"/>
      <c r="K172" s="1"/>
      <c r="L172" s="1"/>
      <c r="M172" s="1"/>
      <c r="N172" s="1"/>
      <c r="Q172"/>
    </row>
    <row r="173" spans="1:17" ht="13.15" customHeight="1" x14ac:dyDescent="0.2">
      <c r="A173" s="1" t="s">
        <v>524</v>
      </c>
      <c r="B173" s="1" t="s">
        <v>15</v>
      </c>
      <c r="C173" s="580">
        <v>175</v>
      </c>
      <c r="D173" s="1">
        <v>5040.91</v>
      </c>
      <c r="E173" t="s">
        <v>16</v>
      </c>
      <c r="F173" t="s">
        <v>525</v>
      </c>
      <c r="G173" s="580">
        <v>0</v>
      </c>
      <c r="H173" s="1" t="s">
        <v>526</v>
      </c>
      <c r="I173" s="1"/>
      <c r="J173" s="1"/>
      <c r="K173" s="1"/>
      <c r="L173" s="1"/>
      <c r="M173" s="1"/>
      <c r="N173" s="1"/>
      <c r="Q173"/>
    </row>
    <row r="174" spans="1:17" ht="13.15" customHeight="1" x14ac:dyDescent="0.2">
      <c r="A174" s="1" t="s">
        <v>527</v>
      </c>
      <c r="B174" s="1" t="s">
        <v>15</v>
      </c>
      <c r="C174" s="580">
        <v>176</v>
      </c>
      <c r="D174" s="1">
        <v>654.85</v>
      </c>
      <c r="E174" t="s">
        <v>16</v>
      </c>
      <c r="F174" t="s">
        <v>371</v>
      </c>
      <c r="G174" s="580">
        <v>129.4675</v>
      </c>
      <c r="H174" s="1" t="s">
        <v>528</v>
      </c>
      <c r="I174" s="1"/>
      <c r="J174" s="1"/>
      <c r="K174" s="1"/>
      <c r="L174" s="1"/>
      <c r="M174" s="1"/>
      <c r="N174" s="1"/>
      <c r="Q174"/>
    </row>
    <row r="175" spans="1:17" ht="13.15" customHeight="1" x14ac:dyDescent="0.2">
      <c r="A175" s="1" t="s">
        <v>529</v>
      </c>
      <c r="B175" s="1" t="s">
        <v>15</v>
      </c>
      <c r="C175" s="580">
        <v>177</v>
      </c>
      <c r="D175" s="1">
        <v>2209.1999999999998</v>
      </c>
      <c r="E175" t="s">
        <v>16</v>
      </c>
      <c r="F175" t="s">
        <v>530</v>
      </c>
      <c r="G175" s="580">
        <v>0</v>
      </c>
      <c r="H175" s="1" t="s">
        <v>531</v>
      </c>
      <c r="I175" s="1"/>
      <c r="J175" s="1"/>
      <c r="K175" s="1"/>
      <c r="L175" s="1"/>
      <c r="M175" s="1"/>
      <c r="N175" s="1"/>
      <c r="Q175"/>
    </row>
    <row r="176" spans="1:17" ht="13.15" customHeight="1" x14ac:dyDescent="0.2">
      <c r="A176" s="1" t="s">
        <v>532</v>
      </c>
      <c r="B176" s="1" t="s">
        <v>15</v>
      </c>
      <c r="C176" s="580">
        <v>178</v>
      </c>
      <c r="D176" s="1">
        <v>980.17</v>
      </c>
      <c r="E176" t="s">
        <v>16</v>
      </c>
      <c r="F176" t="s">
        <v>533</v>
      </c>
      <c r="G176" s="580">
        <v>183.41229999999999</v>
      </c>
      <c r="H176" s="1" t="s">
        <v>534</v>
      </c>
      <c r="I176" s="1"/>
      <c r="J176" s="1"/>
      <c r="K176" s="1"/>
      <c r="L176" s="1"/>
      <c r="M176" s="1"/>
      <c r="N176" s="1"/>
      <c r="Q176"/>
    </row>
    <row r="177" spans="1:17" ht="13.15" customHeight="1" x14ac:dyDescent="0.2">
      <c r="A177" s="1" t="s">
        <v>535</v>
      </c>
      <c r="B177" s="1" t="s">
        <v>15</v>
      </c>
      <c r="C177" s="580">
        <v>179</v>
      </c>
      <c r="D177" s="1">
        <v>980.17</v>
      </c>
      <c r="E177" t="s">
        <v>16</v>
      </c>
      <c r="F177" t="s">
        <v>536</v>
      </c>
      <c r="G177" s="580">
        <v>183.41229999999999</v>
      </c>
      <c r="H177" s="1" t="s">
        <v>537</v>
      </c>
      <c r="I177" s="1"/>
      <c r="J177" s="1"/>
      <c r="K177" s="1"/>
      <c r="L177" s="1"/>
      <c r="M177" s="1"/>
      <c r="N177" s="1"/>
      <c r="Q177"/>
    </row>
    <row r="178" spans="1:17" ht="13.15" customHeight="1" x14ac:dyDescent="0.2">
      <c r="A178" s="1" t="s">
        <v>538</v>
      </c>
      <c r="B178" s="1" t="s">
        <v>15</v>
      </c>
      <c r="C178" s="580">
        <v>180</v>
      </c>
      <c r="D178" s="1">
        <v>980.17</v>
      </c>
      <c r="E178" t="s">
        <v>16</v>
      </c>
      <c r="F178" t="s">
        <v>539</v>
      </c>
      <c r="G178" s="580">
        <v>183.41229999999999</v>
      </c>
      <c r="H178" s="1" t="s">
        <v>540</v>
      </c>
      <c r="I178" s="1"/>
      <c r="J178" s="1"/>
      <c r="K178" s="1"/>
      <c r="L178" s="1"/>
      <c r="M178" s="1"/>
      <c r="N178" s="1"/>
      <c r="Q178"/>
    </row>
    <row r="179" spans="1:17" ht="13.15" customHeight="1" x14ac:dyDescent="0.2">
      <c r="A179" s="1" t="s">
        <v>541</v>
      </c>
      <c r="B179" s="1" t="s">
        <v>15</v>
      </c>
      <c r="C179" s="580">
        <v>181</v>
      </c>
      <c r="D179" s="1">
        <v>1057.97</v>
      </c>
      <c r="E179" t="s">
        <v>16</v>
      </c>
      <c r="F179" t="s">
        <v>542</v>
      </c>
      <c r="G179" s="580">
        <v>183.41229999999999</v>
      </c>
      <c r="H179" s="1" t="s">
        <v>543</v>
      </c>
      <c r="I179" s="1"/>
      <c r="J179" s="1"/>
      <c r="K179" s="1"/>
      <c r="L179" s="1"/>
      <c r="M179" s="1"/>
      <c r="N179" s="1"/>
      <c r="Q179"/>
    </row>
    <row r="180" spans="1:17" ht="13.15" customHeight="1" x14ac:dyDescent="0.2">
      <c r="A180" s="1" t="s">
        <v>544</v>
      </c>
      <c r="B180" s="1" t="s">
        <v>15</v>
      </c>
      <c r="C180" s="580">
        <v>182</v>
      </c>
      <c r="D180" s="1">
        <v>1057.97</v>
      </c>
      <c r="E180" t="s">
        <v>16</v>
      </c>
      <c r="F180" t="s">
        <v>545</v>
      </c>
      <c r="G180" s="580">
        <v>231.96260000000001</v>
      </c>
      <c r="H180" s="1" t="s">
        <v>546</v>
      </c>
      <c r="I180" s="1"/>
      <c r="J180" s="1"/>
      <c r="K180" s="1"/>
      <c r="L180" s="1"/>
      <c r="M180" s="1"/>
      <c r="N180" s="1"/>
      <c r="Q180"/>
    </row>
    <row r="181" spans="1:17" ht="13.15" customHeight="1" x14ac:dyDescent="0.2">
      <c r="A181" s="1" t="s">
        <v>547</v>
      </c>
      <c r="B181" s="1" t="s">
        <v>15</v>
      </c>
      <c r="C181" s="580">
        <v>183</v>
      </c>
      <c r="D181" s="1">
        <v>1057.97</v>
      </c>
      <c r="E181" t="s">
        <v>16</v>
      </c>
      <c r="F181" t="s">
        <v>548</v>
      </c>
      <c r="G181" s="580">
        <v>231.96260000000001</v>
      </c>
      <c r="H181" s="1" t="s">
        <v>549</v>
      </c>
      <c r="I181" s="1"/>
      <c r="J181" s="1"/>
      <c r="K181" s="1"/>
      <c r="L181" s="1"/>
      <c r="M181" s="1"/>
      <c r="N181" s="1"/>
      <c r="Q181"/>
    </row>
    <row r="182" spans="1:17" ht="13.15" customHeight="1" x14ac:dyDescent="0.2">
      <c r="A182" s="1" t="s">
        <v>550</v>
      </c>
      <c r="B182" s="1" t="s">
        <v>15</v>
      </c>
      <c r="C182" s="580">
        <v>184</v>
      </c>
      <c r="D182" s="1">
        <v>1046.57</v>
      </c>
      <c r="E182" t="s">
        <v>16</v>
      </c>
      <c r="F182" t="s">
        <v>551</v>
      </c>
      <c r="G182" s="580">
        <v>113.715</v>
      </c>
      <c r="H182" s="1" t="s">
        <v>552</v>
      </c>
      <c r="I182" s="1"/>
      <c r="J182" s="1"/>
      <c r="K182" s="1"/>
      <c r="L182" s="1"/>
      <c r="M182" s="1"/>
      <c r="N182" s="1"/>
      <c r="Q182"/>
    </row>
    <row r="183" spans="1:17" ht="13.15" customHeight="1" x14ac:dyDescent="0.2">
      <c r="A183" s="1" t="s">
        <v>553</v>
      </c>
      <c r="B183" s="1" t="s">
        <v>15</v>
      </c>
      <c r="C183" s="580">
        <v>185</v>
      </c>
      <c r="D183" s="1">
        <v>1046.57</v>
      </c>
      <c r="E183" t="s">
        <v>16</v>
      </c>
      <c r="F183" t="s">
        <v>554</v>
      </c>
      <c r="G183" s="580">
        <v>113.715</v>
      </c>
      <c r="H183" s="1" t="s">
        <v>555</v>
      </c>
      <c r="I183" s="1"/>
      <c r="J183" s="1"/>
      <c r="K183" s="1"/>
      <c r="L183" s="1"/>
      <c r="M183" s="1"/>
      <c r="N183" s="1"/>
      <c r="Q183"/>
    </row>
    <row r="184" spans="1:17" ht="13.15" customHeight="1" x14ac:dyDescent="0.2">
      <c r="A184" s="1" t="s">
        <v>556</v>
      </c>
      <c r="B184" s="1" t="s">
        <v>15</v>
      </c>
      <c r="C184" s="580">
        <v>186</v>
      </c>
      <c r="D184" s="1">
        <v>4584.1499999999996</v>
      </c>
      <c r="E184" t="s">
        <v>16</v>
      </c>
      <c r="F184" t="s">
        <v>557</v>
      </c>
      <c r="G184" s="580">
        <v>0</v>
      </c>
      <c r="H184" s="1" t="s">
        <v>558</v>
      </c>
      <c r="I184" s="1"/>
      <c r="J184" s="1"/>
      <c r="K184" s="1"/>
      <c r="L184" s="1"/>
      <c r="M184" s="1"/>
      <c r="N184" s="1"/>
      <c r="Q184"/>
    </row>
    <row r="185" spans="1:17" ht="13.15" customHeight="1" x14ac:dyDescent="0.2">
      <c r="A185" s="1" t="s">
        <v>559</v>
      </c>
      <c r="B185" s="1" t="s">
        <v>15</v>
      </c>
      <c r="C185" s="580">
        <v>187</v>
      </c>
      <c r="D185" s="1">
        <v>1697.28</v>
      </c>
      <c r="E185" t="s">
        <v>16</v>
      </c>
      <c r="F185" t="s">
        <v>560</v>
      </c>
      <c r="G185" s="580">
        <v>191.52</v>
      </c>
      <c r="H185" s="1" t="s">
        <v>561</v>
      </c>
      <c r="I185" s="1"/>
      <c r="J185" s="1"/>
      <c r="K185" s="1"/>
      <c r="L185" s="1"/>
      <c r="M185" s="1"/>
      <c r="N185" s="1"/>
      <c r="Q185"/>
    </row>
    <row r="186" spans="1:17" ht="13.15" customHeight="1" x14ac:dyDescent="0.2">
      <c r="A186" s="1" t="s">
        <v>562</v>
      </c>
      <c r="B186" s="1" t="s">
        <v>15</v>
      </c>
      <c r="C186" s="580">
        <v>188</v>
      </c>
      <c r="D186" s="1">
        <v>637.98</v>
      </c>
      <c r="E186" t="s">
        <v>16</v>
      </c>
      <c r="F186" t="s">
        <v>563</v>
      </c>
      <c r="G186" s="580">
        <v>154.61250000000001</v>
      </c>
      <c r="H186" s="1" t="s">
        <v>564</v>
      </c>
      <c r="I186" s="1"/>
      <c r="J186" s="1"/>
      <c r="K186" s="1"/>
      <c r="L186" s="1"/>
      <c r="M186" s="1"/>
      <c r="N186" s="1"/>
      <c r="Q186"/>
    </row>
    <row r="187" spans="1:17" ht="13.15" customHeight="1" x14ac:dyDescent="0.2">
      <c r="A187" s="1" t="s">
        <v>565</v>
      </c>
      <c r="B187" s="1" t="s">
        <v>15</v>
      </c>
      <c r="C187" s="580">
        <v>189</v>
      </c>
      <c r="D187" s="1">
        <v>2037.3</v>
      </c>
      <c r="E187" t="s">
        <v>16</v>
      </c>
      <c r="F187" t="s">
        <v>566</v>
      </c>
      <c r="G187" s="580">
        <v>463.92529999999999</v>
      </c>
      <c r="H187" s="1" t="s">
        <v>567</v>
      </c>
      <c r="I187" s="1"/>
      <c r="J187" s="1"/>
      <c r="K187" s="1"/>
      <c r="L187" s="1"/>
      <c r="M187" s="1"/>
      <c r="N187" s="1"/>
      <c r="Q187"/>
    </row>
    <row r="188" spans="1:17" ht="13.15" customHeight="1" x14ac:dyDescent="0.2">
      <c r="A188" s="1" t="s">
        <v>568</v>
      </c>
      <c r="B188" s="1" t="s">
        <v>15</v>
      </c>
      <c r="C188" s="580">
        <v>190</v>
      </c>
      <c r="D188" s="1">
        <v>1011.04</v>
      </c>
      <c r="E188" t="s">
        <v>16</v>
      </c>
      <c r="F188" t="s">
        <v>569</v>
      </c>
      <c r="G188" s="580">
        <v>99.75</v>
      </c>
      <c r="H188" s="1" t="s">
        <v>570</v>
      </c>
      <c r="I188" s="1"/>
      <c r="J188" s="1"/>
      <c r="K188" s="1"/>
      <c r="L188" s="1"/>
      <c r="M188" s="1"/>
      <c r="N188" s="1"/>
      <c r="Q188"/>
    </row>
    <row r="189" spans="1:17" ht="13.15" customHeight="1" x14ac:dyDescent="0.2">
      <c r="A189" s="1" t="s">
        <v>571</v>
      </c>
      <c r="B189" s="1" t="s">
        <v>15</v>
      </c>
      <c r="C189" s="580">
        <v>191</v>
      </c>
      <c r="D189" s="1">
        <v>1120.3</v>
      </c>
      <c r="E189" t="s">
        <v>16</v>
      </c>
      <c r="F189" t="s">
        <v>572</v>
      </c>
      <c r="G189" s="580">
        <v>204.99019999999999</v>
      </c>
      <c r="H189" s="1" t="s">
        <v>573</v>
      </c>
      <c r="I189" s="1"/>
      <c r="J189" s="1"/>
      <c r="K189" s="1"/>
      <c r="L189" s="1"/>
      <c r="M189" s="1"/>
      <c r="N189" s="1"/>
      <c r="Q189"/>
    </row>
    <row r="190" spans="1:17" ht="13.15" customHeight="1" x14ac:dyDescent="0.2">
      <c r="A190" s="1" t="s">
        <v>574</v>
      </c>
      <c r="B190" s="1" t="s">
        <v>15</v>
      </c>
      <c r="C190" s="580">
        <v>192</v>
      </c>
      <c r="D190" s="1">
        <v>2064.9899999999998</v>
      </c>
      <c r="E190" t="s">
        <v>16</v>
      </c>
      <c r="F190" t="s">
        <v>575</v>
      </c>
      <c r="G190" s="580">
        <v>453.13630000000001</v>
      </c>
      <c r="H190" s="1" t="s">
        <v>576</v>
      </c>
      <c r="I190" s="1"/>
      <c r="J190" s="1"/>
      <c r="K190" s="1"/>
      <c r="L190" s="1"/>
      <c r="M190" s="1"/>
      <c r="N190" s="1"/>
      <c r="Q190"/>
    </row>
    <row r="191" spans="1:17" ht="13.15" customHeight="1" x14ac:dyDescent="0.2">
      <c r="A191" s="1" t="s">
        <v>577</v>
      </c>
      <c r="B191" s="1" t="s">
        <v>15</v>
      </c>
      <c r="C191" s="580">
        <v>193</v>
      </c>
      <c r="D191" s="1">
        <v>1455.21</v>
      </c>
      <c r="E191" t="s">
        <v>16</v>
      </c>
      <c r="F191" t="s">
        <v>578</v>
      </c>
      <c r="G191" s="580">
        <v>226.56819999999999</v>
      </c>
      <c r="H191" s="1" t="s">
        <v>579</v>
      </c>
      <c r="I191" s="1"/>
      <c r="J191" s="1"/>
      <c r="K191" s="1"/>
      <c r="L191" s="1"/>
      <c r="M191" s="1"/>
      <c r="N191" s="1"/>
      <c r="Q191"/>
    </row>
    <row r="192" spans="1:17" ht="13.15" customHeight="1" x14ac:dyDescent="0.2">
      <c r="A192" s="1" t="s">
        <v>580</v>
      </c>
      <c r="B192" s="1" t="s">
        <v>15</v>
      </c>
      <c r="C192" s="580">
        <v>194</v>
      </c>
      <c r="D192" s="1">
        <v>1353.04</v>
      </c>
      <c r="E192" t="s">
        <v>16</v>
      </c>
      <c r="F192" t="s">
        <v>581</v>
      </c>
      <c r="G192" s="580">
        <v>319.2</v>
      </c>
      <c r="H192" s="1" t="s">
        <v>582</v>
      </c>
      <c r="I192" s="1"/>
      <c r="J192" s="1"/>
      <c r="K192" s="1"/>
      <c r="L192" s="1"/>
      <c r="M192" s="1"/>
      <c r="N192" s="1"/>
      <c r="Q192"/>
    </row>
    <row r="193" spans="1:17" ht="13.15" customHeight="1" x14ac:dyDescent="0.2">
      <c r="A193" s="1" t="s">
        <v>583</v>
      </c>
      <c r="B193" s="1" t="s">
        <v>15</v>
      </c>
      <c r="C193" s="580">
        <v>195</v>
      </c>
      <c r="D193" s="1">
        <v>2504.9899999999998</v>
      </c>
      <c r="E193" t="s">
        <v>16</v>
      </c>
      <c r="F193" t="s">
        <v>584</v>
      </c>
      <c r="G193" s="580">
        <v>234.41249999999999</v>
      </c>
      <c r="H193" s="1" t="s">
        <v>585</v>
      </c>
      <c r="I193" s="1"/>
      <c r="J193" s="1"/>
      <c r="K193" s="1"/>
      <c r="L193" s="1"/>
      <c r="M193" s="1"/>
      <c r="N193" s="1"/>
      <c r="Q193"/>
    </row>
    <row r="194" spans="1:17" ht="13.15" customHeight="1" x14ac:dyDescent="0.2">
      <c r="A194" s="1" t="s">
        <v>586</v>
      </c>
      <c r="B194" s="1" t="s">
        <v>15</v>
      </c>
      <c r="C194" s="580">
        <v>196</v>
      </c>
      <c r="D194" s="1">
        <v>1715.07</v>
      </c>
      <c r="E194" t="s">
        <v>16</v>
      </c>
      <c r="F194" t="s">
        <v>587</v>
      </c>
      <c r="G194" s="580">
        <v>153.20320000000001</v>
      </c>
      <c r="H194" s="1" t="s">
        <v>588</v>
      </c>
      <c r="I194" s="1"/>
      <c r="J194" s="1"/>
      <c r="K194" s="1"/>
      <c r="L194" s="1"/>
      <c r="M194" s="1"/>
      <c r="N194" s="1"/>
      <c r="Q194"/>
    </row>
    <row r="195" spans="1:17" ht="13.15" customHeight="1" x14ac:dyDescent="0.2">
      <c r="A195" s="1" t="s">
        <v>589</v>
      </c>
      <c r="B195" s="1" t="s">
        <v>15</v>
      </c>
      <c r="C195" s="580">
        <v>197</v>
      </c>
      <c r="D195" s="1">
        <v>3531.49</v>
      </c>
      <c r="E195" t="s">
        <v>16</v>
      </c>
      <c r="F195" t="s">
        <v>590</v>
      </c>
      <c r="G195" s="580">
        <v>539.44799999999998</v>
      </c>
      <c r="H195" s="1" t="s">
        <v>591</v>
      </c>
      <c r="I195" s="1"/>
      <c r="J195" s="1"/>
      <c r="K195" s="1"/>
      <c r="L195" s="1"/>
      <c r="M195" s="1"/>
      <c r="N195" s="1"/>
      <c r="Q195"/>
    </row>
    <row r="196" spans="1:17" ht="13.15" customHeight="1" x14ac:dyDescent="0.2">
      <c r="A196" s="1" t="s">
        <v>592</v>
      </c>
      <c r="B196" s="1" t="s">
        <v>15</v>
      </c>
      <c r="C196" s="580">
        <v>198</v>
      </c>
      <c r="D196" s="1">
        <v>3531.49</v>
      </c>
      <c r="E196" t="s">
        <v>16</v>
      </c>
      <c r="F196" t="s">
        <v>593</v>
      </c>
      <c r="G196" s="580">
        <v>539.44799999999998</v>
      </c>
      <c r="H196" s="1" t="s">
        <v>594</v>
      </c>
      <c r="I196" s="1"/>
      <c r="J196" s="1"/>
      <c r="K196" s="1"/>
      <c r="L196" s="1"/>
      <c r="M196" s="1"/>
      <c r="N196" s="1"/>
      <c r="Q196"/>
    </row>
    <row r="197" spans="1:17" ht="13.15" customHeight="1" x14ac:dyDescent="0.2">
      <c r="A197" s="1" t="s">
        <v>595</v>
      </c>
      <c r="B197" s="1" t="s">
        <v>15</v>
      </c>
      <c r="C197" s="580">
        <v>199</v>
      </c>
      <c r="D197" s="1">
        <v>3531.49</v>
      </c>
      <c r="E197" t="s">
        <v>16</v>
      </c>
      <c r="F197" t="s">
        <v>596</v>
      </c>
      <c r="G197" s="580">
        <v>539.44799999999998</v>
      </c>
      <c r="H197" s="1" t="s">
        <v>597</v>
      </c>
      <c r="I197" s="1"/>
      <c r="J197" s="1"/>
      <c r="K197" s="1"/>
      <c r="L197" s="1"/>
      <c r="M197" s="1"/>
      <c r="N197" s="1"/>
      <c r="Q197"/>
    </row>
    <row r="198" spans="1:17" ht="13.15" customHeight="1" x14ac:dyDescent="0.2">
      <c r="A198" s="1" t="s">
        <v>598</v>
      </c>
      <c r="B198" s="1" t="s">
        <v>15</v>
      </c>
      <c r="C198" s="580">
        <v>200</v>
      </c>
      <c r="D198" s="1">
        <v>4900.71</v>
      </c>
      <c r="E198" t="s">
        <v>16</v>
      </c>
      <c r="F198" t="s">
        <v>599</v>
      </c>
      <c r="G198" s="580">
        <v>539.44799999999998</v>
      </c>
      <c r="H198" s="1" t="s">
        <v>600</v>
      </c>
      <c r="I198" s="1"/>
      <c r="J198" s="1"/>
      <c r="K198" s="1"/>
      <c r="L198" s="1"/>
      <c r="M198" s="1"/>
      <c r="N198" s="1"/>
      <c r="Q198"/>
    </row>
    <row r="199" spans="1:17" ht="13.15" customHeight="1" x14ac:dyDescent="0.2">
      <c r="A199" s="1" t="s">
        <v>601</v>
      </c>
      <c r="B199" s="1" t="s">
        <v>15</v>
      </c>
      <c r="C199" s="580">
        <v>201</v>
      </c>
      <c r="D199" s="1">
        <v>887.68</v>
      </c>
      <c r="E199" t="s">
        <v>16</v>
      </c>
      <c r="F199" t="s">
        <v>602</v>
      </c>
      <c r="G199" s="580">
        <v>199.5958</v>
      </c>
      <c r="H199" s="1" t="s">
        <v>603</v>
      </c>
      <c r="I199" s="1"/>
      <c r="J199" s="1"/>
      <c r="K199" s="1"/>
      <c r="L199" s="1"/>
      <c r="M199" s="1"/>
      <c r="N199" s="1"/>
      <c r="Q199"/>
    </row>
    <row r="200" spans="1:17" ht="13.15" customHeight="1" x14ac:dyDescent="0.2">
      <c r="A200" s="1" t="s">
        <v>604</v>
      </c>
      <c r="B200" s="1" t="s">
        <v>15</v>
      </c>
      <c r="C200" s="580">
        <v>202</v>
      </c>
      <c r="D200" s="1">
        <v>727.61</v>
      </c>
      <c r="E200" t="s">
        <v>16</v>
      </c>
      <c r="F200" t="s">
        <v>605</v>
      </c>
      <c r="G200" s="580">
        <v>167.58</v>
      </c>
      <c r="H200" s="1" t="s">
        <v>606</v>
      </c>
      <c r="I200" s="1"/>
      <c r="J200" s="1"/>
      <c r="K200" s="1"/>
      <c r="L200" s="1"/>
      <c r="M200" s="1"/>
      <c r="N200" s="1"/>
      <c r="Q200"/>
    </row>
    <row r="201" spans="1:17" ht="13.15" customHeight="1" x14ac:dyDescent="0.2">
      <c r="A201" s="1" t="s">
        <v>607</v>
      </c>
      <c r="B201" s="1" t="s">
        <v>15</v>
      </c>
      <c r="C201" s="580">
        <v>203</v>
      </c>
      <c r="D201" s="1">
        <v>727.61</v>
      </c>
      <c r="E201" t="s">
        <v>16</v>
      </c>
      <c r="F201" t="s">
        <v>608</v>
      </c>
      <c r="G201" s="580">
        <v>167.58</v>
      </c>
      <c r="H201" s="1" t="s">
        <v>609</v>
      </c>
      <c r="I201" s="1"/>
      <c r="J201" s="1"/>
      <c r="K201" s="1"/>
      <c r="L201" s="1"/>
      <c r="M201" s="1"/>
      <c r="N201" s="1"/>
      <c r="Q201"/>
    </row>
    <row r="202" spans="1:17" ht="13.15" customHeight="1" x14ac:dyDescent="0.2">
      <c r="A202" s="1" t="s">
        <v>610</v>
      </c>
      <c r="B202" s="1" t="s">
        <v>15</v>
      </c>
      <c r="C202" s="580">
        <v>204</v>
      </c>
      <c r="D202" s="1">
        <v>1135.07</v>
      </c>
      <c r="E202" t="s">
        <v>16</v>
      </c>
      <c r="F202" t="s">
        <v>611</v>
      </c>
      <c r="G202" s="580">
        <v>215.7792</v>
      </c>
      <c r="H202" s="1" t="s">
        <v>612</v>
      </c>
      <c r="I202" s="1"/>
      <c r="J202" s="1"/>
      <c r="K202" s="1"/>
      <c r="L202" s="1"/>
      <c r="M202" s="1"/>
      <c r="N202" s="1"/>
      <c r="Q202"/>
    </row>
    <row r="203" spans="1:17" ht="13.15" customHeight="1" x14ac:dyDescent="0.2">
      <c r="A203" s="1" t="s">
        <v>613</v>
      </c>
      <c r="B203" s="1" t="s">
        <v>15</v>
      </c>
      <c r="C203" s="580">
        <v>205</v>
      </c>
      <c r="D203" s="1">
        <v>1018.65</v>
      </c>
      <c r="E203" t="s">
        <v>16</v>
      </c>
      <c r="F203" t="s">
        <v>614</v>
      </c>
      <c r="G203" s="580">
        <v>215.7792</v>
      </c>
      <c r="H203" s="1" t="s">
        <v>615</v>
      </c>
      <c r="I203" s="1"/>
      <c r="J203" s="1"/>
      <c r="K203" s="1"/>
      <c r="L203" s="1"/>
      <c r="M203" s="1"/>
      <c r="N203" s="1"/>
      <c r="Q203"/>
    </row>
    <row r="204" spans="1:17" ht="13.15" customHeight="1" x14ac:dyDescent="0.2">
      <c r="A204" s="1" t="s">
        <v>616</v>
      </c>
      <c r="B204" s="1" t="s">
        <v>15</v>
      </c>
      <c r="C204" s="580">
        <v>206</v>
      </c>
      <c r="D204" s="1">
        <v>727.61</v>
      </c>
      <c r="E204" t="s">
        <v>16</v>
      </c>
      <c r="F204" t="s">
        <v>617</v>
      </c>
      <c r="G204" s="580">
        <v>170.57249999999999</v>
      </c>
      <c r="H204" s="1" t="s">
        <v>618</v>
      </c>
      <c r="I204" s="1"/>
      <c r="J204" s="1"/>
      <c r="K204" s="1"/>
      <c r="L204" s="1"/>
      <c r="M204" s="1"/>
      <c r="N204" s="1"/>
      <c r="Q204"/>
    </row>
    <row r="205" spans="1:17" ht="13.15" customHeight="1" x14ac:dyDescent="0.2">
      <c r="A205" s="1" t="s">
        <v>619</v>
      </c>
      <c r="B205" s="1" t="s">
        <v>15</v>
      </c>
      <c r="C205" s="580">
        <v>207</v>
      </c>
      <c r="D205" s="1">
        <v>727.61</v>
      </c>
      <c r="E205" t="s">
        <v>16</v>
      </c>
      <c r="F205" t="s">
        <v>620</v>
      </c>
      <c r="G205" s="580">
        <v>173.565</v>
      </c>
      <c r="H205" s="1" t="s">
        <v>621</v>
      </c>
      <c r="I205" s="1"/>
      <c r="J205" s="1"/>
      <c r="K205" s="1"/>
      <c r="L205" s="1"/>
      <c r="M205" s="1"/>
      <c r="N205" s="1"/>
      <c r="Q205"/>
    </row>
    <row r="206" spans="1:17" ht="13.15" customHeight="1" x14ac:dyDescent="0.2">
      <c r="A206" s="1" t="s">
        <v>622</v>
      </c>
      <c r="B206" s="1" t="s">
        <v>15</v>
      </c>
      <c r="C206" s="580">
        <v>208</v>
      </c>
      <c r="D206" s="1">
        <v>1353.35</v>
      </c>
      <c r="E206" t="s">
        <v>16</v>
      </c>
      <c r="F206" t="s">
        <v>623</v>
      </c>
      <c r="G206" s="580">
        <v>296.69639999999998</v>
      </c>
      <c r="H206" s="1" t="s">
        <v>624</v>
      </c>
      <c r="I206" s="1"/>
      <c r="J206" s="1"/>
      <c r="K206" s="1"/>
      <c r="L206" s="1"/>
      <c r="M206" s="1"/>
      <c r="N206" s="1"/>
      <c r="Q206"/>
    </row>
    <row r="207" spans="1:17" ht="13.15" customHeight="1" x14ac:dyDescent="0.2">
      <c r="A207" s="1" t="s">
        <v>625</v>
      </c>
      <c r="B207" s="1" t="s">
        <v>15</v>
      </c>
      <c r="C207" s="580">
        <v>209</v>
      </c>
      <c r="D207" s="1">
        <v>785.82</v>
      </c>
      <c r="E207" t="s">
        <v>16</v>
      </c>
      <c r="F207" t="s">
        <v>626</v>
      </c>
      <c r="G207" s="580">
        <v>183.41229999999999</v>
      </c>
      <c r="H207" s="1" t="s">
        <v>627</v>
      </c>
      <c r="I207" s="1"/>
      <c r="J207" s="1"/>
      <c r="K207" s="1"/>
      <c r="L207" s="1"/>
      <c r="M207" s="1"/>
      <c r="N207" s="1"/>
      <c r="Q207"/>
    </row>
    <row r="208" spans="1:17" ht="13.15" customHeight="1" x14ac:dyDescent="0.2">
      <c r="A208" s="1" t="s">
        <v>628</v>
      </c>
      <c r="B208" s="1" t="s">
        <v>15</v>
      </c>
      <c r="C208" s="580">
        <v>210</v>
      </c>
      <c r="D208" s="1">
        <v>771.26</v>
      </c>
      <c r="E208" t="s">
        <v>16</v>
      </c>
      <c r="F208" t="s">
        <v>629</v>
      </c>
      <c r="G208" s="580">
        <v>180.1756</v>
      </c>
      <c r="H208" s="1" t="s">
        <v>630</v>
      </c>
      <c r="I208" s="1"/>
      <c r="J208" s="1"/>
      <c r="K208" s="1"/>
      <c r="L208" s="1"/>
      <c r="M208" s="1"/>
      <c r="N208" s="1"/>
      <c r="Q208"/>
    </row>
    <row r="209" spans="1:17" ht="13.15" customHeight="1" x14ac:dyDescent="0.2">
      <c r="A209" s="1" t="s">
        <v>631</v>
      </c>
      <c r="B209" s="1" t="s">
        <v>15</v>
      </c>
      <c r="C209" s="580">
        <v>211</v>
      </c>
      <c r="D209" s="1">
        <v>885.77</v>
      </c>
      <c r="E209" t="s">
        <v>16</v>
      </c>
      <c r="F209" t="s">
        <v>632</v>
      </c>
      <c r="G209" s="580">
        <v>204.99019999999999</v>
      </c>
      <c r="H209" s="1" t="s">
        <v>633</v>
      </c>
      <c r="I209" s="1"/>
      <c r="J209" s="1"/>
      <c r="K209" s="1"/>
      <c r="L209" s="1"/>
      <c r="M209" s="1"/>
      <c r="N209" s="1"/>
      <c r="Q209"/>
    </row>
    <row r="210" spans="1:17" ht="13.15" customHeight="1" x14ac:dyDescent="0.2">
      <c r="A210" s="1" t="s">
        <v>634</v>
      </c>
      <c r="B210" s="1" t="s">
        <v>15</v>
      </c>
      <c r="C210" s="580">
        <v>212</v>
      </c>
      <c r="D210" s="1">
        <v>1537</v>
      </c>
      <c r="E210" t="s">
        <v>16</v>
      </c>
      <c r="F210" t="s">
        <v>635</v>
      </c>
      <c r="G210" s="580">
        <v>0</v>
      </c>
      <c r="H210" s="1" t="s">
        <v>636</v>
      </c>
      <c r="I210" s="1"/>
      <c r="J210" s="1"/>
      <c r="K210" s="1"/>
      <c r="L210" s="1"/>
      <c r="M210" s="1"/>
      <c r="N210" s="1"/>
      <c r="Q210"/>
    </row>
    <row r="211" spans="1:17" ht="13.15" customHeight="1" x14ac:dyDescent="0.2">
      <c r="A211" s="1" t="s">
        <v>637</v>
      </c>
      <c r="B211" s="1" t="s">
        <v>15</v>
      </c>
      <c r="C211" s="580">
        <v>213</v>
      </c>
      <c r="D211" s="1">
        <v>1455.21</v>
      </c>
      <c r="E211" t="s">
        <v>16</v>
      </c>
      <c r="F211" t="s">
        <v>638</v>
      </c>
      <c r="G211" s="580">
        <v>323.66879999999998</v>
      </c>
      <c r="H211" s="1" t="s">
        <v>639</v>
      </c>
      <c r="I211" s="1"/>
      <c r="J211" s="1"/>
      <c r="K211" s="1"/>
      <c r="L211" s="1"/>
      <c r="M211" s="1"/>
      <c r="N211" s="1"/>
      <c r="Q211"/>
    </row>
    <row r="212" spans="1:17" ht="13.15" customHeight="1" x14ac:dyDescent="0.2">
      <c r="A212" s="1" t="s">
        <v>640</v>
      </c>
      <c r="B212" s="1" t="s">
        <v>15</v>
      </c>
      <c r="C212" s="580">
        <v>214</v>
      </c>
      <c r="D212" s="1">
        <v>1120.3</v>
      </c>
      <c r="E212" t="s">
        <v>16</v>
      </c>
      <c r="F212" t="s">
        <v>641</v>
      </c>
      <c r="G212" s="580">
        <v>174.5625</v>
      </c>
      <c r="H212" s="1" t="s">
        <v>642</v>
      </c>
      <c r="I212" s="1"/>
      <c r="J212" s="1"/>
      <c r="K212" s="1"/>
      <c r="L212" s="1"/>
      <c r="M212" s="1"/>
      <c r="N212" s="1"/>
      <c r="Q212"/>
    </row>
    <row r="213" spans="1:17" ht="13.15" customHeight="1" x14ac:dyDescent="0.2">
      <c r="A213" s="1" t="s">
        <v>643</v>
      </c>
      <c r="B213" s="1" t="s">
        <v>15</v>
      </c>
      <c r="C213" s="580">
        <v>215</v>
      </c>
      <c r="D213" s="1">
        <v>1107.05</v>
      </c>
      <c r="E213" t="s">
        <v>16</v>
      </c>
      <c r="F213" t="s">
        <v>644</v>
      </c>
      <c r="G213" s="580">
        <v>237.405</v>
      </c>
      <c r="H213" s="1" t="s">
        <v>645</v>
      </c>
      <c r="I213" s="1"/>
      <c r="J213" s="1"/>
      <c r="K213" s="1"/>
      <c r="L213" s="1"/>
      <c r="M213" s="1"/>
      <c r="N213" s="1"/>
      <c r="Q213"/>
    </row>
    <row r="214" spans="1:17" ht="13.15" customHeight="1" x14ac:dyDescent="0.2">
      <c r="A214" s="1" t="s">
        <v>646</v>
      </c>
      <c r="B214" s="1" t="s">
        <v>15</v>
      </c>
      <c r="C214" s="580">
        <v>216</v>
      </c>
      <c r="D214" s="1">
        <v>3842.21</v>
      </c>
      <c r="E214" t="s">
        <v>16</v>
      </c>
      <c r="F214" t="s">
        <v>647</v>
      </c>
      <c r="G214" s="580">
        <v>0</v>
      </c>
      <c r="H214" s="1" t="s">
        <v>648</v>
      </c>
      <c r="I214" s="1"/>
      <c r="J214" s="1"/>
      <c r="K214" s="1"/>
      <c r="L214" s="1"/>
      <c r="M214" s="1"/>
      <c r="N214" s="1"/>
      <c r="Q214"/>
    </row>
    <row r="215" spans="1:17" ht="13.15" customHeight="1" x14ac:dyDescent="0.2">
      <c r="A215" s="1" t="s">
        <v>649</v>
      </c>
      <c r="B215" s="1" t="s">
        <v>15</v>
      </c>
      <c r="C215" s="580">
        <v>217</v>
      </c>
      <c r="D215" s="1">
        <v>434.32</v>
      </c>
      <c r="E215" t="s">
        <v>16</v>
      </c>
      <c r="F215" t="s">
        <v>650</v>
      </c>
      <c r="G215" s="580">
        <v>72.286000000000001</v>
      </c>
      <c r="H215" s="1" t="s">
        <v>651</v>
      </c>
      <c r="I215" s="1"/>
      <c r="J215" s="1"/>
      <c r="K215" s="1"/>
      <c r="L215" s="1"/>
      <c r="M215" s="1"/>
      <c r="N215" s="1"/>
      <c r="Q215"/>
    </row>
    <row r="216" spans="1:17" ht="13.15" customHeight="1" x14ac:dyDescent="0.2">
      <c r="A216" s="1" t="s">
        <v>652</v>
      </c>
      <c r="B216" s="1" t="s">
        <v>15</v>
      </c>
      <c r="C216" s="580">
        <v>218</v>
      </c>
      <c r="D216" s="1">
        <v>1237.33</v>
      </c>
      <c r="E216" t="s">
        <v>16</v>
      </c>
      <c r="F216" t="s">
        <v>653</v>
      </c>
      <c r="G216" s="580">
        <v>0</v>
      </c>
      <c r="H216" s="1" t="s">
        <v>654</v>
      </c>
      <c r="I216" s="1"/>
      <c r="J216" s="1"/>
      <c r="K216" s="1"/>
      <c r="L216" s="1"/>
      <c r="M216" s="1"/>
      <c r="N216" s="1"/>
      <c r="Q216"/>
    </row>
    <row r="217" spans="1:17" ht="13.15" customHeight="1" x14ac:dyDescent="0.2">
      <c r="A217" s="1" t="s">
        <v>655</v>
      </c>
      <c r="B217" s="1" t="s">
        <v>15</v>
      </c>
      <c r="C217" s="580">
        <v>219</v>
      </c>
      <c r="D217" s="1">
        <v>654.85</v>
      </c>
      <c r="E217" t="s">
        <v>16</v>
      </c>
      <c r="F217" t="s">
        <v>656</v>
      </c>
      <c r="G217" s="580">
        <v>151.0454</v>
      </c>
      <c r="H217" s="1" t="s">
        <v>657</v>
      </c>
      <c r="I217" s="1"/>
      <c r="J217" s="1"/>
      <c r="K217" s="1"/>
      <c r="L217" s="1"/>
      <c r="M217" s="1"/>
      <c r="N217" s="1"/>
      <c r="Q217"/>
    </row>
    <row r="218" spans="1:17" ht="13.15" customHeight="1" x14ac:dyDescent="0.2">
      <c r="A218" s="1" t="s">
        <v>658</v>
      </c>
      <c r="B218" s="1" t="s">
        <v>15</v>
      </c>
      <c r="C218" s="580">
        <v>220</v>
      </c>
      <c r="D218" s="1">
        <v>1091.4100000000001</v>
      </c>
      <c r="E218" t="s">
        <v>16</v>
      </c>
      <c r="F218" t="s">
        <v>659</v>
      </c>
      <c r="G218" s="580">
        <v>237.3571</v>
      </c>
      <c r="H218" s="1" t="s">
        <v>660</v>
      </c>
      <c r="I218" s="1"/>
      <c r="J218" s="1"/>
      <c r="K218" s="1"/>
      <c r="L218" s="1"/>
      <c r="M218" s="1"/>
      <c r="N218" s="1"/>
      <c r="Q218"/>
    </row>
    <row r="219" spans="1:17" ht="13.15" customHeight="1" x14ac:dyDescent="0.2">
      <c r="A219" s="1" t="s">
        <v>661</v>
      </c>
      <c r="B219" s="1" t="s">
        <v>15</v>
      </c>
      <c r="C219" s="580">
        <v>221</v>
      </c>
      <c r="D219" s="1">
        <v>2162.27</v>
      </c>
      <c r="E219" t="s">
        <v>16</v>
      </c>
      <c r="F219" t="s">
        <v>662</v>
      </c>
      <c r="G219" s="580">
        <v>404.58600000000001</v>
      </c>
      <c r="H219" s="1" t="s">
        <v>663</v>
      </c>
      <c r="I219" s="1"/>
      <c r="J219" s="1"/>
      <c r="K219" s="1"/>
      <c r="L219" s="1"/>
      <c r="M219" s="1"/>
      <c r="N219" s="1"/>
      <c r="Q219"/>
    </row>
    <row r="220" spans="1:17" ht="13.15" customHeight="1" x14ac:dyDescent="0.2">
      <c r="A220" s="1" t="s">
        <v>664</v>
      </c>
      <c r="B220" s="1" t="s">
        <v>15</v>
      </c>
      <c r="C220" s="580">
        <v>222</v>
      </c>
      <c r="D220" s="1">
        <v>582.09</v>
      </c>
      <c r="E220" t="s">
        <v>16</v>
      </c>
      <c r="F220" t="s">
        <v>665</v>
      </c>
      <c r="G220" s="580">
        <v>118.6786</v>
      </c>
      <c r="H220" s="1" t="s">
        <v>666</v>
      </c>
      <c r="I220" s="1"/>
      <c r="J220" s="1"/>
      <c r="K220" s="1"/>
      <c r="L220" s="1"/>
      <c r="M220" s="1"/>
      <c r="N220" s="1"/>
      <c r="Q220"/>
    </row>
    <row r="221" spans="1:17" ht="13.15" customHeight="1" x14ac:dyDescent="0.2">
      <c r="A221" s="1" t="s">
        <v>667</v>
      </c>
      <c r="B221" s="1" t="s">
        <v>15</v>
      </c>
      <c r="C221" s="580">
        <v>223</v>
      </c>
      <c r="D221" s="1">
        <v>1149.6199999999999</v>
      </c>
      <c r="E221" t="s">
        <v>16</v>
      </c>
      <c r="F221" t="s">
        <v>668</v>
      </c>
      <c r="G221" s="580">
        <v>264.3295</v>
      </c>
      <c r="H221" s="1" t="s">
        <v>669</v>
      </c>
      <c r="I221" s="1"/>
      <c r="J221" s="1"/>
      <c r="K221" s="1"/>
      <c r="L221" s="1"/>
      <c r="M221" s="1"/>
      <c r="N221" s="1"/>
      <c r="Q221"/>
    </row>
    <row r="222" spans="1:17" ht="13.15" customHeight="1" x14ac:dyDescent="0.2">
      <c r="A222" s="1" t="s">
        <v>670</v>
      </c>
      <c r="B222" s="1" t="s">
        <v>15</v>
      </c>
      <c r="C222" s="580">
        <v>224</v>
      </c>
      <c r="D222" s="1">
        <v>727.61</v>
      </c>
      <c r="E222" t="s">
        <v>16</v>
      </c>
      <c r="F222" t="s">
        <v>671</v>
      </c>
      <c r="G222" s="580">
        <v>139.65</v>
      </c>
      <c r="H222" s="1" t="s">
        <v>672</v>
      </c>
      <c r="I222" s="1"/>
      <c r="J222" s="1"/>
      <c r="K222" s="1"/>
      <c r="L222" s="1"/>
      <c r="M222" s="1"/>
      <c r="N222" s="1"/>
      <c r="Q222"/>
    </row>
    <row r="223" spans="1:17" ht="13.15" customHeight="1" x14ac:dyDescent="0.2">
      <c r="A223" s="1" t="s">
        <v>673</v>
      </c>
      <c r="B223" s="1" t="s">
        <v>15</v>
      </c>
      <c r="C223" s="580">
        <v>225</v>
      </c>
      <c r="D223" s="1">
        <v>1809.09</v>
      </c>
      <c r="E223" t="s">
        <v>16</v>
      </c>
      <c r="F223" t="s">
        <v>674</v>
      </c>
      <c r="G223" s="580">
        <v>242.39250000000001</v>
      </c>
      <c r="H223" s="1" t="s">
        <v>675</v>
      </c>
      <c r="I223" s="1"/>
      <c r="J223" s="1"/>
      <c r="K223" s="1"/>
      <c r="L223" s="1"/>
      <c r="M223" s="1"/>
      <c r="N223" s="1"/>
      <c r="Q223"/>
    </row>
    <row r="224" spans="1:17" ht="13.15" customHeight="1" x14ac:dyDescent="0.2">
      <c r="A224" s="1" t="s">
        <v>676</v>
      </c>
      <c r="B224" s="1" t="s">
        <v>15</v>
      </c>
      <c r="C224" s="580">
        <v>226</v>
      </c>
      <c r="D224" s="1">
        <v>1164.17</v>
      </c>
      <c r="E224" t="s">
        <v>16</v>
      </c>
      <c r="F224" t="s">
        <v>677</v>
      </c>
      <c r="G224" s="580">
        <v>237.405</v>
      </c>
      <c r="H224" s="1" t="s">
        <v>678</v>
      </c>
      <c r="I224" s="1"/>
      <c r="J224" s="1"/>
      <c r="K224" s="1"/>
      <c r="L224" s="1"/>
      <c r="M224" s="1"/>
      <c r="N224" s="1"/>
      <c r="Q224"/>
    </row>
    <row r="225" spans="1:17" ht="13.15" customHeight="1" x14ac:dyDescent="0.2">
      <c r="A225" s="1" t="s">
        <v>679</v>
      </c>
      <c r="B225" s="1" t="s">
        <v>15</v>
      </c>
      <c r="C225" s="580">
        <v>227</v>
      </c>
      <c r="D225" s="1">
        <v>1458.61</v>
      </c>
      <c r="E225" t="s">
        <v>16</v>
      </c>
      <c r="F225" t="s">
        <v>680</v>
      </c>
      <c r="G225" s="580">
        <v>237.3571</v>
      </c>
      <c r="H225" s="1" t="s">
        <v>681</v>
      </c>
      <c r="I225" s="1"/>
      <c r="J225" s="1"/>
      <c r="K225" s="1"/>
      <c r="L225" s="1"/>
      <c r="M225" s="1"/>
      <c r="N225" s="1"/>
      <c r="Q225"/>
    </row>
    <row r="226" spans="1:17" ht="13.15" customHeight="1" x14ac:dyDescent="0.2">
      <c r="A226" s="1" t="s">
        <v>682</v>
      </c>
      <c r="B226" s="1" t="s">
        <v>15</v>
      </c>
      <c r="C226" s="580">
        <v>228</v>
      </c>
      <c r="D226" s="1">
        <v>1758.28</v>
      </c>
      <c r="E226" t="s">
        <v>16</v>
      </c>
      <c r="F226" t="s">
        <v>683</v>
      </c>
      <c r="G226" s="580">
        <v>249.375</v>
      </c>
      <c r="H226" s="1" t="s">
        <v>684</v>
      </c>
      <c r="I226" s="1"/>
      <c r="J226" s="1"/>
      <c r="K226" s="1"/>
      <c r="L226" s="1"/>
      <c r="M226" s="1"/>
      <c r="N226" s="1"/>
      <c r="Q226"/>
    </row>
    <row r="227" spans="1:17" ht="13.15" customHeight="1" x14ac:dyDescent="0.2">
      <c r="A227" s="1" t="s">
        <v>685</v>
      </c>
      <c r="B227" s="1" t="s">
        <v>15</v>
      </c>
      <c r="C227" s="580">
        <v>229</v>
      </c>
      <c r="D227" s="1">
        <v>2396.8000000000002</v>
      </c>
      <c r="E227" t="s">
        <v>16</v>
      </c>
      <c r="F227" t="s">
        <v>686</v>
      </c>
      <c r="G227" s="580">
        <v>0</v>
      </c>
      <c r="H227" s="1" t="s">
        <v>687</v>
      </c>
      <c r="I227" s="1"/>
      <c r="J227" s="1"/>
      <c r="K227" s="1"/>
      <c r="L227" s="1"/>
      <c r="M227" s="1"/>
      <c r="N227" s="1"/>
      <c r="Q227"/>
    </row>
    <row r="228" spans="1:17" ht="13.15" customHeight="1" x14ac:dyDescent="0.2">
      <c r="A228" s="1" t="s">
        <v>688</v>
      </c>
      <c r="B228" s="1" t="s">
        <v>15</v>
      </c>
      <c r="C228" s="580">
        <v>230</v>
      </c>
      <c r="D228" s="1">
        <v>4363.7</v>
      </c>
      <c r="E228" t="s">
        <v>16</v>
      </c>
      <c r="F228" t="s">
        <v>689</v>
      </c>
      <c r="G228" s="580">
        <v>0</v>
      </c>
      <c r="H228" s="1" t="s">
        <v>690</v>
      </c>
      <c r="I228" s="1"/>
      <c r="J228" s="1"/>
      <c r="K228" s="1"/>
      <c r="L228" s="1"/>
      <c r="M228" s="1"/>
      <c r="N228" s="1"/>
      <c r="Q228"/>
    </row>
    <row r="229" spans="1:17" ht="13.15" customHeight="1" x14ac:dyDescent="0.2">
      <c r="A229" s="1" t="s">
        <v>691</v>
      </c>
      <c r="B229" s="1" t="s">
        <v>15</v>
      </c>
      <c r="C229" s="580">
        <v>231</v>
      </c>
      <c r="D229" s="1">
        <v>2209.54</v>
      </c>
      <c r="E229" t="s">
        <v>16</v>
      </c>
      <c r="F229" t="s">
        <v>692</v>
      </c>
      <c r="G229" s="580">
        <v>485.50319999999999</v>
      </c>
      <c r="H229" s="1" t="s">
        <v>693</v>
      </c>
      <c r="I229" s="1"/>
      <c r="J229" s="1"/>
      <c r="K229" s="1"/>
      <c r="L229" s="1"/>
      <c r="M229" s="1"/>
      <c r="N229" s="1"/>
      <c r="Q229"/>
    </row>
    <row r="230" spans="1:17" ht="13.15" customHeight="1" x14ac:dyDescent="0.2">
      <c r="A230" s="1" t="s">
        <v>694</v>
      </c>
      <c r="B230" s="1" t="s">
        <v>15</v>
      </c>
      <c r="C230" s="580">
        <v>232</v>
      </c>
      <c r="D230" s="1">
        <v>2201.4299999999998</v>
      </c>
      <c r="E230" t="s">
        <v>16</v>
      </c>
      <c r="F230" t="s">
        <v>695</v>
      </c>
      <c r="G230" s="580">
        <v>441.89850000000001</v>
      </c>
      <c r="H230" s="1" t="s">
        <v>696</v>
      </c>
      <c r="I230" s="1"/>
      <c r="J230" s="1"/>
      <c r="K230" s="1"/>
      <c r="L230" s="1"/>
      <c r="M230" s="1"/>
      <c r="N230" s="1"/>
      <c r="Q230"/>
    </row>
    <row r="231" spans="1:17" ht="13.15" customHeight="1" x14ac:dyDescent="0.2">
      <c r="A231" s="1" t="s">
        <v>697</v>
      </c>
      <c r="B231" s="1" t="s">
        <v>15</v>
      </c>
      <c r="C231" s="580">
        <v>233</v>
      </c>
      <c r="D231" s="1">
        <v>1309.69</v>
      </c>
      <c r="E231" t="s">
        <v>16</v>
      </c>
      <c r="F231" t="s">
        <v>698</v>
      </c>
      <c r="G231" s="580">
        <v>306.26159999999999</v>
      </c>
      <c r="H231" s="1" t="s">
        <v>699</v>
      </c>
      <c r="I231" s="1"/>
      <c r="J231" s="1"/>
      <c r="K231" s="1"/>
      <c r="L231" s="1"/>
      <c r="M231" s="1"/>
      <c r="N231" s="1"/>
      <c r="Q231"/>
    </row>
    <row r="232" spans="1:17" ht="13.15" customHeight="1" x14ac:dyDescent="0.2">
      <c r="A232" s="1" t="s">
        <v>700</v>
      </c>
      <c r="B232" s="1" t="s">
        <v>15</v>
      </c>
      <c r="C232" s="580">
        <v>234</v>
      </c>
      <c r="D232" s="1">
        <v>3894.63</v>
      </c>
      <c r="E232" t="s">
        <v>16</v>
      </c>
      <c r="F232" t="s">
        <v>701</v>
      </c>
      <c r="G232" s="580">
        <v>894.96429999999998</v>
      </c>
      <c r="H232" s="1" t="s">
        <v>702</v>
      </c>
      <c r="I232" s="1"/>
      <c r="J232" s="1"/>
      <c r="K232" s="1"/>
      <c r="L232" s="1"/>
      <c r="M232" s="1"/>
      <c r="N232" s="1"/>
      <c r="Q232"/>
    </row>
    <row r="233" spans="1:17" ht="13.15" customHeight="1" x14ac:dyDescent="0.2">
      <c r="A233" s="1" t="s">
        <v>703</v>
      </c>
      <c r="B233" s="1" t="s">
        <v>15</v>
      </c>
      <c r="C233" s="580">
        <v>235</v>
      </c>
      <c r="D233" s="1">
        <v>1458.61</v>
      </c>
      <c r="E233" t="s">
        <v>16</v>
      </c>
      <c r="F233" t="s">
        <v>704</v>
      </c>
      <c r="G233" s="580">
        <v>199.5</v>
      </c>
      <c r="H233" s="1" t="s">
        <v>705</v>
      </c>
      <c r="I233" s="1"/>
      <c r="J233" s="1"/>
      <c r="K233" s="1"/>
      <c r="L233" s="1"/>
      <c r="M233" s="1"/>
      <c r="N233" s="1"/>
      <c r="Q233"/>
    </row>
    <row r="234" spans="1:17" ht="13.15" customHeight="1" x14ac:dyDescent="0.2">
      <c r="A234" s="1" t="s">
        <v>706</v>
      </c>
      <c r="B234" s="1" t="s">
        <v>15</v>
      </c>
      <c r="C234" s="580">
        <v>236</v>
      </c>
      <c r="D234" s="1">
        <v>2473.87</v>
      </c>
      <c r="E234" t="s">
        <v>16</v>
      </c>
      <c r="F234" t="s">
        <v>707</v>
      </c>
      <c r="G234" s="580">
        <v>504.34070000000003</v>
      </c>
      <c r="H234" s="1" t="s">
        <v>708</v>
      </c>
      <c r="I234" s="1"/>
      <c r="J234" s="1"/>
      <c r="K234" s="1"/>
      <c r="L234" s="1"/>
      <c r="M234" s="1"/>
      <c r="N234" s="1"/>
      <c r="Q234"/>
    </row>
    <row r="235" spans="1:17" ht="13.15" customHeight="1" x14ac:dyDescent="0.2">
      <c r="A235" s="1" t="s">
        <v>709</v>
      </c>
      <c r="B235" s="1" t="s">
        <v>15</v>
      </c>
      <c r="C235" s="580">
        <v>237</v>
      </c>
      <c r="D235" s="1">
        <v>2037.3</v>
      </c>
      <c r="E235" t="s">
        <v>16</v>
      </c>
      <c r="F235" t="s">
        <v>710</v>
      </c>
      <c r="G235" s="580">
        <v>476.40690000000001</v>
      </c>
      <c r="H235" s="1" t="s">
        <v>711</v>
      </c>
      <c r="I235" s="1"/>
      <c r="J235" s="1"/>
      <c r="K235" s="1"/>
      <c r="L235" s="1"/>
      <c r="M235" s="1"/>
      <c r="N235" s="1"/>
      <c r="Q235"/>
    </row>
    <row r="236" spans="1:17" ht="13.15" customHeight="1" x14ac:dyDescent="0.2">
      <c r="A236" s="1" t="s">
        <v>712</v>
      </c>
      <c r="B236" s="1" t="s">
        <v>15</v>
      </c>
      <c r="C236" s="580">
        <v>238</v>
      </c>
      <c r="D236" s="1">
        <v>4129.17</v>
      </c>
      <c r="E236" t="s">
        <v>16</v>
      </c>
      <c r="F236" t="s">
        <v>713</v>
      </c>
      <c r="G236" s="580">
        <v>0</v>
      </c>
      <c r="H236" s="1" t="s">
        <v>714</v>
      </c>
      <c r="I236" s="1"/>
      <c r="J236" s="1"/>
      <c r="K236" s="1"/>
      <c r="L236" s="1"/>
      <c r="M236" s="1"/>
      <c r="N236" s="1"/>
      <c r="Q236"/>
    </row>
    <row r="237" spans="1:17" ht="13.15" customHeight="1" x14ac:dyDescent="0.2">
      <c r="A237" s="1" t="s">
        <v>715</v>
      </c>
      <c r="B237" s="1" t="s">
        <v>15</v>
      </c>
      <c r="C237" s="580">
        <v>239</v>
      </c>
      <c r="D237" s="1">
        <v>1732.37</v>
      </c>
      <c r="E237" t="s">
        <v>16</v>
      </c>
      <c r="F237" t="s">
        <v>716</v>
      </c>
      <c r="G237" s="580">
        <v>324.1875</v>
      </c>
      <c r="H237" s="1" t="s">
        <v>717</v>
      </c>
      <c r="I237" s="1"/>
      <c r="J237" s="1"/>
      <c r="K237" s="1"/>
      <c r="L237" s="1"/>
      <c r="M237" s="1"/>
      <c r="N237" s="1"/>
      <c r="Q237"/>
    </row>
    <row r="238" spans="1:17" ht="13.15" customHeight="1" x14ac:dyDescent="0.2">
      <c r="A238" s="1" t="s">
        <v>718</v>
      </c>
      <c r="B238" s="1" t="s">
        <v>15</v>
      </c>
      <c r="C238" s="580">
        <v>240</v>
      </c>
      <c r="D238" s="1">
        <v>1732.37</v>
      </c>
      <c r="E238" t="s">
        <v>16</v>
      </c>
      <c r="F238" t="s">
        <v>719</v>
      </c>
      <c r="G238" s="580">
        <v>324.1875</v>
      </c>
      <c r="H238" s="1" t="s">
        <v>720</v>
      </c>
      <c r="I238" s="1"/>
      <c r="J238" s="1"/>
      <c r="K238" s="1"/>
      <c r="L238" s="1"/>
      <c r="M238" s="1"/>
      <c r="N238" s="1"/>
      <c r="Q238"/>
    </row>
    <row r="239" spans="1:17" ht="13.15" customHeight="1" x14ac:dyDescent="0.2">
      <c r="A239" s="1" t="s">
        <v>721</v>
      </c>
      <c r="B239" s="1" t="s">
        <v>15</v>
      </c>
      <c r="C239" s="580">
        <v>241</v>
      </c>
      <c r="D239" s="1">
        <v>4571.78</v>
      </c>
      <c r="E239" t="s">
        <v>16</v>
      </c>
      <c r="F239" t="s">
        <v>722</v>
      </c>
      <c r="G239" s="580">
        <v>486.78</v>
      </c>
      <c r="H239" s="1" t="s">
        <v>723</v>
      </c>
      <c r="I239" s="1"/>
      <c r="J239" s="1"/>
      <c r="K239" s="1"/>
      <c r="L239" s="1"/>
      <c r="M239" s="1"/>
      <c r="N239" s="1"/>
      <c r="Q239"/>
    </row>
    <row r="240" spans="1:17" ht="13.15" customHeight="1" x14ac:dyDescent="0.2">
      <c r="A240" s="1" t="s">
        <v>724</v>
      </c>
      <c r="B240" s="1" t="s">
        <v>15</v>
      </c>
      <c r="C240" s="580">
        <v>242</v>
      </c>
      <c r="D240" s="1">
        <v>5145.16</v>
      </c>
      <c r="E240" t="s">
        <v>16</v>
      </c>
      <c r="F240" t="s">
        <v>725</v>
      </c>
      <c r="G240" s="580">
        <v>486.78</v>
      </c>
      <c r="H240" s="1" t="s">
        <v>726</v>
      </c>
      <c r="I240" s="1"/>
      <c r="J240" s="1"/>
      <c r="K240" s="1"/>
      <c r="L240" s="1"/>
      <c r="M240" s="1"/>
      <c r="N240" s="1"/>
      <c r="Q240"/>
    </row>
    <row r="241" spans="1:17" ht="13.15" customHeight="1" x14ac:dyDescent="0.2">
      <c r="A241" s="1" t="s">
        <v>727</v>
      </c>
      <c r="B241" s="1" t="s">
        <v>15</v>
      </c>
      <c r="C241" s="580">
        <v>243</v>
      </c>
      <c r="D241" s="1">
        <v>1309.69</v>
      </c>
      <c r="E241" t="s">
        <v>16</v>
      </c>
      <c r="F241" t="s">
        <v>728</v>
      </c>
      <c r="G241" s="580">
        <v>306.26159999999999</v>
      </c>
      <c r="H241" s="1" t="s">
        <v>729</v>
      </c>
      <c r="I241" s="1"/>
      <c r="J241" s="1"/>
      <c r="K241" s="1"/>
      <c r="L241" s="1"/>
      <c r="M241" s="1"/>
      <c r="N241" s="1"/>
      <c r="Q241"/>
    </row>
    <row r="242" spans="1:17" ht="13.15" customHeight="1" x14ac:dyDescent="0.2">
      <c r="A242" s="1" t="s">
        <v>730</v>
      </c>
      <c r="B242" s="1" t="s">
        <v>15</v>
      </c>
      <c r="C242" s="580">
        <v>244</v>
      </c>
      <c r="D242" s="1">
        <v>1888.56</v>
      </c>
      <c r="E242" t="s">
        <v>16</v>
      </c>
      <c r="F242" t="s">
        <v>731</v>
      </c>
      <c r="G242" s="580">
        <v>0</v>
      </c>
      <c r="H242" s="1" t="s">
        <v>732</v>
      </c>
      <c r="I242" s="1"/>
      <c r="J242" s="1"/>
      <c r="K242" s="1"/>
      <c r="L242" s="1"/>
      <c r="M242" s="1"/>
      <c r="N242" s="1"/>
      <c r="Q242"/>
    </row>
    <row r="243" spans="1:17" ht="13.15" customHeight="1" x14ac:dyDescent="0.2">
      <c r="A243" s="1" t="s">
        <v>733</v>
      </c>
      <c r="B243" s="1" t="s">
        <v>15</v>
      </c>
      <c r="C243" s="580">
        <v>245</v>
      </c>
      <c r="D243" s="1">
        <v>4220.22</v>
      </c>
      <c r="E243" t="s">
        <v>16</v>
      </c>
      <c r="F243" t="s">
        <v>734</v>
      </c>
      <c r="G243" s="580">
        <v>302.09089999999998</v>
      </c>
      <c r="H243" s="1" t="s">
        <v>735</v>
      </c>
      <c r="I243" s="1"/>
      <c r="J243" s="1"/>
      <c r="K243" s="1"/>
      <c r="L243" s="1"/>
      <c r="M243" s="1"/>
      <c r="N243" s="1"/>
      <c r="Q243"/>
    </row>
    <row r="244" spans="1:17" ht="13.15" customHeight="1" x14ac:dyDescent="0.2">
      <c r="A244" s="1" t="s">
        <v>736</v>
      </c>
      <c r="B244" s="1" t="s">
        <v>15</v>
      </c>
      <c r="C244" s="580">
        <v>246</v>
      </c>
      <c r="D244" s="1">
        <v>4220.22</v>
      </c>
      <c r="E244" t="s">
        <v>16</v>
      </c>
      <c r="F244" t="s">
        <v>737</v>
      </c>
      <c r="G244" s="580">
        <v>302.09089999999998</v>
      </c>
      <c r="H244" s="1" t="s">
        <v>735</v>
      </c>
      <c r="I244" s="1"/>
      <c r="J244" s="1"/>
      <c r="K244" s="1"/>
      <c r="L244" s="1"/>
      <c r="M244" s="1"/>
      <c r="N244" s="1"/>
      <c r="Q244"/>
    </row>
    <row r="245" spans="1:17" ht="13.15" customHeight="1" x14ac:dyDescent="0.2">
      <c r="A245" s="1" t="s">
        <v>738</v>
      </c>
      <c r="B245" s="1" t="s">
        <v>15</v>
      </c>
      <c r="C245" s="580">
        <v>247</v>
      </c>
      <c r="D245" s="1">
        <v>642.4</v>
      </c>
      <c r="E245" t="s">
        <v>16</v>
      </c>
      <c r="F245" t="s">
        <v>739</v>
      </c>
      <c r="G245" s="580">
        <v>117.5997</v>
      </c>
      <c r="H245" s="1" t="s">
        <v>740</v>
      </c>
      <c r="I245" s="1"/>
      <c r="J245" s="1"/>
      <c r="K245" s="1"/>
      <c r="L245" s="1"/>
      <c r="M245" s="1"/>
      <c r="N245" s="1"/>
      <c r="Q245"/>
    </row>
    <row r="246" spans="1:17" ht="13.15" customHeight="1" x14ac:dyDescent="0.2">
      <c r="A246" s="1" t="s">
        <v>741</v>
      </c>
      <c r="B246" s="1" t="s">
        <v>15</v>
      </c>
      <c r="C246" s="580">
        <v>248</v>
      </c>
      <c r="D246" s="1">
        <v>683.95</v>
      </c>
      <c r="E246" t="s">
        <v>16</v>
      </c>
      <c r="F246" t="s">
        <v>742</v>
      </c>
      <c r="G246" s="580">
        <v>157.5188</v>
      </c>
      <c r="H246" s="1" t="s">
        <v>743</v>
      </c>
      <c r="I246" s="1"/>
      <c r="J246" s="1"/>
      <c r="K246" s="1"/>
      <c r="L246" s="1"/>
      <c r="M246" s="1"/>
      <c r="N246" s="1"/>
      <c r="Q246"/>
    </row>
    <row r="247" spans="1:17" ht="13.15" customHeight="1" x14ac:dyDescent="0.2">
      <c r="A247" s="1" t="s">
        <v>744</v>
      </c>
      <c r="B247" s="1" t="s">
        <v>15</v>
      </c>
      <c r="C247" s="580">
        <v>249</v>
      </c>
      <c r="D247" s="1">
        <v>910.22</v>
      </c>
      <c r="E247" t="s">
        <v>16</v>
      </c>
      <c r="F247" t="s">
        <v>745</v>
      </c>
      <c r="G247" s="580">
        <v>217.45500000000001</v>
      </c>
      <c r="H247" s="1" t="s">
        <v>746</v>
      </c>
      <c r="I247" s="1"/>
      <c r="J247" s="1"/>
      <c r="K247" s="1"/>
      <c r="L247" s="1"/>
      <c r="M247" s="1"/>
      <c r="N247" s="1"/>
      <c r="Q247"/>
    </row>
    <row r="248" spans="1:17" ht="13.15" customHeight="1" x14ac:dyDescent="0.2">
      <c r="A248" s="1" t="s">
        <v>747</v>
      </c>
      <c r="B248" s="1" t="s">
        <v>15</v>
      </c>
      <c r="C248" s="580">
        <v>250</v>
      </c>
      <c r="D248" s="1">
        <v>698.5</v>
      </c>
      <c r="E248" t="s">
        <v>16</v>
      </c>
      <c r="F248" t="s">
        <v>748</v>
      </c>
      <c r="G248" s="580">
        <v>161.83439999999999</v>
      </c>
      <c r="H248" s="1" t="s">
        <v>749</v>
      </c>
      <c r="I248" s="1"/>
      <c r="J248" s="1"/>
      <c r="K248" s="1"/>
      <c r="L248" s="1"/>
      <c r="M248" s="1"/>
      <c r="N248" s="1"/>
      <c r="Q248"/>
    </row>
    <row r="249" spans="1:17" ht="13.15" customHeight="1" x14ac:dyDescent="0.2">
      <c r="A249" s="1" t="s">
        <v>750</v>
      </c>
      <c r="B249" s="1" t="s">
        <v>15</v>
      </c>
      <c r="C249" s="580">
        <v>251</v>
      </c>
      <c r="D249" s="1">
        <v>887.68</v>
      </c>
      <c r="E249" t="s">
        <v>16</v>
      </c>
      <c r="F249" t="s">
        <v>751</v>
      </c>
      <c r="G249" s="580">
        <v>203.91130000000001</v>
      </c>
      <c r="H249" s="1" t="s">
        <v>752</v>
      </c>
      <c r="I249" s="1"/>
      <c r="J249" s="1"/>
      <c r="K249" s="1"/>
      <c r="L249" s="1"/>
      <c r="M249" s="1"/>
      <c r="N249" s="1"/>
      <c r="Q249"/>
    </row>
    <row r="250" spans="1:17" ht="13.15" customHeight="1" x14ac:dyDescent="0.2">
      <c r="A250" s="1" t="s">
        <v>753</v>
      </c>
      <c r="B250" s="1" t="s">
        <v>15</v>
      </c>
      <c r="C250" s="580">
        <v>252</v>
      </c>
      <c r="D250" s="1">
        <v>1164.17</v>
      </c>
      <c r="E250" t="s">
        <v>16</v>
      </c>
      <c r="F250" t="s">
        <v>754</v>
      </c>
      <c r="G250" s="580">
        <v>258.935</v>
      </c>
      <c r="H250" s="1" t="s">
        <v>755</v>
      </c>
      <c r="I250" s="1"/>
      <c r="J250" s="1"/>
      <c r="K250" s="1"/>
      <c r="L250" s="1"/>
      <c r="M250" s="1"/>
      <c r="N250" s="1"/>
      <c r="Q250"/>
    </row>
    <row r="251" spans="1:17" ht="13.15" customHeight="1" x14ac:dyDescent="0.2">
      <c r="A251" s="1" t="s">
        <v>756</v>
      </c>
      <c r="B251" s="1" t="s">
        <v>15</v>
      </c>
      <c r="C251" s="580">
        <v>253</v>
      </c>
      <c r="D251" s="1">
        <v>1455.21</v>
      </c>
      <c r="E251" t="s">
        <v>16</v>
      </c>
      <c r="F251" t="s">
        <v>757</v>
      </c>
      <c r="G251" s="580">
        <v>329.06330000000003</v>
      </c>
      <c r="H251" s="1" t="s">
        <v>758</v>
      </c>
      <c r="I251" s="1"/>
      <c r="J251" s="1"/>
      <c r="K251" s="1"/>
      <c r="L251" s="1"/>
      <c r="M251" s="1"/>
      <c r="N251" s="1"/>
      <c r="Q251"/>
    </row>
    <row r="252" spans="1:17" ht="13.15" customHeight="1" x14ac:dyDescent="0.2">
      <c r="A252" s="1" t="s">
        <v>759</v>
      </c>
      <c r="B252" s="1" t="s">
        <v>15</v>
      </c>
      <c r="C252" s="580">
        <v>254</v>
      </c>
      <c r="D252" s="1">
        <v>887.68</v>
      </c>
      <c r="E252" t="s">
        <v>16</v>
      </c>
      <c r="F252" t="s">
        <v>760</v>
      </c>
      <c r="G252" s="580">
        <v>206.06909999999999</v>
      </c>
      <c r="H252" s="1" t="s">
        <v>761</v>
      </c>
      <c r="I252" s="1"/>
      <c r="J252" s="1"/>
      <c r="K252" s="1"/>
      <c r="L252" s="1"/>
      <c r="M252" s="1"/>
      <c r="N252" s="1"/>
      <c r="Q252"/>
    </row>
    <row r="253" spans="1:17" ht="13.15" customHeight="1" x14ac:dyDescent="0.2">
      <c r="A253" s="1" t="s">
        <v>762</v>
      </c>
      <c r="B253" s="1" t="s">
        <v>15</v>
      </c>
      <c r="C253" s="580">
        <v>256</v>
      </c>
      <c r="D253" s="1">
        <v>916.79</v>
      </c>
      <c r="E253" t="s">
        <v>16</v>
      </c>
      <c r="F253" t="s">
        <v>763</v>
      </c>
      <c r="G253" s="580">
        <v>214.46250000000001</v>
      </c>
      <c r="H253" s="1" t="s">
        <v>764</v>
      </c>
      <c r="I253" s="1"/>
      <c r="J253" s="1"/>
      <c r="K253" s="1"/>
      <c r="L253" s="1"/>
      <c r="M253" s="1"/>
      <c r="N253" s="1"/>
      <c r="Q253"/>
    </row>
    <row r="254" spans="1:17" ht="13.15" customHeight="1" x14ac:dyDescent="0.2">
      <c r="A254" s="1" t="s">
        <v>765</v>
      </c>
      <c r="B254" s="1" t="s">
        <v>15</v>
      </c>
      <c r="C254" s="580">
        <v>257</v>
      </c>
      <c r="D254" s="1">
        <v>887.68</v>
      </c>
      <c r="E254" t="s">
        <v>16</v>
      </c>
      <c r="F254" t="s">
        <v>766</v>
      </c>
      <c r="G254" s="580">
        <v>203.91130000000001</v>
      </c>
      <c r="H254" s="1" t="s">
        <v>767</v>
      </c>
      <c r="I254" s="1"/>
      <c r="J254" s="1"/>
      <c r="K254" s="1"/>
      <c r="L254" s="1"/>
      <c r="M254" s="1"/>
      <c r="N254" s="1"/>
      <c r="Q254"/>
    </row>
    <row r="255" spans="1:17" ht="13.15" customHeight="1" x14ac:dyDescent="0.2">
      <c r="A255" s="1" t="s">
        <v>768</v>
      </c>
      <c r="B255" s="1" t="s">
        <v>15</v>
      </c>
      <c r="C255" s="580">
        <v>258</v>
      </c>
      <c r="D255" s="1">
        <v>1527.98</v>
      </c>
      <c r="E255" t="s">
        <v>16</v>
      </c>
      <c r="F255" t="s">
        <v>769</v>
      </c>
      <c r="G255" s="580">
        <v>329.06330000000003</v>
      </c>
      <c r="H255" s="1" t="s">
        <v>770</v>
      </c>
      <c r="I255" s="1"/>
      <c r="J255" s="1"/>
      <c r="K255" s="1"/>
      <c r="L255" s="1"/>
      <c r="M255" s="1"/>
      <c r="N255" s="1"/>
      <c r="Q255"/>
    </row>
    <row r="256" spans="1:17" ht="13.15" customHeight="1" x14ac:dyDescent="0.2">
      <c r="A256" s="1" t="s">
        <v>771</v>
      </c>
      <c r="B256" s="1" t="s">
        <v>15</v>
      </c>
      <c r="C256" s="580">
        <v>259</v>
      </c>
      <c r="D256" s="1">
        <v>1004.1</v>
      </c>
      <c r="E256" t="s">
        <v>16</v>
      </c>
      <c r="F256" t="s">
        <v>772</v>
      </c>
      <c r="G256" s="580">
        <v>221.1737</v>
      </c>
      <c r="H256" s="1" t="s">
        <v>773</v>
      </c>
      <c r="I256" s="1"/>
      <c r="J256" s="1"/>
      <c r="K256" s="1"/>
      <c r="L256" s="1"/>
      <c r="M256" s="1"/>
      <c r="N256" s="1"/>
      <c r="Q256"/>
    </row>
    <row r="257" spans="1:17" ht="13.15" customHeight="1" x14ac:dyDescent="0.2">
      <c r="A257" s="1" t="s">
        <v>774</v>
      </c>
      <c r="B257" s="1" t="s">
        <v>15</v>
      </c>
      <c r="C257" s="580">
        <v>260</v>
      </c>
      <c r="D257" s="1">
        <v>873.13</v>
      </c>
      <c r="E257" t="s">
        <v>16</v>
      </c>
      <c r="F257" t="s">
        <v>775</v>
      </c>
      <c r="G257" s="580">
        <v>203.91130000000001</v>
      </c>
      <c r="H257" s="1" t="s">
        <v>776</v>
      </c>
      <c r="I257" s="1"/>
      <c r="J257" s="1"/>
      <c r="K257" s="1"/>
      <c r="L257" s="1"/>
      <c r="M257" s="1"/>
      <c r="N257" s="1"/>
      <c r="Q257"/>
    </row>
    <row r="258" spans="1:17" ht="13.15" customHeight="1" x14ac:dyDescent="0.2">
      <c r="A258" s="1" t="s">
        <v>777</v>
      </c>
      <c r="B258" s="1" t="s">
        <v>15</v>
      </c>
      <c r="C258" s="580">
        <v>261</v>
      </c>
      <c r="D258" s="1">
        <v>1454.79</v>
      </c>
      <c r="E258" t="s">
        <v>16</v>
      </c>
      <c r="F258" t="s">
        <v>778</v>
      </c>
      <c r="G258" s="580">
        <v>0</v>
      </c>
      <c r="H258" s="1" t="s">
        <v>779</v>
      </c>
      <c r="I258" s="1"/>
      <c r="J258" s="1"/>
      <c r="K258" s="1"/>
      <c r="L258" s="1"/>
      <c r="M258" s="1"/>
      <c r="N258" s="1"/>
      <c r="Q258"/>
    </row>
    <row r="259" spans="1:17" ht="13.15" customHeight="1" x14ac:dyDescent="0.2">
      <c r="A259" s="1" t="s">
        <v>780</v>
      </c>
      <c r="B259" s="1" t="s">
        <v>15</v>
      </c>
      <c r="C259" s="580">
        <v>262</v>
      </c>
      <c r="D259" s="1">
        <v>1527.98</v>
      </c>
      <c r="E259" t="s">
        <v>16</v>
      </c>
      <c r="F259" t="s">
        <v>781</v>
      </c>
      <c r="G259" s="580">
        <v>329.06330000000003</v>
      </c>
      <c r="H259" s="1" t="s">
        <v>782</v>
      </c>
      <c r="I259" s="1"/>
      <c r="J259" s="1"/>
      <c r="K259" s="1"/>
      <c r="L259" s="1"/>
      <c r="M259" s="1"/>
      <c r="N259" s="1"/>
      <c r="Q259"/>
    </row>
    <row r="260" spans="1:17" ht="13.15" customHeight="1" x14ac:dyDescent="0.2">
      <c r="A260" s="1" t="s">
        <v>783</v>
      </c>
      <c r="B260" s="1" t="s">
        <v>15</v>
      </c>
      <c r="C260" s="580">
        <v>263</v>
      </c>
      <c r="D260" s="1">
        <v>931.34</v>
      </c>
      <c r="E260" t="s">
        <v>16</v>
      </c>
      <c r="F260" t="s">
        <v>784</v>
      </c>
      <c r="G260" s="580">
        <v>204.99019999999999</v>
      </c>
      <c r="H260" s="1" t="s">
        <v>785</v>
      </c>
      <c r="I260" s="1"/>
      <c r="J260" s="1"/>
      <c r="K260" s="1"/>
      <c r="L260" s="1"/>
      <c r="M260" s="1"/>
      <c r="N260" s="1"/>
      <c r="Q260"/>
    </row>
    <row r="261" spans="1:17" ht="13.15" customHeight="1" x14ac:dyDescent="0.2">
      <c r="A261" s="1" t="s">
        <v>786</v>
      </c>
      <c r="B261" s="1" t="s">
        <v>15</v>
      </c>
      <c r="C261" s="580">
        <v>264</v>
      </c>
      <c r="D261" s="1">
        <v>1018.65</v>
      </c>
      <c r="E261" t="s">
        <v>16</v>
      </c>
      <c r="F261" t="s">
        <v>787</v>
      </c>
      <c r="G261" s="580">
        <v>221.1737</v>
      </c>
      <c r="H261" s="1" t="s">
        <v>788</v>
      </c>
      <c r="I261" s="1"/>
      <c r="J261" s="1"/>
      <c r="K261" s="1"/>
      <c r="L261" s="1"/>
      <c r="M261" s="1"/>
      <c r="N261" s="1"/>
      <c r="Q261"/>
    </row>
    <row r="262" spans="1:17" ht="13.15" customHeight="1" x14ac:dyDescent="0.2">
      <c r="A262" s="1" t="s">
        <v>789</v>
      </c>
      <c r="B262" s="1" t="s">
        <v>15</v>
      </c>
      <c r="C262" s="580">
        <v>265</v>
      </c>
      <c r="D262" s="1">
        <v>785.82</v>
      </c>
      <c r="E262" t="s">
        <v>16</v>
      </c>
      <c r="F262" t="s">
        <v>790</v>
      </c>
      <c r="G262" s="580">
        <v>183.41229999999999</v>
      </c>
      <c r="H262" s="1" t="s">
        <v>791</v>
      </c>
      <c r="I262" s="1"/>
      <c r="J262" s="1"/>
      <c r="K262" s="1"/>
      <c r="L262" s="1"/>
      <c r="M262" s="1"/>
      <c r="N262" s="1"/>
      <c r="Q262"/>
    </row>
    <row r="263" spans="1:17" ht="13.15" customHeight="1" x14ac:dyDescent="0.2">
      <c r="A263" s="1" t="s">
        <v>792</v>
      </c>
      <c r="B263" s="1" t="s">
        <v>15</v>
      </c>
      <c r="C263" s="580">
        <v>266</v>
      </c>
      <c r="D263" s="1">
        <v>887.68</v>
      </c>
      <c r="E263" t="s">
        <v>16</v>
      </c>
      <c r="F263" t="s">
        <v>793</v>
      </c>
      <c r="G263" s="580">
        <v>199.5958</v>
      </c>
      <c r="H263" s="1" t="s">
        <v>794</v>
      </c>
      <c r="I263" s="1"/>
      <c r="J263" s="1"/>
      <c r="K263" s="1"/>
      <c r="L263" s="1"/>
      <c r="M263" s="1"/>
      <c r="N263" s="1"/>
      <c r="Q263"/>
    </row>
    <row r="264" spans="1:17" ht="13.15" customHeight="1" x14ac:dyDescent="0.2">
      <c r="A264" s="1" t="s">
        <v>795</v>
      </c>
      <c r="B264" s="1" t="s">
        <v>15</v>
      </c>
      <c r="C264" s="580">
        <v>267</v>
      </c>
      <c r="D264" s="1">
        <v>1018.65</v>
      </c>
      <c r="E264" t="s">
        <v>16</v>
      </c>
      <c r="F264" t="s">
        <v>796</v>
      </c>
      <c r="G264" s="580">
        <v>192.04349999999999</v>
      </c>
      <c r="H264" s="1" t="s">
        <v>797</v>
      </c>
      <c r="I264" s="1"/>
      <c r="J264" s="1"/>
      <c r="K264" s="1"/>
      <c r="L264" s="1"/>
      <c r="M264" s="1"/>
      <c r="N264" s="1"/>
      <c r="Q264"/>
    </row>
    <row r="265" spans="1:17" ht="13.15" customHeight="1" x14ac:dyDescent="0.2">
      <c r="A265" s="1" t="s">
        <v>798</v>
      </c>
      <c r="B265" s="1" t="s">
        <v>15</v>
      </c>
      <c r="C265" s="580">
        <v>268</v>
      </c>
      <c r="D265" s="1">
        <v>844.02</v>
      </c>
      <c r="E265" t="s">
        <v>16</v>
      </c>
      <c r="F265" t="s">
        <v>799</v>
      </c>
      <c r="G265" s="580">
        <v>183.41229999999999</v>
      </c>
      <c r="H265" s="1" t="s">
        <v>800</v>
      </c>
      <c r="I265" s="1"/>
      <c r="J265" s="1"/>
      <c r="K265" s="1"/>
      <c r="L265" s="1"/>
      <c r="M265" s="1"/>
      <c r="N265" s="1"/>
      <c r="Q265"/>
    </row>
    <row r="266" spans="1:17" ht="13.15" customHeight="1" x14ac:dyDescent="0.2">
      <c r="A266" s="1" t="s">
        <v>801</v>
      </c>
      <c r="B266" s="1" t="s">
        <v>15</v>
      </c>
      <c r="C266" s="580">
        <v>269</v>
      </c>
      <c r="D266" s="1">
        <v>1527.98</v>
      </c>
      <c r="E266" t="s">
        <v>16</v>
      </c>
      <c r="F266" t="s">
        <v>802</v>
      </c>
      <c r="G266" s="580">
        <v>329.06330000000003</v>
      </c>
      <c r="H266" s="1" t="s">
        <v>803</v>
      </c>
      <c r="I266" s="1"/>
      <c r="J266" s="1"/>
      <c r="K266" s="1"/>
      <c r="L266" s="1"/>
      <c r="M266" s="1"/>
      <c r="N266" s="1"/>
      <c r="Q266"/>
    </row>
    <row r="267" spans="1:17" ht="13.15" customHeight="1" x14ac:dyDescent="0.2">
      <c r="A267" s="1" t="s">
        <v>804</v>
      </c>
      <c r="B267" s="1" t="s">
        <v>15</v>
      </c>
      <c r="C267" s="580">
        <v>270</v>
      </c>
      <c r="D267" s="1">
        <v>1315.67</v>
      </c>
      <c r="E267" t="s">
        <v>16</v>
      </c>
      <c r="F267" t="s">
        <v>805</v>
      </c>
      <c r="G267" s="580">
        <v>188.80680000000001</v>
      </c>
      <c r="H267" s="1" t="s">
        <v>806</v>
      </c>
      <c r="I267" s="1"/>
      <c r="J267" s="1"/>
      <c r="K267" s="1"/>
      <c r="L267" s="1"/>
      <c r="M267" s="1"/>
      <c r="N267" s="1"/>
      <c r="Q267"/>
    </row>
    <row r="268" spans="1:17" ht="13.15" customHeight="1" x14ac:dyDescent="0.2">
      <c r="A268" s="1" t="s">
        <v>807</v>
      </c>
      <c r="B268" s="1" t="s">
        <v>15</v>
      </c>
      <c r="C268" s="580">
        <v>271</v>
      </c>
      <c r="D268" s="1">
        <v>1018.65</v>
      </c>
      <c r="E268" t="s">
        <v>16</v>
      </c>
      <c r="F268" t="s">
        <v>808</v>
      </c>
      <c r="G268" s="580">
        <v>231.96260000000001</v>
      </c>
      <c r="H268" s="1" t="s">
        <v>809</v>
      </c>
      <c r="I268" s="1"/>
      <c r="J268" s="1"/>
      <c r="K268" s="1"/>
      <c r="L268" s="1"/>
      <c r="M268" s="1"/>
      <c r="N268" s="1"/>
      <c r="Q268"/>
    </row>
    <row r="269" spans="1:17" ht="13.15" customHeight="1" x14ac:dyDescent="0.2">
      <c r="A269" s="1" t="s">
        <v>810</v>
      </c>
      <c r="B269" s="1" t="s">
        <v>15</v>
      </c>
      <c r="C269" s="580">
        <v>272</v>
      </c>
      <c r="D269" s="1">
        <v>1644.6</v>
      </c>
      <c r="E269" t="s">
        <v>16</v>
      </c>
      <c r="F269" t="s">
        <v>811</v>
      </c>
      <c r="G269" s="580">
        <v>0</v>
      </c>
      <c r="H269" s="1" t="s">
        <v>812</v>
      </c>
      <c r="I269" s="1"/>
      <c r="J269" s="1"/>
      <c r="K269" s="1"/>
      <c r="L269" s="1"/>
      <c r="M269" s="1"/>
      <c r="N269" s="1"/>
      <c r="Q269"/>
    </row>
    <row r="270" spans="1:17" ht="13.15" customHeight="1" x14ac:dyDescent="0.2">
      <c r="A270" s="1" t="s">
        <v>813</v>
      </c>
      <c r="B270" s="1" t="s">
        <v>15</v>
      </c>
      <c r="C270" s="580">
        <v>273</v>
      </c>
      <c r="D270" s="1">
        <v>1821.21</v>
      </c>
      <c r="E270" t="s">
        <v>16</v>
      </c>
      <c r="F270" t="s">
        <v>814</v>
      </c>
      <c r="G270" s="580">
        <v>0</v>
      </c>
      <c r="H270" s="1" t="s">
        <v>815</v>
      </c>
      <c r="I270" s="1"/>
      <c r="J270" s="1"/>
      <c r="K270" s="1"/>
      <c r="L270" s="1"/>
      <c r="M270" s="1"/>
      <c r="N270" s="1"/>
      <c r="Q270"/>
    </row>
    <row r="271" spans="1:17" ht="13.15" customHeight="1" x14ac:dyDescent="0.2">
      <c r="A271" s="1" t="s">
        <v>816</v>
      </c>
      <c r="B271" s="1" t="s">
        <v>15</v>
      </c>
      <c r="C271" s="580">
        <v>274</v>
      </c>
      <c r="D271" s="1">
        <v>1018.65</v>
      </c>
      <c r="E271" t="s">
        <v>16</v>
      </c>
      <c r="F271" t="s">
        <v>817</v>
      </c>
      <c r="G271" s="580">
        <v>231.96260000000001</v>
      </c>
      <c r="H271" s="1" t="s">
        <v>818</v>
      </c>
      <c r="I271" s="1"/>
      <c r="J271" s="1"/>
      <c r="K271" s="1"/>
      <c r="L271" s="1"/>
      <c r="M271" s="1"/>
      <c r="N271" s="1"/>
      <c r="Q271"/>
    </row>
    <row r="272" spans="1:17" ht="13.15" customHeight="1" x14ac:dyDescent="0.2">
      <c r="A272" s="1" t="s">
        <v>819</v>
      </c>
      <c r="B272" s="1" t="s">
        <v>15</v>
      </c>
      <c r="C272" s="580">
        <v>275</v>
      </c>
      <c r="D272" s="1">
        <v>2182.8200000000002</v>
      </c>
      <c r="E272" t="s">
        <v>16</v>
      </c>
      <c r="F272" t="s">
        <v>820</v>
      </c>
      <c r="G272" s="580">
        <v>485.50319999999999</v>
      </c>
      <c r="H272" s="1" t="s">
        <v>821</v>
      </c>
      <c r="I272" s="1"/>
      <c r="J272" s="1"/>
      <c r="K272" s="1"/>
      <c r="L272" s="1"/>
      <c r="M272" s="1"/>
      <c r="N272" s="1"/>
      <c r="Q272"/>
    </row>
    <row r="273" spans="1:17" ht="13.15" customHeight="1" x14ac:dyDescent="0.2">
      <c r="A273" s="1" t="s">
        <v>822</v>
      </c>
      <c r="B273" s="1" t="s">
        <v>15</v>
      </c>
      <c r="C273" s="580">
        <v>276</v>
      </c>
      <c r="D273" s="1">
        <v>1455.21</v>
      </c>
      <c r="E273" t="s">
        <v>16</v>
      </c>
      <c r="F273" t="s">
        <v>823</v>
      </c>
      <c r="G273" s="580">
        <v>323.66879999999998</v>
      </c>
      <c r="H273" s="1" t="s">
        <v>824</v>
      </c>
      <c r="I273" s="1"/>
      <c r="J273" s="1"/>
      <c r="K273" s="1"/>
      <c r="L273" s="1"/>
      <c r="M273" s="1"/>
      <c r="N273" s="1"/>
      <c r="Q273"/>
    </row>
    <row r="274" spans="1:17" ht="13.15" customHeight="1" x14ac:dyDescent="0.2">
      <c r="A274" s="1" t="s">
        <v>825</v>
      </c>
      <c r="B274" s="1" t="s">
        <v>15</v>
      </c>
      <c r="C274" s="580">
        <v>277</v>
      </c>
      <c r="D274" s="1">
        <v>1353.35</v>
      </c>
      <c r="E274" t="s">
        <v>16</v>
      </c>
      <c r="F274" t="s">
        <v>826</v>
      </c>
      <c r="G274" s="580">
        <v>307.48540000000003</v>
      </c>
      <c r="H274" s="1" t="s">
        <v>827</v>
      </c>
      <c r="I274" s="1"/>
      <c r="J274" s="1"/>
      <c r="K274" s="1"/>
      <c r="L274" s="1"/>
      <c r="M274" s="1"/>
      <c r="N274" s="1"/>
      <c r="Q274"/>
    </row>
    <row r="275" spans="1:17" ht="13.15" customHeight="1" x14ac:dyDescent="0.2">
      <c r="A275" s="1" t="s">
        <v>828</v>
      </c>
      <c r="B275" s="1" t="s">
        <v>15</v>
      </c>
      <c r="C275" s="580">
        <v>278</v>
      </c>
      <c r="D275" s="1">
        <v>3794.74</v>
      </c>
      <c r="E275" t="s">
        <v>16</v>
      </c>
      <c r="F275" t="s">
        <v>829</v>
      </c>
      <c r="G275" s="580">
        <v>324.1875</v>
      </c>
      <c r="H275" s="1" t="s">
        <v>830</v>
      </c>
      <c r="I275" s="1"/>
      <c r="J275" s="1"/>
      <c r="K275" s="1"/>
      <c r="L275" s="1"/>
      <c r="M275" s="1"/>
      <c r="N275" s="1"/>
      <c r="Q275"/>
    </row>
    <row r="276" spans="1:17" ht="13.15" customHeight="1" x14ac:dyDescent="0.2">
      <c r="A276" s="1" t="s">
        <v>831</v>
      </c>
      <c r="B276" s="1" t="s">
        <v>15</v>
      </c>
      <c r="C276" s="580">
        <v>279</v>
      </c>
      <c r="D276" s="1">
        <v>2182.8200000000002</v>
      </c>
      <c r="E276" t="s">
        <v>16</v>
      </c>
      <c r="F276" t="s">
        <v>832</v>
      </c>
      <c r="G276" s="580">
        <v>485.50319999999999</v>
      </c>
      <c r="H276" s="1" t="s">
        <v>833</v>
      </c>
      <c r="I276" s="1"/>
      <c r="J276" s="1"/>
      <c r="K276" s="1"/>
      <c r="L276" s="1"/>
      <c r="M276" s="1"/>
      <c r="N276" s="1"/>
      <c r="Q276"/>
    </row>
    <row r="277" spans="1:17" ht="13.15" customHeight="1" x14ac:dyDescent="0.2">
      <c r="A277" s="1" t="s">
        <v>834</v>
      </c>
      <c r="B277" s="1" t="s">
        <v>15</v>
      </c>
      <c r="C277" s="580">
        <v>280</v>
      </c>
      <c r="D277" s="1">
        <v>669.45</v>
      </c>
      <c r="E277" t="s">
        <v>16</v>
      </c>
      <c r="F277" t="s">
        <v>835</v>
      </c>
      <c r="G277" s="580">
        <v>134.66249999999999</v>
      </c>
      <c r="H277" s="1" t="s">
        <v>836</v>
      </c>
      <c r="I277" s="1"/>
      <c r="J277" s="1"/>
      <c r="K277" s="1"/>
      <c r="L277" s="1"/>
      <c r="M277" s="1"/>
      <c r="N277" s="1"/>
      <c r="Q277"/>
    </row>
    <row r="278" spans="1:17" ht="13.15" customHeight="1" x14ac:dyDescent="0.2">
      <c r="A278" s="1" t="s">
        <v>837</v>
      </c>
      <c r="B278" s="1" t="s">
        <v>15</v>
      </c>
      <c r="C278" s="580">
        <v>281</v>
      </c>
      <c r="D278" s="1">
        <v>1236.93</v>
      </c>
      <c r="E278" t="s">
        <v>16</v>
      </c>
      <c r="F278" t="s">
        <v>838</v>
      </c>
      <c r="G278" s="580">
        <v>237.3571</v>
      </c>
      <c r="H278" s="1" t="s">
        <v>839</v>
      </c>
      <c r="I278" s="1"/>
      <c r="J278" s="1"/>
      <c r="K278" s="1"/>
      <c r="L278" s="1"/>
      <c r="M278" s="1"/>
      <c r="N278" s="1"/>
      <c r="Q278"/>
    </row>
    <row r="279" spans="1:17" ht="13.15" customHeight="1" x14ac:dyDescent="0.2">
      <c r="A279" s="1" t="s">
        <v>840</v>
      </c>
      <c r="B279" s="1" t="s">
        <v>15</v>
      </c>
      <c r="C279" s="580">
        <v>282</v>
      </c>
      <c r="D279" s="1">
        <v>2025.95</v>
      </c>
      <c r="E279" t="s">
        <v>16</v>
      </c>
      <c r="F279" t="s">
        <v>841</v>
      </c>
      <c r="G279" s="580">
        <v>215.7792</v>
      </c>
      <c r="H279" s="1" t="s">
        <v>842</v>
      </c>
      <c r="I279" s="1"/>
      <c r="J279" s="1"/>
      <c r="K279" s="1"/>
      <c r="L279" s="1"/>
      <c r="M279" s="1"/>
      <c r="N279" s="1"/>
      <c r="Q279"/>
    </row>
    <row r="280" spans="1:17" ht="13.15" customHeight="1" x14ac:dyDescent="0.2">
      <c r="A280" s="1" t="s">
        <v>843</v>
      </c>
      <c r="B280" s="1" t="s">
        <v>15</v>
      </c>
      <c r="C280" s="580">
        <v>283</v>
      </c>
      <c r="D280" s="1">
        <v>868.09</v>
      </c>
      <c r="E280" t="s">
        <v>16</v>
      </c>
      <c r="F280" t="s">
        <v>844</v>
      </c>
      <c r="G280" s="580">
        <v>176.93889999999999</v>
      </c>
      <c r="H280" s="1" t="s">
        <v>845</v>
      </c>
      <c r="I280" s="1"/>
      <c r="J280" s="1"/>
      <c r="K280" s="1"/>
      <c r="L280" s="1"/>
      <c r="M280" s="1"/>
      <c r="N280" s="1"/>
      <c r="Q280"/>
    </row>
    <row r="281" spans="1:17" ht="13.15" customHeight="1" x14ac:dyDescent="0.2">
      <c r="A281" s="1" t="s">
        <v>846</v>
      </c>
      <c r="B281" s="1" t="s">
        <v>15</v>
      </c>
      <c r="C281" s="580">
        <v>284</v>
      </c>
      <c r="D281" s="1">
        <v>871.76</v>
      </c>
      <c r="E281" t="s">
        <v>16</v>
      </c>
      <c r="F281" t="s">
        <v>847</v>
      </c>
      <c r="G281" s="580">
        <v>176.93889999999999</v>
      </c>
      <c r="H281" s="1" t="s">
        <v>848</v>
      </c>
      <c r="I281" s="1"/>
      <c r="J281" s="1"/>
      <c r="K281" s="1"/>
      <c r="L281" s="1"/>
      <c r="M281" s="1"/>
      <c r="N281" s="1"/>
      <c r="Q281"/>
    </row>
    <row r="282" spans="1:17" ht="13.15" customHeight="1" x14ac:dyDescent="0.2">
      <c r="A282" s="1" t="s">
        <v>849</v>
      </c>
      <c r="B282" s="1" t="s">
        <v>15</v>
      </c>
      <c r="C282" s="580">
        <v>285</v>
      </c>
      <c r="D282" s="1">
        <v>960.44</v>
      </c>
      <c r="E282" t="s">
        <v>16</v>
      </c>
      <c r="F282" t="s">
        <v>850</v>
      </c>
      <c r="G282" s="580">
        <v>223.33150000000001</v>
      </c>
      <c r="H282" s="1" t="s">
        <v>851</v>
      </c>
      <c r="I282" s="1"/>
      <c r="J282" s="1"/>
      <c r="K282" s="1"/>
      <c r="L282" s="1"/>
      <c r="M282" s="1"/>
      <c r="N282" s="1"/>
      <c r="Q282"/>
    </row>
    <row r="283" spans="1:17" ht="13.15" customHeight="1" x14ac:dyDescent="0.2">
      <c r="A283" s="1" t="s">
        <v>852</v>
      </c>
      <c r="B283" s="1" t="s">
        <v>15</v>
      </c>
      <c r="C283" s="580">
        <v>286</v>
      </c>
      <c r="D283" s="1">
        <v>713.06</v>
      </c>
      <c r="E283" t="s">
        <v>16</v>
      </c>
      <c r="F283" t="s">
        <v>853</v>
      </c>
      <c r="G283" s="580">
        <v>163.59</v>
      </c>
      <c r="H283" s="1" t="s">
        <v>854</v>
      </c>
      <c r="I283" s="1"/>
      <c r="J283" s="1"/>
      <c r="K283" s="1"/>
      <c r="L283" s="1"/>
      <c r="M283" s="1"/>
      <c r="N283" s="1"/>
      <c r="Q283"/>
    </row>
    <row r="284" spans="1:17" ht="13.15" customHeight="1" x14ac:dyDescent="0.2">
      <c r="A284" s="1" t="s">
        <v>855</v>
      </c>
      <c r="B284" s="1" t="s">
        <v>15</v>
      </c>
      <c r="C284" s="580">
        <v>287</v>
      </c>
      <c r="D284" s="1">
        <v>3346.99</v>
      </c>
      <c r="E284" t="s">
        <v>16</v>
      </c>
      <c r="F284" t="s">
        <v>856</v>
      </c>
      <c r="G284" s="580">
        <v>0</v>
      </c>
      <c r="H284" s="1" t="s">
        <v>857</v>
      </c>
      <c r="I284" s="1"/>
      <c r="J284" s="1"/>
      <c r="K284" s="1"/>
      <c r="L284" s="1"/>
      <c r="M284" s="1"/>
      <c r="N284" s="1"/>
      <c r="Q284"/>
    </row>
    <row r="285" spans="1:17" ht="13.15" customHeight="1" x14ac:dyDescent="0.2">
      <c r="A285" s="1" t="s">
        <v>858</v>
      </c>
      <c r="B285" s="1" t="s">
        <v>15</v>
      </c>
      <c r="C285" s="580">
        <v>288</v>
      </c>
      <c r="D285" s="1">
        <v>1612.86</v>
      </c>
      <c r="E285" t="s">
        <v>16</v>
      </c>
      <c r="F285" t="s">
        <v>859</v>
      </c>
      <c r="G285" s="580">
        <v>453.86250000000001</v>
      </c>
      <c r="H285" s="1" t="s">
        <v>860</v>
      </c>
      <c r="I285" s="1"/>
      <c r="J285" s="1"/>
      <c r="K285" s="1"/>
      <c r="L285" s="1"/>
      <c r="M285" s="1"/>
      <c r="N285" s="1"/>
      <c r="Q285"/>
    </row>
    <row r="286" spans="1:17" ht="13.15" customHeight="1" x14ac:dyDescent="0.2">
      <c r="A286" s="1" t="s">
        <v>861</v>
      </c>
      <c r="B286" s="1" t="s">
        <v>15</v>
      </c>
      <c r="C286" s="580">
        <v>289</v>
      </c>
      <c r="D286" s="1">
        <v>1018.65</v>
      </c>
      <c r="E286" t="s">
        <v>16</v>
      </c>
      <c r="F286" t="s">
        <v>862</v>
      </c>
      <c r="G286" s="580">
        <v>231.96260000000001</v>
      </c>
      <c r="H286" s="1" t="s">
        <v>863</v>
      </c>
      <c r="I286" s="1"/>
      <c r="J286" s="1"/>
      <c r="K286" s="1"/>
      <c r="L286" s="1"/>
      <c r="M286" s="1"/>
      <c r="N286" s="1"/>
      <c r="Q286"/>
    </row>
    <row r="287" spans="1:17" ht="13.15" customHeight="1" x14ac:dyDescent="0.2">
      <c r="A287" s="1" t="s">
        <v>864</v>
      </c>
      <c r="B287" s="1" t="s">
        <v>15</v>
      </c>
      <c r="C287" s="580">
        <v>290</v>
      </c>
      <c r="D287" s="1">
        <v>785.82</v>
      </c>
      <c r="E287" t="s">
        <v>16</v>
      </c>
      <c r="F287" t="s">
        <v>865</v>
      </c>
      <c r="G287" s="580">
        <v>182.33340000000001</v>
      </c>
      <c r="H287" s="1" t="s">
        <v>866</v>
      </c>
      <c r="I287" s="1"/>
      <c r="J287" s="1"/>
      <c r="K287" s="1"/>
      <c r="L287" s="1"/>
      <c r="M287" s="1"/>
      <c r="N287" s="1"/>
      <c r="Q287"/>
    </row>
    <row r="288" spans="1:17" ht="13.15" customHeight="1" x14ac:dyDescent="0.2">
      <c r="A288" s="1" t="s">
        <v>867</v>
      </c>
      <c r="B288" s="1" t="s">
        <v>15</v>
      </c>
      <c r="C288" s="580">
        <v>291</v>
      </c>
      <c r="D288" s="1">
        <v>871.76</v>
      </c>
      <c r="E288" t="s">
        <v>16</v>
      </c>
      <c r="F288" t="s">
        <v>868</v>
      </c>
      <c r="G288" s="580">
        <v>175.86</v>
      </c>
      <c r="H288" s="1" t="s">
        <v>869</v>
      </c>
      <c r="I288" s="1"/>
      <c r="J288" s="1"/>
      <c r="K288" s="1"/>
      <c r="L288" s="1"/>
      <c r="M288" s="1"/>
      <c r="N288" s="1"/>
      <c r="Q288"/>
    </row>
    <row r="289" spans="1:17" ht="13.15" customHeight="1" x14ac:dyDescent="0.2">
      <c r="A289" s="1" t="s">
        <v>870</v>
      </c>
      <c r="B289" s="1" t="s">
        <v>15</v>
      </c>
      <c r="C289" s="580">
        <v>292</v>
      </c>
      <c r="D289" s="1">
        <v>800.37</v>
      </c>
      <c r="E289" t="s">
        <v>16</v>
      </c>
      <c r="F289" t="s">
        <v>871</v>
      </c>
      <c r="G289" s="580">
        <v>185.5701</v>
      </c>
      <c r="H289" s="1" t="s">
        <v>872</v>
      </c>
      <c r="I289" s="1"/>
      <c r="J289" s="1"/>
      <c r="K289" s="1"/>
      <c r="L289" s="1"/>
      <c r="M289" s="1"/>
      <c r="N289" s="1"/>
      <c r="Q289"/>
    </row>
    <row r="290" spans="1:17" ht="13.15" customHeight="1" x14ac:dyDescent="0.2">
      <c r="A290" s="1" t="s">
        <v>873</v>
      </c>
      <c r="B290" s="1" t="s">
        <v>15</v>
      </c>
      <c r="C290" s="580">
        <v>293</v>
      </c>
      <c r="D290" s="1">
        <v>887.68</v>
      </c>
      <c r="E290" t="s">
        <v>16</v>
      </c>
      <c r="F290" t="s">
        <v>874</v>
      </c>
      <c r="G290" s="580">
        <v>199.5958</v>
      </c>
      <c r="H290" s="1" t="s">
        <v>875</v>
      </c>
      <c r="I290" s="1"/>
      <c r="J290" s="1"/>
      <c r="K290" s="1"/>
      <c r="L290" s="1"/>
      <c r="M290" s="1"/>
      <c r="N290" s="1"/>
      <c r="Q290"/>
    </row>
    <row r="291" spans="1:17" ht="13.15" customHeight="1" x14ac:dyDescent="0.2">
      <c r="A291" s="1" t="s">
        <v>876</v>
      </c>
      <c r="B291" s="1" t="s">
        <v>15</v>
      </c>
      <c r="C291" s="580">
        <v>294</v>
      </c>
      <c r="D291" s="1">
        <v>1018.65</v>
      </c>
      <c r="E291" t="s">
        <v>16</v>
      </c>
      <c r="F291" t="s">
        <v>877</v>
      </c>
      <c r="G291" s="580">
        <v>215.7792</v>
      </c>
      <c r="H291" s="1" t="s">
        <v>878</v>
      </c>
      <c r="I291" s="1"/>
      <c r="J291" s="1"/>
      <c r="K291" s="1"/>
      <c r="L291" s="1"/>
      <c r="M291" s="1"/>
      <c r="N291" s="1"/>
      <c r="Q291"/>
    </row>
    <row r="292" spans="1:17" ht="13.15" customHeight="1" x14ac:dyDescent="0.2">
      <c r="A292" s="1" t="s">
        <v>879</v>
      </c>
      <c r="B292" s="1" t="s">
        <v>15</v>
      </c>
      <c r="C292" s="580">
        <v>295</v>
      </c>
      <c r="D292" s="1">
        <v>1222.3800000000001</v>
      </c>
      <c r="E292" t="s">
        <v>16</v>
      </c>
      <c r="F292" t="s">
        <v>880</v>
      </c>
      <c r="G292" s="580">
        <v>269.72399999999999</v>
      </c>
      <c r="H292" s="1" t="s">
        <v>881</v>
      </c>
      <c r="I292" s="1"/>
      <c r="J292" s="1"/>
      <c r="K292" s="1"/>
      <c r="L292" s="1"/>
      <c r="M292" s="1"/>
      <c r="N292" s="1"/>
      <c r="Q292"/>
    </row>
    <row r="293" spans="1:17" ht="13.15" customHeight="1" x14ac:dyDescent="0.2">
      <c r="A293" s="1" t="s">
        <v>882</v>
      </c>
      <c r="B293" s="1" t="s">
        <v>15</v>
      </c>
      <c r="C293" s="580">
        <v>296</v>
      </c>
      <c r="D293" s="1">
        <v>814</v>
      </c>
      <c r="E293" t="s">
        <v>16</v>
      </c>
      <c r="F293" t="s">
        <v>883</v>
      </c>
      <c r="G293" s="580">
        <v>170.46559999999999</v>
      </c>
      <c r="H293" s="1" t="s">
        <v>884</v>
      </c>
      <c r="I293" s="1"/>
      <c r="J293" s="1"/>
      <c r="K293" s="1"/>
      <c r="L293" s="1"/>
      <c r="M293" s="1"/>
      <c r="N293" s="1"/>
      <c r="Q293"/>
    </row>
    <row r="294" spans="1:17" ht="13.15" customHeight="1" x14ac:dyDescent="0.2">
      <c r="A294" s="1" t="s">
        <v>885</v>
      </c>
      <c r="B294" s="1" t="s">
        <v>15</v>
      </c>
      <c r="C294" s="580">
        <v>297</v>
      </c>
      <c r="D294" s="1">
        <v>785.82</v>
      </c>
      <c r="E294" t="s">
        <v>16</v>
      </c>
      <c r="F294" t="s">
        <v>886</v>
      </c>
      <c r="G294" s="580">
        <v>182.33340000000001</v>
      </c>
      <c r="H294" s="1" t="s">
        <v>887</v>
      </c>
      <c r="I294" s="1"/>
      <c r="J294" s="1"/>
      <c r="K294" s="1"/>
      <c r="L294" s="1"/>
      <c r="M294" s="1"/>
      <c r="N294" s="1"/>
      <c r="Q294"/>
    </row>
    <row r="295" spans="1:17" ht="13.15" customHeight="1" x14ac:dyDescent="0.2">
      <c r="A295" s="1" t="s">
        <v>888</v>
      </c>
      <c r="B295" s="1" t="s">
        <v>15</v>
      </c>
      <c r="C295" s="580">
        <v>298</v>
      </c>
      <c r="D295" s="1">
        <v>916.79</v>
      </c>
      <c r="E295" t="s">
        <v>16</v>
      </c>
      <c r="F295" t="s">
        <v>889</v>
      </c>
      <c r="G295" s="580">
        <v>213.74440000000001</v>
      </c>
      <c r="H295" s="1" t="s">
        <v>890</v>
      </c>
      <c r="I295" s="1"/>
      <c r="J295" s="1"/>
      <c r="K295" s="1"/>
      <c r="L295" s="1"/>
      <c r="M295" s="1"/>
      <c r="N295" s="1"/>
      <c r="Q295"/>
    </row>
    <row r="296" spans="1:17" ht="13.15" customHeight="1" x14ac:dyDescent="0.2">
      <c r="A296" s="1" t="s">
        <v>891</v>
      </c>
      <c r="B296" s="1" t="s">
        <v>15</v>
      </c>
      <c r="C296" s="580">
        <v>299</v>
      </c>
      <c r="D296" s="1">
        <v>829.84</v>
      </c>
      <c r="E296" t="s">
        <v>16</v>
      </c>
      <c r="F296" t="s">
        <v>892</v>
      </c>
      <c r="G296" s="580">
        <v>193.51499999999999</v>
      </c>
      <c r="H296" s="1" t="s">
        <v>893</v>
      </c>
      <c r="I296" s="1"/>
      <c r="J296" s="1"/>
      <c r="K296" s="1"/>
      <c r="L296" s="1"/>
      <c r="M296" s="1"/>
      <c r="N296" s="1"/>
      <c r="Q296"/>
    </row>
    <row r="297" spans="1:17" ht="13.15" customHeight="1" x14ac:dyDescent="0.2">
      <c r="A297" s="1" t="s">
        <v>894</v>
      </c>
      <c r="B297" s="1" t="s">
        <v>15</v>
      </c>
      <c r="C297" s="580">
        <v>300</v>
      </c>
      <c r="D297" s="1">
        <v>870.3</v>
      </c>
      <c r="E297" t="s">
        <v>16</v>
      </c>
      <c r="F297" t="s">
        <v>895</v>
      </c>
      <c r="G297" s="580">
        <v>0</v>
      </c>
      <c r="H297" s="1" t="s">
        <v>896</v>
      </c>
      <c r="I297" s="1"/>
      <c r="J297" s="1"/>
      <c r="K297" s="1"/>
      <c r="L297" s="1"/>
      <c r="M297" s="1"/>
      <c r="N297" s="1"/>
      <c r="Q297"/>
    </row>
    <row r="298" spans="1:17" ht="13.15" customHeight="1" x14ac:dyDescent="0.2">
      <c r="A298" s="1" t="s">
        <v>897</v>
      </c>
      <c r="B298" s="1" t="s">
        <v>15</v>
      </c>
      <c r="C298" s="580">
        <v>301</v>
      </c>
      <c r="D298" s="1">
        <v>1074.51</v>
      </c>
      <c r="E298" t="s">
        <v>16</v>
      </c>
      <c r="F298" t="s">
        <v>898</v>
      </c>
      <c r="G298" s="580">
        <v>237.3571</v>
      </c>
      <c r="H298" s="1" t="s">
        <v>899</v>
      </c>
      <c r="I298" s="1"/>
      <c r="J298" s="1"/>
      <c r="K298" s="1"/>
      <c r="L298" s="1"/>
      <c r="M298" s="1"/>
      <c r="N298" s="1"/>
      <c r="Q298"/>
    </row>
    <row r="299" spans="1:17" ht="13.15" customHeight="1" x14ac:dyDescent="0.2">
      <c r="A299" s="1" t="s">
        <v>900</v>
      </c>
      <c r="B299" s="1" t="s">
        <v>15</v>
      </c>
      <c r="C299" s="580">
        <v>302</v>
      </c>
      <c r="D299" s="1">
        <v>829.47</v>
      </c>
      <c r="E299" t="s">
        <v>16</v>
      </c>
      <c r="F299" t="s">
        <v>901</v>
      </c>
      <c r="G299" s="580">
        <v>188.80680000000001</v>
      </c>
      <c r="H299" s="1" t="s">
        <v>902</v>
      </c>
      <c r="I299" s="1"/>
      <c r="J299" s="1"/>
      <c r="K299" s="1"/>
      <c r="L299" s="1"/>
      <c r="M299" s="1"/>
      <c r="N299" s="1"/>
      <c r="Q299"/>
    </row>
    <row r="300" spans="1:17" ht="13.15" customHeight="1" x14ac:dyDescent="0.2">
      <c r="A300" s="1" t="s">
        <v>903</v>
      </c>
      <c r="B300" s="1" t="s">
        <v>15</v>
      </c>
      <c r="C300" s="580">
        <v>303</v>
      </c>
      <c r="D300" s="1">
        <v>1062.31</v>
      </c>
      <c r="E300" t="s">
        <v>16</v>
      </c>
      <c r="F300" t="s">
        <v>904</v>
      </c>
      <c r="G300" s="580">
        <v>221.1737</v>
      </c>
      <c r="H300" s="1" t="s">
        <v>905</v>
      </c>
      <c r="I300" s="1"/>
      <c r="J300" s="1"/>
      <c r="K300" s="1"/>
      <c r="L300" s="1"/>
      <c r="M300" s="1"/>
      <c r="N300" s="1"/>
      <c r="Q300"/>
    </row>
    <row r="301" spans="1:17" ht="13.15" customHeight="1" x14ac:dyDescent="0.2">
      <c r="A301" s="1" t="s">
        <v>906</v>
      </c>
      <c r="B301" s="1" t="s">
        <v>15</v>
      </c>
      <c r="C301" s="580">
        <v>304</v>
      </c>
      <c r="D301" s="1">
        <v>931.34</v>
      </c>
      <c r="E301" t="s">
        <v>16</v>
      </c>
      <c r="F301" t="s">
        <v>907</v>
      </c>
      <c r="G301" s="580">
        <v>215.7792</v>
      </c>
      <c r="H301" s="1" t="s">
        <v>908</v>
      </c>
      <c r="I301" s="1"/>
      <c r="J301" s="1"/>
      <c r="K301" s="1"/>
      <c r="L301" s="1"/>
      <c r="M301" s="1"/>
      <c r="N301" s="1"/>
      <c r="Q301"/>
    </row>
    <row r="302" spans="1:17" ht="13.15" customHeight="1" x14ac:dyDescent="0.2">
      <c r="A302" s="1" t="s">
        <v>909</v>
      </c>
      <c r="B302" s="1" t="s">
        <v>15</v>
      </c>
      <c r="C302" s="580">
        <v>305</v>
      </c>
      <c r="D302" s="1">
        <v>683.78</v>
      </c>
      <c r="E302" t="s">
        <v>16</v>
      </c>
      <c r="F302" t="s">
        <v>910</v>
      </c>
      <c r="G302" s="580">
        <v>138.6525</v>
      </c>
      <c r="H302" s="1" t="s">
        <v>911</v>
      </c>
      <c r="I302" s="1"/>
      <c r="J302" s="1"/>
      <c r="K302" s="1"/>
      <c r="L302" s="1"/>
      <c r="M302" s="1"/>
      <c r="N302" s="1"/>
      <c r="Q302"/>
    </row>
    <row r="303" spans="1:17" ht="13.15" customHeight="1" x14ac:dyDescent="0.2">
      <c r="A303" s="1" t="s">
        <v>912</v>
      </c>
      <c r="B303" s="1" t="s">
        <v>15</v>
      </c>
      <c r="C303" s="580">
        <v>306</v>
      </c>
      <c r="D303" s="1">
        <v>887.68</v>
      </c>
      <c r="E303" t="s">
        <v>16</v>
      </c>
      <c r="F303" t="s">
        <v>913</v>
      </c>
      <c r="G303" s="580">
        <v>204.99019999999999</v>
      </c>
      <c r="H303" s="1" t="s">
        <v>914</v>
      </c>
      <c r="I303" s="1"/>
      <c r="J303" s="1"/>
      <c r="K303" s="1"/>
      <c r="L303" s="1"/>
      <c r="M303" s="1"/>
      <c r="N303" s="1"/>
      <c r="Q303"/>
    </row>
    <row r="304" spans="1:17" ht="13.15" customHeight="1" x14ac:dyDescent="0.2">
      <c r="A304" s="1" t="s">
        <v>915</v>
      </c>
      <c r="B304" s="1" t="s">
        <v>15</v>
      </c>
      <c r="C304" s="580">
        <v>307</v>
      </c>
      <c r="D304" s="1">
        <v>868.09</v>
      </c>
      <c r="E304" t="s">
        <v>16</v>
      </c>
      <c r="F304" t="s">
        <v>916</v>
      </c>
      <c r="G304" s="580">
        <v>167.22890000000001</v>
      </c>
      <c r="H304" s="1" t="s">
        <v>917</v>
      </c>
      <c r="I304" s="1"/>
      <c r="J304" s="1"/>
      <c r="K304" s="1"/>
      <c r="L304" s="1"/>
      <c r="M304" s="1"/>
      <c r="N304" s="1"/>
      <c r="Q304"/>
    </row>
    <row r="305" spans="1:17" ht="13.15" customHeight="1" x14ac:dyDescent="0.2">
      <c r="A305" s="1" t="s">
        <v>918</v>
      </c>
      <c r="B305" s="1" t="s">
        <v>15</v>
      </c>
      <c r="C305" s="580">
        <v>308</v>
      </c>
      <c r="D305" s="1">
        <v>713.06</v>
      </c>
      <c r="E305" t="s">
        <v>16</v>
      </c>
      <c r="F305" t="s">
        <v>919</v>
      </c>
      <c r="G305" s="580">
        <v>168.30779999999999</v>
      </c>
      <c r="H305" s="1" t="s">
        <v>920</v>
      </c>
      <c r="I305" s="1"/>
      <c r="J305" s="1"/>
      <c r="K305" s="1"/>
      <c r="L305" s="1"/>
      <c r="M305" s="1"/>
      <c r="N305" s="1"/>
      <c r="Q305"/>
    </row>
    <row r="306" spans="1:17" ht="13.15" customHeight="1" x14ac:dyDescent="0.2">
      <c r="A306" s="1" t="s">
        <v>921</v>
      </c>
      <c r="B306" s="1" t="s">
        <v>15</v>
      </c>
      <c r="C306" s="580">
        <v>309</v>
      </c>
      <c r="D306" s="1">
        <v>713.06</v>
      </c>
      <c r="E306" t="s">
        <v>16</v>
      </c>
      <c r="F306" t="s">
        <v>291</v>
      </c>
      <c r="G306" s="580">
        <v>168.30779999999999</v>
      </c>
      <c r="H306" s="1" t="s">
        <v>922</v>
      </c>
      <c r="I306" s="1"/>
      <c r="J306" s="1"/>
      <c r="K306" s="1"/>
      <c r="L306" s="1"/>
      <c r="M306" s="1"/>
      <c r="N306" s="1"/>
      <c r="Q306"/>
    </row>
    <row r="307" spans="1:17" ht="13.15" customHeight="1" x14ac:dyDescent="0.2">
      <c r="A307" s="1" t="s">
        <v>923</v>
      </c>
      <c r="B307" s="1" t="s">
        <v>15</v>
      </c>
      <c r="C307" s="580">
        <v>310</v>
      </c>
      <c r="D307" s="1">
        <v>669.45</v>
      </c>
      <c r="E307" t="s">
        <v>16</v>
      </c>
      <c r="F307" t="s">
        <v>924</v>
      </c>
      <c r="G307" s="580">
        <v>155.61000000000001</v>
      </c>
      <c r="H307" s="1" t="s">
        <v>925</v>
      </c>
      <c r="I307" s="1"/>
      <c r="J307" s="1"/>
      <c r="K307" s="1"/>
      <c r="L307" s="1"/>
      <c r="M307" s="1"/>
      <c r="N307" s="1"/>
      <c r="Q307"/>
    </row>
    <row r="308" spans="1:17" ht="13.15" customHeight="1" x14ac:dyDescent="0.2">
      <c r="A308" s="1" t="s">
        <v>926</v>
      </c>
      <c r="B308" s="1" t="s">
        <v>15</v>
      </c>
      <c r="C308" s="580">
        <v>311</v>
      </c>
      <c r="D308" s="1">
        <v>669.45</v>
      </c>
      <c r="E308" t="s">
        <v>16</v>
      </c>
      <c r="F308" t="s">
        <v>927</v>
      </c>
      <c r="G308" s="580">
        <v>155.61000000000001</v>
      </c>
      <c r="H308" s="1" t="s">
        <v>928</v>
      </c>
      <c r="I308" s="1"/>
      <c r="J308" s="1"/>
      <c r="K308" s="1"/>
      <c r="L308" s="1"/>
      <c r="M308" s="1"/>
      <c r="N308" s="1"/>
      <c r="Q308"/>
    </row>
    <row r="309" spans="1:17" ht="13.15" customHeight="1" x14ac:dyDescent="0.2">
      <c r="A309" s="1" t="s">
        <v>929</v>
      </c>
      <c r="B309" s="1" t="s">
        <v>15</v>
      </c>
      <c r="C309" s="580">
        <v>312</v>
      </c>
      <c r="D309" s="1">
        <v>669.45</v>
      </c>
      <c r="E309" t="s">
        <v>16</v>
      </c>
      <c r="F309" t="s">
        <v>930</v>
      </c>
      <c r="G309" s="580">
        <v>134.66249999999999</v>
      </c>
      <c r="H309" s="1" t="s">
        <v>931</v>
      </c>
      <c r="I309" s="1"/>
      <c r="J309" s="1"/>
      <c r="K309" s="1"/>
      <c r="L309" s="1"/>
      <c r="M309" s="1"/>
      <c r="N309" s="1"/>
      <c r="Q309"/>
    </row>
    <row r="310" spans="1:17" ht="13.15" customHeight="1" x14ac:dyDescent="0.2">
      <c r="A310" s="1" t="s">
        <v>932</v>
      </c>
      <c r="B310" s="1" t="s">
        <v>15</v>
      </c>
      <c r="C310" s="580">
        <v>313</v>
      </c>
      <c r="D310" s="1">
        <v>785.82</v>
      </c>
      <c r="E310" t="s">
        <v>16</v>
      </c>
      <c r="F310" t="s">
        <v>933</v>
      </c>
      <c r="G310" s="580">
        <v>124.6875</v>
      </c>
      <c r="H310" s="1" t="s">
        <v>934</v>
      </c>
      <c r="I310" s="1"/>
      <c r="J310" s="1"/>
      <c r="K310" s="1"/>
      <c r="L310" s="1"/>
      <c r="M310" s="1"/>
      <c r="N310" s="1"/>
      <c r="Q310"/>
    </row>
    <row r="311" spans="1:17" ht="13.15" customHeight="1" x14ac:dyDescent="0.2">
      <c r="A311" s="1" t="s">
        <v>935</v>
      </c>
      <c r="B311" s="1" t="s">
        <v>15</v>
      </c>
      <c r="C311" s="580">
        <v>314</v>
      </c>
      <c r="D311" s="1">
        <v>683.78</v>
      </c>
      <c r="E311" t="s">
        <v>16</v>
      </c>
      <c r="F311" t="s">
        <v>936</v>
      </c>
      <c r="G311" s="580">
        <v>134.86199999999999</v>
      </c>
      <c r="H311" s="1" t="s">
        <v>937</v>
      </c>
      <c r="I311" s="1"/>
      <c r="J311" s="1"/>
      <c r="K311" s="1"/>
      <c r="L311" s="1"/>
      <c r="M311" s="1"/>
      <c r="N311" s="1"/>
      <c r="Q311"/>
    </row>
    <row r="312" spans="1:17" ht="13.15" customHeight="1" x14ac:dyDescent="0.2">
      <c r="A312" s="1" t="s">
        <v>938</v>
      </c>
      <c r="B312" s="1" t="s">
        <v>15</v>
      </c>
      <c r="C312" s="580">
        <v>315</v>
      </c>
      <c r="D312" s="1">
        <v>960.44</v>
      </c>
      <c r="E312" t="s">
        <v>16</v>
      </c>
      <c r="F312" t="s">
        <v>939</v>
      </c>
      <c r="G312" s="580">
        <v>183.41229999999999</v>
      </c>
      <c r="H312" s="1" t="s">
        <v>940</v>
      </c>
      <c r="I312" s="1"/>
      <c r="J312" s="1"/>
      <c r="K312" s="1"/>
      <c r="L312" s="1"/>
      <c r="M312" s="1"/>
      <c r="N312" s="1"/>
      <c r="Q312"/>
    </row>
    <row r="313" spans="1:17" ht="13.15" customHeight="1" x14ac:dyDescent="0.2">
      <c r="A313" s="1" t="s">
        <v>941</v>
      </c>
      <c r="B313" s="1" t="s">
        <v>15</v>
      </c>
      <c r="C313" s="580">
        <v>316</v>
      </c>
      <c r="D313" s="1">
        <v>785.82</v>
      </c>
      <c r="E313" t="s">
        <v>16</v>
      </c>
      <c r="F313" t="s">
        <v>942</v>
      </c>
      <c r="G313" s="580">
        <v>183.41229999999999</v>
      </c>
      <c r="H313" s="1" t="s">
        <v>943</v>
      </c>
      <c r="I313" s="1"/>
      <c r="J313" s="1"/>
      <c r="K313" s="1"/>
      <c r="L313" s="1"/>
      <c r="M313" s="1"/>
      <c r="N313" s="1"/>
      <c r="Q313"/>
    </row>
    <row r="314" spans="1:17" ht="13.15" customHeight="1" x14ac:dyDescent="0.2">
      <c r="A314" s="1" t="s">
        <v>944</v>
      </c>
      <c r="B314" s="1" t="s">
        <v>15</v>
      </c>
      <c r="C314" s="580">
        <v>317</v>
      </c>
      <c r="D314" s="1">
        <v>1203.1199999999999</v>
      </c>
      <c r="E314" t="s">
        <v>16</v>
      </c>
      <c r="F314" t="s">
        <v>945</v>
      </c>
      <c r="G314" s="580">
        <v>221.1737</v>
      </c>
      <c r="H314" s="1" t="s">
        <v>946</v>
      </c>
      <c r="I314" s="1"/>
      <c r="J314" s="1"/>
      <c r="K314" s="1"/>
      <c r="L314" s="1"/>
      <c r="M314" s="1"/>
      <c r="N314" s="1"/>
      <c r="Q314"/>
    </row>
    <row r="315" spans="1:17" ht="13.15" customHeight="1" x14ac:dyDescent="0.2">
      <c r="A315" s="1" t="s">
        <v>947</v>
      </c>
      <c r="B315" s="1" t="s">
        <v>15</v>
      </c>
      <c r="C315" s="580">
        <v>318</v>
      </c>
      <c r="D315" s="1">
        <v>683.78</v>
      </c>
      <c r="E315" t="s">
        <v>16</v>
      </c>
      <c r="F315" t="s">
        <v>142</v>
      </c>
      <c r="G315" s="580">
        <v>135.66</v>
      </c>
      <c r="H315" s="1" t="s">
        <v>948</v>
      </c>
      <c r="I315" s="1"/>
      <c r="J315" s="1"/>
      <c r="K315" s="1"/>
      <c r="L315" s="1"/>
      <c r="M315" s="1"/>
      <c r="N315" s="1"/>
      <c r="Q315"/>
    </row>
    <row r="316" spans="1:17" ht="13.15" customHeight="1" x14ac:dyDescent="0.2">
      <c r="A316" s="1" t="s">
        <v>949</v>
      </c>
      <c r="B316" s="1" t="s">
        <v>15</v>
      </c>
      <c r="C316" s="580">
        <v>319</v>
      </c>
      <c r="D316" s="1">
        <v>916.79</v>
      </c>
      <c r="E316" t="s">
        <v>16</v>
      </c>
      <c r="F316" t="s">
        <v>950</v>
      </c>
      <c r="G316" s="580">
        <v>214.46250000000001</v>
      </c>
      <c r="H316" s="1" t="s">
        <v>951</v>
      </c>
      <c r="I316" s="1"/>
      <c r="J316" s="1"/>
      <c r="K316" s="1"/>
      <c r="L316" s="1"/>
      <c r="M316" s="1"/>
      <c r="N316" s="1"/>
      <c r="Q316"/>
    </row>
    <row r="317" spans="1:17" ht="13.15" customHeight="1" x14ac:dyDescent="0.2">
      <c r="A317" s="1" t="s">
        <v>952</v>
      </c>
      <c r="B317" s="1" t="s">
        <v>15</v>
      </c>
      <c r="C317" s="580">
        <v>320</v>
      </c>
      <c r="D317" s="1">
        <v>1018.65</v>
      </c>
      <c r="E317" t="s">
        <v>16</v>
      </c>
      <c r="F317" t="s">
        <v>953</v>
      </c>
      <c r="G317" s="580">
        <v>237.405</v>
      </c>
      <c r="H317" s="1" t="s">
        <v>954</v>
      </c>
      <c r="I317" s="1"/>
      <c r="J317" s="1"/>
      <c r="K317" s="1"/>
      <c r="L317" s="1"/>
      <c r="M317" s="1"/>
      <c r="N317" s="1"/>
      <c r="Q317"/>
    </row>
    <row r="318" spans="1:17" ht="13.15" customHeight="1" x14ac:dyDescent="0.2">
      <c r="A318" s="1" t="s">
        <v>955</v>
      </c>
      <c r="B318" s="1" t="s">
        <v>15</v>
      </c>
      <c r="C318" s="580">
        <v>321</v>
      </c>
      <c r="D318" s="1">
        <v>800.37</v>
      </c>
      <c r="E318" t="s">
        <v>16</v>
      </c>
      <c r="F318" t="s">
        <v>956</v>
      </c>
      <c r="G318" s="580">
        <v>183.41229999999999</v>
      </c>
      <c r="H318" s="1" t="s">
        <v>957</v>
      </c>
      <c r="I318" s="1"/>
      <c r="J318" s="1"/>
      <c r="K318" s="1"/>
      <c r="L318" s="1"/>
      <c r="M318" s="1"/>
      <c r="N318" s="1"/>
      <c r="Q318"/>
    </row>
    <row r="319" spans="1:17" ht="13.15" customHeight="1" x14ac:dyDescent="0.2">
      <c r="A319" s="1" t="s">
        <v>958</v>
      </c>
      <c r="B319" s="1" t="s">
        <v>15</v>
      </c>
      <c r="C319" s="580">
        <v>322</v>
      </c>
      <c r="D319" s="1">
        <v>1455.21</v>
      </c>
      <c r="E319" t="s">
        <v>16</v>
      </c>
      <c r="F319" t="s">
        <v>823</v>
      </c>
      <c r="G319" s="580">
        <v>323.66879999999998</v>
      </c>
      <c r="H319" s="1" t="s">
        <v>959</v>
      </c>
      <c r="I319" s="1"/>
      <c r="J319" s="1"/>
      <c r="K319" s="1"/>
      <c r="L319" s="1"/>
      <c r="M319" s="1"/>
      <c r="N319" s="1"/>
      <c r="Q319"/>
    </row>
    <row r="320" spans="1:17" ht="13.15" customHeight="1" x14ac:dyDescent="0.2">
      <c r="A320" s="1" t="s">
        <v>960</v>
      </c>
      <c r="B320" s="1" t="s">
        <v>15</v>
      </c>
      <c r="C320" s="580">
        <v>323</v>
      </c>
      <c r="D320" s="1">
        <v>727.61</v>
      </c>
      <c r="E320" t="s">
        <v>16</v>
      </c>
      <c r="F320" t="s">
        <v>961</v>
      </c>
      <c r="G320" s="580">
        <v>173.565</v>
      </c>
      <c r="H320" s="1" t="s">
        <v>962</v>
      </c>
      <c r="I320" s="1"/>
      <c r="J320" s="1"/>
      <c r="K320" s="1"/>
      <c r="L320" s="1"/>
      <c r="M320" s="1"/>
      <c r="N320" s="1"/>
      <c r="Q320"/>
    </row>
    <row r="321" spans="1:17" ht="13.15" customHeight="1" x14ac:dyDescent="0.2">
      <c r="A321" s="1" t="s">
        <v>963</v>
      </c>
      <c r="B321" s="1" t="s">
        <v>15</v>
      </c>
      <c r="C321" s="580">
        <v>324</v>
      </c>
      <c r="D321" s="1">
        <v>771.26</v>
      </c>
      <c r="E321" t="s">
        <v>16</v>
      </c>
      <c r="F321" t="s">
        <v>258</v>
      </c>
      <c r="G321" s="580">
        <v>179.55</v>
      </c>
      <c r="H321" s="1" t="s">
        <v>964</v>
      </c>
      <c r="I321" s="1"/>
      <c r="J321" s="1"/>
      <c r="K321" s="1"/>
      <c r="L321" s="1"/>
      <c r="M321" s="1"/>
      <c r="N321" s="1"/>
      <c r="Q321"/>
    </row>
    <row r="322" spans="1:17" ht="13.15" customHeight="1" x14ac:dyDescent="0.2">
      <c r="A322" s="1" t="s">
        <v>965</v>
      </c>
      <c r="B322" s="1" t="s">
        <v>15</v>
      </c>
      <c r="C322" s="580">
        <v>325</v>
      </c>
      <c r="D322" s="1">
        <v>1455.21</v>
      </c>
      <c r="E322" t="s">
        <v>16</v>
      </c>
      <c r="F322" t="s">
        <v>966</v>
      </c>
      <c r="G322" s="580">
        <v>354.11250000000001</v>
      </c>
      <c r="H322" s="1" t="s">
        <v>967</v>
      </c>
      <c r="I322" s="1"/>
      <c r="J322" s="1"/>
      <c r="K322" s="1"/>
      <c r="L322" s="1"/>
      <c r="M322" s="1"/>
      <c r="N322" s="1"/>
      <c r="Q322"/>
    </row>
    <row r="323" spans="1:17" ht="13.15" customHeight="1" x14ac:dyDescent="0.2">
      <c r="A323" s="1" t="s">
        <v>968</v>
      </c>
      <c r="B323" s="1" t="s">
        <v>15</v>
      </c>
      <c r="C323" s="580">
        <v>326</v>
      </c>
      <c r="D323" s="1">
        <v>1600.74</v>
      </c>
      <c r="E323" t="s">
        <v>16</v>
      </c>
      <c r="F323" t="s">
        <v>969</v>
      </c>
      <c r="G323" s="580">
        <v>374.0625</v>
      </c>
      <c r="H323" s="1" t="s">
        <v>970</v>
      </c>
      <c r="I323" s="1"/>
      <c r="J323" s="1"/>
      <c r="K323" s="1"/>
      <c r="L323" s="1"/>
      <c r="M323" s="1"/>
      <c r="N323" s="1"/>
      <c r="Q323"/>
    </row>
    <row r="324" spans="1:17" ht="13.15" customHeight="1" x14ac:dyDescent="0.2">
      <c r="A324" s="1" t="s">
        <v>971</v>
      </c>
      <c r="B324" s="1" t="s">
        <v>15</v>
      </c>
      <c r="C324" s="580">
        <v>327</v>
      </c>
      <c r="D324" s="1">
        <v>779.79</v>
      </c>
      <c r="E324" t="s">
        <v>16</v>
      </c>
      <c r="F324" t="s">
        <v>972</v>
      </c>
      <c r="G324" s="580">
        <v>141.64500000000001</v>
      </c>
      <c r="H324" s="1" t="s">
        <v>973</v>
      </c>
      <c r="I324" s="1"/>
      <c r="J324" s="1"/>
      <c r="K324" s="1"/>
      <c r="L324" s="1"/>
      <c r="M324" s="1"/>
      <c r="N324" s="1"/>
      <c r="Q324"/>
    </row>
    <row r="325" spans="1:17" ht="13.15" customHeight="1" x14ac:dyDescent="0.2">
      <c r="A325" s="1" t="s">
        <v>974</v>
      </c>
      <c r="B325" s="1" t="s">
        <v>15</v>
      </c>
      <c r="C325" s="580">
        <v>328</v>
      </c>
      <c r="D325" s="1">
        <v>1126.93</v>
      </c>
      <c r="E325" t="s">
        <v>16</v>
      </c>
      <c r="F325" t="s">
        <v>975</v>
      </c>
      <c r="G325" s="580">
        <v>215.7792</v>
      </c>
      <c r="H325" s="1" t="s">
        <v>976</v>
      </c>
      <c r="I325" s="1"/>
      <c r="J325" s="1"/>
      <c r="K325" s="1"/>
      <c r="L325" s="1"/>
      <c r="M325" s="1"/>
      <c r="N325" s="1"/>
      <c r="Q325"/>
    </row>
    <row r="326" spans="1:17" ht="13.15" customHeight="1" x14ac:dyDescent="0.2">
      <c r="A326" s="1" t="s">
        <v>977</v>
      </c>
      <c r="B326" s="1" t="s">
        <v>15</v>
      </c>
      <c r="C326" s="580">
        <v>329</v>
      </c>
      <c r="D326" s="1">
        <v>1215.77</v>
      </c>
      <c r="E326" t="s">
        <v>16</v>
      </c>
      <c r="F326" t="s">
        <v>811</v>
      </c>
      <c r="G326" s="580">
        <v>0</v>
      </c>
      <c r="H326" s="1" t="s">
        <v>978</v>
      </c>
      <c r="I326" s="1"/>
      <c r="J326" s="1"/>
      <c r="K326" s="1"/>
      <c r="L326" s="1"/>
      <c r="M326" s="1"/>
      <c r="N326" s="1"/>
      <c r="Q326"/>
    </row>
    <row r="327" spans="1:17" ht="13.15" customHeight="1" x14ac:dyDescent="0.2">
      <c r="A327" s="1" t="s">
        <v>979</v>
      </c>
      <c r="B327" s="1" t="s">
        <v>15</v>
      </c>
      <c r="C327" s="580">
        <v>330</v>
      </c>
      <c r="D327" s="1">
        <v>873.13</v>
      </c>
      <c r="E327" t="s">
        <v>16</v>
      </c>
      <c r="F327" t="s">
        <v>980</v>
      </c>
      <c r="G327" s="580">
        <v>194.51249999999999</v>
      </c>
      <c r="H327" s="1" t="s">
        <v>981</v>
      </c>
      <c r="I327" s="1"/>
      <c r="J327" s="1"/>
      <c r="K327" s="1"/>
      <c r="L327" s="1"/>
      <c r="M327" s="1"/>
      <c r="N327" s="1"/>
      <c r="Q327"/>
    </row>
    <row r="328" spans="1:17" ht="13.15" customHeight="1" x14ac:dyDescent="0.2">
      <c r="A328" s="1" t="s">
        <v>982</v>
      </c>
      <c r="B328" s="1" t="s">
        <v>15</v>
      </c>
      <c r="C328" s="580">
        <v>331</v>
      </c>
      <c r="D328" s="1">
        <v>713.06</v>
      </c>
      <c r="E328" t="s">
        <v>16</v>
      </c>
      <c r="F328" t="s">
        <v>983</v>
      </c>
      <c r="G328" s="580">
        <v>151.62</v>
      </c>
      <c r="H328" s="1" t="s">
        <v>984</v>
      </c>
      <c r="I328" s="1"/>
      <c r="J328" s="1"/>
      <c r="K328" s="1"/>
      <c r="L328" s="1"/>
      <c r="M328" s="1"/>
      <c r="N328" s="1"/>
      <c r="Q328"/>
    </row>
    <row r="329" spans="1:17" ht="13.15" customHeight="1" x14ac:dyDescent="0.2">
      <c r="A329" s="1" t="s">
        <v>985</v>
      </c>
      <c r="B329" s="1" t="s">
        <v>15</v>
      </c>
      <c r="C329" s="580">
        <v>332</v>
      </c>
      <c r="D329" s="1">
        <v>1025.96</v>
      </c>
      <c r="E329" t="s">
        <v>16</v>
      </c>
      <c r="F329" t="s">
        <v>986</v>
      </c>
      <c r="G329" s="580">
        <v>140.64750000000001</v>
      </c>
      <c r="H329" s="1" t="s">
        <v>987</v>
      </c>
      <c r="I329" s="1"/>
      <c r="J329" s="1"/>
      <c r="K329" s="1"/>
      <c r="L329" s="1"/>
      <c r="M329" s="1"/>
      <c r="N329" s="1"/>
      <c r="Q329"/>
    </row>
    <row r="330" spans="1:17" ht="13.15" customHeight="1" x14ac:dyDescent="0.2">
      <c r="A330" s="1" t="s">
        <v>988</v>
      </c>
      <c r="B330" s="1" t="s">
        <v>15</v>
      </c>
      <c r="C330" s="580">
        <v>333</v>
      </c>
      <c r="D330" s="1">
        <v>2255.58</v>
      </c>
      <c r="E330" t="s">
        <v>16</v>
      </c>
      <c r="F330" t="s">
        <v>989</v>
      </c>
      <c r="G330" s="580">
        <v>155.61000000000001</v>
      </c>
      <c r="H330" s="1" t="s">
        <v>990</v>
      </c>
      <c r="I330" s="1"/>
      <c r="J330" s="1"/>
      <c r="K330" s="1"/>
      <c r="L330" s="1"/>
      <c r="M330" s="1"/>
      <c r="N330" s="1"/>
      <c r="Q330"/>
    </row>
    <row r="331" spans="1:17" ht="13.15" customHeight="1" x14ac:dyDescent="0.2">
      <c r="A331" s="1" t="s">
        <v>991</v>
      </c>
      <c r="B331" s="1" t="s">
        <v>15</v>
      </c>
      <c r="C331" s="580">
        <v>334</v>
      </c>
      <c r="D331" s="1">
        <v>1394.65</v>
      </c>
      <c r="E331" t="s">
        <v>16</v>
      </c>
      <c r="F331" t="s">
        <v>992</v>
      </c>
      <c r="G331" s="580">
        <v>269.72399999999999</v>
      </c>
      <c r="H331" s="1" t="s">
        <v>993</v>
      </c>
      <c r="I331" s="1"/>
      <c r="J331" s="1"/>
      <c r="K331" s="1"/>
      <c r="L331" s="1"/>
      <c r="M331" s="1"/>
      <c r="N331" s="1"/>
      <c r="Q331"/>
    </row>
    <row r="332" spans="1:17" ht="13.15" customHeight="1" x14ac:dyDescent="0.2">
      <c r="A332" s="1" t="s">
        <v>994</v>
      </c>
      <c r="B332" s="1" t="s">
        <v>15</v>
      </c>
      <c r="C332" s="580">
        <v>335</v>
      </c>
      <c r="D332" s="1">
        <v>940.94</v>
      </c>
      <c r="E332" t="s">
        <v>16</v>
      </c>
      <c r="F332" t="s">
        <v>995</v>
      </c>
      <c r="G332" s="580">
        <v>183.54</v>
      </c>
      <c r="H332" s="1" t="s">
        <v>996</v>
      </c>
      <c r="I332" s="1"/>
      <c r="J332" s="1"/>
      <c r="K332" s="1"/>
      <c r="L332" s="1"/>
      <c r="M332" s="1"/>
      <c r="N332" s="1"/>
      <c r="Q332"/>
    </row>
    <row r="333" spans="1:17" ht="13.15" customHeight="1" x14ac:dyDescent="0.2">
      <c r="A333" s="1" t="s">
        <v>997</v>
      </c>
      <c r="B333" s="1" t="s">
        <v>15</v>
      </c>
      <c r="C333" s="580">
        <v>336</v>
      </c>
      <c r="D333" s="1">
        <v>1759.95</v>
      </c>
      <c r="E333" t="s">
        <v>16</v>
      </c>
      <c r="F333" t="s">
        <v>998</v>
      </c>
      <c r="G333" s="580">
        <v>377.61360000000002</v>
      </c>
      <c r="H333" s="1" t="s">
        <v>999</v>
      </c>
      <c r="I333" s="1"/>
      <c r="J333" s="1"/>
      <c r="K333" s="1"/>
      <c r="L333" s="1"/>
      <c r="M333" s="1"/>
      <c r="N333" s="1"/>
      <c r="Q333"/>
    </row>
    <row r="334" spans="1:17" ht="13.15" customHeight="1" x14ac:dyDescent="0.2">
      <c r="A334" s="1" t="s">
        <v>1000</v>
      </c>
      <c r="B334" s="1" t="s">
        <v>15</v>
      </c>
      <c r="C334" s="580">
        <v>337</v>
      </c>
      <c r="D334" s="1">
        <v>2619.39</v>
      </c>
      <c r="E334" t="s">
        <v>16</v>
      </c>
      <c r="F334" t="s">
        <v>1001</v>
      </c>
      <c r="G334" s="580">
        <v>538.65</v>
      </c>
      <c r="H334" s="1" t="s">
        <v>1002</v>
      </c>
      <c r="I334" s="1"/>
      <c r="J334" s="1"/>
      <c r="K334" s="1"/>
      <c r="L334" s="1"/>
      <c r="M334" s="1"/>
      <c r="N334" s="1"/>
      <c r="Q334"/>
    </row>
    <row r="335" spans="1:17" ht="13.15" customHeight="1" x14ac:dyDescent="0.2">
      <c r="A335" s="1" t="s">
        <v>1003</v>
      </c>
      <c r="B335" s="1" t="s">
        <v>15</v>
      </c>
      <c r="C335" s="580">
        <v>338</v>
      </c>
      <c r="D335" s="1">
        <v>871.76</v>
      </c>
      <c r="E335" t="s">
        <v>16</v>
      </c>
      <c r="F335" t="s">
        <v>1004</v>
      </c>
      <c r="G335" s="580">
        <v>177.55500000000001</v>
      </c>
      <c r="H335" s="1" t="s">
        <v>1005</v>
      </c>
      <c r="I335" s="1"/>
      <c r="J335" s="1"/>
      <c r="K335" s="1"/>
      <c r="L335" s="1"/>
      <c r="M335" s="1"/>
      <c r="N335" s="1"/>
      <c r="Q335"/>
    </row>
    <row r="336" spans="1:17" ht="13.15" customHeight="1" x14ac:dyDescent="0.2">
      <c r="A336" s="1" t="s">
        <v>1006</v>
      </c>
      <c r="B336" s="1" t="s">
        <v>15</v>
      </c>
      <c r="C336" s="580">
        <v>339</v>
      </c>
      <c r="D336" s="1">
        <v>2619.39</v>
      </c>
      <c r="E336" t="s">
        <v>16</v>
      </c>
      <c r="F336" t="s">
        <v>1007</v>
      </c>
      <c r="G336" s="580">
        <v>538.65</v>
      </c>
      <c r="H336" s="1" t="s">
        <v>1008</v>
      </c>
      <c r="I336" s="1"/>
      <c r="J336" s="1"/>
      <c r="K336" s="1"/>
      <c r="L336" s="1"/>
      <c r="M336" s="1"/>
      <c r="N336" s="1"/>
      <c r="Q336"/>
    </row>
    <row r="337" spans="1:17" ht="13.15" customHeight="1" x14ac:dyDescent="0.2">
      <c r="A337" s="1" t="s">
        <v>1009</v>
      </c>
      <c r="B337" s="1" t="s">
        <v>15</v>
      </c>
      <c r="C337" s="580">
        <v>340</v>
      </c>
      <c r="D337" s="1">
        <v>886.31</v>
      </c>
      <c r="E337" t="s">
        <v>16</v>
      </c>
      <c r="F337" t="s">
        <v>1010</v>
      </c>
      <c r="G337" s="580">
        <v>176.93889999999999</v>
      </c>
      <c r="H337" s="1" t="s">
        <v>1011</v>
      </c>
      <c r="I337" s="1"/>
      <c r="J337" s="1"/>
      <c r="K337" s="1"/>
      <c r="L337" s="1"/>
      <c r="M337" s="1"/>
      <c r="N337" s="1"/>
      <c r="Q337"/>
    </row>
    <row r="338" spans="1:17" ht="13.15" customHeight="1" x14ac:dyDescent="0.2">
      <c r="A338" s="1" t="s">
        <v>1012</v>
      </c>
      <c r="B338" s="1" t="s">
        <v>15</v>
      </c>
      <c r="C338" s="580">
        <v>341</v>
      </c>
      <c r="D338" s="1">
        <v>1280.5899999999999</v>
      </c>
      <c r="E338" t="s">
        <v>16</v>
      </c>
      <c r="F338" t="s">
        <v>1013</v>
      </c>
      <c r="G338" s="580">
        <v>299.93310000000002</v>
      </c>
      <c r="H338" s="1" t="s">
        <v>1014</v>
      </c>
      <c r="I338" s="1"/>
      <c r="J338" s="1"/>
      <c r="K338" s="1"/>
      <c r="L338" s="1"/>
      <c r="M338" s="1"/>
      <c r="N338" s="1"/>
      <c r="Q338"/>
    </row>
    <row r="339" spans="1:17" ht="13.15" customHeight="1" x14ac:dyDescent="0.2">
      <c r="A339" s="1" t="s">
        <v>1015</v>
      </c>
      <c r="B339" s="1" t="s">
        <v>15</v>
      </c>
      <c r="C339" s="580">
        <v>342</v>
      </c>
      <c r="D339" s="1">
        <v>1280.5899999999999</v>
      </c>
      <c r="E339" t="s">
        <v>16</v>
      </c>
      <c r="F339" t="s">
        <v>1016</v>
      </c>
      <c r="G339" s="580">
        <v>299.93310000000002</v>
      </c>
      <c r="H339" s="1" t="s">
        <v>1017</v>
      </c>
      <c r="I339" s="1"/>
      <c r="J339" s="1"/>
      <c r="K339" s="1"/>
      <c r="L339" s="1"/>
      <c r="M339" s="1"/>
      <c r="N339" s="1"/>
      <c r="Q339"/>
    </row>
    <row r="340" spans="1:17" ht="13.15" customHeight="1" x14ac:dyDescent="0.2">
      <c r="A340" s="1" t="s">
        <v>1018</v>
      </c>
      <c r="B340" s="1" t="s">
        <v>15</v>
      </c>
      <c r="C340" s="580">
        <v>343</v>
      </c>
      <c r="D340" s="1">
        <v>798</v>
      </c>
      <c r="E340" t="s">
        <v>16</v>
      </c>
      <c r="F340" t="s">
        <v>1019</v>
      </c>
      <c r="G340" s="580">
        <v>0</v>
      </c>
      <c r="H340" s="1" t="s">
        <v>1020</v>
      </c>
      <c r="I340" s="1"/>
      <c r="J340" s="1"/>
      <c r="K340" s="1"/>
      <c r="L340" s="1"/>
      <c r="M340" s="1"/>
      <c r="N340" s="1"/>
      <c r="Q340"/>
    </row>
    <row r="341" spans="1:17" ht="13.15" customHeight="1" x14ac:dyDescent="0.2">
      <c r="A341" s="1" t="s">
        <v>1021</v>
      </c>
      <c r="B341" s="1" t="s">
        <v>15</v>
      </c>
      <c r="C341" s="580">
        <v>344</v>
      </c>
      <c r="D341" s="1">
        <v>721.87</v>
      </c>
      <c r="E341" t="s">
        <v>16</v>
      </c>
      <c r="F341" t="s">
        <v>1022</v>
      </c>
      <c r="G341" s="580">
        <v>140.25649999999999</v>
      </c>
      <c r="H341" s="1" t="s">
        <v>1023</v>
      </c>
      <c r="I341" s="1"/>
      <c r="J341" s="1"/>
      <c r="K341" s="1"/>
      <c r="L341" s="1"/>
      <c r="M341" s="1"/>
      <c r="N341" s="1"/>
      <c r="Q341"/>
    </row>
    <row r="342" spans="1:17" ht="13.15" customHeight="1" x14ac:dyDescent="0.2">
      <c r="A342" s="1" t="s">
        <v>1024</v>
      </c>
      <c r="B342" s="1" t="s">
        <v>15</v>
      </c>
      <c r="C342" s="580">
        <v>345</v>
      </c>
      <c r="D342" s="1">
        <v>3201.47</v>
      </c>
      <c r="E342" t="s">
        <v>16</v>
      </c>
      <c r="F342" t="s">
        <v>1025</v>
      </c>
      <c r="G342" s="580">
        <v>733.16250000000002</v>
      </c>
      <c r="H342" s="1" t="s">
        <v>1026</v>
      </c>
      <c r="I342" s="1"/>
      <c r="J342" s="1"/>
      <c r="K342" s="1"/>
      <c r="L342" s="1"/>
      <c r="M342" s="1"/>
      <c r="N342" s="1"/>
      <c r="Q342"/>
    </row>
    <row r="343" spans="1:17" ht="13.15" customHeight="1" x14ac:dyDescent="0.2">
      <c r="A343" s="1" t="s">
        <v>1027</v>
      </c>
      <c r="B343" s="1" t="s">
        <v>15</v>
      </c>
      <c r="C343" s="580">
        <v>346</v>
      </c>
      <c r="D343" s="1">
        <v>669.45</v>
      </c>
      <c r="E343" t="s">
        <v>16</v>
      </c>
      <c r="F343" t="s">
        <v>1028</v>
      </c>
      <c r="G343" s="580">
        <v>138.0933</v>
      </c>
      <c r="H343" s="1" t="s">
        <v>1029</v>
      </c>
      <c r="I343" s="1"/>
      <c r="J343" s="1"/>
      <c r="K343" s="1"/>
      <c r="L343" s="1"/>
      <c r="M343" s="1"/>
      <c r="N343" s="1"/>
      <c r="Q343"/>
    </row>
    <row r="344" spans="1:17" ht="13.15" customHeight="1" x14ac:dyDescent="0.2">
      <c r="A344" s="1" t="s">
        <v>1030</v>
      </c>
      <c r="B344" s="1" t="s">
        <v>15</v>
      </c>
      <c r="C344" s="580">
        <v>347</v>
      </c>
      <c r="D344" s="1">
        <v>1322.92</v>
      </c>
      <c r="E344" t="s">
        <v>16</v>
      </c>
      <c r="F344" t="s">
        <v>1031</v>
      </c>
      <c r="G344" s="580">
        <v>307.23</v>
      </c>
      <c r="H344" s="1" t="s">
        <v>1032</v>
      </c>
      <c r="I344" s="1"/>
      <c r="J344" s="1"/>
      <c r="K344" s="1"/>
      <c r="L344" s="1"/>
      <c r="M344" s="1"/>
      <c r="N344" s="1"/>
      <c r="Q344"/>
    </row>
    <row r="345" spans="1:17" ht="13.15" customHeight="1" x14ac:dyDescent="0.2">
      <c r="A345" s="1" t="s">
        <v>1033</v>
      </c>
      <c r="B345" s="1" t="s">
        <v>15</v>
      </c>
      <c r="C345" s="580">
        <v>348</v>
      </c>
      <c r="D345" s="1">
        <v>847.67</v>
      </c>
      <c r="E345" t="s">
        <v>16</v>
      </c>
      <c r="F345" t="s">
        <v>1034</v>
      </c>
      <c r="G345" s="580">
        <v>159.67660000000001</v>
      </c>
      <c r="H345" s="1" t="s">
        <v>1035</v>
      </c>
      <c r="I345" s="1"/>
      <c r="J345" s="1"/>
      <c r="K345" s="1"/>
      <c r="L345" s="1"/>
      <c r="M345" s="1"/>
      <c r="N345" s="1"/>
      <c r="Q345"/>
    </row>
    <row r="346" spans="1:17" ht="13.15" customHeight="1" x14ac:dyDescent="0.2">
      <c r="A346" s="1" t="s">
        <v>1036</v>
      </c>
      <c r="B346" s="1" t="s">
        <v>15</v>
      </c>
      <c r="C346" s="580">
        <v>349</v>
      </c>
      <c r="D346" s="1">
        <v>1299.1199999999999</v>
      </c>
      <c r="E346" t="s">
        <v>16</v>
      </c>
      <c r="F346" t="s">
        <v>1037</v>
      </c>
      <c r="G346" s="580">
        <v>314.21249999999998</v>
      </c>
      <c r="H346" s="1" t="s">
        <v>1038</v>
      </c>
      <c r="I346" s="1"/>
      <c r="J346" s="1"/>
      <c r="K346" s="1"/>
      <c r="L346" s="1"/>
      <c r="M346" s="1"/>
      <c r="N346" s="1"/>
      <c r="Q346"/>
    </row>
    <row r="347" spans="1:17" ht="13.15" customHeight="1" x14ac:dyDescent="0.2">
      <c r="A347" s="1" t="s">
        <v>1039</v>
      </c>
      <c r="B347" s="1" t="s">
        <v>15</v>
      </c>
      <c r="C347" s="580">
        <v>350</v>
      </c>
      <c r="D347" s="1">
        <v>1353.35</v>
      </c>
      <c r="E347" t="s">
        <v>16</v>
      </c>
      <c r="F347" t="s">
        <v>1040</v>
      </c>
      <c r="G347" s="580">
        <v>312.87979999999999</v>
      </c>
      <c r="H347" s="1" t="s">
        <v>1041</v>
      </c>
      <c r="I347" s="1"/>
      <c r="J347" s="1"/>
      <c r="K347" s="1"/>
      <c r="L347" s="1"/>
      <c r="M347" s="1"/>
      <c r="N347" s="1"/>
      <c r="Q347"/>
    </row>
    <row r="348" spans="1:17" ht="13.15" customHeight="1" x14ac:dyDescent="0.2">
      <c r="A348" s="1" t="s">
        <v>1042</v>
      </c>
      <c r="B348" s="1" t="s">
        <v>15</v>
      </c>
      <c r="C348" s="580">
        <v>351</v>
      </c>
      <c r="D348" s="1">
        <v>1353.35</v>
      </c>
      <c r="E348" t="s">
        <v>16</v>
      </c>
      <c r="F348" t="s">
        <v>1043</v>
      </c>
      <c r="G348" s="580">
        <v>312.87979999999999</v>
      </c>
      <c r="H348" s="1" t="s">
        <v>1044</v>
      </c>
      <c r="I348" s="1"/>
      <c r="J348" s="1"/>
      <c r="K348" s="1"/>
      <c r="L348" s="1"/>
      <c r="M348" s="1"/>
      <c r="N348" s="1"/>
      <c r="Q348"/>
    </row>
    <row r="349" spans="1:17" ht="13.15" customHeight="1" x14ac:dyDescent="0.2">
      <c r="A349" s="1" t="s">
        <v>1045</v>
      </c>
      <c r="B349" s="1" t="s">
        <v>15</v>
      </c>
      <c r="C349" s="580">
        <v>352</v>
      </c>
      <c r="D349" s="1">
        <v>992.19</v>
      </c>
      <c r="E349" t="s">
        <v>16</v>
      </c>
      <c r="F349" t="s">
        <v>1046</v>
      </c>
      <c r="G349" s="580">
        <v>194.51249999999999</v>
      </c>
      <c r="H349" s="1" t="s">
        <v>1047</v>
      </c>
      <c r="I349" s="1"/>
      <c r="J349" s="1"/>
      <c r="K349" s="1"/>
      <c r="L349" s="1"/>
      <c r="M349" s="1"/>
      <c r="N349" s="1"/>
      <c r="Q349"/>
    </row>
    <row r="350" spans="1:17" ht="13.15" customHeight="1" x14ac:dyDescent="0.2">
      <c r="A350" s="1" t="s">
        <v>1048</v>
      </c>
      <c r="B350" s="1" t="s">
        <v>15</v>
      </c>
      <c r="C350" s="580">
        <v>353</v>
      </c>
      <c r="D350" s="1">
        <v>992.19</v>
      </c>
      <c r="E350" t="s">
        <v>16</v>
      </c>
      <c r="F350" t="s">
        <v>1049</v>
      </c>
      <c r="G350" s="580">
        <v>194.51249999999999</v>
      </c>
      <c r="H350" s="1" t="s">
        <v>1050</v>
      </c>
      <c r="I350" s="1"/>
      <c r="J350" s="1"/>
      <c r="K350" s="1"/>
      <c r="L350" s="1"/>
      <c r="M350" s="1"/>
      <c r="N350" s="1"/>
      <c r="Q350"/>
    </row>
    <row r="351" spans="1:17" ht="13.15" customHeight="1" x14ac:dyDescent="0.2">
      <c r="A351" s="1" t="s">
        <v>1051</v>
      </c>
      <c r="B351" s="1" t="s">
        <v>15</v>
      </c>
      <c r="C351" s="580">
        <v>354</v>
      </c>
      <c r="D351" s="1">
        <v>825.15</v>
      </c>
      <c r="E351" t="s">
        <v>16</v>
      </c>
      <c r="F351" t="s">
        <v>1052</v>
      </c>
      <c r="G351" s="580">
        <v>194.51249999999999</v>
      </c>
      <c r="H351" s="1" t="s">
        <v>1053</v>
      </c>
      <c r="I351" s="1"/>
      <c r="J351" s="1"/>
      <c r="K351" s="1"/>
      <c r="L351" s="1"/>
      <c r="M351" s="1"/>
      <c r="N351" s="1"/>
      <c r="Q351"/>
    </row>
    <row r="352" spans="1:17" ht="13.15" customHeight="1" x14ac:dyDescent="0.2">
      <c r="A352" s="1" t="s">
        <v>1054</v>
      </c>
      <c r="B352" s="1" t="s">
        <v>15</v>
      </c>
      <c r="C352" s="580">
        <v>355</v>
      </c>
      <c r="D352" s="1">
        <v>1129.8800000000001</v>
      </c>
      <c r="E352" t="s">
        <v>16</v>
      </c>
      <c r="F352" t="s">
        <v>1055</v>
      </c>
      <c r="G352" s="580">
        <v>263.25060000000002</v>
      </c>
      <c r="H352" s="1" t="s">
        <v>1056</v>
      </c>
      <c r="I352" s="1"/>
      <c r="J352" s="1"/>
      <c r="K352" s="1"/>
      <c r="L352" s="1"/>
      <c r="M352" s="1"/>
      <c r="N352" s="1"/>
      <c r="Q352"/>
    </row>
    <row r="353" spans="1:17" ht="13.15" customHeight="1" x14ac:dyDescent="0.2">
      <c r="A353" s="1" t="s">
        <v>1057</v>
      </c>
      <c r="B353" s="1" t="s">
        <v>15</v>
      </c>
      <c r="C353" s="580">
        <v>356</v>
      </c>
      <c r="D353" s="1">
        <v>847.67</v>
      </c>
      <c r="E353" t="s">
        <v>16</v>
      </c>
      <c r="F353" t="s">
        <v>1058</v>
      </c>
      <c r="G353" s="580">
        <v>192.04349999999999</v>
      </c>
      <c r="H353" s="1" t="s">
        <v>1059</v>
      </c>
      <c r="I353" s="1"/>
      <c r="J353" s="1"/>
      <c r="K353" s="1"/>
      <c r="L353" s="1"/>
      <c r="M353" s="1"/>
      <c r="N353" s="1"/>
      <c r="Q353"/>
    </row>
    <row r="354" spans="1:17" ht="13.15" customHeight="1" x14ac:dyDescent="0.2">
      <c r="A354" s="1" t="s">
        <v>1060</v>
      </c>
      <c r="B354" s="1" t="s">
        <v>15</v>
      </c>
      <c r="C354" s="580">
        <v>357</v>
      </c>
      <c r="D354" s="1">
        <v>985.12</v>
      </c>
      <c r="E354" t="s">
        <v>16</v>
      </c>
      <c r="F354" t="s">
        <v>1061</v>
      </c>
      <c r="G354" s="580">
        <v>235.19929999999999</v>
      </c>
      <c r="H354" s="1" t="s">
        <v>1062</v>
      </c>
      <c r="I354" s="1"/>
      <c r="J354" s="1"/>
      <c r="K354" s="1"/>
      <c r="L354" s="1"/>
      <c r="M354" s="1"/>
      <c r="N354" s="1"/>
      <c r="Q354"/>
    </row>
    <row r="355" spans="1:17" ht="13.15" customHeight="1" x14ac:dyDescent="0.2">
      <c r="A355" s="1" t="s">
        <v>1063</v>
      </c>
      <c r="B355" s="1" t="s">
        <v>15</v>
      </c>
      <c r="C355" s="580">
        <v>358</v>
      </c>
      <c r="D355" s="1">
        <v>1176.96</v>
      </c>
      <c r="E355" t="s">
        <v>16</v>
      </c>
      <c r="F355" t="s">
        <v>1064</v>
      </c>
      <c r="G355" s="580">
        <v>276.3075</v>
      </c>
      <c r="H355" s="1" t="s">
        <v>1065</v>
      </c>
      <c r="I355" s="1"/>
      <c r="J355" s="1"/>
      <c r="K355" s="1"/>
      <c r="L355" s="1"/>
      <c r="M355" s="1"/>
      <c r="N355" s="1"/>
      <c r="Q355"/>
    </row>
    <row r="356" spans="1:17" ht="13.15" customHeight="1" x14ac:dyDescent="0.2">
      <c r="A356" s="1" t="s">
        <v>1066</v>
      </c>
      <c r="B356" s="1" t="s">
        <v>15</v>
      </c>
      <c r="C356" s="580">
        <v>359</v>
      </c>
      <c r="D356" s="1">
        <v>2182.8200000000002</v>
      </c>
      <c r="E356" t="s">
        <v>16</v>
      </c>
      <c r="F356" t="s">
        <v>1067</v>
      </c>
      <c r="G356" s="580">
        <v>242.39250000000001</v>
      </c>
      <c r="H356" s="1" t="s">
        <v>1068</v>
      </c>
      <c r="I356" s="1"/>
      <c r="J356" s="1"/>
      <c r="K356" s="1"/>
      <c r="L356" s="1"/>
      <c r="M356" s="1"/>
      <c r="N356" s="1"/>
      <c r="Q356"/>
    </row>
    <row r="357" spans="1:17" ht="13.15" customHeight="1" x14ac:dyDescent="0.2">
      <c r="A357" s="1" t="s">
        <v>1069</v>
      </c>
      <c r="B357" s="1" t="s">
        <v>15</v>
      </c>
      <c r="C357" s="580">
        <v>360</v>
      </c>
      <c r="D357" s="1">
        <v>1058.3399999999999</v>
      </c>
      <c r="E357" t="s">
        <v>16</v>
      </c>
      <c r="F357" t="s">
        <v>1070</v>
      </c>
      <c r="G357" s="580">
        <v>215.7792</v>
      </c>
      <c r="H357" s="1" t="s">
        <v>1071</v>
      </c>
      <c r="I357" s="1"/>
      <c r="J357" s="1"/>
      <c r="K357" s="1"/>
      <c r="L357" s="1"/>
      <c r="M357" s="1"/>
      <c r="N357" s="1"/>
      <c r="Q357"/>
    </row>
    <row r="358" spans="1:17" ht="13.15" customHeight="1" x14ac:dyDescent="0.2">
      <c r="A358" s="1" t="s">
        <v>1072</v>
      </c>
      <c r="B358" s="1" t="s">
        <v>15</v>
      </c>
      <c r="C358" s="580">
        <v>361</v>
      </c>
      <c r="D358" s="1">
        <v>828.42</v>
      </c>
      <c r="E358" t="s">
        <v>16</v>
      </c>
      <c r="F358" t="s">
        <v>1073</v>
      </c>
      <c r="G358" s="580">
        <v>192.04349999999999</v>
      </c>
      <c r="H358" s="1" t="s">
        <v>1074</v>
      </c>
      <c r="I358" s="1"/>
      <c r="J358" s="1"/>
      <c r="K358" s="1"/>
      <c r="L358" s="1"/>
      <c r="M358" s="1"/>
      <c r="N358" s="1"/>
      <c r="Q358"/>
    </row>
    <row r="359" spans="1:17" ht="13.15" customHeight="1" x14ac:dyDescent="0.2">
      <c r="A359" s="1" t="s">
        <v>1075</v>
      </c>
      <c r="B359" s="1" t="s">
        <v>15</v>
      </c>
      <c r="C359" s="580">
        <v>362</v>
      </c>
      <c r="D359" s="1">
        <v>1094.19</v>
      </c>
      <c r="E359" t="s">
        <v>16</v>
      </c>
      <c r="F359" t="s">
        <v>1076</v>
      </c>
      <c r="G359" s="580">
        <v>253.54060000000001</v>
      </c>
      <c r="H359" s="1" t="s">
        <v>1077</v>
      </c>
      <c r="I359" s="1"/>
      <c r="J359" s="1"/>
      <c r="K359" s="1"/>
      <c r="L359" s="1"/>
      <c r="M359" s="1"/>
      <c r="N359" s="1"/>
      <c r="Q359"/>
    </row>
    <row r="360" spans="1:17" ht="13.15" customHeight="1" x14ac:dyDescent="0.2">
      <c r="A360" s="1" t="s">
        <v>1078</v>
      </c>
      <c r="B360" s="1" t="s">
        <v>15</v>
      </c>
      <c r="C360" s="580">
        <v>363</v>
      </c>
      <c r="D360" s="1">
        <v>1128.06</v>
      </c>
      <c r="E360" t="s">
        <v>16</v>
      </c>
      <c r="F360" t="s">
        <v>1079</v>
      </c>
      <c r="G360" s="580">
        <v>164.58750000000001</v>
      </c>
      <c r="H360" s="1" t="s">
        <v>1080</v>
      </c>
      <c r="I360" s="1"/>
      <c r="J360" s="1"/>
      <c r="K360" s="1"/>
      <c r="L360" s="1"/>
      <c r="M360" s="1"/>
      <c r="N360" s="1"/>
      <c r="Q360"/>
    </row>
    <row r="361" spans="1:17" ht="13.15" customHeight="1" x14ac:dyDescent="0.2">
      <c r="A361" s="1" t="s">
        <v>1081</v>
      </c>
      <c r="B361" s="1" t="s">
        <v>15</v>
      </c>
      <c r="C361" s="580">
        <v>364</v>
      </c>
      <c r="D361" s="1">
        <v>1104.3</v>
      </c>
      <c r="E361" t="s">
        <v>16</v>
      </c>
      <c r="F361" t="s">
        <v>1082</v>
      </c>
      <c r="G361" s="580">
        <v>107.73</v>
      </c>
      <c r="H361" s="1" t="s">
        <v>1083</v>
      </c>
      <c r="I361" s="1"/>
      <c r="J361" s="1"/>
      <c r="K361" s="1"/>
      <c r="L361" s="1"/>
      <c r="M361" s="1"/>
      <c r="N361" s="1"/>
      <c r="Q361"/>
    </row>
    <row r="362" spans="1:17" ht="13.15" customHeight="1" x14ac:dyDescent="0.2">
      <c r="A362" s="1" t="s">
        <v>1084</v>
      </c>
      <c r="B362" s="1" t="s">
        <v>15</v>
      </c>
      <c r="C362" s="580">
        <v>365</v>
      </c>
      <c r="D362" s="1">
        <v>2643.63</v>
      </c>
      <c r="E362" t="s">
        <v>16</v>
      </c>
      <c r="F362" t="s">
        <v>1085</v>
      </c>
      <c r="G362" s="580">
        <v>323.66879999999998</v>
      </c>
      <c r="H362" s="1" t="s">
        <v>1086</v>
      </c>
      <c r="I362" s="1"/>
      <c r="J362" s="1"/>
      <c r="K362" s="1"/>
      <c r="L362" s="1"/>
      <c r="M362" s="1"/>
      <c r="N362" s="1"/>
      <c r="Q362"/>
    </row>
    <row r="363" spans="1:17" ht="13.15" customHeight="1" x14ac:dyDescent="0.2">
      <c r="A363" s="1" t="s">
        <v>1087</v>
      </c>
      <c r="B363" s="1" t="s">
        <v>15</v>
      </c>
      <c r="C363" s="580">
        <v>366</v>
      </c>
      <c r="D363" s="1">
        <v>1746.26</v>
      </c>
      <c r="E363" t="s">
        <v>16</v>
      </c>
      <c r="F363" t="s">
        <v>1088</v>
      </c>
      <c r="G363" s="580">
        <v>377.61360000000002</v>
      </c>
      <c r="H363" s="1" t="s">
        <v>1089</v>
      </c>
      <c r="I363" s="1"/>
      <c r="J363" s="1"/>
      <c r="K363" s="1"/>
      <c r="L363" s="1"/>
      <c r="M363" s="1"/>
      <c r="N363" s="1"/>
      <c r="Q363"/>
    </row>
    <row r="364" spans="1:17" ht="13.15" customHeight="1" x14ac:dyDescent="0.2">
      <c r="A364" s="1" t="s">
        <v>1090</v>
      </c>
      <c r="B364" s="1" t="s">
        <v>15</v>
      </c>
      <c r="C364" s="580">
        <v>367</v>
      </c>
      <c r="D364" s="1">
        <v>847.41</v>
      </c>
      <c r="E364" t="s">
        <v>16</v>
      </c>
      <c r="F364" t="s">
        <v>1091</v>
      </c>
      <c r="G364" s="580">
        <v>205.48500000000001</v>
      </c>
      <c r="H364" s="1" t="s">
        <v>1092</v>
      </c>
      <c r="I364" s="1"/>
      <c r="J364" s="1"/>
      <c r="K364" s="1"/>
      <c r="L364" s="1"/>
      <c r="M364" s="1"/>
      <c r="N364" s="1"/>
      <c r="Q364"/>
    </row>
    <row r="365" spans="1:17" ht="13.15" customHeight="1" x14ac:dyDescent="0.2">
      <c r="A365" s="1" t="s">
        <v>1093</v>
      </c>
      <c r="B365" s="1" t="s">
        <v>15</v>
      </c>
      <c r="C365" s="580">
        <v>368</v>
      </c>
      <c r="D365" s="1">
        <v>1746.26</v>
      </c>
      <c r="E365" t="s">
        <v>16</v>
      </c>
      <c r="F365" t="s">
        <v>1094</v>
      </c>
      <c r="G365" s="580">
        <v>399.19150000000002</v>
      </c>
      <c r="H365" s="1" t="s">
        <v>1095</v>
      </c>
      <c r="I365" s="1"/>
      <c r="J365" s="1"/>
      <c r="K365" s="1"/>
      <c r="L365" s="1"/>
      <c r="M365" s="1"/>
      <c r="N365" s="1"/>
      <c r="Q365"/>
    </row>
    <row r="366" spans="1:17" ht="13.15" customHeight="1" x14ac:dyDescent="0.2">
      <c r="A366" s="1" t="s">
        <v>1096</v>
      </c>
      <c r="B366" s="1" t="s">
        <v>15</v>
      </c>
      <c r="C366" s="580">
        <v>369</v>
      </c>
      <c r="D366" s="1">
        <v>1164.17</v>
      </c>
      <c r="E366" t="s">
        <v>16</v>
      </c>
      <c r="F366" t="s">
        <v>1097</v>
      </c>
      <c r="G366" s="580">
        <v>269.32499999999999</v>
      </c>
      <c r="H366" s="1" t="s">
        <v>1098</v>
      </c>
      <c r="I366" s="1"/>
      <c r="J366" s="1"/>
      <c r="K366" s="1"/>
      <c r="L366" s="1"/>
      <c r="M366" s="1"/>
      <c r="N366" s="1"/>
      <c r="Q366"/>
    </row>
    <row r="367" spans="1:17" ht="13.15" customHeight="1" x14ac:dyDescent="0.2">
      <c r="A367" s="1" t="s">
        <v>1099</v>
      </c>
      <c r="B367" s="1" t="s">
        <v>15</v>
      </c>
      <c r="C367" s="580">
        <v>370</v>
      </c>
      <c r="D367" s="1">
        <v>654.85</v>
      </c>
      <c r="E367" t="s">
        <v>16</v>
      </c>
      <c r="F367" t="s">
        <v>1100</v>
      </c>
      <c r="G367" s="580">
        <v>179.55</v>
      </c>
      <c r="H367" s="1" t="s">
        <v>1101</v>
      </c>
      <c r="I367" s="1"/>
      <c r="J367" s="1"/>
      <c r="K367" s="1"/>
      <c r="L367" s="1"/>
      <c r="M367" s="1"/>
      <c r="N367" s="1"/>
      <c r="Q367"/>
    </row>
    <row r="368" spans="1:17" ht="13.15" customHeight="1" x14ac:dyDescent="0.2">
      <c r="A368" s="1" t="s">
        <v>1102</v>
      </c>
      <c r="B368" s="1" t="s">
        <v>15</v>
      </c>
      <c r="C368" s="580">
        <v>371</v>
      </c>
      <c r="D368" s="1">
        <v>609.92999999999995</v>
      </c>
      <c r="E368" t="s">
        <v>16</v>
      </c>
      <c r="F368" t="s">
        <v>1103</v>
      </c>
      <c r="G368" s="580">
        <v>138.6525</v>
      </c>
      <c r="H368" s="1" t="s">
        <v>1104</v>
      </c>
      <c r="I368" s="1"/>
      <c r="J368" s="1"/>
      <c r="K368" s="1"/>
      <c r="L368" s="1"/>
      <c r="M368" s="1"/>
      <c r="N368" s="1"/>
      <c r="Q368"/>
    </row>
    <row r="369" spans="1:21" ht="13.15" customHeight="1" x14ac:dyDescent="0.2">
      <c r="A369" s="1" t="s">
        <v>1105</v>
      </c>
      <c r="B369" s="1" t="s">
        <v>15</v>
      </c>
      <c r="C369" s="580">
        <v>372</v>
      </c>
      <c r="D369" s="1">
        <v>800.33</v>
      </c>
      <c r="E369" t="s">
        <v>16</v>
      </c>
      <c r="F369" t="s">
        <v>1106</v>
      </c>
      <c r="G369" s="580">
        <v>189.52500000000001</v>
      </c>
      <c r="H369" s="1" t="s">
        <v>1107</v>
      </c>
      <c r="I369" s="1"/>
      <c r="J369" s="1"/>
      <c r="K369" s="1"/>
      <c r="L369" s="1"/>
      <c r="M369" s="1"/>
      <c r="N369" s="1"/>
      <c r="Q369"/>
    </row>
    <row r="370" spans="1:21" ht="13.15" customHeight="1" x14ac:dyDescent="0.2">
      <c r="A370" s="1" t="s">
        <v>1108</v>
      </c>
      <c r="B370" s="1" t="s">
        <v>15</v>
      </c>
      <c r="C370" s="580">
        <v>373</v>
      </c>
      <c r="D370" s="1">
        <v>1319.23</v>
      </c>
      <c r="E370" t="s">
        <v>16</v>
      </c>
      <c r="F370" t="s">
        <v>1109</v>
      </c>
      <c r="G370" s="580">
        <v>313.21499999999997</v>
      </c>
      <c r="H370" s="1" t="s">
        <v>1110</v>
      </c>
      <c r="I370" s="1"/>
      <c r="J370" s="1"/>
      <c r="K370" s="1"/>
      <c r="L370" s="1"/>
      <c r="M370" s="1"/>
      <c r="N370" s="1"/>
      <c r="Q370"/>
    </row>
    <row r="371" spans="1:21" ht="13.15" customHeight="1" x14ac:dyDescent="0.2">
      <c r="A371" s="1" t="s">
        <v>1111</v>
      </c>
      <c r="B371" s="1" t="s">
        <v>15</v>
      </c>
      <c r="C371" s="580">
        <v>374</v>
      </c>
      <c r="D371" s="1">
        <v>1412.35</v>
      </c>
      <c r="E371" t="s">
        <v>16</v>
      </c>
      <c r="F371" t="s">
        <v>1112</v>
      </c>
      <c r="G371" s="580">
        <v>329.06330000000003</v>
      </c>
      <c r="H371" s="1" t="s">
        <v>1113</v>
      </c>
      <c r="I371" s="1"/>
      <c r="J371" s="1"/>
      <c r="K371" s="1"/>
      <c r="L371" s="1"/>
      <c r="M371" s="1"/>
      <c r="N371" s="1"/>
      <c r="Q371"/>
    </row>
    <row r="372" spans="1:21" ht="13.15" customHeight="1" x14ac:dyDescent="0.2">
      <c r="A372" s="1" t="s">
        <v>1114</v>
      </c>
      <c r="B372" s="1" t="s">
        <v>15</v>
      </c>
      <c r="C372" s="580">
        <v>375</v>
      </c>
      <c r="D372" s="1">
        <v>1149.01</v>
      </c>
      <c r="E372" t="s">
        <v>16</v>
      </c>
      <c r="F372" t="s">
        <v>1115</v>
      </c>
      <c r="G372" s="580">
        <v>281.29500000000002</v>
      </c>
      <c r="H372" s="1" t="s">
        <v>1116</v>
      </c>
      <c r="I372" s="1"/>
      <c r="J372" s="1"/>
      <c r="K372" s="1"/>
      <c r="L372" s="1"/>
      <c r="M372" s="1"/>
      <c r="N372" s="1"/>
      <c r="Q372"/>
    </row>
    <row r="373" spans="1:21" ht="13.15" customHeight="1" x14ac:dyDescent="0.2">
      <c r="A373" s="1" t="s">
        <v>1117</v>
      </c>
      <c r="B373" s="1" t="s">
        <v>15</v>
      </c>
      <c r="C373" s="580">
        <v>376</v>
      </c>
      <c r="D373" s="1">
        <v>1637.2</v>
      </c>
      <c r="E373" t="s">
        <v>16</v>
      </c>
      <c r="F373" t="s">
        <v>1118</v>
      </c>
      <c r="G373" s="580">
        <v>323.66879999999998</v>
      </c>
      <c r="H373" s="1" t="s">
        <v>1119</v>
      </c>
      <c r="I373" s="1"/>
      <c r="J373" s="1"/>
      <c r="K373" s="1"/>
      <c r="L373" s="1"/>
      <c r="M373" s="1"/>
      <c r="N373" s="1"/>
      <c r="Q373"/>
    </row>
    <row r="374" spans="1:21" ht="13.15" customHeight="1" x14ac:dyDescent="0.2">
      <c r="A374" s="1" t="s">
        <v>1120</v>
      </c>
      <c r="B374" s="1" t="s">
        <v>15</v>
      </c>
      <c r="C374" s="580">
        <v>377</v>
      </c>
      <c r="D374" s="1">
        <v>1319.23</v>
      </c>
      <c r="E374" t="s">
        <v>16</v>
      </c>
      <c r="F374" t="s">
        <v>1121</v>
      </c>
      <c r="G374" s="580">
        <v>313.21499999999997</v>
      </c>
      <c r="H374" s="1" t="s">
        <v>1122</v>
      </c>
      <c r="I374" s="1"/>
      <c r="J374" s="1"/>
      <c r="K374" s="1"/>
      <c r="L374" s="1"/>
      <c r="M374" s="1"/>
      <c r="N374" s="1"/>
      <c r="Q374"/>
    </row>
    <row r="375" spans="1:21" ht="13.15" customHeight="1" x14ac:dyDescent="0.2">
      <c r="A375" s="1" t="s">
        <v>1123</v>
      </c>
      <c r="B375" s="1" t="s">
        <v>15</v>
      </c>
      <c r="C375" s="580">
        <v>378</v>
      </c>
      <c r="D375" s="1">
        <v>1341.73</v>
      </c>
      <c r="E375" t="s">
        <v>16</v>
      </c>
      <c r="F375" t="s">
        <v>1124</v>
      </c>
      <c r="G375" s="580">
        <v>311.80090000000001</v>
      </c>
      <c r="H375" s="1" t="s">
        <v>1125</v>
      </c>
      <c r="I375" s="1"/>
      <c r="J375" s="1"/>
      <c r="K375" s="1"/>
      <c r="L375" s="1"/>
      <c r="M375" s="1"/>
      <c r="N375" s="1"/>
      <c r="Q375"/>
    </row>
    <row r="376" spans="1:21" ht="13.15" customHeight="1" x14ac:dyDescent="0.2">
      <c r="A376" s="1" t="s">
        <v>1126</v>
      </c>
      <c r="B376" s="1" t="s">
        <v>15</v>
      </c>
      <c r="C376" s="580">
        <v>379</v>
      </c>
      <c r="D376" s="1">
        <v>1341.73</v>
      </c>
      <c r="E376" t="s">
        <v>16</v>
      </c>
      <c r="F376" t="s">
        <v>1127</v>
      </c>
      <c r="G376" s="580">
        <v>315.0376</v>
      </c>
      <c r="H376" s="1" t="s">
        <v>1128</v>
      </c>
      <c r="I376" s="1"/>
      <c r="J376" s="1"/>
      <c r="K376" s="1"/>
      <c r="L376" s="1"/>
      <c r="M376" s="1"/>
      <c r="N376" s="1"/>
      <c r="Q376"/>
    </row>
    <row r="377" spans="1:21" ht="13.15" customHeight="1" x14ac:dyDescent="0.2">
      <c r="A377" s="1" t="s">
        <v>1129</v>
      </c>
      <c r="B377" s="1" t="s">
        <v>15</v>
      </c>
      <c r="C377" s="580">
        <v>380</v>
      </c>
      <c r="D377" s="1">
        <v>1915.01</v>
      </c>
      <c r="E377" t="s">
        <v>16</v>
      </c>
      <c r="F377" t="s">
        <v>1130</v>
      </c>
      <c r="G377" s="580">
        <v>384.03750000000002</v>
      </c>
      <c r="H377" s="1" t="s">
        <v>1131</v>
      </c>
      <c r="I377" s="1"/>
      <c r="J377" s="1"/>
      <c r="K377" s="1"/>
      <c r="L377" s="1"/>
      <c r="M377" s="1"/>
      <c r="N377" s="1"/>
      <c r="Q377"/>
    </row>
    <row r="378" spans="1:21" ht="13.15" customHeight="1" x14ac:dyDescent="0.2">
      <c r="A378" s="1" t="s">
        <v>1132</v>
      </c>
      <c r="B378" s="1" t="s">
        <v>15</v>
      </c>
      <c r="C378" s="580">
        <v>381</v>
      </c>
      <c r="D378" s="1">
        <v>1243.33</v>
      </c>
      <c r="E378" t="s">
        <v>16</v>
      </c>
      <c r="F378" t="s">
        <v>1133</v>
      </c>
      <c r="G378" s="580">
        <v>239.4</v>
      </c>
      <c r="H378" s="1" t="s">
        <v>1134</v>
      </c>
      <c r="I378" s="1"/>
      <c r="J378" s="1"/>
      <c r="K378" s="1"/>
      <c r="L378" s="1"/>
      <c r="M378" s="1"/>
      <c r="N378" s="1"/>
      <c r="Q378"/>
    </row>
    <row r="379" spans="1:21" ht="13.15" customHeight="1" x14ac:dyDescent="0.2">
      <c r="A379" s="1" t="s">
        <v>1135</v>
      </c>
      <c r="B379" s="1" t="s">
        <v>15</v>
      </c>
      <c r="C379" s="580">
        <v>382</v>
      </c>
      <c r="D379" s="1">
        <v>786.41</v>
      </c>
      <c r="E379" t="s">
        <v>16</v>
      </c>
      <c r="F379" t="s">
        <v>1136</v>
      </c>
      <c r="G379" s="580">
        <v>182.33340000000001</v>
      </c>
      <c r="H379" s="1" t="s">
        <v>1137</v>
      </c>
      <c r="I379" s="1"/>
      <c r="J379" s="1"/>
      <c r="K379" s="1"/>
      <c r="L379" s="1"/>
      <c r="M379" s="1"/>
      <c r="N379" s="1"/>
      <c r="Q379"/>
    </row>
    <row r="380" spans="1:21" ht="13.15" customHeight="1" x14ac:dyDescent="0.2">
      <c r="A380" s="1" t="s">
        <v>1138</v>
      </c>
      <c r="B380" s="1" t="s">
        <v>15</v>
      </c>
      <c r="C380" s="580">
        <v>383</v>
      </c>
      <c r="D380" s="1">
        <v>786.41</v>
      </c>
      <c r="E380" t="s">
        <v>16</v>
      </c>
      <c r="F380" t="s">
        <v>1139</v>
      </c>
      <c r="G380" s="580">
        <v>182.33340000000001</v>
      </c>
      <c r="H380" s="1" t="s">
        <v>1137</v>
      </c>
      <c r="I380" s="1"/>
      <c r="J380" s="1"/>
      <c r="K380" s="1"/>
      <c r="L380" s="1"/>
      <c r="M380" s="1"/>
      <c r="N380" s="1"/>
      <c r="Q380"/>
    </row>
    <row r="381" spans="1:21" ht="13.15" customHeight="1" x14ac:dyDescent="0.2">
      <c r="A381" s="1" t="s">
        <v>1140</v>
      </c>
      <c r="B381" s="1" t="s">
        <v>15</v>
      </c>
      <c r="C381" s="580">
        <v>384</v>
      </c>
      <c r="D381" s="1">
        <v>1101.68</v>
      </c>
      <c r="E381" t="s">
        <v>16</v>
      </c>
      <c r="F381" t="s">
        <v>1141</v>
      </c>
      <c r="G381" s="580">
        <v>246.38249999999999</v>
      </c>
      <c r="H381" s="1" t="s">
        <v>1142</v>
      </c>
      <c r="I381" s="1"/>
      <c r="J381" s="1"/>
      <c r="K381" s="1"/>
      <c r="L381" s="1"/>
      <c r="M381" s="1"/>
      <c r="N381" s="1"/>
      <c r="Q381"/>
      <c r="S381" s="32"/>
      <c r="T381" s="32"/>
      <c r="U381" s="32"/>
    </row>
    <row r="382" spans="1:21" ht="13.15" customHeight="1" x14ac:dyDescent="0.2">
      <c r="A382" s="1" t="s">
        <v>1143</v>
      </c>
      <c r="B382" s="1" t="s">
        <v>15</v>
      </c>
      <c r="C382" s="580">
        <v>385</v>
      </c>
      <c r="D382" s="1">
        <v>1341.73</v>
      </c>
      <c r="E382" t="s">
        <v>16</v>
      </c>
      <c r="F382" t="s">
        <v>1144</v>
      </c>
      <c r="G382" s="580">
        <v>311.22000000000003</v>
      </c>
      <c r="H382" s="1" t="s">
        <v>1145</v>
      </c>
      <c r="I382" s="1"/>
      <c r="J382" s="1"/>
      <c r="K382" s="1"/>
      <c r="L382" s="1"/>
      <c r="M382" s="1"/>
      <c r="N382" s="1"/>
      <c r="Q382"/>
    </row>
    <row r="383" spans="1:21" ht="13.15" customHeight="1" x14ac:dyDescent="0.2">
      <c r="A383" s="1" t="s">
        <v>1146</v>
      </c>
      <c r="B383" s="1" t="s">
        <v>15</v>
      </c>
      <c r="C383" s="580">
        <v>386</v>
      </c>
      <c r="D383" s="1">
        <v>854.8</v>
      </c>
      <c r="E383" t="s">
        <v>16</v>
      </c>
      <c r="F383" t="s">
        <v>1147</v>
      </c>
      <c r="G383" s="580">
        <v>199.5</v>
      </c>
      <c r="H383" s="1" t="s">
        <v>1148</v>
      </c>
      <c r="I383" s="1"/>
      <c r="J383" s="1"/>
      <c r="K383" s="1"/>
      <c r="L383" s="1"/>
      <c r="M383" s="1"/>
      <c r="N383" s="1"/>
      <c r="Q383"/>
    </row>
    <row r="384" spans="1:21" ht="13.15" customHeight="1" x14ac:dyDescent="0.2">
      <c r="A384" s="1" t="s">
        <v>1149</v>
      </c>
      <c r="B384" s="1" t="s">
        <v>15</v>
      </c>
      <c r="C384" s="580">
        <v>387</v>
      </c>
      <c r="D384" s="1">
        <v>944.3</v>
      </c>
      <c r="E384" t="s">
        <v>16</v>
      </c>
      <c r="F384" t="s">
        <v>1150</v>
      </c>
      <c r="G384" s="580">
        <v>215.7792</v>
      </c>
      <c r="H384" s="1" t="s">
        <v>1151</v>
      </c>
      <c r="I384" s="1"/>
      <c r="J384" s="1"/>
      <c r="K384" s="1"/>
      <c r="L384" s="1"/>
      <c r="M384" s="1"/>
      <c r="N384" s="1"/>
      <c r="Q384"/>
    </row>
    <row r="385" spans="1:17" ht="13.15" customHeight="1" x14ac:dyDescent="0.2">
      <c r="A385" s="1" t="s">
        <v>1152</v>
      </c>
      <c r="B385" s="1" t="s">
        <v>15</v>
      </c>
      <c r="C385" s="580">
        <v>388</v>
      </c>
      <c r="D385" s="1">
        <v>1259.07</v>
      </c>
      <c r="E385" t="s">
        <v>16</v>
      </c>
      <c r="F385" t="s">
        <v>1153</v>
      </c>
      <c r="G385" s="580">
        <v>303.24</v>
      </c>
      <c r="H385" s="1" t="s">
        <v>1154</v>
      </c>
      <c r="I385" s="1"/>
      <c r="J385" s="1"/>
      <c r="K385" s="1"/>
      <c r="L385" s="1"/>
      <c r="M385" s="1"/>
      <c r="N385" s="1"/>
      <c r="Q385"/>
    </row>
    <row r="386" spans="1:17" ht="13.15" customHeight="1" x14ac:dyDescent="0.2">
      <c r="A386" s="1" t="s">
        <v>1155</v>
      </c>
      <c r="B386" s="1" t="s">
        <v>15</v>
      </c>
      <c r="C386" s="580">
        <v>389</v>
      </c>
      <c r="D386" s="1">
        <v>1030.92</v>
      </c>
      <c r="E386" t="s">
        <v>16</v>
      </c>
      <c r="F386" t="s">
        <v>1156</v>
      </c>
      <c r="G386" s="580">
        <v>198.51689999999999</v>
      </c>
      <c r="H386" s="1" t="s">
        <v>1157</v>
      </c>
      <c r="I386" s="1"/>
      <c r="J386" s="1"/>
      <c r="K386" s="1"/>
      <c r="L386" s="1"/>
      <c r="M386" s="1"/>
      <c r="N386" s="1"/>
      <c r="Q386"/>
    </row>
    <row r="387" spans="1:17" ht="13.15" customHeight="1" x14ac:dyDescent="0.2">
      <c r="A387" s="1" t="s">
        <v>1158</v>
      </c>
      <c r="B387" s="1" t="s">
        <v>15</v>
      </c>
      <c r="C387" s="580">
        <v>390</v>
      </c>
      <c r="D387" s="1">
        <v>800.33</v>
      </c>
      <c r="E387" t="s">
        <v>16</v>
      </c>
      <c r="F387" t="s">
        <v>1159</v>
      </c>
      <c r="G387" s="580">
        <v>187.53</v>
      </c>
      <c r="H387" s="1" t="s">
        <v>1160</v>
      </c>
      <c r="I387" s="1"/>
      <c r="J387" s="1"/>
      <c r="K387" s="1"/>
      <c r="L387" s="1"/>
      <c r="M387" s="1"/>
      <c r="N387" s="1"/>
      <c r="Q387"/>
    </row>
    <row r="388" spans="1:17" ht="13.15" customHeight="1" x14ac:dyDescent="0.2">
      <c r="A388" s="1" t="s">
        <v>1161</v>
      </c>
      <c r="B388" s="1" t="s">
        <v>15</v>
      </c>
      <c r="C388" s="580">
        <v>391</v>
      </c>
      <c r="D388" s="1">
        <v>2114.4299999999998</v>
      </c>
      <c r="E388" t="s">
        <v>16</v>
      </c>
      <c r="F388" t="s">
        <v>1162</v>
      </c>
      <c r="G388" s="580">
        <v>483.78750000000002</v>
      </c>
      <c r="H388" s="1" t="s">
        <v>1163</v>
      </c>
      <c r="I388" s="1"/>
      <c r="J388" s="1"/>
      <c r="K388" s="1"/>
      <c r="L388" s="1"/>
      <c r="M388" s="1"/>
      <c r="N388" s="1"/>
      <c r="Q388"/>
    </row>
    <row r="389" spans="1:17" ht="13.15" customHeight="1" x14ac:dyDescent="0.2">
      <c r="A389" s="1" t="s">
        <v>1164</v>
      </c>
      <c r="B389" s="1" t="s">
        <v>15</v>
      </c>
      <c r="C389" s="580">
        <v>392</v>
      </c>
      <c r="D389" s="1">
        <v>2070.67</v>
      </c>
      <c r="E389" t="s">
        <v>16</v>
      </c>
      <c r="F389" t="s">
        <v>1165</v>
      </c>
      <c r="G389" s="580">
        <v>420.94499999999999</v>
      </c>
      <c r="H389" s="1" t="s">
        <v>1166</v>
      </c>
      <c r="I389" s="1"/>
      <c r="J389" s="1"/>
      <c r="K389" s="1"/>
      <c r="L389" s="1"/>
      <c r="M389" s="1"/>
      <c r="N389" s="1"/>
      <c r="Q389"/>
    </row>
    <row r="390" spans="1:17" ht="13.15" customHeight="1" x14ac:dyDescent="0.2">
      <c r="A390" s="1" t="s">
        <v>1167</v>
      </c>
      <c r="B390" s="1" t="s">
        <v>15</v>
      </c>
      <c r="C390" s="580">
        <v>393</v>
      </c>
      <c r="D390" s="1">
        <v>654.84</v>
      </c>
      <c r="E390" t="s">
        <v>16</v>
      </c>
      <c r="F390" t="s">
        <v>1168</v>
      </c>
      <c r="G390" s="580">
        <v>151.62</v>
      </c>
      <c r="H390" s="1" t="s">
        <v>1169</v>
      </c>
      <c r="I390" s="1"/>
      <c r="J390" s="1"/>
      <c r="K390" s="1"/>
      <c r="L390" s="1"/>
      <c r="M390" s="1"/>
      <c r="N390" s="1"/>
      <c r="Q390"/>
    </row>
    <row r="391" spans="1:17" ht="13.15" customHeight="1" x14ac:dyDescent="0.2">
      <c r="A391" s="1" t="s">
        <v>1170</v>
      </c>
      <c r="B391" s="1" t="s">
        <v>15</v>
      </c>
      <c r="C391" s="580">
        <v>394</v>
      </c>
      <c r="D391" s="1">
        <v>2766.12</v>
      </c>
      <c r="E391" t="s">
        <v>16</v>
      </c>
      <c r="F391" t="s">
        <v>1171</v>
      </c>
      <c r="G391" s="580">
        <v>420.94499999999999</v>
      </c>
      <c r="H391" s="1" t="s">
        <v>1172</v>
      </c>
      <c r="I391" s="1"/>
      <c r="J391" s="1"/>
      <c r="K391" s="1"/>
      <c r="L391" s="1"/>
      <c r="M391" s="1"/>
      <c r="N391" s="1"/>
      <c r="Q391"/>
    </row>
    <row r="392" spans="1:17" ht="13.15" customHeight="1" x14ac:dyDescent="0.2">
      <c r="A392" s="1" t="s">
        <v>1173</v>
      </c>
      <c r="B392" s="1" t="s">
        <v>15</v>
      </c>
      <c r="C392" s="580">
        <v>395</v>
      </c>
      <c r="D392" s="1">
        <v>1302.4100000000001</v>
      </c>
      <c r="E392" t="s">
        <v>16</v>
      </c>
      <c r="F392" t="s">
        <v>1174</v>
      </c>
      <c r="G392" s="580">
        <v>231.96260000000001</v>
      </c>
      <c r="H392" s="1" t="s">
        <v>1175</v>
      </c>
      <c r="I392" s="1"/>
      <c r="J392" s="1"/>
      <c r="K392" s="1"/>
      <c r="L392" s="1"/>
      <c r="M392" s="1"/>
      <c r="N392" s="1"/>
      <c r="Q392"/>
    </row>
    <row r="393" spans="1:17" ht="13.15" customHeight="1" x14ac:dyDescent="0.2">
      <c r="A393" s="1" t="s">
        <v>1176</v>
      </c>
      <c r="B393" s="1" t="s">
        <v>15</v>
      </c>
      <c r="C393" s="580">
        <v>396</v>
      </c>
      <c r="D393" s="1">
        <v>1423.86</v>
      </c>
      <c r="E393" t="s">
        <v>16</v>
      </c>
      <c r="F393" t="s">
        <v>1177</v>
      </c>
      <c r="G393" s="580">
        <v>285.9074</v>
      </c>
      <c r="H393" s="1" t="s">
        <v>1178</v>
      </c>
      <c r="I393" s="1"/>
      <c r="J393" s="1"/>
      <c r="K393" s="1"/>
      <c r="L393" s="1"/>
      <c r="M393" s="1"/>
      <c r="N393" s="1"/>
      <c r="Q393"/>
    </row>
    <row r="394" spans="1:17" ht="13.15" customHeight="1" x14ac:dyDescent="0.2">
      <c r="A394" s="1" t="s">
        <v>1179</v>
      </c>
      <c r="B394" s="1" t="s">
        <v>15</v>
      </c>
      <c r="C394" s="580">
        <v>397</v>
      </c>
      <c r="D394" s="1">
        <v>1302.4100000000001</v>
      </c>
      <c r="E394" t="s">
        <v>16</v>
      </c>
      <c r="F394" t="s">
        <v>1180</v>
      </c>
      <c r="G394" s="580">
        <v>231.96260000000001</v>
      </c>
      <c r="H394" s="1" t="s">
        <v>1181</v>
      </c>
      <c r="I394" s="1"/>
      <c r="J394" s="1"/>
      <c r="K394" s="1"/>
      <c r="L394" s="1"/>
      <c r="M394" s="1"/>
      <c r="N394" s="1"/>
      <c r="Q394"/>
    </row>
    <row r="395" spans="1:17" ht="13.15" customHeight="1" x14ac:dyDescent="0.2">
      <c r="A395" s="1" t="s">
        <v>1182</v>
      </c>
      <c r="B395" s="1" t="s">
        <v>15</v>
      </c>
      <c r="C395" s="580">
        <v>398</v>
      </c>
      <c r="D395" s="1">
        <v>860.93</v>
      </c>
      <c r="E395" t="s">
        <v>16</v>
      </c>
      <c r="F395">
        <v>0</v>
      </c>
      <c r="G395" s="580">
        <v>0</v>
      </c>
      <c r="H395" s="1" t="s">
        <v>1183</v>
      </c>
      <c r="I395" s="1"/>
      <c r="J395" s="1"/>
      <c r="K395" s="1"/>
      <c r="L395" s="1"/>
      <c r="M395" s="1"/>
      <c r="N395" s="1"/>
      <c r="Q395"/>
    </row>
    <row r="396" spans="1:17" ht="13.15" customHeight="1" x14ac:dyDescent="0.2">
      <c r="A396" s="1" t="s">
        <v>1184</v>
      </c>
      <c r="B396" s="1" t="s">
        <v>15</v>
      </c>
      <c r="C396" s="580">
        <v>399</v>
      </c>
      <c r="D396" s="1">
        <v>1565.13</v>
      </c>
      <c r="E396" t="s">
        <v>16</v>
      </c>
      <c r="F396" t="s">
        <v>1185</v>
      </c>
      <c r="G396" s="580">
        <v>269.72399999999999</v>
      </c>
      <c r="H396" s="1" t="s">
        <v>1186</v>
      </c>
      <c r="I396" s="1"/>
      <c r="J396" s="1"/>
      <c r="K396" s="1"/>
      <c r="L396" s="1"/>
      <c r="M396" s="1"/>
      <c r="N396" s="1"/>
      <c r="Q396"/>
    </row>
    <row r="397" spans="1:17" ht="13.15" customHeight="1" x14ac:dyDescent="0.2">
      <c r="A397" s="1" t="s">
        <v>1187</v>
      </c>
      <c r="B397" s="1" t="s">
        <v>15</v>
      </c>
      <c r="C397" s="580">
        <v>400</v>
      </c>
      <c r="D397" s="1">
        <v>1807.47</v>
      </c>
      <c r="E397" t="s">
        <v>16</v>
      </c>
      <c r="F397" t="s">
        <v>1188</v>
      </c>
      <c r="G397" s="580">
        <v>180.54750000000001</v>
      </c>
      <c r="H397" s="1" t="s">
        <v>1189</v>
      </c>
      <c r="I397" s="1"/>
      <c r="J397" s="1"/>
      <c r="K397" s="1"/>
      <c r="L397" s="1"/>
      <c r="M397" s="1"/>
      <c r="N397" s="1"/>
      <c r="Q397"/>
    </row>
    <row r="398" spans="1:17" ht="13.15" customHeight="1" x14ac:dyDescent="0.2">
      <c r="A398" s="1" t="s">
        <v>1190</v>
      </c>
      <c r="B398" s="1" t="s">
        <v>15</v>
      </c>
      <c r="C398" s="580">
        <v>401</v>
      </c>
      <c r="D398" s="1">
        <v>1525.96</v>
      </c>
      <c r="E398" t="s">
        <v>16</v>
      </c>
      <c r="F398" t="s">
        <v>1191</v>
      </c>
      <c r="G398" s="580">
        <v>233.04150000000001</v>
      </c>
      <c r="H398" s="1" t="s">
        <v>1192</v>
      </c>
      <c r="I398" s="1"/>
      <c r="J398" s="1"/>
      <c r="K398" s="1"/>
      <c r="L398" s="1"/>
      <c r="M398" s="1"/>
      <c r="N398" s="1"/>
      <c r="Q398"/>
    </row>
    <row r="399" spans="1:17" ht="13.15" customHeight="1" x14ac:dyDescent="0.2">
      <c r="A399" s="1" t="s">
        <v>1193</v>
      </c>
      <c r="B399" s="1" t="s">
        <v>15</v>
      </c>
      <c r="C399" s="580">
        <v>402</v>
      </c>
      <c r="D399" s="1">
        <v>2127.79</v>
      </c>
      <c r="E399" t="s">
        <v>16</v>
      </c>
      <c r="F399" t="s">
        <v>1194</v>
      </c>
      <c r="G399" s="580">
        <v>503.73750000000001</v>
      </c>
      <c r="H399" s="1" t="s">
        <v>1195</v>
      </c>
      <c r="I399" s="1"/>
      <c r="J399" s="1"/>
      <c r="K399" s="1"/>
      <c r="L399" s="1"/>
      <c r="M399" s="1"/>
      <c r="N399" s="1"/>
      <c r="Q399"/>
    </row>
    <row r="400" spans="1:17" ht="13.15" customHeight="1" x14ac:dyDescent="0.2">
      <c r="A400" s="1" t="s">
        <v>1196</v>
      </c>
      <c r="B400" s="1" t="s">
        <v>1197</v>
      </c>
      <c r="C400" s="580">
        <v>1</v>
      </c>
      <c r="D400" s="1">
        <v>878.84</v>
      </c>
      <c r="E400" t="s">
        <v>1198</v>
      </c>
      <c r="F400">
        <v>1</v>
      </c>
      <c r="G400" s="580">
        <v>310.2</v>
      </c>
      <c r="H400" s="1" t="s">
        <v>1199</v>
      </c>
      <c r="I400" s="1"/>
      <c r="J400" s="1"/>
      <c r="K400" s="1"/>
      <c r="L400" s="1"/>
      <c r="M400" s="1"/>
      <c r="N400" s="1"/>
      <c r="Q400"/>
    </row>
    <row r="401" spans="1:17" ht="13.15" customHeight="1" x14ac:dyDescent="0.2">
      <c r="A401" s="1" t="s">
        <v>1200</v>
      </c>
      <c r="B401" s="1" t="s">
        <v>1197</v>
      </c>
      <c r="C401" s="580">
        <v>2</v>
      </c>
      <c r="D401" s="1">
        <v>1004.52</v>
      </c>
      <c r="E401" t="s">
        <v>1198</v>
      </c>
      <c r="F401">
        <v>2</v>
      </c>
      <c r="G401" s="580">
        <v>0</v>
      </c>
      <c r="H401" s="1" t="s">
        <v>1201</v>
      </c>
      <c r="I401" s="1"/>
      <c r="J401" s="1"/>
      <c r="K401" s="1"/>
      <c r="L401" s="1"/>
      <c r="M401" s="1"/>
      <c r="N401" s="1"/>
      <c r="Q401"/>
    </row>
    <row r="402" spans="1:17" ht="13.15" customHeight="1" x14ac:dyDescent="0.2">
      <c r="A402" s="1" t="s">
        <v>1202</v>
      </c>
      <c r="B402" s="1" t="s">
        <v>1197</v>
      </c>
      <c r="C402" s="580">
        <v>3</v>
      </c>
      <c r="D402" s="1">
        <v>1004.52</v>
      </c>
      <c r="E402" t="s">
        <v>1198</v>
      </c>
      <c r="F402">
        <v>3</v>
      </c>
      <c r="G402" s="580">
        <v>310.2</v>
      </c>
      <c r="H402" s="1" t="s">
        <v>1203</v>
      </c>
      <c r="I402" s="1"/>
      <c r="J402" s="1"/>
      <c r="K402" s="1"/>
      <c r="L402" s="1"/>
      <c r="M402" s="1"/>
      <c r="N402" s="1"/>
      <c r="Q402"/>
    </row>
    <row r="403" spans="1:17" ht="13.15" customHeight="1" x14ac:dyDescent="0.2">
      <c r="A403" s="1" t="s">
        <v>1204</v>
      </c>
      <c r="B403" s="1" t="s">
        <v>1197</v>
      </c>
      <c r="C403" s="580">
        <v>4</v>
      </c>
      <c r="D403" s="1">
        <v>1112.1199999999999</v>
      </c>
      <c r="E403" t="s">
        <v>1198</v>
      </c>
      <c r="F403">
        <v>4</v>
      </c>
      <c r="G403" s="580">
        <v>324.3</v>
      </c>
      <c r="H403" s="1" t="s">
        <v>1205</v>
      </c>
      <c r="I403" s="1"/>
      <c r="J403" s="1"/>
      <c r="K403" s="1"/>
      <c r="L403" s="1"/>
      <c r="M403" s="1"/>
      <c r="N403" s="1"/>
      <c r="Q403"/>
    </row>
    <row r="404" spans="1:17" ht="13.15" customHeight="1" x14ac:dyDescent="0.2">
      <c r="A404" s="1" t="s">
        <v>1206</v>
      </c>
      <c r="B404" s="1" t="s">
        <v>1197</v>
      </c>
      <c r="C404" s="580">
        <v>5</v>
      </c>
      <c r="D404" s="1">
        <v>1112.1199999999999</v>
      </c>
      <c r="E404" t="s">
        <v>1198</v>
      </c>
      <c r="F404">
        <v>5</v>
      </c>
      <c r="G404" s="580">
        <v>310.2</v>
      </c>
      <c r="H404" s="1" t="s">
        <v>1207</v>
      </c>
      <c r="I404" s="1"/>
      <c r="J404" s="1"/>
      <c r="K404" s="1"/>
      <c r="L404" s="1"/>
      <c r="M404" s="1"/>
      <c r="N404" s="1"/>
      <c r="Q404"/>
    </row>
    <row r="405" spans="1:17" ht="13.15" customHeight="1" x14ac:dyDescent="0.2">
      <c r="A405" s="1" t="s">
        <v>1208</v>
      </c>
      <c r="B405" s="1" t="s">
        <v>1197</v>
      </c>
      <c r="C405" s="580">
        <v>6</v>
      </c>
      <c r="D405" s="1">
        <v>1165.72</v>
      </c>
      <c r="E405" t="s">
        <v>1198</v>
      </c>
      <c r="F405">
        <v>6</v>
      </c>
      <c r="G405" s="580">
        <v>310.2</v>
      </c>
      <c r="H405" s="1" t="s">
        <v>1209</v>
      </c>
      <c r="I405" s="1"/>
      <c r="J405" s="1"/>
      <c r="K405" s="1"/>
      <c r="L405" s="1"/>
      <c r="M405" s="1"/>
      <c r="N405" s="1"/>
      <c r="Q405"/>
    </row>
    <row r="406" spans="1:17" ht="13.15" customHeight="1" x14ac:dyDescent="0.2">
      <c r="A406" s="1" t="s">
        <v>1210</v>
      </c>
      <c r="B406" s="1" t="s">
        <v>1197</v>
      </c>
      <c r="C406" s="580">
        <v>7</v>
      </c>
      <c r="D406" s="1">
        <v>1255.56</v>
      </c>
      <c r="E406" t="s">
        <v>1198</v>
      </c>
      <c r="F406">
        <v>7</v>
      </c>
      <c r="G406" s="580">
        <v>0</v>
      </c>
      <c r="H406" s="1" t="s">
        <v>1211</v>
      </c>
      <c r="I406" s="1"/>
      <c r="J406" s="1"/>
      <c r="K406" s="1"/>
      <c r="L406" s="1"/>
      <c r="M406" s="1"/>
      <c r="N406" s="1"/>
      <c r="Q406"/>
    </row>
    <row r="407" spans="1:17" ht="13.15" customHeight="1" x14ac:dyDescent="0.2">
      <c r="A407" s="1" t="s">
        <v>1212</v>
      </c>
      <c r="B407" s="1" t="s">
        <v>1197</v>
      </c>
      <c r="C407" s="580">
        <v>8</v>
      </c>
      <c r="D407" s="1">
        <v>2116.64</v>
      </c>
      <c r="E407" t="s">
        <v>1198</v>
      </c>
      <c r="F407">
        <v>8</v>
      </c>
      <c r="G407" s="580">
        <v>507.6</v>
      </c>
      <c r="H407" s="1" t="s">
        <v>1213</v>
      </c>
      <c r="I407" s="1"/>
      <c r="J407" s="1"/>
      <c r="K407" s="1"/>
      <c r="L407" s="1"/>
      <c r="M407" s="1"/>
      <c r="N407" s="1"/>
      <c r="Q407"/>
    </row>
    <row r="408" spans="1:17" ht="13.15" customHeight="1" x14ac:dyDescent="0.2">
      <c r="A408" s="1" t="s">
        <v>1214</v>
      </c>
      <c r="B408" s="1" t="s">
        <v>1197</v>
      </c>
      <c r="C408" s="580">
        <v>9</v>
      </c>
      <c r="D408" s="1">
        <v>1632.32</v>
      </c>
      <c r="E408" t="s">
        <v>1198</v>
      </c>
      <c r="F408">
        <v>9</v>
      </c>
      <c r="G408" s="580">
        <v>282</v>
      </c>
      <c r="H408" s="1" t="s">
        <v>1215</v>
      </c>
      <c r="I408" s="1"/>
      <c r="J408" s="1"/>
      <c r="K408" s="1"/>
      <c r="L408" s="1"/>
      <c r="M408" s="1"/>
      <c r="N408" s="1"/>
      <c r="Q408"/>
    </row>
    <row r="409" spans="1:17" ht="13.15" customHeight="1" x14ac:dyDescent="0.2">
      <c r="A409" s="1" t="s">
        <v>1216</v>
      </c>
      <c r="B409" s="1" t="s">
        <v>1197</v>
      </c>
      <c r="C409" s="580">
        <v>10</v>
      </c>
      <c r="D409" s="1">
        <v>2331.84</v>
      </c>
      <c r="E409" t="s">
        <v>1198</v>
      </c>
      <c r="F409">
        <v>10</v>
      </c>
      <c r="G409" s="580">
        <v>479.4</v>
      </c>
      <c r="H409" s="1" t="s">
        <v>1217</v>
      </c>
      <c r="I409" s="1"/>
      <c r="J409" s="1"/>
      <c r="K409" s="1"/>
      <c r="L409" s="1"/>
      <c r="M409" s="1"/>
      <c r="N409" s="1"/>
      <c r="Q409"/>
    </row>
    <row r="410" spans="1:17" ht="13.15" customHeight="1" x14ac:dyDescent="0.2">
      <c r="A410" s="1" t="s">
        <v>1218</v>
      </c>
      <c r="B410" s="1" t="s">
        <v>1197</v>
      </c>
      <c r="C410" s="580">
        <v>11</v>
      </c>
      <c r="D410" s="1">
        <v>2331.84</v>
      </c>
      <c r="E410" t="s">
        <v>1198</v>
      </c>
      <c r="F410">
        <v>11</v>
      </c>
      <c r="G410" s="580">
        <v>549.9</v>
      </c>
      <c r="H410" s="1" t="s">
        <v>1219</v>
      </c>
      <c r="I410" s="1"/>
      <c r="J410" s="1"/>
      <c r="K410" s="1"/>
      <c r="L410" s="1"/>
      <c r="M410" s="1"/>
      <c r="N410" s="1"/>
      <c r="Q410"/>
    </row>
    <row r="411" spans="1:17" ht="13.15" customHeight="1" x14ac:dyDescent="0.2">
      <c r="A411" s="1" t="s">
        <v>1220</v>
      </c>
      <c r="B411" s="1" t="s">
        <v>1197</v>
      </c>
      <c r="C411" s="580">
        <v>12</v>
      </c>
      <c r="D411" s="1">
        <v>2690.44</v>
      </c>
      <c r="E411" t="s">
        <v>1198</v>
      </c>
      <c r="F411">
        <v>12</v>
      </c>
      <c r="G411" s="580">
        <v>549.9</v>
      </c>
      <c r="H411" s="1" t="s">
        <v>1221</v>
      </c>
      <c r="I411" s="1"/>
      <c r="J411" s="1"/>
      <c r="K411" s="1"/>
      <c r="L411" s="1"/>
      <c r="M411" s="1"/>
      <c r="N411" s="1"/>
      <c r="Q411"/>
    </row>
    <row r="412" spans="1:17" ht="13.15" customHeight="1" x14ac:dyDescent="0.2">
      <c r="A412" s="1" t="s">
        <v>1222</v>
      </c>
      <c r="B412" s="1" t="s">
        <v>1197</v>
      </c>
      <c r="C412" s="580">
        <v>13</v>
      </c>
      <c r="D412" s="1">
        <v>2690.44</v>
      </c>
      <c r="E412" t="s">
        <v>1198</v>
      </c>
      <c r="F412">
        <v>13</v>
      </c>
      <c r="G412" s="580">
        <v>549.9</v>
      </c>
      <c r="H412" s="1" t="s">
        <v>1223</v>
      </c>
      <c r="I412" s="1"/>
      <c r="J412" s="1"/>
      <c r="K412" s="1"/>
      <c r="L412" s="1"/>
      <c r="M412" s="1"/>
      <c r="N412" s="1"/>
      <c r="Q412"/>
    </row>
    <row r="413" spans="1:17" ht="13.15" customHeight="1" x14ac:dyDescent="0.2">
      <c r="A413" s="1" t="s">
        <v>1224</v>
      </c>
      <c r="B413" s="1" t="s">
        <v>1197</v>
      </c>
      <c r="C413" s="580">
        <v>14</v>
      </c>
      <c r="D413" s="1">
        <v>3408.08</v>
      </c>
      <c r="E413" t="s">
        <v>1198</v>
      </c>
      <c r="F413">
        <v>14</v>
      </c>
      <c r="G413" s="580">
        <v>676.8</v>
      </c>
      <c r="H413" s="1" t="s">
        <v>1225</v>
      </c>
      <c r="I413" s="1"/>
      <c r="J413" s="1"/>
      <c r="K413" s="1"/>
      <c r="L413" s="1"/>
      <c r="M413" s="1"/>
      <c r="N413" s="1"/>
      <c r="Q413"/>
    </row>
    <row r="414" spans="1:17" ht="13.15" customHeight="1" x14ac:dyDescent="0.2">
      <c r="A414" s="1" t="s">
        <v>1226</v>
      </c>
      <c r="B414" s="1" t="s">
        <v>1197</v>
      </c>
      <c r="C414" s="580">
        <v>15</v>
      </c>
      <c r="D414" s="1">
        <v>2152.52</v>
      </c>
      <c r="E414" t="s">
        <v>1198</v>
      </c>
      <c r="F414">
        <v>15</v>
      </c>
      <c r="G414" s="580">
        <v>521.70000000000005</v>
      </c>
      <c r="H414" s="1" t="s">
        <v>1227</v>
      </c>
      <c r="I414" s="1"/>
      <c r="J414" s="1"/>
      <c r="K414" s="1"/>
      <c r="L414" s="1"/>
      <c r="M414" s="1"/>
      <c r="N414" s="1"/>
      <c r="Q414"/>
    </row>
    <row r="415" spans="1:17" ht="13.15" customHeight="1" x14ac:dyDescent="0.2">
      <c r="A415" s="1" t="s">
        <v>1228</v>
      </c>
      <c r="B415" s="1" t="s">
        <v>1197</v>
      </c>
      <c r="C415" s="580">
        <v>16</v>
      </c>
      <c r="D415" s="1">
        <v>2331.84</v>
      </c>
      <c r="E415" t="s">
        <v>1198</v>
      </c>
      <c r="F415">
        <v>16</v>
      </c>
      <c r="G415" s="580">
        <v>507.6</v>
      </c>
      <c r="H415" s="1" t="s">
        <v>1229</v>
      </c>
      <c r="I415" s="1"/>
      <c r="J415" s="1"/>
      <c r="K415" s="1"/>
      <c r="L415" s="1"/>
      <c r="M415" s="1"/>
      <c r="N415" s="1"/>
      <c r="Q415"/>
    </row>
    <row r="416" spans="1:17" ht="13.15" customHeight="1" x14ac:dyDescent="0.2">
      <c r="A416" s="1" t="s">
        <v>1230</v>
      </c>
      <c r="B416" s="1" t="s">
        <v>1197</v>
      </c>
      <c r="C416" s="580">
        <v>17</v>
      </c>
      <c r="D416" s="1">
        <v>3497.56</v>
      </c>
      <c r="E416" t="s">
        <v>1198</v>
      </c>
      <c r="F416">
        <v>17</v>
      </c>
      <c r="G416" s="580">
        <v>606.29999999999995</v>
      </c>
      <c r="H416" s="1" t="s">
        <v>1231</v>
      </c>
      <c r="I416" s="1"/>
      <c r="J416" s="1"/>
      <c r="K416" s="1"/>
      <c r="L416" s="1"/>
      <c r="M416" s="1"/>
      <c r="N416" s="1"/>
      <c r="Q416"/>
    </row>
    <row r="417" spans="1:17" ht="13.15" customHeight="1" x14ac:dyDescent="0.2">
      <c r="A417" s="1" t="s">
        <v>1232</v>
      </c>
      <c r="B417" s="1" t="s">
        <v>1197</v>
      </c>
      <c r="C417" s="580">
        <v>18</v>
      </c>
      <c r="D417" s="1">
        <v>2511.12</v>
      </c>
      <c r="E417" t="s">
        <v>1198</v>
      </c>
      <c r="F417">
        <v>18</v>
      </c>
      <c r="G417" s="580">
        <v>549.9</v>
      </c>
      <c r="H417" s="1" t="s">
        <v>1233</v>
      </c>
      <c r="I417" s="1"/>
      <c r="J417" s="1"/>
      <c r="K417" s="1"/>
      <c r="L417" s="1"/>
      <c r="M417" s="1"/>
      <c r="N417" s="1"/>
      <c r="Q417"/>
    </row>
    <row r="418" spans="1:17" ht="13.15" customHeight="1" x14ac:dyDescent="0.2">
      <c r="A418" s="1" t="s">
        <v>1234</v>
      </c>
      <c r="B418" s="1" t="s">
        <v>1197</v>
      </c>
      <c r="C418" s="580">
        <v>19</v>
      </c>
      <c r="D418" s="1">
        <v>2690.44</v>
      </c>
      <c r="E418" t="s">
        <v>1198</v>
      </c>
      <c r="F418">
        <v>19</v>
      </c>
      <c r="G418" s="580">
        <v>549.9</v>
      </c>
      <c r="H418" s="1" t="s">
        <v>1235</v>
      </c>
      <c r="I418" s="1"/>
      <c r="J418" s="1"/>
      <c r="K418" s="1"/>
      <c r="L418" s="1"/>
      <c r="M418" s="1"/>
      <c r="N418" s="1"/>
      <c r="Q418"/>
    </row>
    <row r="419" spans="1:17" ht="13.15" customHeight="1" x14ac:dyDescent="0.2">
      <c r="A419" s="1" t="s">
        <v>1236</v>
      </c>
      <c r="B419" s="1" t="s">
        <v>1197</v>
      </c>
      <c r="C419" s="580">
        <v>20</v>
      </c>
      <c r="D419" s="1">
        <v>2869.76</v>
      </c>
      <c r="E419" t="s">
        <v>1198</v>
      </c>
      <c r="F419">
        <v>20</v>
      </c>
      <c r="G419" s="580">
        <v>606.29999999999995</v>
      </c>
      <c r="H419" s="1" t="s">
        <v>1237</v>
      </c>
      <c r="I419" s="1"/>
      <c r="J419" s="1"/>
      <c r="K419" s="1"/>
      <c r="L419" s="1"/>
      <c r="M419" s="1"/>
      <c r="N419" s="1"/>
      <c r="Q419"/>
    </row>
    <row r="420" spans="1:17" ht="13.15" customHeight="1" x14ac:dyDescent="0.2">
      <c r="A420" s="1" t="s">
        <v>1238</v>
      </c>
      <c r="B420" s="1" t="s">
        <v>1197</v>
      </c>
      <c r="C420" s="580">
        <v>21</v>
      </c>
      <c r="D420" s="1">
        <v>3946.04</v>
      </c>
      <c r="E420" t="s">
        <v>1198</v>
      </c>
      <c r="F420">
        <v>21</v>
      </c>
      <c r="G420" s="580">
        <v>775.5</v>
      </c>
      <c r="H420" s="1" t="s">
        <v>1239</v>
      </c>
      <c r="I420" s="1"/>
      <c r="J420" s="1"/>
      <c r="K420" s="1"/>
      <c r="L420" s="1"/>
      <c r="M420" s="1"/>
      <c r="N420" s="1"/>
      <c r="Q420"/>
    </row>
    <row r="421" spans="1:17" ht="13.15" customHeight="1" x14ac:dyDescent="0.2">
      <c r="A421" s="1" t="s">
        <v>1240</v>
      </c>
      <c r="B421" s="1" t="s">
        <v>1197</v>
      </c>
      <c r="C421" s="580">
        <v>22</v>
      </c>
      <c r="D421" s="1">
        <v>2869.76</v>
      </c>
      <c r="E421" t="s">
        <v>1198</v>
      </c>
      <c r="F421">
        <v>22</v>
      </c>
      <c r="G421" s="580">
        <v>600</v>
      </c>
      <c r="H421" s="1" t="s">
        <v>1241</v>
      </c>
      <c r="I421" s="1"/>
      <c r="J421" s="1"/>
      <c r="K421" s="1"/>
      <c r="L421" s="1"/>
      <c r="M421" s="1"/>
      <c r="N421" s="1"/>
      <c r="Q421"/>
    </row>
    <row r="422" spans="1:17" ht="13.15" customHeight="1" x14ac:dyDescent="0.2">
      <c r="A422" s="1" t="s">
        <v>1242</v>
      </c>
      <c r="B422" s="1" t="s">
        <v>1197</v>
      </c>
      <c r="C422" s="580">
        <v>23</v>
      </c>
      <c r="D422" s="1">
        <v>2869.76</v>
      </c>
      <c r="E422" t="s">
        <v>1198</v>
      </c>
      <c r="F422">
        <v>23</v>
      </c>
      <c r="G422" s="580">
        <v>606.29999999999995</v>
      </c>
      <c r="H422" s="1" t="s">
        <v>1243</v>
      </c>
      <c r="I422" s="1"/>
      <c r="J422" s="1"/>
      <c r="K422" s="1"/>
      <c r="L422" s="1"/>
      <c r="M422" s="1"/>
      <c r="N422" s="1"/>
      <c r="Q422"/>
    </row>
    <row r="423" spans="1:17" ht="13.15" customHeight="1" x14ac:dyDescent="0.2">
      <c r="A423" s="1" t="s">
        <v>1244</v>
      </c>
      <c r="B423" s="1" t="s">
        <v>1197</v>
      </c>
      <c r="C423" s="580">
        <v>24</v>
      </c>
      <c r="D423" s="1">
        <v>3049.08</v>
      </c>
      <c r="E423" t="s">
        <v>1198</v>
      </c>
      <c r="F423">
        <v>24</v>
      </c>
      <c r="G423" s="580">
        <v>606.29999999999995</v>
      </c>
      <c r="H423" s="1" t="s">
        <v>1245</v>
      </c>
      <c r="I423" s="1"/>
      <c r="J423" s="1"/>
      <c r="K423" s="1"/>
      <c r="L423" s="1"/>
      <c r="M423" s="1"/>
      <c r="N423" s="1"/>
      <c r="Q423"/>
    </row>
    <row r="424" spans="1:17" ht="13.15" customHeight="1" x14ac:dyDescent="0.2">
      <c r="A424" s="1" t="s">
        <v>1246</v>
      </c>
      <c r="B424" s="1" t="s">
        <v>1197</v>
      </c>
      <c r="C424" s="580">
        <v>25</v>
      </c>
      <c r="D424" s="1">
        <v>3049.08</v>
      </c>
      <c r="E424" t="s">
        <v>1198</v>
      </c>
      <c r="F424">
        <v>25</v>
      </c>
      <c r="G424" s="580">
        <v>606.29999999999995</v>
      </c>
      <c r="H424" s="1" t="s">
        <v>1247</v>
      </c>
      <c r="I424" s="1"/>
      <c r="J424" s="1"/>
      <c r="K424" s="1"/>
      <c r="L424" s="1"/>
      <c r="M424" s="1"/>
      <c r="N424" s="1"/>
      <c r="Q424"/>
    </row>
    <row r="425" spans="1:17" ht="13.15" customHeight="1" x14ac:dyDescent="0.2">
      <c r="A425" s="1" t="s">
        <v>1248</v>
      </c>
      <c r="B425" s="1" t="s">
        <v>1197</v>
      </c>
      <c r="C425" s="580">
        <v>26</v>
      </c>
      <c r="D425" s="1">
        <v>4484.32</v>
      </c>
      <c r="E425" t="s">
        <v>1198</v>
      </c>
      <c r="F425">
        <v>26</v>
      </c>
      <c r="G425" s="580">
        <v>789.6</v>
      </c>
      <c r="H425" s="1" t="s">
        <v>1249</v>
      </c>
      <c r="I425" s="1"/>
      <c r="J425" s="1"/>
      <c r="K425" s="1"/>
      <c r="L425" s="1"/>
      <c r="M425" s="1"/>
      <c r="N425" s="1"/>
      <c r="Q425"/>
    </row>
    <row r="426" spans="1:17" ht="13.15" customHeight="1" x14ac:dyDescent="0.2">
      <c r="A426" s="1" t="s">
        <v>1250</v>
      </c>
      <c r="B426" s="1" t="s">
        <v>1197</v>
      </c>
      <c r="C426" s="580">
        <v>27</v>
      </c>
      <c r="D426" s="1">
        <v>3587.4</v>
      </c>
      <c r="E426" t="s">
        <v>1198</v>
      </c>
      <c r="F426">
        <v>27</v>
      </c>
      <c r="G426" s="580">
        <v>480</v>
      </c>
      <c r="H426" s="1" t="s">
        <v>1251</v>
      </c>
      <c r="I426" s="1"/>
      <c r="J426" s="1"/>
      <c r="K426" s="1"/>
      <c r="L426" s="1"/>
      <c r="M426" s="1"/>
      <c r="N426" s="1"/>
      <c r="Q426"/>
    </row>
    <row r="427" spans="1:17" ht="13.15" customHeight="1" x14ac:dyDescent="0.2">
      <c r="A427" s="1" t="s">
        <v>1252</v>
      </c>
      <c r="B427" s="1" t="s">
        <v>1197</v>
      </c>
      <c r="C427" s="580">
        <v>28</v>
      </c>
      <c r="D427" s="1">
        <v>5022.28</v>
      </c>
      <c r="E427" t="s">
        <v>1198</v>
      </c>
      <c r="F427">
        <v>28</v>
      </c>
      <c r="G427" s="580">
        <v>0</v>
      </c>
      <c r="H427" s="1" t="s">
        <v>1253</v>
      </c>
      <c r="I427" s="1"/>
      <c r="J427" s="1"/>
      <c r="K427" s="1"/>
      <c r="L427" s="1"/>
      <c r="M427" s="1"/>
      <c r="N427" s="1"/>
      <c r="Q427"/>
    </row>
    <row r="428" spans="1:17" ht="13.15" customHeight="1" x14ac:dyDescent="0.2">
      <c r="A428" s="1" t="s">
        <v>1254</v>
      </c>
      <c r="B428" s="1" t="s">
        <v>1197</v>
      </c>
      <c r="C428" s="580">
        <v>30</v>
      </c>
      <c r="D428" s="1">
        <v>1168.32</v>
      </c>
      <c r="E428" t="s">
        <v>1198</v>
      </c>
      <c r="F428">
        <v>30</v>
      </c>
      <c r="G428" s="580">
        <v>310.2</v>
      </c>
      <c r="H428" s="1" t="s">
        <v>1255</v>
      </c>
      <c r="I428" s="1"/>
      <c r="J428" s="1"/>
      <c r="K428" s="1"/>
      <c r="L428" s="1"/>
      <c r="M428" s="1"/>
      <c r="N428" s="1"/>
      <c r="Q428"/>
    </row>
    <row r="429" spans="1:17" ht="13.15" customHeight="1" x14ac:dyDescent="0.2">
      <c r="A429" s="1" t="s">
        <v>1256</v>
      </c>
      <c r="B429" s="1" t="s">
        <v>1197</v>
      </c>
      <c r="C429" s="580">
        <v>31</v>
      </c>
      <c r="D429" s="1">
        <v>1168.32</v>
      </c>
      <c r="E429" t="s">
        <v>1198</v>
      </c>
      <c r="F429">
        <v>31</v>
      </c>
      <c r="G429" s="580">
        <v>0</v>
      </c>
      <c r="H429" s="1" t="s">
        <v>1257</v>
      </c>
      <c r="I429" s="1"/>
      <c r="J429" s="1"/>
      <c r="K429" s="1"/>
      <c r="L429" s="1"/>
      <c r="M429" s="1"/>
      <c r="N429" s="1"/>
      <c r="Q429"/>
    </row>
    <row r="430" spans="1:17" ht="13.15" customHeight="1" x14ac:dyDescent="0.2">
      <c r="A430" s="1" t="s">
        <v>1258</v>
      </c>
      <c r="B430" s="1" t="s">
        <v>1197</v>
      </c>
      <c r="C430" s="580">
        <v>32</v>
      </c>
      <c r="D430" s="1">
        <v>1255.56</v>
      </c>
      <c r="E430" t="s">
        <v>1198</v>
      </c>
      <c r="F430">
        <v>32</v>
      </c>
      <c r="G430" s="580">
        <v>0</v>
      </c>
      <c r="H430" s="1" t="s">
        <v>1259</v>
      </c>
      <c r="I430" s="1"/>
      <c r="J430" s="1"/>
      <c r="K430" s="1"/>
      <c r="L430" s="1"/>
      <c r="M430" s="1"/>
      <c r="N430" s="1"/>
      <c r="Q430"/>
    </row>
    <row r="431" spans="1:17" ht="13.15" customHeight="1" x14ac:dyDescent="0.2">
      <c r="A431" s="1" t="s">
        <v>1260</v>
      </c>
      <c r="B431" s="1" t="s">
        <v>1197</v>
      </c>
      <c r="C431" s="580">
        <v>33</v>
      </c>
      <c r="D431" s="1">
        <v>1372.04</v>
      </c>
      <c r="E431" t="s">
        <v>1198</v>
      </c>
      <c r="F431">
        <v>33</v>
      </c>
      <c r="G431" s="580">
        <v>338.4</v>
      </c>
      <c r="H431" s="1" t="s">
        <v>1261</v>
      </c>
      <c r="I431" s="1"/>
      <c r="J431" s="1"/>
      <c r="K431" s="1"/>
      <c r="L431" s="1"/>
      <c r="M431" s="1"/>
      <c r="N431" s="1"/>
      <c r="Q431"/>
    </row>
    <row r="432" spans="1:17" ht="13.15" customHeight="1" x14ac:dyDescent="0.2">
      <c r="A432" s="1" t="s">
        <v>1262</v>
      </c>
      <c r="B432" s="1" t="s">
        <v>1197</v>
      </c>
      <c r="C432" s="580">
        <v>34</v>
      </c>
      <c r="D432" s="1">
        <v>1328.4</v>
      </c>
      <c r="E432" t="s">
        <v>1198</v>
      </c>
      <c r="F432">
        <v>34</v>
      </c>
      <c r="G432" s="580">
        <v>0</v>
      </c>
      <c r="H432" s="1" t="s">
        <v>1263</v>
      </c>
      <c r="I432" s="1"/>
      <c r="J432" s="1"/>
      <c r="K432" s="1"/>
      <c r="L432" s="1"/>
      <c r="M432" s="1"/>
      <c r="N432" s="1"/>
      <c r="Q432"/>
    </row>
    <row r="433" spans="1:17" ht="13.15" customHeight="1" x14ac:dyDescent="0.2">
      <c r="A433" s="1" t="s">
        <v>1264</v>
      </c>
      <c r="B433" s="1" t="s">
        <v>1197</v>
      </c>
      <c r="C433" s="580">
        <v>38</v>
      </c>
      <c r="D433" s="1">
        <v>1168.32</v>
      </c>
      <c r="E433" t="s">
        <v>1198</v>
      </c>
      <c r="F433">
        <v>38</v>
      </c>
      <c r="G433" s="580">
        <v>0</v>
      </c>
      <c r="H433" s="1" t="s">
        <v>1265</v>
      </c>
      <c r="I433" s="1"/>
      <c r="J433" s="1"/>
      <c r="K433" s="1"/>
      <c r="L433" s="1"/>
      <c r="M433" s="1"/>
      <c r="N433" s="1"/>
      <c r="Q433"/>
    </row>
    <row r="434" spans="1:17" ht="13.15" customHeight="1" x14ac:dyDescent="0.2">
      <c r="A434" s="1" t="s">
        <v>1266</v>
      </c>
      <c r="B434" s="1" t="s">
        <v>1197</v>
      </c>
      <c r="C434" s="580">
        <v>39</v>
      </c>
      <c r="D434" s="1">
        <v>1657.84</v>
      </c>
      <c r="E434" t="s">
        <v>1198</v>
      </c>
      <c r="F434">
        <v>39</v>
      </c>
      <c r="G434" s="580">
        <v>183.3</v>
      </c>
      <c r="H434" s="1" t="s">
        <v>1267</v>
      </c>
      <c r="I434" s="1"/>
      <c r="J434" s="1"/>
      <c r="K434" s="1"/>
      <c r="L434" s="1"/>
      <c r="M434" s="1"/>
      <c r="N434" s="1"/>
      <c r="Q434"/>
    </row>
    <row r="435" spans="1:17" ht="13.15" customHeight="1" x14ac:dyDescent="0.2">
      <c r="A435" s="1" t="s">
        <v>1268</v>
      </c>
      <c r="B435" s="1" t="s">
        <v>1197</v>
      </c>
      <c r="C435" s="580">
        <v>80</v>
      </c>
      <c r="D435" s="1">
        <v>2331.84</v>
      </c>
      <c r="E435" t="s">
        <v>1198</v>
      </c>
      <c r="F435">
        <v>80</v>
      </c>
      <c r="G435" s="580">
        <v>479.4</v>
      </c>
      <c r="H435" s="1" t="s">
        <v>1269</v>
      </c>
      <c r="I435" s="1"/>
      <c r="J435" s="1"/>
      <c r="K435" s="1"/>
      <c r="L435" s="1"/>
      <c r="M435" s="1"/>
      <c r="N435" s="1"/>
      <c r="Q435"/>
    </row>
    <row r="436" spans="1:17" ht="13.15" customHeight="1" x14ac:dyDescent="0.2">
      <c r="A436" s="1" t="s">
        <v>1270</v>
      </c>
      <c r="B436" s="1" t="s">
        <v>1197</v>
      </c>
      <c r="C436" s="580">
        <v>81</v>
      </c>
      <c r="D436" s="1">
        <v>2690.44</v>
      </c>
      <c r="E436" t="s">
        <v>1198</v>
      </c>
      <c r="F436">
        <v>81</v>
      </c>
      <c r="G436" s="580">
        <v>549.9</v>
      </c>
      <c r="H436" s="1" t="s">
        <v>1271</v>
      </c>
      <c r="I436" s="1"/>
      <c r="J436" s="1"/>
      <c r="K436" s="1"/>
      <c r="L436" s="1"/>
      <c r="M436" s="1"/>
      <c r="N436" s="1"/>
      <c r="Q436"/>
    </row>
    <row r="437" spans="1:17" ht="13.15" customHeight="1" x14ac:dyDescent="0.2">
      <c r="A437" s="1" t="s">
        <v>1272</v>
      </c>
      <c r="B437" s="1" t="s">
        <v>1197</v>
      </c>
      <c r="C437" s="580">
        <v>82</v>
      </c>
      <c r="D437" s="1">
        <v>4125.32</v>
      </c>
      <c r="E437" t="s">
        <v>1198</v>
      </c>
      <c r="F437">
        <v>82</v>
      </c>
      <c r="G437" s="580">
        <v>846</v>
      </c>
      <c r="H437" s="1" t="s">
        <v>1273</v>
      </c>
      <c r="I437" s="1"/>
      <c r="J437" s="1"/>
      <c r="K437" s="1"/>
      <c r="L437" s="1"/>
      <c r="M437" s="1"/>
      <c r="N437" s="1"/>
      <c r="Q437"/>
    </row>
    <row r="438" spans="1:17" ht="13.15" customHeight="1" x14ac:dyDescent="0.2">
      <c r="A438" s="1" t="s">
        <v>1274</v>
      </c>
      <c r="B438" s="1" t="s">
        <v>1197</v>
      </c>
      <c r="C438" s="580">
        <v>83</v>
      </c>
      <c r="D438" s="1">
        <v>2690.44</v>
      </c>
      <c r="E438" t="s">
        <v>1198</v>
      </c>
      <c r="F438">
        <v>83</v>
      </c>
      <c r="G438" s="580">
        <v>0</v>
      </c>
      <c r="H438" s="1" t="s">
        <v>1275</v>
      </c>
      <c r="I438" s="1"/>
      <c r="J438" s="1"/>
      <c r="K438" s="1"/>
      <c r="L438" s="1"/>
      <c r="M438" s="1"/>
      <c r="N438" s="1"/>
      <c r="Q438"/>
    </row>
    <row r="439" spans="1:17" ht="13.15" customHeight="1" x14ac:dyDescent="0.2">
      <c r="A439" s="1" t="s">
        <v>1276</v>
      </c>
      <c r="B439" s="1" t="s">
        <v>1197</v>
      </c>
      <c r="C439" s="580">
        <v>84</v>
      </c>
      <c r="D439" s="1">
        <v>2869.76</v>
      </c>
      <c r="E439" t="s">
        <v>1198</v>
      </c>
      <c r="F439">
        <v>84</v>
      </c>
      <c r="G439" s="580">
        <v>479.4</v>
      </c>
      <c r="H439" s="1" t="s">
        <v>1277</v>
      </c>
      <c r="I439" s="1"/>
      <c r="J439" s="1"/>
      <c r="K439" s="1"/>
      <c r="L439" s="1"/>
      <c r="M439" s="1"/>
      <c r="N439" s="1"/>
      <c r="Q439"/>
    </row>
    <row r="440" spans="1:17" ht="13.15" customHeight="1" x14ac:dyDescent="0.2">
      <c r="A440" s="1" t="s">
        <v>1278</v>
      </c>
      <c r="B440" s="1" t="s">
        <v>1197</v>
      </c>
      <c r="C440" s="580">
        <v>85</v>
      </c>
      <c r="D440" s="1">
        <v>3946.04</v>
      </c>
      <c r="E440" t="s">
        <v>1198</v>
      </c>
      <c r="F440">
        <v>85</v>
      </c>
      <c r="G440" s="580">
        <v>0</v>
      </c>
      <c r="H440" s="1" t="s">
        <v>1279</v>
      </c>
      <c r="I440" s="1"/>
      <c r="J440" s="1"/>
      <c r="K440" s="1"/>
      <c r="L440" s="1"/>
      <c r="M440" s="1"/>
      <c r="N440" s="1"/>
      <c r="Q440"/>
    </row>
    <row r="441" spans="1:17" ht="13.15" customHeight="1" x14ac:dyDescent="0.2">
      <c r="A441" s="1" t="s">
        <v>1280</v>
      </c>
      <c r="B441" s="1" t="s">
        <v>1197</v>
      </c>
      <c r="C441" s="580">
        <v>86</v>
      </c>
      <c r="D441" s="1">
        <v>3141.52</v>
      </c>
      <c r="E441" t="s">
        <v>1198</v>
      </c>
      <c r="F441">
        <v>86</v>
      </c>
      <c r="G441" s="580">
        <v>0</v>
      </c>
      <c r="H441" s="1" t="s">
        <v>1281</v>
      </c>
      <c r="I441" s="1"/>
      <c r="J441" s="1"/>
      <c r="K441" s="1"/>
      <c r="L441" s="1"/>
      <c r="M441" s="1"/>
      <c r="N441" s="1"/>
      <c r="Q441"/>
    </row>
    <row r="442" spans="1:17" ht="13.15" customHeight="1" x14ac:dyDescent="0.2">
      <c r="A442" s="1" t="s">
        <v>1282</v>
      </c>
      <c r="B442" s="1" t="s">
        <v>1197</v>
      </c>
      <c r="C442" s="580">
        <v>87</v>
      </c>
      <c r="D442" s="1">
        <v>3228.76</v>
      </c>
      <c r="E442" t="s">
        <v>1198</v>
      </c>
      <c r="F442">
        <v>87</v>
      </c>
      <c r="G442" s="580">
        <v>0</v>
      </c>
      <c r="H442" s="1" t="s">
        <v>1283</v>
      </c>
      <c r="I442" s="1"/>
      <c r="J442" s="1"/>
      <c r="K442" s="1"/>
      <c r="L442" s="1"/>
      <c r="M442" s="1"/>
      <c r="N442" s="1"/>
      <c r="Q442"/>
    </row>
    <row r="443" spans="1:17" ht="13.15" customHeight="1" x14ac:dyDescent="0.2">
      <c r="A443" s="1" t="s">
        <v>1284</v>
      </c>
      <c r="B443" s="1" t="s">
        <v>1197</v>
      </c>
      <c r="C443" s="580">
        <v>88</v>
      </c>
      <c r="D443" s="1">
        <v>3587.4</v>
      </c>
      <c r="E443" t="s">
        <v>1198</v>
      </c>
      <c r="F443">
        <v>88</v>
      </c>
      <c r="G443" s="580">
        <v>0</v>
      </c>
      <c r="H443" s="1" t="s">
        <v>1285</v>
      </c>
      <c r="I443" s="1"/>
      <c r="J443" s="1"/>
      <c r="K443" s="1"/>
      <c r="L443" s="1"/>
      <c r="M443" s="1"/>
      <c r="N443" s="1"/>
      <c r="Q443"/>
    </row>
    <row r="444" spans="1:17" ht="13.15" customHeight="1" x14ac:dyDescent="0.2">
      <c r="A444" s="1" t="s">
        <v>1286</v>
      </c>
      <c r="B444" s="1" t="s">
        <v>1197</v>
      </c>
      <c r="C444" s="580">
        <v>89</v>
      </c>
      <c r="D444" s="1">
        <v>4673.28</v>
      </c>
      <c r="E444" t="s">
        <v>1198</v>
      </c>
      <c r="F444">
        <v>89</v>
      </c>
      <c r="G444" s="580">
        <v>0</v>
      </c>
      <c r="H444" s="1" t="s">
        <v>1287</v>
      </c>
      <c r="I444" s="1"/>
      <c r="J444" s="1"/>
      <c r="K444" s="1"/>
      <c r="L444" s="1"/>
      <c r="M444" s="1"/>
      <c r="N444" s="1"/>
      <c r="Q444"/>
    </row>
    <row r="445" spans="1:17" ht="13.15" customHeight="1" x14ac:dyDescent="0.2">
      <c r="A445" s="1" t="s">
        <v>1288</v>
      </c>
      <c r="B445" s="1" t="s">
        <v>1197</v>
      </c>
      <c r="C445" s="580">
        <v>35</v>
      </c>
      <c r="D445" s="1">
        <v>842.6</v>
      </c>
      <c r="E445" t="s">
        <v>1198</v>
      </c>
      <c r="F445">
        <v>35</v>
      </c>
      <c r="G445" s="580">
        <v>0</v>
      </c>
      <c r="H445" s="1" t="s">
        <v>1289</v>
      </c>
      <c r="I445" s="1"/>
      <c r="J445" s="1"/>
      <c r="K445" s="1"/>
      <c r="L445" s="1"/>
      <c r="M445" s="1"/>
      <c r="N445" s="1"/>
      <c r="Q445"/>
    </row>
    <row r="446" spans="1:17" ht="13.15" customHeight="1" x14ac:dyDescent="0.2">
      <c r="A446" s="1" t="s">
        <v>1290</v>
      </c>
      <c r="B446" s="1" t="s">
        <v>1197</v>
      </c>
      <c r="C446" s="580">
        <v>36</v>
      </c>
      <c r="D446" s="1">
        <v>963.12</v>
      </c>
      <c r="E446" t="s">
        <v>1198</v>
      </c>
      <c r="F446">
        <v>36</v>
      </c>
      <c r="G446" s="580">
        <v>0</v>
      </c>
      <c r="H446" s="1" t="s">
        <v>1291</v>
      </c>
      <c r="I446" s="1"/>
      <c r="J446" s="1"/>
      <c r="K446" s="1"/>
      <c r="L446" s="1"/>
      <c r="M446" s="1"/>
      <c r="N446" s="1"/>
      <c r="Q446"/>
    </row>
    <row r="447" spans="1:17" ht="13.15" customHeight="1" x14ac:dyDescent="0.2">
      <c r="A447" s="1" t="s">
        <v>1292</v>
      </c>
      <c r="B447" s="1" t="s">
        <v>1197</v>
      </c>
      <c r="C447" s="580">
        <v>37</v>
      </c>
      <c r="D447" s="1">
        <v>1054.08</v>
      </c>
      <c r="E447" t="s">
        <v>1198</v>
      </c>
      <c r="F447">
        <v>37</v>
      </c>
      <c r="G447" s="580">
        <v>0</v>
      </c>
      <c r="H447" s="1" t="s">
        <v>1293</v>
      </c>
      <c r="I447" s="1"/>
      <c r="J447" s="1"/>
      <c r="K447" s="1"/>
      <c r="L447" s="1"/>
      <c r="M447" s="1"/>
      <c r="N447" s="1"/>
      <c r="Q447"/>
    </row>
    <row r="448" spans="1:17" ht="13.15" customHeight="1" x14ac:dyDescent="0.2">
      <c r="A448" s="1" t="s">
        <v>1294</v>
      </c>
      <c r="B448" s="1" t="s">
        <v>1197</v>
      </c>
      <c r="C448" s="580">
        <v>40</v>
      </c>
      <c r="D448" s="1">
        <v>811.92</v>
      </c>
      <c r="E448" t="s">
        <v>1198</v>
      </c>
      <c r="F448">
        <v>40</v>
      </c>
      <c r="G448" s="580">
        <v>0</v>
      </c>
      <c r="H448" s="1" t="s">
        <v>1295</v>
      </c>
      <c r="I448" s="1"/>
      <c r="J448" s="1"/>
      <c r="K448" s="1"/>
      <c r="L448" s="1"/>
      <c r="M448" s="1"/>
      <c r="N448" s="1"/>
      <c r="Q448"/>
    </row>
    <row r="449" spans="1:17" ht="13.15" customHeight="1" x14ac:dyDescent="0.2">
      <c r="A449" s="1" t="s">
        <v>1296</v>
      </c>
      <c r="B449" s="1" t="s">
        <v>1197</v>
      </c>
      <c r="C449" s="580">
        <v>41</v>
      </c>
      <c r="D449" s="1">
        <v>811.92</v>
      </c>
      <c r="E449" t="s">
        <v>1198</v>
      </c>
      <c r="F449">
        <v>41</v>
      </c>
      <c r="G449" s="580">
        <v>0</v>
      </c>
      <c r="H449" s="1" t="s">
        <v>1201</v>
      </c>
      <c r="I449" s="1"/>
      <c r="J449" s="1"/>
      <c r="K449" s="1"/>
      <c r="L449" s="1"/>
      <c r="M449" s="1"/>
      <c r="N449" s="1"/>
      <c r="Q449"/>
    </row>
    <row r="450" spans="1:17" ht="13.15" customHeight="1" x14ac:dyDescent="0.2">
      <c r="A450" s="1" t="s">
        <v>1297</v>
      </c>
      <c r="B450" s="1" t="s">
        <v>1197</v>
      </c>
      <c r="C450" s="580">
        <v>42</v>
      </c>
      <c r="D450" s="1">
        <v>811.92</v>
      </c>
      <c r="E450" t="s">
        <v>1198</v>
      </c>
      <c r="F450">
        <v>42</v>
      </c>
      <c r="G450" s="580">
        <v>0</v>
      </c>
      <c r="H450" s="1" t="s">
        <v>1205</v>
      </c>
      <c r="I450" s="1"/>
      <c r="J450" s="1"/>
      <c r="K450" s="1"/>
      <c r="L450" s="1"/>
      <c r="M450" s="1"/>
      <c r="N450" s="1"/>
      <c r="Q450"/>
    </row>
    <row r="451" spans="1:17" ht="13.15" customHeight="1" x14ac:dyDescent="0.2">
      <c r="A451" s="1" t="s">
        <v>1298</v>
      </c>
      <c r="B451" s="1" t="s">
        <v>1197</v>
      </c>
      <c r="C451" s="580">
        <v>43</v>
      </c>
      <c r="D451" s="1">
        <v>811.92</v>
      </c>
      <c r="E451" t="s">
        <v>1198</v>
      </c>
      <c r="F451">
        <v>43</v>
      </c>
      <c r="G451" s="580">
        <v>239.7</v>
      </c>
      <c r="H451" s="1" t="s">
        <v>1299</v>
      </c>
      <c r="I451" s="1"/>
      <c r="J451" s="1"/>
      <c r="K451" s="1"/>
      <c r="L451" s="1"/>
      <c r="M451" s="1"/>
      <c r="N451" s="1"/>
      <c r="Q451"/>
    </row>
    <row r="452" spans="1:17" ht="13.15" customHeight="1" x14ac:dyDescent="0.2">
      <c r="A452" s="1" t="s">
        <v>1300</v>
      </c>
      <c r="B452" s="1" t="s">
        <v>1197</v>
      </c>
      <c r="C452" s="580">
        <v>44</v>
      </c>
      <c r="D452" s="1">
        <v>811.92</v>
      </c>
      <c r="E452" t="s">
        <v>1198</v>
      </c>
      <c r="F452">
        <v>44</v>
      </c>
      <c r="G452" s="580">
        <v>225.6</v>
      </c>
      <c r="H452" s="1" t="s">
        <v>1301</v>
      </c>
      <c r="I452" s="1"/>
      <c r="J452" s="1"/>
      <c r="K452" s="1"/>
      <c r="L452" s="1"/>
      <c r="M452" s="1"/>
      <c r="N452" s="1"/>
      <c r="Q452"/>
    </row>
    <row r="453" spans="1:17" ht="13.15" customHeight="1" x14ac:dyDescent="0.2">
      <c r="A453" s="1" t="s">
        <v>1302</v>
      </c>
      <c r="B453" s="1" t="s">
        <v>1197</v>
      </c>
      <c r="C453" s="580">
        <v>45</v>
      </c>
      <c r="D453" s="1">
        <v>916.16</v>
      </c>
      <c r="E453" t="s">
        <v>1198</v>
      </c>
      <c r="F453">
        <v>45</v>
      </c>
      <c r="G453" s="580">
        <v>225.6</v>
      </c>
      <c r="H453" s="1" t="s">
        <v>1303</v>
      </c>
      <c r="I453" s="1"/>
      <c r="J453" s="1"/>
      <c r="K453" s="1"/>
      <c r="L453" s="1"/>
      <c r="M453" s="1"/>
      <c r="N453" s="1"/>
      <c r="Q453"/>
    </row>
    <row r="454" spans="1:17" ht="13.15" customHeight="1" x14ac:dyDescent="0.2">
      <c r="A454" s="1" t="s">
        <v>1304</v>
      </c>
      <c r="B454" s="1" t="s">
        <v>1197</v>
      </c>
      <c r="C454" s="580">
        <v>46</v>
      </c>
      <c r="D454" s="1">
        <v>1175.72</v>
      </c>
      <c r="E454" t="s">
        <v>1198</v>
      </c>
      <c r="F454">
        <v>46</v>
      </c>
      <c r="G454" s="580">
        <v>267.89999999999998</v>
      </c>
      <c r="H454" s="1" t="s">
        <v>1305</v>
      </c>
      <c r="I454" s="1"/>
      <c r="J454" s="1"/>
      <c r="K454" s="1"/>
      <c r="L454" s="1"/>
      <c r="M454" s="1"/>
      <c r="N454" s="1"/>
      <c r="Q454"/>
    </row>
    <row r="455" spans="1:17" ht="13.15" customHeight="1" x14ac:dyDescent="0.2">
      <c r="A455" s="1" t="s">
        <v>1306</v>
      </c>
      <c r="B455" s="1" t="s">
        <v>1197</v>
      </c>
      <c r="C455" s="580">
        <v>47</v>
      </c>
      <c r="D455" s="1">
        <v>896.96</v>
      </c>
      <c r="E455" t="s">
        <v>1198</v>
      </c>
      <c r="F455">
        <v>47</v>
      </c>
      <c r="G455" s="580">
        <v>0</v>
      </c>
      <c r="H455" s="1" t="s">
        <v>1307</v>
      </c>
      <c r="I455" s="1"/>
      <c r="J455" s="1"/>
      <c r="K455" s="1"/>
      <c r="L455" s="1"/>
      <c r="M455" s="1"/>
      <c r="N455" s="1"/>
      <c r="Q455"/>
    </row>
    <row r="456" spans="1:17" ht="13.15" customHeight="1" x14ac:dyDescent="0.2">
      <c r="A456" s="1" t="s">
        <v>1308</v>
      </c>
      <c r="B456" s="1" t="s">
        <v>1197</v>
      </c>
      <c r="C456" s="580">
        <v>48</v>
      </c>
      <c r="D456" s="1">
        <v>1175.72</v>
      </c>
      <c r="E456" t="s">
        <v>1198</v>
      </c>
      <c r="F456">
        <v>48</v>
      </c>
      <c r="G456" s="580">
        <v>282</v>
      </c>
      <c r="H456" s="1" t="s">
        <v>1309</v>
      </c>
      <c r="I456" s="1"/>
      <c r="J456" s="1"/>
      <c r="K456" s="1"/>
      <c r="L456" s="1"/>
      <c r="M456" s="1"/>
      <c r="N456" s="1"/>
      <c r="Q456"/>
    </row>
    <row r="457" spans="1:17" ht="13.15" customHeight="1" x14ac:dyDescent="0.2">
      <c r="A457" s="1" t="s">
        <v>1310</v>
      </c>
      <c r="B457" s="1" t="s">
        <v>1197</v>
      </c>
      <c r="C457" s="580">
        <v>50</v>
      </c>
      <c r="D457" s="1">
        <v>1260.3599999999999</v>
      </c>
      <c r="E457" t="s">
        <v>1198</v>
      </c>
      <c r="F457">
        <v>50</v>
      </c>
      <c r="G457" s="580">
        <v>282</v>
      </c>
      <c r="H457" s="1" t="s">
        <v>1311</v>
      </c>
      <c r="I457" s="1"/>
      <c r="J457" s="1"/>
      <c r="K457" s="1"/>
      <c r="L457" s="1"/>
      <c r="M457" s="1"/>
      <c r="N457" s="1"/>
      <c r="Q457"/>
    </row>
    <row r="458" spans="1:17" ht="13.15" customHeight="1" x14ac:dyDescent="0.2">
      <c r="A458" s="1" t="s">
        <v>1312</v>
      </c>
      <c r="B458" s="1" t="s">
        <v>1197</v>
      </c>
      <c r="C458" s="580">
        <v>51</v>
      </c>
      <c r="D458" s="1">
        <v>1175.72</v>
      </c>
      <c r="E458" t="s">
        <v>1198</v>
      </c>
      <c r="F458">
        <v>51</v>
      </c>
      <c r="G458" s="580">
        <v>282</v>
      </c>
      <c r="H458" s="1" t="s">
        <v>1313</v>
      </c>
      <c r="I458" s="1"/>
      <c r="J458" s="1"/>
      <c r="K458" s="1"/>
      <c r="L458" s="1"/>
      <c r="M458" s="1"/>
      <c r="N458" s="1"/>
      <c r="Q458"/>
    </row>
    <row r="459" spans="1:17" ht="13.15" customHeight="1" x14ac:dyDescent="0.2">
      <c r="A459" s="1" t="s">
        <v>1314</v>
      </c>
      <c r="B459" s="1" t="s">
        <v>1197</v>
      </c>
      <c r="C459" s="580">
        <v>52</v>
      </c>
      <c r="D459" s="1">
        <v>1260.3599999999999</v>
      </c>
      <c r="E459" t="s">
        <v>1198</v>
      </c>
      <c r="F459">
        <v>52</v>
      </c>
      <c r="G459" s="580">
        <v>394.8</v>
      </c>
      <c r="H459" s="1" t="s">
        <v>1223</v>
      </c>
      <c r="I459" s="1"/>
      <c r="J459" s="1"/>
      <c r="K459" s="1"/>
      <c r="L459" s="1"/>
      <c r="M459" s="1"/>
      <c r="N459" s="1"/>
      <c r="Q459"/>
    </row>
    <row r="460" spans="1:17" ht="13.15" customHeight="1" x14ac:dyDescent="0.2">
      <c r="A460" s="1" t="s">
        <v>1315</v>
      </c>
      <c r="B460" s="1" t="s">
        <v>1197</v>
      </c>
      <c r="C460" s="580">
        <v>53</v>
      </c>
      <c r="D460" s="1">
        <v>1260.3599999999999</v>
      </c>
      <c r="E460" t="s">
        <v>1198</v>
      </c>
      <c r="F460">
        <v>53</v>
      </c>
      <c r="G460" s="580">
        <v>0</v>
      </c>
      <c r="H460" s="1" t="s">
        <v>1316</v>
      </c>
      <c r="I460" s="1"/>
      <c r="J460" s="1"/>
      <c r="K460" s="1"/>
      <c r="L460" s="1"/>
      <c r="M460" s="1"/>
      <c r="N460" s="1"/>
      <c r="Q460"/>
    </row>
    <row r="461" spans="1:17" ht="13.15" customHeight="1" x14ac:dyDescent="0.2">
      <c r="A461" s="1" t="s">
        <v>1317</v>
      </c>
      <c r="B461" s="1" t="s">
        <v>1197</v>
      </c>
      <c r="C461" s="580">
        <v>55</v>
      </c>
      <c r="D461" s="1">
        <v>1175.72</v>
      </c>
      <c r="E461" t="s">
        <v>1198</v>
      </c>
      <c r="F461">
        <v>55</v>
      </c>
      <c r="G461" s="580">
        <v>282</v>
      </c>
      <c r="H461" s="1" t="s">
        <v>1318</v>
      </c>
      <c r="I461" s="1"/>
      <c r="J461" s="1"/>
      <c r="K461" s="1"/>
      <c r="L461" s="1"/>
      <c r="M461" s="1"/>
      <c r="N461" s="1"/>
      <c r="Q461"/>
    </row>
    <row r="462" spans="1:17" ht="13.15" customHeight="1" x14ac:dyDescent="0.2">
      <c r="A462" s="1" t="s">
        <v>1319</v>
      </c>
      <c r="B462" s="1" t="s">
        <v>1197</v>
      </c>
      <c r="C462" s="580">
        <v>56</v>
      </c>
      <c r="D462" s="1">
        <v>1175.72</v>
      </c>
      <c r="E462" t="s">
        <v>1198</v>
      </c>
      <c r="F462">
        <v>56</v>
      </c>
      <c r="G462" s="580">
        <v>282</v>
      </c>
      <c r="H462" s="1" t="s">
        <v>1320</v>
      </c>
      <c r="I462" s="1"/>
      <c r="J462" s="1"/>
      <c r="K462" s="1"/>
      <c r="L462" s="1"/>
      <c r="M462" s="1"/>
      <c r="N462" s="1"/>
      <c r="Q462"/>
    </row>
    <row r="463" spans="1:17" ht="13.15" customHeight="1" x14ac:dyDescent="0.2">
      <c r="A463" s="1" t="s">
        <v>1321</v>
      </c>
      <c r="B463" s="1" t="s">
        <v>1197</v>
      </c>
      <c r="C463" s="580">
        <v>57</v>
      </c>
      <c r="D463" s="1">
        <v>1660.4</v>
      </c>
      <c r="E463" t="s">
        <v>1198</v>
      </c>
      <c r="F463">
        <v>57</v>
      </c>
      <c r="G463" s="580">
        <v>451.2</v>
      </c>
      <c r="H463" s="1" t="s">
        <v>1231</v>
      </c>
      <c r="I463" s="1"/>
      <c r="J463" s="1"/>
      <c r="K463" s="1"/>
      <c r="L463" s="1"/>
      <c r="M463" s="1"/>
      <c r="N463" s="1"/>
      <c r="Q463"/>
    </row>
    <row r="464" spans="1:17" ht="13.15" customHeight="1" x14ac:dyDescent="0.2">
      <c r="A464" s="1" t="s">
        <v>1322</v>
      </c>
      <c r="B464" s="1" t="s">
        <v>1197</v>
      </c>
      <c r="C464" s="580">
        <v>58</v>
      </c>
      <c r="D464" s="1">
        <v>1660.4</v>
      </c>
      <c r="E464" t="s">
        <v>1198</v>
      </c>
      <c r="F464">
        <v>58</v>
      </c>
      <c r="G464" s="580">
        <v>0</v>
      </c>
      <c r="H464" s="1" t="s">
        <v>1323</v>
      </c>
      <c r="I464" s="1"/>
      <c r="J464" s="1"/>
      <c r="K464" s="1"/>
      <c r="L464" s="1"/>
      <c r="M464" s="1"/>
      <c r="N464" s="1"/>
      <c r="Q464"/>
    </row>
    <row r="465" spans="1:17" ht="13.15" customHeight="1" x14ac:dyDescent="0.2">
      <c r="A465" s="1" t="s">
        <v>1324</v>
      </c>
      <c r="B465" s="1" t="s">
        <v>1197</v>
      </c>
      <c r="C465" s="580">
        <v>59</v>
      </c>
      <c r="D465" s="1">
        <v>1260.3599999999999</v>
      </c>
      <c r="E465" t="s">
        <v>1198</v>
      </c>
      <c r="F465">
        <v>59</v>
      </c>
      <c r="G465" s="580">
        <v>282</v>
      </c>
      <c r="H465" s="1" t="s">
        <v>1325</v>
      </c>
      <c r="I465" s="1"/>
      <c r="J465" s="1"/>
      <c r="K465" s="1"/>
      <c r="L465" s="1"/>
      <c r="M465" s="1"/>
      <c r="N465" s="1"/>
      <c r="Q465"/>
    </row>
    <row r="466" spans="1:17" ht="13.15" customHeight="1" x14ac:dyDescent="0.2">
      <c r="A466" s="1" t="s">
        <v>1326</v>
      </c>
      <c r="B466" s="1" t="s">
        <v>1197</v>
      </c>
      <c r="C466" s="580">
        <v>60</v>
      </c>
      <c r="D466" s="1">
        <v>1333.2</v>
      </c>
      <c r="E466" t="s">
        <v>1198</v>
      </c>
      <c r="F466">
        <v>60</v>
      </c>
      <c r="G466" s="580">
        <v>352.5</v>
      </c>
      <c r="H466" s="1" t="s">
        <v>1237</v>
      </c>
      <c r="I466" s="1"/>
      <c r="J466" s="1"/>
      <c r="K466" s="1"/>
      <c r="L466" s="1"/>
      <c r="M466" s="1"/>
      <c r="N466" s="1"/>
      <c r="Q466"/>
    </row>
    <row r="467" spans="1:17" ht="13.15" customHeight="1" x14ac:dyDescent="0.2">
      <c r="A467" s="1" t="s">
        <v>1327</v>
      </c>
      <c r="B467" s="1" t="s">
        <v>1197</v>
      </c>
      <c r="C467" s="580">
        <v>61</v>
      </c>
      <c r="D467" s="1">
        <v>1333.2</v>
      </c>
      <c r="E467" t="s">
        <v>1198</v>
      </c>
      <c r="F467">
        <v>61</v>
      </c>
      <c r="G467" s="580">
        <v>352.5</v>
      </c>
      <c r="H467" s="1" t="s">
        <v>1328</v>
      </c>
      <c r="I467" s="1"/>
      <c r="J467" s="1"/>
      <c r="K467" s="1"/>
      <c r="L467" s="1"/>
      <c r="M467" s="1"/>
      <c r="N467" s="1"/>
      <c r="Q467"/>
    </row>
    <row r="468" spans="1:17" ht="13.15" customHeight="1" x14ac:dyDescent="0.2">
      <c r="A468" s="1" t="s">
        <v>1329</v>
      </c>
      <c r="B468" s="1" t="s">
        <v>1197</v>
      </c>
      <c r="C468" s="580">
        <v>62</v>
      </c>
      <c r="D468" s="1">
        <v>1260.3599999999999</v>
      </c>
      <c r="E468" t="s">
        <v>1198</v>
      </c>
      <c r="F468">
        <v>62</v>
      </c>
      <c r="G468" s="580">
        <v>239.7</v>
      </c>
      <c r="H468" s="1" t="s">
        <v>1330</v>
      </c>
      <c r="I468" s="1"/>
      <c r="J468" s="1"/>
      <c r="K468" s="1"/>
      <c r="L468" s="1"/>
      <c r="M468" s="1"/>
      <c r="N468" s="1"/>
      <c r="Q468"/>
    </row>
    <row r="469" spans="1:17" ht="13.15" customHeight="1" x14ac:dyDescent="0.2">
      <c r="A469" s="1" t="s">
        <v>1331</v>
      </c>
      <c r="B469" s="1" t="s">
        <v>1197</v>
      </c>
      <c r="C469" s="580">
        <v>63</v>
      </c>
      <c r="D469" s="1">
        <v>1260.3599999999999</v>
      </c>
      <c r="E469" t="s">
        <v>1198</v>
      </c>
      <c r="F469">
        <v>63</v>
      </c>
      <c r="G469" s="580">
        <v>239.7</v>
      </c>
      <c r="H469" s="1" t="s">
        <v>1332</v>
      </c>
      <c r="I469" s="1"/>
      <c r="J469" s="1"/>
      <c r="K469" s="1"/>
      <c r="L469" s="1"/>
      <c r="M469" s="1"/>
      <c r="N469" s="1"/>
      <c r="Q469"/>
    </row>
    <row r="470" spans="1:17" ht="13.15" customHeight="1" x14ac:dyDescent="0.2">
      <c r="A470" s="1" t="s">
        <v>1333</v>
      </c>
      <c r="B470" s="1" t="s">
        <v>1197</v>
      </c>
      <c r="C470" s="580">
        <v>64</v>
      </c>
      <c r="D470" s="1">
        <v>1211.96</v>
      </c>
      <c r="E470" t="s">
        <v>1198</v>
      </c>
      <c r="F470">
        <v>64</v>
      </c>
      <c r="G470" s="580">
        <v>282</v>
      </c>
      <c r="H470" s="1" t="s">
        <v>1334</v>
      </c>
      <c r="I470" s="1"/>
      <c r="J470" s="1"/>
      <c r="K470" s="1"/>
      <c r="L470" s="1"/>
      <c r="M470" s="1"/>
      <c r="N470" s="1"/>
      <c r="Q470"/>
    </row>
    <row r="471" spans="1:17" ht="13.15" customHeight="1" x14ac:dyDescent="0.2">
      <c r="A471" s="1" t="s">
        <v>1335</v>
      </c>
      <c r="B471" s="1" t="s">
        <v>1197</v>
      </c>
      <c r="C471" s="580">
        <v>65</v>
      </c>
      <c r="D471" s="1">
        <v>1660.4</v>
      </c>
      <c r="E471" t="s">
        <v>1198</v>
      </c>
      <c r="F471">
        <v>65</v>
      </c>
      <c r="G471" s="580">
        <v>423</v>
      </c>
      <c r="H471" s="1" t="s">
        <v>1245</v>
      </c>
      <c r="I471" s="1"/>
      <c r="J471" s="1"/>
      <c r="K471" s="1"/>
      <c r="L471" s="1"/>
      <c r="M471" s="1"/>
      <c r="N471" s="1"/>
      <c r="Q471"/>
    </row>
    <row r="472" spans="1:17" ht="13.15" customHeight="1" x14ac:dyDescent="0.2">
      <c r="A472" s="1" t="s">
        <v>1336</v>
      </c>
      <c r="B472" s="1" t="s">
        <v>1197</v>
      </c>
      <c r="C472" s="580">
        <v>66</v>
      </c>
      <c r="D472" s="1">
        <v>1299.2</v>
      </c>
      <c r="E472" t="s">
        <v>1198</v>
      </c>
      <c r="F472">
        <v>66</v>
      </c>
      <c r="G472" s="580">
        <v>296.10000000000002</v>
      </c>
      <c r="H472" s="1" t="s">
        <v>1337</v>
      </c>
      <c r="I472" s="1"/>
      <c r="J472" s="1"/>
      <c r="K472" s="1"/>
      <c r="L472" s="1"/>
      <c r="M472" s="1"/>
      <c r="N472" s="1"/>
      <c r="Q472"/>
    </row>
    <row r="473" spans="1:17" ht="13.15" customHeight="1" x14ac:dyDescent="0.2">
      <c r="A473" s="1" t="s">
        <v>1338</v>
      </c>
      <c r="B473" s="1" t="s">
        <v>1197</v>
      </c>
      <c r="C473" s="580">
        <v>68</v>
      </c>
      <c r="D473" s="1">
        <v>1740.28</v>
      </c>
      <c r="E473" t="s">
        <v>1198</v>
      </c>
      <c r="F473">
        <v>68</v>
      </c>
      <c r="G473" s="580">
        <v>507.6</v>
      </c>
      <c r="H473" s="1" t="s">
        <v>1339</v>
      </c>
      <c r="I473" s="1"/>
      <c r="J473" s="1"/>
      <c r="K473" s="1"/>
      <c r="L473" s="1"/>
      <c r="M473" s="1"/>
      <c r="N473" s="1"/>
      <c r="Q473"/>
    </row>
    <row r="474" spans="1:17" ht="13.15" customHeight="1" x14ac:dyDescent="0.2">
      <c r="A474" s="1" t="s">
        <v>1340</v>
      </c>
      <c r="B474" s="1" t="s">
        <v>1197</v>
      </c>
      <c r="C474" s="580">
        <v>69</v>
      </c>
      <c r="D474" s="1">
        <v>1236.3599999999999</v>
      </c>
      <c r="E474" t="s">
        <v>1198</v>
      </c>
      <c r="F474">
        <v>69</v>
      </c>
      <c r="G474" s="580">
        <v>423</v>
      </c>
      <c r="H474" s="1" t="s">
        <v>1341</v>
      </c>
      <c r="I474" s="1"/>
      <c r="J474" s="1"/>
      <c r="K474" s="1"/>
      <c r="L474" s="1"/>
      <c r="M474" s="1"/>
      <c r="N474" s="1"/>
      <c r="Q474"/>
    </row>
    <row r="475" spans="1:17" ht="13.15" customHeight="1" x14ac:dyDescent="0.2">
      <c r="A475" s="1" t="s">
        <v>1342</v>
      </c>
      <c r="B475" s="1" t="s">
        <v>1197</v>
      </c>
      <c r="C475" s="580">
        <v>70</v>
      </c>
      <c r="D475" s="1">
        <v>2245.6799999999998</v>
      </c>
      <c r="E475" t="s">
        <v>1198</v>
      </c>
      <c r="F475">
        <v>70</v>
      </c>
      <c r="G475" s="580">
        <v>507.6</v>
      </c>
      <c r="H475" s="1" t="s">
        <v>1343</v>
      </c>
      <c r="I475" s="1"/>
      <c r="J475" s="1"/>
      <c r="K475" s="1"/>
      <c r="L475" s="1"/>
      <c r="M475" s="1"/>
      <c r="N475" s="1"/>
      <c r="Q475"/>
    </row>
    <row r="476" spans="1:17" ht="13.15" customHeight="1" x14ac:dyDescent="0.2">
      <c r="A476" s="1" t="s">
        <v>1344</v>
      </c>
      <c r="B476" s="1" t="s">
        <v>1197</v>
      </c>
      <c r="C476" s="580">
        <v>71</v>
      </c>
      <c r="D476" s="1">
        <v>1417.88</v>
      </c>
      <c r="E476" t="s">
        <v>1198</v>
      </c>
      <c r="F476">
        <v>71</v>
      </c>
      <c r="G476" s="580">
        <v>380.7</v>
      </c>
      <c r="H476" s="1" t="s">
        <v>1345</v>
      </c>
      <c r="I476" s="1"/>
      <c r="J476" s="1"/>
      <c r="K476" s="1"/>
      <c r="L476" s="1"/>
      <c r="M476" s="1"/>
      <c r="N476" s="1"/>
      <c r="Q476"/>
    </row>
    <row r="477" spans="1:17" ht="13.15" customHeight="1" x14ac:dyDescent="0.2">
      <c r="A477" s="1" t="s">
        <v>1346</v>
      </c>
      <c r="B477" s="1" t="s">
        <v>1197</v>
      </c>
      <c r="C477" s="580">
        <v>72</v>
      </c>
      <c r="D477" s="1">
        <v>1417.88</v>
      </c>
      <c r="E477" t="s">
        <v>1198</v>
      </c>
      <c r="F477">
        <v>72</v>
      </c>
      <c r="G477" s="580">
        <v>394.8</v>
      </c>
      <c r="H477" s="1" t="s">
        <v>1347</v>
      </c>
      <c r="I477" s="1"/>
      <c r="J477" s="1"/>
      <c r="K477" s="1"/>
      <c r="L477" s="1"/>
      <c r="M477" s="1"/>
      <c r="N477" s="1"/>
      <c r="Q477"/>
    </row>
    <row r="478" spans="1:17" ht="13.15" customHeight="1" x14ac:dyDescent="0.2">
      <c r="A478" s="1" t="s">
        <v>1348</v>
      </c>
      <c r="B478" s="1" t="s">
        <v>1197</v>
      </c>
      <c r="C478" s="580">
        <v>73</v>
      </c>
      <c r="D478" s="1">
        <v>1417.88</v>
      </c>
      <c r="E478" t="s">
        <v>1198</v>
      </c>
      <c r="F478">
        <v>73</v>
      </c>
      <c r="G478" s="580">
        <v>338.4</v>
      </c>
      <c r="H478" s="1" t="s">
        <v>1349</v>
      </c>
      <c r="I478" s="1"/>
      <c r="J478" s="1"/>
      <c r="K478" s="1"/>
      <c r="L478" s="1"/>
      <c r="M478" s="1"/>
      <c r="N478" s="1"/>
      <c r="Q478"/>
    </row>
    <row r="479" spans="1:17" ht="13.15" customHeight="1" x14ac:dyDescent="0.2">
      <c r="A479" s="1" t="s">
        <v>1350</v>
      </c>
      <c r="B479" s="1" t="s">
        <v>1197</v>
      </c>
      <c r="C479" s="580">
        <v>74</v>
      </c>
      <c r="D479" s="1">
        <v>1417.88</v>
      </c>
      <c r="E479" t="s">
        <v>1198</v>
      </c>
      <c r="F479">
        <v>74</v>
      </c>
      <c r="G479" s="580">
        <v>352.5</v>
      </c>
      <c r="H479" s="1" t="s">
        <v>1351</v>
      </c>
      <c r="I479" s="1"/>
      <c r="J479" s="1"/>
      <c r="K479" s="1"/>
      <c r="L479" s="1"/>
      <c r="M479" s="1"/>
      <c r="N479" s="1"/>
      <c r="Q479"/>
    </row>
    <row r="480" spans="1:17" ht="13.15" customHeight="1" x14ac:dyDescent="0.2">
      <c r="A480" s="1" t="s">
        <v>1352</v>
      </c>
      <c r="B480" s="1" t="s">
        <v>1197</v>
      </c>
      <c r="C480" s="580">
        <v>75</v>
      </c>
      <c r="D480" s="1">
        <v>1660.4</v>
      </c>
      <c r="E480" t="s">
        <v>1198</v>
      </c>
      <c r="F480">
        <v>75</v>
      </c>
      <c r="G480" s="580">
        <v>130</v>
      </c>
      <c r="H480" s="1" t="s">
        <v>1353</v>
      </c>
      <c r="I480" s="1"/>
      <c r="J480" s="1"/>
      <c r="K480" s="1"/>
      <c r="L480" s="1"/>
      <c r="M480" s="1"/>
      <c r="N480" s="1"/>
      <c r="Q480"/>
    </row>
    <row r="481" spans="1:17" ht="13.15" customHeight="1" x14ac:dyDescent="0.2">
      <c r="A481" s="1" t="s">
        <v>1354</v>
      </c>
      <c r="B481" s="1" t="s">
        <v>1197</v>
      </c>
      <c r="C481" s="580">
        <v>91</v>
      </c>
      <c r="D481" s="1">
        <v>811.92</v>
      </c>
      <c r="E481" t="s">
        <v>1198</v>
      </c>
      <c r="F481">
        <v>91</v>
      </c>
      <c r="G481" s="580">
        <v>0</v>
      </c>
      <c r="H481" s="1" t="s">
        <v>1355</v>
      </c>
      <c r="I481" s="1"/>
      <c r="J481" s="1"/>
      <c r="K481" s="1"/>
      <c r="L481" s="1"/>
      <c r="M481" s="1"/>
      <c r="N481" s="1"/>
      <c r="Q481"/>
    </row>
    <row r="482" spans="1:17" ht="13.15" customHeight="1" x14ac:dyDescent="0.2">
      <c r="A482" s="1" t="s">
        <v>1356</v>
      </c>
      <c r="B482" s="1" t="s">
        <v>1197</v>
      </c>
      <c r="C482" s="580">
        <v>92</v>
      </c>
      <c r="D482" s="1">
        <v>811.92</v>
      </c>
      <c r="E482" t="s">
        <v>1198</v>
      </c>
      <c r="F482">
        <v>92</v>
      </c>
      <c r="G482" s="580">
        <v>0</v>
      </c>
      <c r="H482" s="1" t="s">
        <v>1357</v>
      </c>
      <c r="I482" s="1"/>
      <c r="J482" s="1"/>
      <c r="K482" s="1"/>
      <c r="L482" s="1"/>
      <c r="M482" s="1"/>
      <c r="N482" s="1"/>
      <c r="Q482"/>
    </row>
    <row r="483" spans="1:17" ht="13.15" customHeight="1" x14ac:dyDescent="0.2">
      <c r="A483" s="1" t="s">
        <v>1358</v>
      </c>
      <c r="B483" s="1" t="s">
        <v>1197</v>
      </c>
      <c r="C483" s="580">
        <v>93</v>
      </c>
      <c r="D483" s="1">
        <v>811.92</v>
      </c>
      <c r="E483" t="s">
        <v>1198</v>
      </c>
      <c r="F483">
        <v>93</v>
      </c>
      <c r="G483" s="580">
        <v>0</v>
      </c>
      <c r="H483" s="1" t="s">
        <v>1359</v>
      </c>
      <c r="I483" s="1"/>
      <c r="J483" s="1"/>
      <c r="K483" s="1"/>
      <c r="L483" s="1"/>
      <c r="M483" s="1"/>
      <c r="N483" s="1"/>
      <c r="Q483"/>
    </row>
    <row r="484" spans="1:17" ht="13.15" customHeight="1" x14ac:dyDescent="0.2">
      <c r="A484" s="1" t="s">
        <v>1360</v>
      </c>
      <c r="B484" s="1" t="s">
        <v>1197</v>
      </c>
      <c r="C484" s="580">
        <v>94</v>
      </c>
      <c r="D484" s="1">
        <v>811.92</v>
      </c>
      <c r="E484" t="s">
        <v>1198</v>
      </c>
      <c r="F484">
        <v>94</v>
      </c>
      <c r="G484" s="580">
        <v>0</v>
      </c>
      <c r="H484" s="1" t="s">
        <v>1361</v>
      </c>
      <c r="I484" s="1"/>
      <c r="J484" s="1"/>
      <c r="K484" s="1"/>
      <c r="L484" s="1"/>
      <c r="M484" s="1"/>
      <c r="N484" s="1"/>
      <c r="Q484"/>
    </row>
    <row r="485" spans="1:17" ht="13.15" customHeight="1" x14ac:dyDescent="0.2">
      <c r="A485" s="1" t="s">
        <v>1362</v>
      </c>
      <c r="B485" s="1" t="s">
        <v>1197</v>
      </c>
      <c r="C485" s="580">
        <v>95</v>
      </c>
      <c r="D485" s="1">
        <v>811.92</v>
      </c>
      <c r="E485" t="s">
        <v>1198</v>
      </c>
      <c r="F485">
        <v>95</v>
      </c>
      <c r="G485" s="580">
        <v>0</v>
      </c>
      <c r="H485" s="1" t="s">
        <v>1363</v>
      </c>
      <c r="I485" s="1"/>
      <c r="J485" s="1"/>
      <c r="K485" s="1"/>
      <c r="L485" s="1"/>
      <c r="M485" s="1"/>
      <c r="N485" s="1"/>
      <c r="Q485"/>
    </row>
    <row r="486" spans="1:17" ht="13.15" customHeight="1" x14ac:dyDescent="0.2">
      <c r="A486" s="1" t="s">
        <v>1364</v>
      </c>
      <c r="B486" s="1" t="s">
        <v>1197</v>
      </c>
      <c r="C486" s="580">
        <v>96</v>
      </c>
      <c r="D486" s="1">
        <v>811.92</v>
      </c>
      <c r="E486" t="s">
        <v>1198</v>
      </c>
      <c r="F486">
        <v>96</v>
      </c>
      <c r="G486" s="580">
        <v>0</v>
      </c>
      <c r="H486" s="1" t="s">
        <v>1365</v>
      </c>
      <c r="I486" s="1"/>
      <c r="J486" s="1"/>
      <c r="K486" s="1"/>
      <c r="L486" s="1"/>
      <c r="M486" s="1"/>
      <c r="N486" s="1"/>
      <c r="Q486"/>
    </row>
    <row r="487" spans="1:17" ht="13.15" customHeight="1" x14ac:dyDescent="0.2">
      <c r="A487" s="1" t="s">
        <v>1366</v>
      </c>
      <c r="B487" s="1" t="s">
        <v>1197</v>
      </c>
      <c r="C487" s="580">
        <v>97</v>
      </c>
      <c r="D487" s="1">
        <v>811.92</v>
      </c>
      <c r="E487" t="s">
        <v>1198</v>
      </c>
      <c r="F487">
        <v>97</v>
      </c>
      <c r="G487" s="580">
        <v>0</v>
      </c>
      <c r="H487" s="1" t="s">
        <v>1367</v>
      </c>
      <c r="I487" s="1"/>
      <c r="J487" s="1"/>
      <c r="K487" s="1"/>
      <c r="L487" s="1"/>
      <c r="M487" s="1"/>
      <c r="N487" s="1"/>
      <c r="Q487"/>
    </row>
    <row r="488" spans="1:17" ht="13.15" customHeight="1" x14ac:dyDescent="0.2">
      <c r="A488" s="1" t="s">
        <v>1368</v>
      </c>
      <c r="B488" s="1" t="s">
        <v>1197</v>
      </c>
      <c r="C488" s="580">
        <v>98</v>
      </c>
      <c r="D488" s="1">
        <v>811.92</v>
      </c>
      <c r="E488" t="s">
        <v>1198</v>
      </c>
      <c r="F488">
        <v>98</v>
      </c>
      <c r="G488" s="580">
        <v>0</v>
      </c>
      <c r="H488" s="1" t="s">
        <v>1369</v>
      </c>
      <c r="I488" s="1"/>
      <c r="J488" s="1"/>
      <c r="K488" s="1"/>
      <c r="L488" s="1"/>
      <c r="M488" s="1"/>
      <c r="N488" s="1"/>
      <c r="Q488"/>
    </row>
    <row r="489" spans="1:17" ht="13.15" customHeight="1" x14ac:dyDescent="0.2">
      <c r="A489" s="1" t="s">
        <v>1370</v>
      </c>
      <c r="B489" s="1" t="s">
        <v>1197</v>
      </c>
      <c r="C489" s="580">
        <v>99</v>
      </c>
      <c r="D489" s="1">
        <v>811.92</v>
      </c>
      <c r="E489" t="s">
        <v>1198</v>
      </c>
      <c r="F489">
        <v>99</v>
      </c>
      <c r="G489" s="580">
        <v>0</v>
      </c>
      <c r="H489" s="1" t="s">
        <v>1371</v>
      </c>
      <c r="I489" s="1"/>
      <c r="J489" s="1"/>
      <c r="K489" s="1"/>
      <c r="L489" s="1"/>
      <c r="M489" s="1"/>
      <c r="N489" s="1"/>
      <c r="Q489"/>
    </row>
    <row r="490" spans="1:17" ht="13.15" customHeight="1" x14ac:dyDescent="0.2">
      <c r="A490" s="1" t="s">
        <v>1372</v>
      </c>
      <c r="B490" s="1" t="s">
        <v>1197</v>
      </c>
      <c r="C490" s="580">
        <v>100</v>
      </c>
      <c r="D490" s="1">
        <v>811.92</v>
      </c>
      <c r="E490" t="s">
        <v>1198</v>
      </c>
      <c r="F490">
        <v>100</v>
      </c>
      <c r="G490" s="580">
        <v>0</v>
      </c>
      <c r="H490" s="1" t="s">
        <v>1373</v>
      </c>
      <c r="I490" s="1"/>
      <c r="J490" s="1"/>
      <c r="K490" s="1"/>
      <c r="L490" s="1"/>
      <c r="M490" s="1"/>
      <c r="N490" s="1"/>
      <c r="Q490"/>
    </row>
    <row r="491" spans="1:17" ht="13.15" customHeight="1" x14ac:dyDescent="0.2">
      <c r="A491" s="1" t="s">
        <v>1374</v>
      </c>
      <c r="B491" s="1" t="s">
        <v>1197</v>
      </c>
      <c r="C491" s="580">
        <v>101</v>
      </c>
      <c r="D491" s="1">
        <v>811.92</v>
      </c>
      <c r="E491" t="s">
        <v>1198</v>
      </c>
      <c r="F491">
        <v>101</v>
      </c>
      <c r="G491" s="580">
        <v>0</v>
      </c>
      <c r="H491" s="1" t="s">
        <v>1375</v>
      </c>
      <c r="I491" s="1"/>
      <c r="J491" s="1"/>
      <c r="K491" s="1"/>
      <c r="L491" s="1"/>
      <c r="M491" s="1"/>
      <c r="N491" s="1"/>
      <c r="Q491"/>
    </row>
    <row r="492" spans="1:17" ht="13.15" customHeight="1" x14ac:dyDescent="0.2">
      <c r="A492" s="1" t="s">
        <v>1376</v>
      </c>
      <c r="B492" s="1" t="s">
        <v>1197</v>
      </c>
      <c r="C492" s="580">
        <v>102</v>
      </c>
      <c r="D492" s="1">
        <v>811.92</v>
      </c>
      <c r="E492" t="s">
        <v>1198</v>
      </c>
      <c r="F492">
        <v>102</v>
      </c>
      <c r="G492" s="580">
        <v>0</v>
      </c>
      <c r="H492" s="1" t="s">
        <v>1377</v>
      </c>
      <c r="I492" s="1"/>
      <c r="J492" s="1"/>
      <c r="K492" s="1"/>
      <c r="L492" s="1"/>
      <c r="M492" s="1"/>
      <c r="N492" s="1"/>
      <c r="Q492"/>
    </row>
    <row r="493" spans="1:17" ht="13.15" customHeight="1" x14ac:dyDescent="0.2">
      <c r="A493" s="1" t="s">
        <v>1378</v>
      </c>
      <c r="B493" s="1" t="s">
        <v>1197</v>
      </c>
      <c r="C493" s="580">
        <v>103</v>
      </c>
      <c r="D493" s="1">
        <v>848.52</v>
      </c>
      <c r="E493" t="s">
        <v>1198</v>
      </c>
      <c r="F493">
        <v>103</v>
      </c>
      <c r="G493" s="580">
        <v>267.89999999999998</v>
      </c>
      <c r="H493" s="1" t="s">
        <v>1379</v>
      </c>
      <c r="I493" s="1"/>
      <c r="J493" s="1"/>
      <c r="K493" s="1"/>
      <c r="L493" s="1"/>
      <c r="M493" s="1"/>
      <c r="N493" s="1"/>
      <c r="Q493"/>
    </row>
    <row r="494" spans="1:17" ht="13.15" customHeight="1" x14ac:dyDescent="0.2">
      <c r="A494" s="1" t="s">
        <v>1380</v>
      </c>
      <c r="B494" s="1" t="s">
        <v>1381</v>
      </c>
      <c r="C494" s="580">
        <v>269</v>
      </c>
      <c r="D494" s="1">
        <v>3408.08</v>
      </c>
      <c r="E494" t="s">
        <v>1198</v>
      </c>
      <c r="F494">
        <v>269</v>
      </c>
      <c r="G494" s="580">
        <v>0</v>
      </c>
      <c r="H494" s="1" t="s">
        <v>1382</v>
      </c>
      <c r="I494" s="1"/>
      <c r="J494" s="1"/>
      <c r="K494" s="1"/>
      <c r="L494" s="1"/>
      <c r="M494" s="1"/>
      <c r="N494" s="1"/>
      <c r="Q494"/>
    </row>
    <row r="495" spans="1:17" ht="13.15" customHeight="1" x14ac:dyDescent="0.2">
      <c r="A495" s="1" t="s">
        <v>1383</v>
      </c>
      <c r="B495" s="1" t="s">
        <v>1381</v>
      </c>
      <c r="C495" s="580">
        <v>270</v>
      </c>
      <c r="D495" s="1">
        <v>933.16</v>
      </c>
      <c r="E495" t="s">
        <v>1198</v>
      </c>
      <c r="F495">
        <v>270</v>
      </c>
      <c r="G495" s="580">
        <v>0</v>
      </c>
      <c r="H495" s="1" t="s">
        <v>1384</v>
      </c>
      <c r="I495" s="1"/>
      <c r="J495" s="1"/>
      <c r="K495" s="1"/>
      <c r="L495" s="1"/>
      <c r="M495" s="1"/>
      <c r="N495" s="1"/>
      <c r="Q495"/>
    </row>
    <row r="496" spans="1:17" ht="13.15" customHeight="1" x14ac:dyDescent="0.2">
      <c r="A496" s="1" t="s">
        <v>1385</v>
      </c>
      <c r="B496" s="1" t="s">
        <v>1381</v>
      </c>
      <c r="C496" s="580">
        <v>271</v>
      </c>
      <c r="D496" s="1">
        <v>933.16</v>
      </c>
      <c r="E496" t="s">
        <v>1198</v>
      </c>
      <c r="F496">
        <v>271</v>
      </c>
      <c r="G496" s="580">
        <v>0</v>
      </c>
      <c r="H496" s="1" t="s">
        <v>1386</v>
      </c>
      <c r="I496" s="1"/>
      <c r="J496" s="1"/>
      <c r="K496" s="1"/>
      <c r="L496" s="1"/>
      <c r="M496" s="1"/>
      <c r="N496" s="1"/>
      <c r="Q496"/>
    </row>
    <row r="497" spans="1:17" ht="13.15" customHeight="1" x14ac:dyDescent="0.2">
      <c r="A497" s="1" t="s">
        <v>1387</v>
      </c>
      <c r="B497" s="1" t="s">
        <v>1381</v>
      </c>
      <c r="C497" s="580">
        <v>272</v>
      </c>
      <c r="D497" s="1">
        <v>933.16</v>
      </c>
      <c r="E497" t="s">
        <v>1198</v>
      </c>
      <c r="F497">
        <v>272</v>
      </c>
      <c r="G497" s="580">
        <v>0</v>
      </c>
      <c r="H497" s="1" t="s">
        <v>1388</v>
      </c>
      <c r="I497" s="1"/>
      <c r="J497" s="1"/>
      <c r="K497" s="1"/>
      <c r="L497" s="1"/>
      <c r="M497" s="1"/>
      <c r="N497" s="1"/>
      <c r="Q497"/>
    </row>
    <row r="498" spans="1:17" ht="13.15" customHeight="1" x14ac:dyDescent="0.2">
      <c r="A498" s="1" t="s">
        <v>1389</v>
      </c>
      <c r="B498" s="1" t="s">
        <v>1381</v>
      </c>
      <c r="C498" s="580">
        <v>273</v>
      </c>
      <c r="D498" s="1">
        <v>1512.52</v>
      </c>
      <c r="E498" t="s">
        <v>1198</v>
      </c>
      <c r="F498">
        <v>273</v>
      </c>
      <c r="G498" s="580">
        <v>338.4</v>
      </c>
      <c r="H498" s="1" t="s">
        <v>1390</v>
      </c>
      <c r="I498" s="1"/>
      <c r="J498" s="1"/>
      <c r="K498" s="1"/>
      <c r="L498" s="1"/>
      <c r="M498" s="1"/>
      <c r="N498" s="1"/>
      <c r="Q498"/>
    </row>
    <row r="499" spans="1:17" ht="13.15" customHeight="1" x14ac:dyDescent="0.2">
      <c r="A499" s="1" t="s">
        <v>1391</v>
      </c>
      <c r="B499" s="1" t="s">
        <v>1381</v>
      </c>
      <c r="C499" s="580">
        <v>274</v>
      </c>
      <c r="D499" s="1">
        <v>1279.96</v>
      </c>
      <c r="E499" t="s">
        <v>1198</v>
      </c>
      <c r="F499">
        <v>274</v>
      </c>
      <c r="G499" s="580">
        <v>324.3</v>
      </c>
      <c r="H499" s="1" t="s">
        <v>1392</v>
      </c>
      <c r="I499" s="1"/>
      <c r="J499" s="1"/>
      <c r="K499" s="1"/>
      <c r="L499" s="1"/>
      <c r="M499" s="1"/>
      <c r="N499" s="1"/>
      <c r="Q499"/>
    </row>
    <row r="500" spans="1:17" ht="13.15" customHeight="1" x14ac:dyDescent="0.2">
      <c r="A500" s="1" t="s">
        <v>1393</v>
      </c>
      <c r="B500" s="1" t="s">
        <v>1381</v>
      </c>
      <c r="C500" s="580">
        <v>275</v>
      </c>
      <c r="D500" s="1">
        <v>1883.36</v>
      </c>
      <c r="E500" t="s">
        <v>1198</v>
      </c>
      <c r="F500">
        <v>275</v>
      </c>
      <c r="G500" s="580">
        <v>465.3</v>
      </c>
      <c r="H500" s="1" t="s">
        <v>1394</v>
      </c>
      <c r="I500" s="1"/>
      <c r="J500" s="1"/>
      <c r="K500" s="1"/>
      <c r="L500" s="1"/>
      <c r="M500" s="1"/>
      <c r="N500" s="1"/>
      <c r="Q500"/>
    </row>
    <row r="501" spans="1:17" ht="13.15" customHeight="1" x14ac:dyDescent="0.2">
      <c r="A501" s="1" t="s">
        <v>1395</v>
      </c>
      <c r="B501" s="1" t="s">
        <v>1381</v>
      </c>
      <c r="C501" s="580">
        <v>276</v>
      </c>
      <c r="D501" s="1">
        <v>2511.12</v>
      </c>
      <c r="E501" t="s">
        <v>1198</v>
      </c>
      <c r="F501">
        <v>276</v>
      </c>
      <c r="G501" s="580">
        <v>606.29999999999995</v>
      </c>
      <c r="H501" s="1" t="s">
        <v>1396</v>
      </c>
      <c r="I501" s="1"/>
      <c r="J501" s="1"/>
      <c r="K501" s="1"/>
      <c r="L501" s="1"/>
      <c r="M501" s="1"/>
      <c r="N501" s="1"/>
      <c r="Q501"/>
    </row>
    <row r="502" spans="1:17" ht="13.15" customHeight="1" x14ac:dyDescent="0.2">
      <c r="A502" s="1" t="s">
        <v>1397</v>
      </c>
      <c r="B502" s="1" t="s">
        <v>1381</v>
      </c>
      <c r="C502" s="580">
        <v>277</v>
      </c>
      <c r="D502" s="1">
        <v>3138.92</v>
      </c>
      <c r="E502" t="s">
        <v>1198</v>
      </c>
      <c r="F502">
        <v>277</v>
      </c>
      <c r="G502" s="580">
        <v>549.9</v>
      </c>
      <c r="H502" s="1" t="s">
        <v>1398</v>
      </c>
      <c r="I502" s="1"/>
      <c r="J502" s="1"/>
      <c r="K502" s="1"/>
      <c r="L502" s="1"/>
      <c r="M502" s="1"/>
      <c r="N502" s="1"/>
      <c r="Q502"/>
    </row>
    <row r="503" spans="1:17" ht="13.15" customHeight="1" x14ac:dyDescent="0.2">
      <c r="A503" s="1" t="s">
        <v>1399</v>
      </c>
      <c r="B503" s="1" t="s">
        <v>1381</v>
      </c>
      <c r="C503" s="580">
        <v>278</v>
      </c>
      <c r="D503" s="1">
        <v>1883.36</v>
      </c>
      <c r="E503" t="s">
        <v>1198</v>
      </c>
      <c r="F503">
        <v>278</v>
      </c>
      <c r="G503" s="580">
        <v>324.3</v>
      </c>
      <c r="H503" s="1" t="s">
        <v>1400</v>
      </c>
      <c r="I503" s="1"/>
      <c r="J503" s="1"/>
      <c r="K503" s="1"/>
      <c r="L503" s="1"/>
      <c r="M503" s="1"/>
      <c r="N503" s="1"/>
      <c r="Q503"/>
    </row>
    <row r="504" spans="1:17" ht="13.15" customHeight="1" x14ac:dyDescent="0.2">
      <c r="A504" s="1" t="s">
        <v>1401</v>
      </c>
      <c r="B504" s="1" t="s">
        <v>1381</v>
      </c>
      <c r="C504" s="580">
        <v>279</v>
      </c>
      <c r="D504" s="1">
        <v>2959.6</v>
      </c>
      <c r="E504" t="s">
        <v>1198</v>
      </c>
      <c r="F504">
        <v>279</v>
      </c>
      <c r="G504" s="580">
        <v>549.9</v>
      </c>
      <c r="H504" s="1" t="s">
        <v>1402</v>
      </c>
      <c r="I504" s="1"/>
      <c r="J504" s="1"/>
      <c r="K504" s="1"/>
      <c r="L504" s="1"/>
      <c r="M504" s="1"/>
      <c r="N504" s="1"/>
      <c r="Q504"/>
    </row>
    <row r="505" spans="1:17" ht="13.15" customHeight="1" x14ac:dyDescent="0.2">
      <c r="A505" s="1" t="s">
        <v>1403</v>
      </c>
      <c r="B505" s="1" t="s">
        <v>1381</v>
      </c>
      <c r="C505" s="580">
        <v>280</v>
      </c>
      <c r="D505" s="1">
        <v>4125.32</v>
      </c>
      <c r="E505" t="s">
        <v>1198</v>
      </c>
      <c r="F505">
        <v>280</v>
      </c>
      <c r="G505" s="580">
        <v>719.1</v>
      </c>
      <c r="H505" s="1" t="s">
        <v>1404</v>
      </c>
      <c r="I505" s="1"/>
      <c r="J505" s="1"/>
      <c r="K505" s="1"/>
      <c r="L505" s="1"/>
      <c r="M505" s="1"/>
      <c r="N505" s="1"/>
      <c r="Q505"/>
    </row>
    <row r="506" spans="1:17" ht="13.15" customHeight="1" x14ac:dyDescent="0.2">
      <c r="A506" s="1" t="s">
        <v>1405</v>
      </c>
      <c r="B506" s="1" t="s">
        <v>1381</v>
      </c>
      <c r="C506" s="580">
        <v>281</v>
      </c>
      <c r="D506" s="1">
        <v>2152.52</v>
      </c>
      <c r="E506" t="s">
        <v>1198</v>
      </c>
      <c r="F506">
        <v>281</v>
      </c>
      <c r="G506" s="580">
        <v>380.7</v>
      </c>
      <c r="H506" s="1" t="s">
        <v>1406</v>
      </c>
      <c r="I506" s="1"/>
      <c r="J506" s="1"/>
      <c r="K506" s="1"/>
      <c r="L506" s="1"/>
      <c r="M506" s="1"/>
      <c r="N506" s="1"/>
      <c r="Q506"/>
    </row>
    <row r="507" spans="1:17" ht="13.15" customHeight="1" x14ac:dyDescent="0.2">
      <c r="A507" s="1" t="s">
        <v>1407</v>
      </c>
      <c r="B507" s="1" t="s">
        <v>1381</v>
      </c>
      <c r="C507" s="580">
        <v>282</v>
      </c>
      <c r="D507" s="1">
        <v>2601</v>
      </c>
      <c r="E507" t="s">
        <v>1198</v>
      </c>
      <c r="F507">
        <v>282</v>
      </c>
      <c r="G507" s="580">
        <v>606.29999999999995</v>
      </c>
      <c r="H507" s="1" t="s">
        <v>1408</v>
      </c>
      <c r="I507" s="1"/>
      <c r="J507" s="1"/>
      <c r="K507" s="1"/>
      <c r="L507" s="1"/>
      <c r="M507" s="1"/>
      <c r="N507" s="1"/>
      <c r="Q507"/>
    </row>
    <row r="508" spans="1:17" ht="13.15" customHeight="1" x14ac:dyDescent="0.2">
      <c r="A508" s="1" t="s">
        <v>1409</v>
      </c>
      <c r="B508" s="1" t="s">
        <v>1381</v>
      </c>
      <c r="C508" s="580">
        <v>283</v>
      </c>
      <c r="D508" s="1">
        <v>2017.92</v>
      </c>
      <c r="E508" t="s">
        <v>1198</v>
      </c>
      <c r="F508">
        <v>283</v>
      </c>
      <c r="G508" s="580">
        <v>338.4</v>
      </c>
      <c r="H508" s="1" t="s">
        <v>1410</v>
      </c>
      <c r="I508" s="1"/>
      <c r="J508" s="1"/>
      <c r="K508" s="1"/>
      <c r="L508" s="1"/>
      <c r="M508" s="1"/>
      <c r="N508" s="1"/>
      <c r="Q508"/>
    </row>
    <row r="509" spans="1:17" ht="13.15" customHeight="1" x14ac:dyDescent="0.2">
      <c r="A509" s="1" t="s">
        <v>1411</v>
      </c>
      <c r="B509" s="1" t="s">
        <v>1381</v>
      </c>
      <c r="C509" s="580">
        <v>284</v>
      </c>
      <c r="D509" s="1">
        <v>2017.92</v>
      </c>
      <c r="E509" t="s">
        <v>1198</v>
      </c>
      <c r="F509">
        <v>284</v>
      </c>
      <c r="G509" s="580">
        <v>0</v>
      </c>
      <c r="H509" s="1" t="s">
        <v>1412</v>
      </c>
      <c r="I509" s="1"/>
      <c r="J509" s="1"/>
      <c r="K509" s="1"/>
      <c r="L509" s="1"/>
      <c r="M509" s="1"/>
      <c r="N509" s="1"/>
      <c r="Q509"/>
    </row>
    <row r="510" spans="1:17" ht="13.15" customHeight="1" x14ac:dyDescent="0.2">
      <c r="A510" s="1" t="s">
        <v>1413</v>
      </c>
      <c r="B510" s="1" t="s">
        <v>1381</v>
      </c>
      <c r="C510" s="580">
        <v>285</v>
      </c>
      <c r="D510" s="1">
        <v>3228.76</v>
      </c>
      <c r="E510" t="s">
        <v>1198</v>
      </c>
      <c r="F510">
        <v>285</v>
      </c>
      <c r="G510" s="580">
        <v>0</v>
      </c>
      <c r="H510" s="1" t="s">
        <v>1414</v>
      </c>
      <c r="I510" s="1"/>
      <c r="J510" s="1"/>
      <c r="K510" s="1"/>
      <c r="L510" s="1"/>
      <c r="M510" s="1"/>
      <c r="N510" s="1"/>
      <c r="Q510"/>
    </row>
    <row r="511" spans="1:17" ht="13.15" customHeight="1" x14ac:dyDescent="0.2">
      <c r="A511" s="1" t="s">
        <v>1415</v>
      </c>
      <c r="B511" s="1" t="s">
        <v>1381</v>
      </c>
      <c r="C511" s="580">
        <v>286</v>
      </c>
      <c r="D511" s="1">
        <v>2017.92</v>
      </c>
      <c r="E511" t="s">
        <v>1198</v>
      </c>
      <c r="F511">
        <v>286</v>
      </c>
      <c r="G511" s="580">
        <v>423</v>
      </c>
      <c r="H511" s="1" t="s">
        <v>1416</v>
      </c>
      <c r="I511" s="1"/>
      <c r="J511" s="1"/>
      <c r="K511" s="1"/>
      <c r="L511" s="1"/>
      <c r="M511" s="1"/>
      <c r="N511" s="1"/>
      <c r="Q511"/>
    </row>
    <row r="512" spans="1:17" ht="13.15" customHeight="1" x14ac:dyDescent="0.2">
      <c r="A512" s="1" t="s">
        <v>1417</v>
      </c>
      <c r="B512" s="1" t="s">
        <v>1381</v>
      </c>
      <c r="C512" s="580">
        <v>287</v>
      </c>
      <c r="D512" s="1">
        <v>3094.2</v>
      </c>
      <c r="E512" t="s">
        <v>1198</v>
      </c>
      <c r="F512">
        <v>287</v>
      </c>
      <c r="G512" s="580">
        <v>662.7</v>
      </c>
      <c r="H512" s="1" t="s">
        <v>1418</v>
      </c>
      <c r="I512" s="1"/>
      <c r="J512" s="1"/>
      <c r="K512" s="1"/>
      <c r="L512" s="1"/>
      <c r="M512" s="1"/>
      <c r="N512" s="1"/>
      <c r="Q512"/>
    </row>
    <row r="513" spans="1:17" ht="13.15" customHeight="1" x14ac:dyDescent="0.2">
      <c r="A513" s="1" t="s">
        <v>1419</v>
      </c>
      <c r="B513" s="1" t="s">
        <v>1381</v>
      </c>
      <c r="C513" s="580">
        <v>288</v>
      </c>
      <c r="D513" s="1">
        <v>2466.4</v>
      </c>
      <c r="E513" t="s">
        <v>1198</v>
      </c>
      <c r="F513">
        <v>288</v>
      </c>
      <c r="G513" s="580">
        <v>0</v>
      </c>
      <c r="H513" s="1" t="s">
        <v>1420</v>
      </c>
      <c r="I513" s="1"/>
      <c r="J513" s="1"/>
      <c r="K513" s="1"/>
      <c r="L513" s="1"/>
      <c r="M513" s="1"/>
      <c r="N513" s="1"/>
      <c r="Q513"/>
    </row>
    <row r="514" spans="1:17" ht="13.15" customHeight="1" x14ac:dyDescent="0.2">
      <c r="A514" s="1" t="s">
        <v>1421</v>
      </c>
      <c r="B514" s="1" t="s">
        <v>1381</v>
      </c>
      <c r="C514" s="580">
        <v>289</v>
      </c>
      <c r="D514" s="1">
        <v>4304.6400000000003</v>
      </c>
      <c r="E514" t="s">
        <v>1198</v>
      </c>
      <c r="F514">
        <v>289</v>
      </c>
      <c r="G514" s="580">
        <v>0</v>
      </c>
      <c r="H514" s="1" t="s">
        <v>1422</v>
      </c>
      <c r="I514" s="1"/>
      <c r="J514" s="1"/>
      <c r="K514" s="1"/>
      <c r="L514" s="1"/>
      <c r="M514" s="1"/>
      <c r="N514" s="1"/>
      <c r="Q514"/>
    </row>
    <row r="515" spans="1:17" ht="13.15" customHeight="1" x14ac:dyDescent="0.2">
      <c r="A515" s="1" t="s">
        <v>1423</v>
      </c>
      <c r="B515" s="1" t="s">
        <v>1381</v>
      </c>
      <c r="C515" s="580">
        <v>290</v>
      </c>
      <c r="D515" s="1">
        <v>1300.32</v>
      </c>
      <c r="E515" t="s">
        <v>1198</v>
      </c>
      <c r="F515">
        <v>290</v>
      </c>
      <c r="G515" s="580">
        <v>0</v>
      </c>
      <c r="H515" s="1" t="s">
        <v>1424</v>
      </c>
      <c r="I515" s="1"/>
      <c r="J515" s="1"/>
      <c r="K515" s="1"/>
      <c r="L515" s="1"/>
      <c r="M515" s="1"/>
      <c r="N515" s="1"/>
      <c r="Q515"/>
    </row>
    <row r="516" spans="1:17" ht="13.15" customHeight="1" x14ac:dyDescent="0.2">
      <c r="A516" s="1" t="s">
        <v>1425</v>
      </c>
      <c r="B516" s="1" t="s">
        <v>1381</v>
      </c>
      <c r="C516" s="580">
        <v>291</v>
      </c>
      <c r="D516" s="1">
        <v>811.92</v>
      </c>
      <c r="E516" t="s">
        <v>1198</v>
      </c>
      <c r="F516">
        <v>291</v>
      </c>
      <c r="G516" s="580">
        <v>0</v>
      </c>
      <c r="H516" s="1" t="s">
        <v>1426</v>
      </c>
      <c r="I516" s="1"/>
      <c r="J516" s="1"/>
      <c r="K516" s="1"/>
      <c r="L516" s="1"/>
      <c r="M516" s="1"/>
      <c r="N516" s="1"/>
      <c r="Q516"/>
    </row>
    <row r="517" spans="1:17" ht="13.15" customHeight="1" x14ac:dyDescent="0.2">
      <c r="A517" s="1" t="s">
        <v>1427</v>
      </c>
      <c r="B517" s="1" t="s">
        <v>1381</v>
      </c>
      <c r="C517" s="580">
        <v>292</v>
      </c>
      <c r="D517" s="1">
        <v>811.92</v>
      </c>
      <c r="E517" t="s">
        <v>1198</v>
      </c>
      <c r="F517">
        <v>292</v>
      </c>
      <c r="G517" s="580">
        <v>0</v>
      </c>
      <c r="H517" s="1" t="s">
        <v>1428</v>
      </c>
      <c r="I517" s="1"/>
      <c r="J517" s="1"/>
      <c r="K517" s="1"/>
      <c r="L517" s="1"/>
      <c r="M517" s="1"/>
      <c r="N517" s="1"/>
      <c r="Q517"/>
    </row>
    <row r="518" spans="1:17" ht="13.15" customHeight="1" x14ac:dyDescent="0.2">
      <c r="A518" s="1" t="s">
        <v>1429</v>
      </c>
      <c r="B518" s="1" t="s">
        <v>1381</v>
      </c>
      <c r="C518" s="580">
        <v>293</v>
      </c>
      <c r="D518" s="1">
        <v>811.92</v>
      </c>
      <c r="E518" t="s">
        <v>1198</v>
      </c>
      <c r="F518">
        <v>293</v>
      </c>
      <c r="G518" s="580">
        <v>310.2</v>
      </c>
      <c r="H518" s="1" t="s">
        <v>1430</v>
      </c>
      <c r="I518" s="1"/>
      <c r="J518" s="1"/>
      <c r="K518" s="1"/>
      <c r="L518" s="1"/>
      <c r="M518" s="1"/>
      <c r="N518" s="1"/>
      <c r="Q518"/>
    </row>
    <row r="519" spans="1:17" ht="13.15" customHeight="1" x14ac:dyDescent="0.2">
      <c r="A519" s="1" t="s">
        <v>1431</v>
      </c>
      <c r="B519" s="1" t="s">
        <v>1381</v>
      </c>
      <c r="C519" s="580">
        <v>294</v>
      </c>
      <c r="D519" s="1">
        <v>811.92</v>
      </c>
      <c r="E519" t="s">
        <v>1198</v>
      </c>
      <c r="F519">
        <v>294</v>
      </c>
      <c r="G519" s="580">
        <v>0</v>
      </c>
      <c r="H519" s="1" t="s">
        <v>1432</v>
      </c>
      <c r="I519" s="1"/>
      <c r="J519" s="1"/>
      <c r="K519" s="1"/>
      <c r="L519" s="1"/>
      <c r="M519" s="1"/>
      <c r="N519" s="1"/>
      <c r="Q519"/>
    </row>
    <row r="520" spans="1:17" ht="13.15" customHeight="1" x14ac:dyDescent="0.2">
      <c r="A520" s="1" t="s">
        <v>1433</v>
      </c>
      <c r="B520" s="1" t="s">
        <v>1381</v>
      </c>
      <c r="C520" s="580">
        <v>295</v>
      </c>
      <c r="D520" s="1">
        <v>811.92</v>
      </c>
      <c r="E520" t="s">
        <v>1198</v>
      </c>
      <c r="F520">
        <v>295</v>
      </c>
      <c r="G520" s="580">
        <v>0</v>
      </c>
      <c r="H520" s="1" t="s">
        <v>1434</v>
      </c>
      <c r="I520" s="1"/>
      <c r="J520" s="1"/>
      <c r="K520" s="1"/>
      <c r="L520" s="1"/>
      <c r="M520" s="1"/>
      <c r="N520" s="1"/>
      <c r="Q520"/>
    </row>
    <row r="521" spans="1:17" ht="13.15" customHeight="1" x14ac:dyDescent="0.2">
      <c r="A521" s="1" t="s">
        <v>1435</v>
      </c>
      <c r="B521" s="1" t="s">
        <v>1381</v>
      </c>
      <c r="C521" s="580">
        <v>296</v>
      </c>
      <c r="D521" s="1">
        <v>1300.32</v>
      </c>
      <c r="E521" t="s">
        <v>1198</v>
      </c>
      <c r="F521">
        <v>296</v>
      </c>
      <c r="G521" s="580">
        <v>126.9</v>
      </c>
      <c r="H521" s="1" t="s">
        <v>1436</v>
      </c>
      <c r="I521" s="1"/>
      <c r="J521" s="1"/>
      <c r="K521" s="1"/>
      <c r="L521" s="1"/>
      <c r="M521" s="1"/>
      <c r="N521" s="1"/>
      <c r="Q521"/>
    </row>
    <row r="522" spans="1:17" ht="13.15" customHeight="1" x14ac:dyDescent="0.2">
      <c r="A522" s="1" t="s">
        <v>1437</v>
      </c>
      <c r="B522" s="1" t="s">
        <v>1381</v>
      </c>
      <c r="C522" s="580">
        <v>297</v>
      </c>
      <c r="D522" s="1">
        <v>1973.2</v>
      </c>
      <c r="E522" t="s">
        <v>1198</v>
      </c>
      <c r="F522">
        <v>297</v>
      </c>
      <c r="G522" s="580">
        <v>0</v>
      </c>
      <c r="H522" s="1" t="s">
        <v>1438</v>
      </c>
      <c r="I522" s="1"/>
      <c r="J522" s="1"/>
      <c r="K522" s="1"/>
      <c r="L522" s="1"/>
      <c r="M522" s="1"/>
      <c r="N522" s="1"/>
      <c r="Q522"/>
    </row>
    <row r="523" spans="1:17" ht="13.15" customHeight="1" x14ac:dyDescent="0.2">
      <c r="A523" s="1" t="s">
        <v>1439</v>
      </c>
      <c r="B523" s="1" t="s">
        <v>1381</v>
      </c>
      <c r="C523" s="580">
        <v>298</v>
      </c>
      <c r="D523" s="1">
        <v>2152.52</v>
      </c>
      <c r="E523" t="s">
        <v>1198</v>
      </c>
      <c r="F523">
        <v>298</v>
      </c>
      <c r="G523" s="580">
        <v>183.3</v>
      </c>
      <c r="H523" s="1" t="s">
        <v>1438</v>
      </c>
      <c r="I523" s="1"/>
      <c r="J523" s="1"/>
      <c r="K523" s="1"/>
      <c r="L523" s="1"/>
      <c r="M523" s="1"/>
      <c r="N523" s="1"/>
      <c r="Q523"/>
    </row>
    <row r="524" spans="1:17" ht="13.15" customHeight="1" x14ac:dyDescent="0.2">
      <c r="A524" s="1" t="s">
        <v>1440</v>
      </c>
      <c r="B524" s="1" t="s">
        <v>1381</v>
      </c>
      <c r="C524" s="580">
        <v>299</v>
      </c>
      <c r="D524" s="1">
        <v>1883.36</v>
      </c>
      <c r="E524" t="s">
        <v>1198</v>
      </c>
      <c r="F524">
        <v>299</v>
      </c>
      <c r="G524" s="580">
        <v>0</v>
      </c>
      <c r="H524" s="1" t="s">
        <v>1441</v>
      </c>
      <c r="I524" s="1"/>
      <c r="J524" s="1"/>
      <c r="K524" s="1"/>
      <c r="L524" s="1"/>
      <c r="M524" s="1"/>
      <c r="N524" s="1"/>
      <c r="Q524"/>
    </row>
    <row r="525" spans="1:17" ht="13.15" customHeight="1" x14ac:dyDescent="0.2">
      <c r="A525" s="1" t="s">
        <v>1442</v>
      </c>
      <c r="B525" s="1" t="s">
        <v>1381</v>
      </c>
      <c r="C525" s="580">
        <v>300</v>
      </c>
      <c r="D525" s="1">
        <v>811.92</v>
      </c>
      <c r="E525" t="s">
        <v>1198</v>
      </c>
      <c r="F525">
        <v>300</v>
      </c>
      <c r="G525" s="580">
        <v>0</v>
      </c>
      <c r="H525" s="1" t="s">
        <v>1443</v>
      </c>
      <c r="I525" s="1"/>
      <c r="J525" s="1"/>
      <c r="K525" s="1"/>
      <c r="L525" s="1"/>
      <c r="M525" s="1"/>
      <c r="N525" s="1"/>
      <c r="Q525"/>
    </row>
    <row r="526" spans="1:17" ht="13.15" customHeight="1" x14ac:dyDescent="0.2">
      <c r="A526" s="1" t="s">
        <v>1444</v>
      </c>
      <c r="B526" s="1" t="s">
        <v>1381</v>
      </c>
      <c r="C526" s="580">
        <v>302</v>
      </c>
      <c r="D526" s="1">
        <v>811.92</v>
      </c>
      <c r="E526" t="s">
        <v>1198</v>
      </c>
      <c r="F526">
        <v>302</v>
      </c>
      <c r="G526" s="580">
        <v>0</v>
      </c>
      <c r="H526" s="1" t="s">
        <v>1445</v>
      </c>
      <c r="I526" s="1"/>
      <c r="J526" s="1"/>
      <c r="K526" s="1"/>
      <c r="L526" s="1"/>
      <c r="M526" s="1"/>
      <c r="N526" s="1"/>
      <c r="Q526"/>
    </row>
    <row r="527" spans="1:17" ht="13.15" customHeight="1" x14ac:dyDescent="0.2">
      <c r="A527" s="1" t="s">
        <v>1446</v>
      </c>
      <c r="B527" s="1" t="s">
        <v>1381</v>
      </c>
      <c r="C527" s="580">
        <v>303</v>
      </c>
      <c r="D527" s="1">
        <v>811.92</v>
      </c>
      <c r="E527" t="s">
        <v>1198</v>
      </c>
      <c r="F527">
        <v>303</v>
      </c>
      <c r="G527" s="580">
        <v>0</v>
      </c>
      <c r="H527" s="1" t="s">
        <v>1447</v>
      </c>
      <c r="I527" s="1"/>
      <c r="J527" s="1"/>
      <c r="K527" s="1"/>
      <c r="L527" s="1"/>
      <c r="M527" s="1"/>
      <c r="N527" s="1"/>
      <c r="Q527"/>
    </row>
    <row r="528" spans="1:17" ht="13.15" customHeight="1" x14ac:dyDescent="0.2">
      <c r="A528" s="1" t="s">
        <v>1448</v>
      </c>
      <c r="B528" s="1" t="s">
        <v>1381</v>
      </c>
      <c r="C528" s="580">
        <v>304</v>
      </c>
      <c r="D528" s="1">
        <v>811.92</v>
      </c>
      <c r="E528" t="s">
        <v>1198</v>
      </c>
      <c r="F528">
        <v>304</v>
      </c>
      <c r="G528" s="580">
        <v>0</v>
      </c>
      <c r="H528" s="1" t="s">
        <v>1449</v>
      </c>
      <c r="I528" s="1"/>
      <c r="J528" s="1"/>
      <c r="K528" s="1"/>
      <c r="L528" s="1"/>
      <c r="M528" s="1"/>
      <c r="N528" s="1"/>
      <c r="Q528"/>
    </row>
    <row r="529" spans="1:17" ht="13.15" customHeight="1" x14ac:dyDescent="0.2">
      <c r="A529" s="1" t="s">
        <v>1450</v>
      </c>
      <c r="B529" s="1" t="s">
        <v>1381</v>
      </c>
      <c r="C529" s="580">
        <v>305</v>
      </c>
      <c r="D529" s="1">
        <v>811.92</v>
      </c>
      <c r="E529" t="s">
        <v>1198</v>
      </c>
      <c r="F529">
        <v>305</v>
      </c>
      <c r="G529" s="580">
        <v>0</v>
      </c>
      <c r="H529" s="1" t="s">
        <v>1451</v>
      </c>
      <c r="I529" s="1"/>
      <c r="J529" s="1"/>
      <c r="K529" s="1"/>
      <c r="L529" s="1"/>
      <c r="M529" s="1"/>
      <c r="N529" s="1"/>
      <c r="Q529"/>
    </row>
    <row r="530" spans="1:17" ht="13.15" customHeight="1" x14ac:dyDescent="0.2">
      <c r="A530" s="1" t="s">
        <v>1452</v>
      </c>
      <c r="B530" s="1" t="s">
        <v>1381</v>
      </c>
      <c r="C530" s="580">
        <v>306</v>
      </c>
      <c r="D530" s="1">
        <v>811.92</v>
      </c>
      <c r="E530" t="s">
        <v>1198</v>
      </c>
      <c r="F530">
        <v>306</v>
      </c>
      <c r="G530" s="580">
        <v>0</v>
      </c>
      <c r="H530" s="1" t="s">
        <v>1453</v>
      </c>
      <c r="I530" s="1"/>
      <c r="J530" s="1"/>
      <c r="K530" s="1"/>
      <c r="L530" s="1"/>
      <c r="M530" s="1"/>
      <c r="N530" s="1"/>
      <c r="Q530"/>
    </row>
    <row r="531" spans="1:17" ht="13.15" customHeight="1" x14ac:dyDescent="0.2">
      <c r="A531" s="1" t="s">
        <v>1454</v>
      </c>
      <c r="B531" s="1" t="s">
        <v>1381</v>
      </c>
      <c r="C531" s="580">
        <v>308</v>
      </c>
      <c r="D531" s="1">
        <v>811.92</v>
      </c>
      <c r="E531" t="s">
        <v>1198</v>
      </c>
      <c r="F531">
        <v>308</v>
      </c>
      <c r="G531" s="580">
        <v>0</v>
      </c>
      <c r="H531" s="1" t="s">
        <v>1455</v>
      </c>
      <c r="I531" s="1"/>
      <c r="J531" s="1"/>
      <c r="K531" s="1"/>
      <c r="L531" s="1"/>
      <c r="M531" s="1"/>
      <c r="N531" s="1"/>
      <c r="Q531"/>
    </row>
    <row r="532" spans="1:17" ht="13.15" customHeight="1" x14ac:dyDescent="0.2">
      <c r="A532" s="1" t="s">
        <v>1456</v>
      </c>
      <c r="B532" s="1" t="s">
        <v>1381</v>
      </c>
      <c r="C532" s="580">
        <v>309</v>
      </c>
      <c r="D532" s="1">
        <v>933.16</v>
      </c>
      <c r="E532" t="s">
        <v>1198</v>
      </c>
      <c r="F532">
        <v>309</v>
      </c>
      <c r="G532" s="580">
        <v>0</v>
      </c>
      <c r="H532" s="1" t="s">
        <v>1457</v>
      </c>
      <c r="I532" s="1"/>
      <c r="J532" s="1"/>
      <c r="K532" s="1"/>
      <c r="L532" s="1"/>
      <c r="M532" s="1"/>
      <c r="N532" s="1"/>
      <c r="Q532"/>
    </row>
    <row r="533" spans="1:17" ht="13.15" customHeight="1" x14ac:dyDescent="0.2">
      <c r="A533" s="1" t="s">
        <v>1458</v>
      </c>
      <c r="B533" s="1" t="s">
        <v>1381</v>
      </c>
      <c r="C533" s="580">
        <v>310</v>
      </c>
      <c r="D533" s="1">
        <v>811.92</v>
      </c>
      <c r="E533" t="s">
        <v>1198</v>
      </c>
      <c r="F533">
        <v>310</v>
      </c>
      <c r="G533" s="580">
        <v>0</v>
      </c>
      <c r="H533" s="1" t="s">
        <v>1459</v>
      </c>
      <c r="I533" s="1"/>
      <c r="J533" s="1"/>
      <c r="K533" s="1"/>
      <c r="L533" s="1"/>
      <c r="M533" s="1"/>
      <c r="N533" s="1"/>
      <c r="Q533"/>
    </row>
    <row r="534" spans="1:17" ht="13.15" customHeight="1" x14ac:dyDescent="0.2">
      <c r="A534" s="1" t="s">
        <v>1460</v>
      </c>
      <c r="B534" s="1" t="s">
        <v>1381</v>
      </c>
      <c r="C534" s="580">
        <v>312</v>
      </c>
      <c r="D534" s="1">
        <v>811.92</v>
      </c>
      <c r="E534" t="s">
        <v>1198</v>
      </c>
      <c r="F534">
        <v>312</v>
      </c>
      <c r="G534" s="580">
        <v>0</v>
      </c>
      <c r="H534" s="1" t="s">
        <v>1461</v>
      </c>
      <c r="I534" s="1"/>
      <c r="J534" s="1"/>
      <c r="K534" s="1"/>
      <c r="L534" s="1"/>
      <c r="M534" s="1"/>
      <c r="N534" s="1"/>
      <c r="Q534"/>
    </row>
    <row r="535" spans="1:17" ht="13.15" customHeight="1" x14ac:dyDescent="0.2">
      <c r="A535" s="1" t="s">
        <v>1462</v>
      </c>
      <c r="B535" s="1" t="s">
        <v>1381</v>
      </c>
      <c r="C535" s="580">
        <v>313</v>
      </c>
      <c r="D535" s="1">
        <v>811.92</v>
      </c>
      <c r="E535" t="s">
        <v>1198</v>
      </c>
      <c r="F535">
        <v>313</v>
      </c>
      <c r="G535" s="580">
        <v>0</v>
      </c>
      <c r="H535" s="1" t="s">
        <v>1463</v>
      </c>
      <c r="I535" s="1"/>
      <c r="J535" s="1"/>
      <c r="K535" s="1"/>
      <c r="L535" s="1"/>
      <c r="M535" s="1"/>
      <c r="N535" s="1"/>
      <c r="Q535"/>
    </row>
    <row r="536" spans="1:17" ht="13.15" customHeight="1" x14ac:dyDescent="0.2">
      <c r="A536" s="1" t="s">
        <v>1464</v>
      </c>
      <c r="B536" s="1" t="s">
        <v>1381</v>
      </c>
      <c r="C536" s="580">
        <v>316</v>
      </c>
      <c r="D536" s="1">
        <v>811.92</v>
      </c>
      <c r="E536" t="s">
        <v>1198</v>
      </c>
      <c r="F536">
        <v>316</v>
      </c>
      <c r="G536" s="580">
        <v>0</v>
      </c>
      <c r="H536" s="1" t="s">
        <v>1465</v>
      </c>
      <c r="I536" s="1"/>
      <c r="J536" s="1"/>
      <c r="K536" s="1"/>
      <c r="L536" s="1"/>
      <c r="M536" s="1"/>
      <c r="N536" s="1"/>
      <c r="Q536"/>
    </row>
    <row r="537" spans="1:17" ht="13.15" customHeight="1" x14ac:dyDescent="0.2">
      <c r="A537" s="1" t="s">
        <v>1466</v>
      </c>
      <c r="B537" s="1" t="s">
        <v>1381</v>
      </c>
      <c r="C537" s="580">
        <v>317</v>
      </c>
      <c r="D537" s="1">
        <v>1046.32</v>
      </c>
      <c r="E537" t="s">
        <v>1198</v>
      </c>
      <c r="F537">
        <v>317</v>
      </c>
      <c r="G537" s="580">
        <v>0</v>
      </c>
      <c r="H537" s="1" t="s">
        <v>1467</v>
      </c>
      <c r="I537" s="1"/>
      <c r="J537" s="1"/>
      <c r="K537" s="1"/>
      <c r="L537" s="1"/>
      <c r="M537" s="1"/>
      <c r="N537" s="1"/>
      <c r="Q537"/>
    </row>
    <row r="538" spans="1:17" ht="13.15" customHeight="1" x14ac:dyDescent="0.2">
      <c r="A538" s="1" t="s">
        <v>1468</v>
      </c>
      <c r="B538" s="1" t="s">
        <v>1381</v>
      </c>
      <c r="C538" s="580">
        <v>318</v>
      </c>
      <c r="D538" s="1">
        <v>811.92</v>
      </c>
      <c r="E538" t="s">
        <v>1198</v>
      </c>
      <c r="F538">
        <v>318</v>
      </c>
      <c r="G538" s="580">
        <v>0</v>
      </c>
      <c r="H538" s="1" t="s">
        <v>1469</v>
      </c>
      <c r="I538" s="1"/>
      <c r="J538" s="1"/>
      <c r="K538" s="1"/>
      <c r="L538" s="1"/>
      <c r="M538" s="1"/>
      <c r="N538" s="1"/>
      <c r="Q538"/>
    </row>
    <row r="539" spans="1:17" ht="13.15" customHeight="1" x14ac:dyDescent="0.2">
      <c r="A539" s="1" t="s">
        <v>1470</v>
      </c>
      <c r="B539" s="1" t="s">
        <v>1381</v>
      </c>
      <c r="C539" s="580">
        <v>320</v>
      </c>
      <c r="D539" s="1">
        <v>811.92</v>
      </c>
      <c r="E539" t="s">
        <v>1198</v>
      </c>
      <c r="F539">
        <v>320</v>
      </c>
      <c r="G539" s="580">
        <v>0</v>
      </c>
      <c r="H539" s="1" t="s">
        <v>1471</v>
      </c>
      <c r="I539" s="1"/>
      <c r="J539" s="1"/>
      <c r="K539" s="1"/>
      <c r="L539" s="1"/>
      <c r="M539" s="1"/>
      <c r="N539" s="1"/>
      <c r="Q539"/>
    </row>
    <row r="540" spans="1:17" ht="13.15" customHeight="1" x14ac:dyDescent="0.2">
      <c r="A540" s="1" t="s">
        <v>1472</v>
      </c>
      <c r="B540" s="1" t="s">
        <v>1381</v>
      </c>
      <c r="C540" s="580">
        <v>322</v>
      </c>
      <c r="D540" s="1">
        <v>811.92</v>
      </c>
      <c r="E540" t="s">
        <v>1198</v>
      </c>
      <c r="F540">
        <v>322</v>
      </c>
      <c r="G540" s="580">
        <v>225.6</v>
      </c>
      <c r="H540" s="1" t="s">
        <v>1473</v>
      </c>
      <c r="I540" s="1"/>
      <c r="J540" s="1"/>
      <c r="K540" s="1"/>
      <c r="L540" s="1"/>
      <c r="M540" s="1"/>
      <c r="N540" s="1"/>
      <c r="Q540"/>
    </row>
    <row r="541" spans="1:17" ht="13.15" customHeight="1" x14ac:dyDescent="0.2">
      <c r="A541" s="1" t="s">
        <v>1474</v>
      </c>
      <c r="B541" s="1" t="s">
        <v>1381</v>
      </c>
      <c r="C541" s="580">
        <v>324</v>
      </c>
      <c r="D541" s="1">
        <v>811.92</v>
      </c>
      <c r="E541" t="s">
        <v>1198</v>
      </c>
      <c r="F541">
        <v>324</v>
      </c>
      <c r="G541" s="580">
        <v>225.6</v>
      </c>
      <c r="H541" s="1" t="s">
        <v>1475</v>
      </c>
      <c r="I541" s="1"/>
      <c r="J541" s="1"/>
      <c r="K541" s="1"/>
      <c r="L541" s="1"/>
      <c r="M541" s="1"/>
      <c r="N541" s="1"/>
      <c r="Q541"/>
    </row>
    <row r="542" spans="1:17" ht="13.15" customHeight="1" x14ac:dyDescent="0.2">
      <c r="A542" s="1" t="s">
        <v>1476</v>
      </c>
      <c r="B542" s="1" t="s">
        <v>1381</v>
      </c>
      <c r="C542" s="580">
        <v>326</v>
      </c>
      <c r="D542" s="1">
        <v>811.92</v>
      </c>
      <c r="E542" t="s">
        <v>1198</v>
      </c>
      <c r="F542">
        <v>326</v>
      </c>
      <c r="G542" s="580">
        <v>267.89999999999998</v>
      </c>
      <c r="H542" s="1" t="s">
        <v>1477</v>
      </c>
      <c r="I542" s="1"/>
      <c r="J542" s="1"/>
      <c r="K542" s="1"/>
      <c r="L542" s="1"/>
      <c r="M542" s="1"/>
      <c r="N542" s="1"/>
      <c r="Q542"/>
    </row>
    <row r="543" spans="1:17" ht="13.15" customHeight="1" x14ac:dyDescent="0.2">
      <c r="A543" s="1" t="s">
        <v>1478</v>
      </c>
      <c r="B543" s="1" t="s">
        <v>1381</v>
      </c>
      <c r="C543" s="580">
        <v>327</v>
      </c>
      <c r="D543" s="1">
        <v>916.16</v>
      </c>
      <c r="E543" t="s">
        <v>1198</v>
      </c>
      <c r="F543">
        <v>327</v>
      </c>
      <c r="G543" s="580">
        <v>239.7</v>
      </c>
      <c r="H543" s="1" t="s">
        <v>1479</v>
      </c>
      <c r="I543" s="1"/>
      <c r="J543" s="1"/>
      <c r="K543" s="1"/>
      <c r="L543" s="1"/>
      <c r="M543" s="1"/>
      <c r="N543" s="1"/>
      <c r="Q543"/>
    </row>
    <row r="544" spans="1:17" ht="13.15" customHeight="1" x14ac:dyDescent="0.2">
      <c r="A544" s="1" t="s">
        <v>1480</v>
      </c>
      <c r="B544" s="1" t="s">
        <v>1381</v>
      </c>
      <c r="C544" s="580">
        <v>328</v>
      </c>
      <c r="D544" s="1">
        <v>811.92</v>
      </c>
      <c r="E544" t="s">
        <v>1198</v>
      </c>
      <c r="F544">
        <v>328</v>
      </c>
      <c r="G544" s="580">
        <v>0</v>
      </c>
      <c r="H544" s="1" t="s">
        <v>1481</v>
      </c>
      <c r="I544" s="1"/>
      <c r="J544" s="1"/>
      <c r="K544" s="1"/>
      <c r="L544" s="1"/>
      <c r="M544" s="1"/>
      <c r="N544" s="1"/>
      <c r="Q544"/>
    </row>
    <row r="545" spans="1:17" ht="13.15" customHeight="1" x14ac:dyDescent="0.2">
      <c r="A545" s="1" t="s">
        <v>1482</v>
      </c>
      <c r="B545" s="1" t="s">
        <v>1381</v>
      </c>
      <c r="C545" s="580">
        <v>330</v>
      </c>
      <c r="D545" s="1">
        <v>811.92</v>
      </c>
      <c r="E545" t="s">
        <v>1198</v>
      </c>
      <c r="F545">
        <v>330</v>
      </c>
      <c r="G545" s="580">
        <v>211.5</v>
      </c>
      <c r="H545" s="1" t="s">
        <v>1483</v>
      </c>
      <c r="I545" s="1"/>
      <c r="J545" s="1"/>
      <c r="K545" s="1"/>
      <c r="L545" s="1"/>
      <c r="M545" s="1"/>
      <c r="N545" s="1"/>
      <c r="Q545"/>
    </row>
    <row r="546" spans="1:17" ht="13.15" customHeight="1" x14ac:dyDescent="0.2">
      <c r="A546" s="1" t="s">
        <v>1484</v>
      </c>
      <c r="B546" s="1" t="s">
        <v>1381</v>
      </c>
      <c r="C546" s="580">
        <v>332</v>
      </c>
      <c r="D546" s="1">
        <v>811.92</v>
      </c>
      <c r="E546" t="s">
        <v>1198</v>
      </c>
      <c r="F546">
        <v>332</v>
      </c>
      <c r="G546" s="580">
        <v>0</v>
      </c>
      <c r="H546" s="1" t="s">
        <v>1485</v>
      </c>
      <c r="I546" s="1"/>
      <c r="J546" s="1"/>
      <c r="K546" s="1"/>
      <c r="L546" s="1"/>
      <c r="M546" s="1"/>
      <c r="N546" s="1"/>
      <c r="Q546"/>
    </row>
    <row r="547" spans="1:17" ht="13.15" customHeight="1" x14ac:dyDescent="0.2">
      <c r="A547" s="1" t="s">
        <v>1486</v>
      </c>
      <c r="B547" s="1" t="s">
        <v>1381</v>
      </c>
      <c r="C547" s="580">
        <v>334</v>
      </c>
      <c r="D547" s="1">
        <v>811.92</v>
      </c>
      <c r="E547" t="s">
        <v>1198</v>
      </c>
      <c r="F547">
        <v>334</v>
      </c>
      <c r="G547" s="580">
        <v>0</v>
      </c>
      <c r="H547" s="1" t="s">
        <v>1487</v>
      </c>
      <c r="I547" s="1"/>
      <c r="J547" s="1"/>
      <c r="K547" s="1"/>
      <c r="L547" s="1"/>
      <c r="M547" s="1"/>
      <c r="N547" s="1"/>
      <c r="Q547"/>
    </row>
    <row r="548" spans="1:17" ht="13.15" customHeight="1" x14ac:dyDescent="0.2">
      <c r="A548" s="1" t="s">
        <v>1488</v>
      </c>
      <c r="B548" s="1" t="s">
        <v>1381</v>
      </c>
      <c r="C548" s="580">
        <v>336</v>
      </c>
      <c r="D548" s="1">
        <v>811.92</v>
      </c>
      <c r="E548" t="s">
        <v>1198</v>
      </c>
      <c r="F548">
        <v>336</v>
      </c>
      <c r="G548" s="580">
        <v>0</v>
      </c>
      <c r="H548" s="1" t="s">
        <v>1489</v>
      </c>
      <c r="I548" s="1"/>
      <c r="J548" s="1"/>
      <c r="K548" s="1"/>
      <c r="L548" s="1"/>
      <c r="M548" s="1"/>
      <c r="N548" s="1"/>
      <c r="Q548"/>
    </row>
    <row r="549" spans="1:17" ht="13.15" customHeight="1" x14ac:dyDescent="0.2">
      <c r="A549" s="1" t="s">
        <v>1490</v>
      </c>
      <c r="B549" s="1" t="s">
        <v>1381</v>
      </c>
      <c r="C549" s="580">
        <v>338</v>
      </c>
      <c r="D549" s="1">
        <v>811.92</v>
      </c>
      <c r="E549" t="s">
        <v>1198</v>
      </c>
      <c r="F549">
        <v>338</v>
      </c>
      <c r="G549" s="580">
        <v>0</v>
      </c>
      <c r="H549" s="1" t="s">
        <v>1491</v>
      </c>
      <c r="I549" s="1"/>
      <c r="J549" s="1"/>
      <c r="K549" s="1"/>
      <c r="L549" s="1"/>
      <c r="M549" s="1"/>
      <c r="N549" s="1"/>
      <c r="Q549"/>
    </row>
    <row r="550" spans="1:17" ht="13.15" customHeight="1" x14ac:dyDescent="0.2">
      <c r="A550" s="1" t="s">
        <v>1492</v>
      </c>
      <c r="B550" s="1" t="s">
        <v>1381</v>
      </c>
      <c r="C550" s="580">
        <v>340</v>
      </c>
      <c r="D550" s="1">
        <v>1175.72</v>
      </c>
      <c r="E550" t="s">
        <v>1198</v>
      </c>
      <c r="F550">
        <v>340</v>
      </c>
      <c r="G550" s="580">
        <v>0</v>
      </c>
      <c r="H550" s="1" t="s">
        <v>1493</v>
      </c>
      <c r="I550" s="1"/>
      <c r="J550" s="1"/>
      <c r="K550" s="1"/>
      <c r="L550" s="1"/>
      <c r="M550" s="1"/>
      <c r="N550" s="1"/>
      <c r="Q550"/>
    </row>
    <row r="551" spans="1:17" ht="13.15" customHeight="1" x14ac:dyDescent="0.2">
      <c r="A551" s="1" t="s">
        <v>1494</v>
      </c>
      <c r="B551" s="1" t="s">
        <v>1381</v>
      </c>
      <c r="C551" s="580">
        <v>341</v>
      </c>
      <c r="D551" s="1">
        <v>933.16</v>
      </c>
      <c r="E551" t="s">
        <v>1198</v>
      </c>
      <c r="F551">
        <v>341</v>
      </c>
      <c r="G551" s="580">
        <v>0</v>
      </c>
      <c r="H551" s="1" t="s">
        <v>1495</v>
      </c>
      <c r="I551" s="1"/>
      <c r="J551" s="1"/>
      <c r="K551" s="1"/>
      <c r="L551" s="1"/>
      <c r="M551" s="1"/>
      <c r="N551" s="1"/>
      <c r="Q551"/>
    </row>
    <row r="552" spans="1:17" ht="13.15" customHeight="1" x14ac:dyDescent="0.2">
      <c r="A552" s="1" t="s">
        <v>1496</v>
      </c>
      <c r="B552" s="1" t="s">
        <v>1381</v>
      </c>
      <c r="C552" s="580">
        <v>342</v>
      </c>
      <c r="D552" s="1">
        <v>933.16</v>
      </c>
      <c r="E552" t="s">
        <v>1198</v>
      </c>
      <c r="F552">
        <v>342</v>
      </c>
      <c r="G552" s="580">
        <v>0</v>
      </c>
      <c r="H552" s="1" t="s">
        <v>1373</v>
      </c>
      <c r="I552" s="1"/>
      <c r="J552" s="1"/>
      <c r="K552" s="1"/>
      <c r="L552" s="1"/>
      <c r="M552" s="1"/>
      <c r="N552" s="1"/>
      <c r="Q552"/>
    </row>
    <row r="553" spans="1:17" ht="13.15" customHeight="1" x14ac:dyDescent="0.2">
      <c r="A553" s="1" t="s">
        <v>1497</v>
      </c>
      <c r="B553" s="1" t="s">
        <v>1381</v>
      </c>
      <c r="C553" s="580">
        <v>343</v>
      </c>
      <c r="D553" s="1">
        <v>1030.04</v>
      </c>
      <c r="E553" t="s">
        <v>1198</v>
      </c>
      <c r="F553">
        <v>343</v>
      </c>
      <c r="G553" s="580">
        <v>0</v>
      </c>
      <c r="H553" s="1" t="s">
        <v>1498</v>
      </c>
      <c r="I553" s="1"/>
      <c r="J553" s="1"/>
      <c r="K553" s="1"/>
      <c r="L553" s="1"/>
      <c r="M553" s="1"/>
      <c r="N553" s="1"/>
      <c r="Q553"/>
    </row>
    <row r="554" spans="1:17" ht="13.15" customHeight="1" x14ac:dyDescent="0.2">
      <c r="A554" s="1" t="s">
        <v>1499</v>
      </c>
      <c r="B554" s="1" t="s">
        <v>1381</v>
      </c>
      <c r="C554" s="580">
        <v>344</v>
      </c>
      <c r="D554" s="1">
        <v>811.92</v>
      </c>
      <c r="E554" t="s">
        <v>1198</v>
      </c>
      <c r="F554">
        <v>344</v>
      </c>
      <c r="G554" s="580">
        <v>0</v>
      </c>
      <c r="H554" s="1" t="s">
        <v>1500</v>
      </c>
      <c r="I554" s="1"/>
      <c r="J554" s="1"/>
      <c r="K554" s="1"/>
      <c r="L554" s="1"/>
      <c r="M554" s="1"/>
      <c r="N554" s="1"/>
      <c r="Q554"/>
    </row>
    <row r="555" spans="1:17" ht="13.15" customHeight="1" x14ac:dyDescent="0.2">
      <c r="A555" s="1" t="s">
        <v>1501</v>
      </c>
      <c r="B555" s="1" t="s">
        <v>1381</v>
      </c>
      <c r="C555" s="580">
        <v>346</v>
      </c>
      <c r="D555" s="1">
        <v>811.92</v>
      </c>
      <c r="E555" t="s">
        <v>1198</v>
      </c>
      <c r="F555">
        <v>346</v>
      </c>
      <c r="G555" s="580">
        <v>0</v>
      </c>
      <c r="H555" s="1" t="s">
        <v>1502</v>
      </c>
      <c r="I555" s="1"/>
      <c r="J555" s="1"/>
      <c r="K555" s="1"/>
      <c r="L555" s="1"/>
      <c r="M555" s="1"/>
      <c r="N555" s="1"/>
      <c r="Q555"/>
    </row>
    <row r="556" spans="1:17" ht="13.15" customHeight="1" x14ac:dyDescent="0.2">
      <c r="A556" s="1" t="s">
        <v>1503</v>
      </c>
      <c r="B556" s="1" t="s">
        <v>1381</v>
      </c>
      <c r="C556" s="580">
        <v>348</v>
      </c>
      <c r="D556" s="1">
        <v>811.92</v>
      </c>
      <c r="E556" t="s">
        <v>1198</v>
      </c>
      <c r="F556">
        <v>348</v>
      </c>
      <c r="G556" s="580">
        <v>0</v>
      </c>
      <c r="H556" s="1" t="s">
        <v>1259</v>
      </c>
      <c r="I556" s="1"/>
      <c r="J556" s="1"/>
      <c r="K556" s="1"/>
      <c r="L556" s="1"/>
      <c r="M556" s="1"/>
      <c r="N556" s="1"/>
      <c r="Q556"/>
    </row>
    <row r="557" spans="1:17" ht="13.15" customHeight="1" x14ac:dyDescent="0.2">
      <c r="A557" s="1" t="s">
        <v>1504</v>
      </c>
      <c r="B557" s="1" t="s">
        <v>1381</v>
      </c>
      <c r="C557" s="580">
        <v>349</v>
      </c>
      <c r="D557" s="1">
        <v>1175.72</v>
      </c>
      <c r="E557" t="s">
        <v>1198</v>
      </c>
      <c r="F557">
        <v>349</v>
      </c>
      <c r="G557" s="580">
        <v>0</v>
      </c>
      <c r="H557" s="1" t="s">
        <v>1505</v>
      </c>
      <c r="I557" s="1"/>
      <c r="J557" s="1"/>
      <c r="K557" s="1"/>
      <c r="L557" s="1"/>
      <c r="M557" s="1"/>
      <c r="N557" s="1"/>
      <c r="Q557"/>
    </row>
    <row r="558" spans="1:17" ht="13.15" customHeight="1" x14ac:dyDescent="0.2">
      <c r="A558" s="1" t="s">
        <v>1506</v>
      </c>
      <c r="B558" s="1" t="s">
        <v>1381</v>
      </c>
      <c r="C558" s="580">
        <v>350</v>
      </c>
      <c r="D558" s="1">
        <v>1175.72</v>
      </c>
      <c r="E558" t="s">
        <v>1198</v>
      </c>
      <c r="F558">
        <v>350</v>
      </c>
      <c r="G558" s="580">
        <v>0</v>
      </c>
      <c r="H558" s="1" t="s">
        <v>1507</v>
      </c>
      <c r="I558" s="1"/>
      <c r="J558" s="1"/>
      <c r="K558" s="1"/>
      <c r="L558" s="1"/>
      <c r="M558" s="1"/>
      <c r="N558" s="1"/>
      <c r="Q558"/>
    </row>
    <row r="559" spans="1:17" ht="13.15" customHeight="1" x14ac:dyDescent="0.2">
      <c r="A559" s="1" t="s">
        <v>1508</v>
      </c>
      <c r="B559" s="1" t="s">
        <v>1381</v>
      </c>
      <c r="C559" s="580">
        <v>352</v>
      </c>
      <c r="D559" s="1">
        <v>1054.44</v>
      </c>
      <c r="E559" t="s">
        <v>1198</v>
      </c>
      <c r="F559">
        <v>352</v>
      </c>
      <c r="G559" s="580">
        <v>0</v>
      </c>
      <c r="H559" s="1" t="s">
        <v>1509</v>
      </c>
      <c r="I559" s="1"/>
      <c r="J559" s="1"/>
      <c r="K559" s="1"/>
      <c r="L559" s="1"/>
      <c r="M559" s="1"/>
      <c r="N559" s="1"/>
      <c r="Q559"/>
    </row>
    <row r="560" spans="1:17" ht="13.15" customHeight="1" x14ac:dyDescent="0.2">
      <c r="A560" s="1" t="s">
        <v>1510</v>
      </c>
      <c r="B560" s="1" t="s">
        <v>1381</v>
      </c>
      <c r="C560" s="580">
        <v>353</v>
      </c>
      <c r="D560" s="1">
        <v>1054.44</v>
      </c>
      <c r="E560" t="s">
        <v>1198</v>
      </c>
      <c r="F560">
        <v>353</v>
      </c>
      <c r="G560" s="580">
        <v>0</v>
      </c>
      <c r="H560" s="1" t="s">
        <v>1509</v>
      </c>
      <c r="I560" s="1"/>
      <c r="J560" s="1"/>
      <c r="K560" s="1"/>
      <c r="L560" s="1"/>
      <c r="M560" s="1"/>
      <c r="N560" s="1"/>
      <c r="Q560"/>
    </row>
    <row r="561" spans="1:17" ht="13.15" customHeight="1" x14ac:dyDescent="0.2">
      <c r="A561" s="1" t="s">
        <v>1511</v>
      </c>
      <c r="B561" s="1" t="s">
        <v>1381</v>
      </c>
      <c r="C561" s="580">
        <v>354</v>
      </c>
      <c r="D561" s="1">
        <v>1054.44</v>
      </c>
      <c r="E561" t="s">
        <v>1198</v>
      </c>
      <c r="F561">
        <v>354</v>
      </c>
      <c r="G561" s="580">
        <v>0</v>
      </c>
      <c r="H561" s="1" t="s">
        <v>1512</v>
      </c>
      <c r="I561" s="1"/>
      <c r="J561" s="1"/>
      <c r="K561" s="1"/>
      <c r="L561" s="1"/>
      <c r="M561" s="1"/>
      <c r="N561" s="1"/>
      <c r="Q561"/>
    </row>
    <row r="562" spans="1:17" ht="13.15" customHeight="1" x14ac:dyDescent="0.2">
      <c r="A562" s="1" t="s">
        <v>1513</v>
      </c>
      <c r="B562" s="1" t="s">
        <v>1381</v>
      </c>
      <c r="C562" s="580">
        <v>355</v>
      </c>
      <c r="D562" s="1">
        <v>1054.44</v>
      </c>
      <c r="E562" t="s">
        <v>1198</v>
      </c>
      <c r="F562">
        <v>355</v>
      </c>
      <c r="G562" s="580">
        <v>0</v>
      </c>
      <c r="H562" s="1" t="s">
        <v>1514</v>
      </c>
      <c r="I562" s="1"/>
      <c r="J562" s="1"/>
      <c r="K562" s="1"/>
      <c r="L562" s="1"/>
      <c r="M562" s="1"/>
      <c r="N562" s="1"/>
      <c r="Q562"/>
    </row>
    <row r="563" spans="1:17" ht="13.15" customHeight="1" x14ac:dyDescent="0.2">
      <c r="A563" s="1" t="s">
        <v>1515</v>
      </c>
      <c r="B563" s="1" t="s">
        <v>1381</v>
      </c>
      <c r="C563" s="580">
        <v>356</v>
      </c>
      <c r="D563" s="1">
        <v>1054.44</v>
      </c>
      <c r="E563" t="s">
        <v>1198</v>
      </c>
      <c r="F563">
        <v>356</v>
      </c>
      <c r="G563" s="580">
        <v>0</v>
      </c>
      <c r="H563" s="1" t="s">
        <v>1516</v>
      </c>
      <c r="I563" s="1"/>
      <c r="J563" s="1"/>
      <c r="K563" s="1"/>
      <c r="L563" s="1"/>
      <c r="M563" s="1"/>
      <c r="N563" s="1"/>
      <c r="Q563"/>
    </row>
    <row r="564" spans="1:17" ht="13.15" customHeight="1" x14ac:dyDescent="0.2">
      <c r="A564" s="1" t="s">
        <v>1517</v>
      </c>
      <c r="B564" s="1" t="s">
        <v>1381</v>
      </c>
      <c r="C564" s="580">
        <v>358</v>
      </c>
      <c r="D564" s="1">
        <v>1054.44</v>
      </c>
      <c r="E564" t="s">
        <v>1198</v>
      </c>
      <c r="F564">
        <v>358</v>
      </c>
      <c r="G564" s="580">
        <v>0</v>
      </c>
      <c r="H564" s="1" t="s">
        <v>1518</v>
      </c>
      <c r="I564" s="1"/>
      <c r="J564" s="1"/>
      <c r="K564" s="1"/>
      <c r="L564" s="1"/>
      <c r="M564" s="1"/>
      <c r="N564" s="1"/>
      <c r="Q564"/>
    </row>
    <row r="565" spans="1:17" ht="13.15" customHeight="1" x14ac:dyDescent="0.2">
      <c r="A565" s="1" t="s">
        <v>1519</v>
      </c>
      <c r="B565" s="1" t="s">
        <v>1381</v>
      </c>
      <c r="C565" s="580">
        <v>360</v>
      </c>
      <c r="D565" s="1">
        <v>1054.44</v>
      </c>
      <c r="E565" t="s">
        <v>1198</v>
      </c>
      <c r="F565">
        <v>360</v>
      </c>
      <c r="G565" s="580">
        <v>0</v>
      </c>
      <c r="H565" s="1" t="s">
        <v>1520</v>
      </c>
      <c r="I565" s="1"/>
      <c r="J565" s="1"/>
      <c r="K565" s="1"/>
      <c r="L565" s="1"/>
      <c r="M565" s="1"/>
      <c r="N565" s="1"/>
      <c r="Q565"/>
    </row>
    <row r="566" spans="1:17" ht="13.15" customHeight="1" x14ac:dyDescent="0.2">
      <c r="A566" s="1" t="s">
        <v>1521</v>
      </c>
      <c r="B566" s="1" t="s">
        <v>1381</v>
      </c>
      <c r="C566" s="580">
        <v>362</v>
      </c>
      <c r="D566" s="1">
        <v>1054.44</v>
      </c>
      <c r="E566" t="s">
        <v>1198</v>
      </c>
      <c r="F566">
        <v>362</v>
      </c>
      <c r="G566" s="580">
        <v>282</v>
      </c>
      <c r="H566" s="1" t="s">
        <v>1522</v>
      </c>
      <c r="I566" s="1"/>
      <c r="J566" s="1"/>
      <c r="K566" s="1"/>
      <c r="L566" s="1"/>
      <c r="M566" s="1"/>
      <c r="N566" s="1"/>
      <c r="Q566"/>
    </row>
    <row r="567" spans="1:17" ht="13.15" customHeight="1" x14ac:dyDescent="0.2">
      <c r="A567" s="1" t="s">
        <v>1523</v>
      </c>
      <c r="B567" s="1" t="s">
        <v>1381</v>
      </c>
      <c r="C567" s="580">
        <v>364</v>
      </c>
      <c r="D567" s="1">
        <v>1054.44</v>
      </c>
      <c r="E567" t="s">
        <v>1198</v>
      </c>
      <c r="F567">
        <v>364</v>
      </c>
      <c r="G567" s="580">
        <v>0</v>
      </c>
      <c r="H567" s="1" t="s">
        <v>1524</v>
      </c>
      <c r="I567" s="1"/>
      <c r="J567" s="1"/>
      <c r="K567" s="1"/>
      <c r="L567" s="1"/>
      <c r="M567" s="1"/>
      <c r="N567" s="1"/>
      <c r="Q567"/>
    </row>
    <row r="568" spans="1:17" ht="13.15" customHeight="1" x14ac:dyDescent="0.2">
      <c r="A568" s="1" t="s">
        <v>1525</v>
      </c>
      <c r="B568" s="1" t="s">
        <v>1381</v>
      </c>
      <c r="C568" s="580">
        <v>365</v>
      </c>
      <c r="D568" s="1">
        <v>1175.72</v>
      </c>
      <c r="E568" t="s">
        <v>1198</v>
      </c>
      <c r="F568">
        <v>365</v>
      </c>
      <c r="G568" s="580">
        <v>239.7</v>
      </c>
      <c r="H568" s="1" t="s">
        <v>1526</v>
      </c>
      <c r="I568" s="1"/>
      <c r="J568" s="1"/>
      <c r="K568" s="1"/>
      <c r="L568" s="1"/>
      <c r="M568" s="1"/>
      <c r="N568" s="1"/>
      <c r="Q568"/>
    </row>
    <row r="569" spans="1:17" ht="13.15" customHeight="1" x14ac:dyDescent="0.2">
      <c r="A569" s="1" t="s">
        <v>1527</v>
      </c>
      <c r="B569" s="1" t="s">
        <v>1381</v>
      </c>
      <c r="C569" s="580">
        <v>366</v>
      </c>
      <c r="D569" s="1">
        <v>909.16</v>
      </c>
      <c r="E569" t="s">
        <v>1198</v>
      </c>
      <c r="F569">
        <v>366</v>
      </c>
      <c r="G569" s="580">
        <v>0</v>
      </c>
      <c r="H569" s="1" t="s">
        <v>1528</v>
      </c>
      <c r="I569" s="1"/>
      <c r="J569" s="1"/>
      <c r="K569" s="1"/>
      <c r="L569" s="1"/>
      <c r="M569" s="1"/>
      <c r="N569" s="1"/>
      <c r="Q569"/>
    </row>
    <row r="570" spans="1:17" ht="13.15" customHeight="1" x14ac:dyDescent="0.2">
      <c r="A570" s="1" t="s">
        <v>1529</v>
      </c>
      <c r="B570" s="1" t="s">
        <v>1381</v>
      </c>
      <c r="C570" s="580">
        <v>367</v>
      </c>
      <c r="D570" s="1">
        <v>1175.72</v>
      </c>
      <c r="E570" t="s">
        <v>1198</v>
      </c>
      <c r="F570">
        <v>367</v>
      </c>
      <c r="G570" s="580">
        <v>239.7</v>
      </c>
      <c r="H570" s="1" t="s">
        <v>1530</v>
      </c>
      <c r="I570" s="1"/>
      <c r="J570" s="1"/>
      <c r="K570" s="1"/>
      <c r="L570" s="1"/>
      <c r="M570" s="1"/>
      <c r="N570" s="1"/>
      <c r="Q570"/>
    </row>
    <row r="571" spans="1:17" ht="13.15" customHeight="1" x14ac:dyDescent="0.2">
      <c r="A571" s="1" t="s">
        <v>1531</v>
      </c>
      <c r="B571" s="1" t="s">
        <v>1381</v>
      </c>
      <c r="C571" s="580">
        <v>368</v>
      </c>
      <c r="D571" s="1">
        <v>1175.72</v>
      </c>
      <c r="E571" t="s">
        <v>1198</v>
      </c>
      <c r="F571">
        <v>368</v>
      </c>
      <c r="G571" s="580">
        <v>310.2</v>
      </c>
      <c r="H571" s="1" t="s">
        <v>1532</v>
      </c>
      <c r="I571" s="1"/>
      <c r="J571" s="1"/>
      <c r="K571" s="1"/>
      <c r="L571" s="1"/>
      <c r="M571" s="1"/>
      <c r="N571" s="1"/>
      <c r="Q571"/>
    </row>
    <row r="572" spans="1:17" ht="13.15" customHeight="1" x14ac:dyDescent="0.2">
      <c r="A572" s="1" t="s">
        <v>1533</v>
      </c>
      <c r="B572" s="1" t="s">
        <v>1381</v>
      </c>
      <c r="C572" s="580">
        <v>370</v>
      </c>
      <c r="D572" s="1">
        <v>1465.92</v>
      </c>
      <c r="E572" t="s">
        <v>1198</v>
      </c>
      <c r="F572">
        <v>370</v>
      </c>
      <c r="G572" s="580">
        <v>282</v>
      </c>
      <c r="H572" s="1" t="s">
        <v>1534</v>
      </c>
      <c r="I572" s="1"/>
      <c r="J572" s="1"/>
      <c r="K572" s="1"/>
      <c r="L572" s="1"/>
      <c r="M572" s="1"/>
      <c r="N572" s="1"/>
      <c r="Q572"/>
    </row>
    <row r="573" spans="1:17" ht="13.15" customHeight="1" x14ac:dyDescent="0.2">
      <c r="A573" s="1" t="s">
        <v>1535</v>
      </c>
      <c r="B573" s="1" t="s">
        <v>1381</v>
      </c>
      <c r="C573" s="580">
        <v>371</v>
      </c>
      <c r="D573" s="1">
        <v>1054.44</v>
      </c>
      <c r="E573" t="s">
        <v>1198</v>
      </c>
      <c r="F573">
        <v>371</v>
      </c>
      <c r="G573" s="580">
        <v>0</v>
      </c>
      <c r="H573" s="1" t="s">
        <v>1536</v>
      </c>
      <c r="I573" s="1"/>
      <c r="J573" s="1"/>
      <c r="K573" s="1"/>
      <c r="L573" s="1"/>
      <c r="M573" s="1"/>
      <c r="N573" s="1"/>
      <c r="Q573"/>
    </row>
    <row r="574" spans="1:17" ht="13.15" customHeight="1" x14ac:dyDescent="0.2">
      <c r="A574" s="1" t="s">
        <v>1537</v>
      </c>
      <c r="B574" s="1" t="s">
        <v>1381</v>
      </c>
      <c r="C574" s="580">
        <v>372</v>
      </c>
      <c r="D574" s="1">
        <v>1636</v>
      </c>
      <c r="E574" t="s">
        <v>1198</v>
      </c>
      <c r="F574">
        <v>372</v>
      </c>
      <c r="G574" s="580">
        <v>0</v>
      </c>
      <c r="H574" s="1" t="s">
        <v>1538</v>
      </c>
      <c r="I574" s="1"/>
      <c r="J574" s="1"/>
      <c r="K574" s="1"/>
      <c r="L574" s="1"/>
      <c r="M574" s="1"/>
      <c r="N574" s="1"/>
      <c r="Q574"/>
    </row>
    <row r="575" spans="1:17" ht="13.15" customHeight="1" x14ac:dyDescent="0.2">
      <c r="A575" s="1" t="s">
        <v>1539</v>
      </c>
      <c r="B575" s="1" t="s">
        <v>1381</v>
      </c>
      <c r="C575" s="580">
        <v>374</v>
      </c>
      <c r="D575" s="1">
        <v>1636</v>
      </c>
      <c r="E575" t="s">
        <v>1198</v>
      </c>
      <c r="F575">
        <v>374</v>
      </c>
      <c r="G575" s="580">
        <v>310.2</v>
      </c>
      <c r="H575" s="1" t="s">
        <v>1540</v>
      </c>
      <c r="I575" s="1"/>
      <c r="J575" s="1"/>
      <c r="K575" s="1"/>
      <c r="L575" s="1"/>
      <c r="M575" s="1"/>
      <c r="N575" s="1"/>
      <c r="Q575"/>
    </row>
    <row r="576" spans="1:17" ht="13.15" customHeight="1" x14ac:dyDescent="0.2">
      <c r="A576" s="1" t="s">
        <v>1541</v>
      </c>
      <c r="B576" s="1" t="s">
        <v>1381</v>
      </c>
      <c r="C576" s="580">
        <v>375</v>
      </c>
      <c r="D576" s="1">
        <v>1901.84</v>
      </c>
      <c r="E576" t="s">
        <v>1198</v>
      </c>
      <c r="F576">
        <v>375</v>
      </c>
      <c r="G576" s="580">
        <v>310.2</v>
      </c>
      <c r="H576" s="1" t="s">
        <v>1542</v>
      </c>
      <c r="I576" s="1"/>
      <c r="J576" s="1"/>
      <c r="K576" s="1"/>
      <c r="L576" s="1"/>
      <c r="M576" s="1"/>
      <c r="N576" s="1"/>
      <c r="Q576"/>
    </row>
    <row r="577" spans="1:17" ht="13.15" customHeight="1" x14ac:dyDescent="0.2">
      <c r="A577" s="1" t="s">
        <v>1543</v>
      </c>
      <c r="B577" s="1" t="s">
        <v>1381</v>
      </c>
      <c r="C577" s="580">
        <v>376</v>
      </c>
      <c r="D577" s="1">
        <v>1175.72</v>
      </c>
      <c r="E577" t="s">
        <v>1198</v>
      </c>
      <c r="F577">
        <v>376</v>
      </c>
      <c r="G577" s="580">
        <v>0</v>
      </c>
      <c r="H577" s="1" t="s">
        <v>1544</v>
      </c>
      <c r="I577" s="1"/>
      <c r="J577" s="1"/>
      <c r="K577" s="1"/>
      <c r="L577" s="1"/>
      <c r="M577" s="1"/>
      <c r="N577" s="1"/>
      <c r="Q577"/>
    </row>
    <row r="578" spans="1:17" ht="13.15" customHeight="1" x14ac:dyDescent="0.2">
      <c r="A578" s="1" t="s">
        <v>1545</v>
      </c>
      <c r="B578" s="1" t="s">
        <v>1381</v>
      </c>
      <c r="C578" s="580">
        <v>377</v>
      </c>
      <c r="D578" s="1">
        <v>1175.72</v>
      </c>
      <c r="E578" t="s">
        <v>1198</v>
      </c>
      <c r="F578">
        <v>377</v>
      </c>
      <c r="G578" s="580">
        <v>282</v>
      </c>
      <c r="H578" s="1" t="s">
        <v>1546</v>
      </c>
      <c r="I578" s="1"/>
      <c r="J578" s="1"/>
      <c r="K578" s="1"/>
      <c r="L578" s="1"/>
      <c r="M578" s="1"/>
      <c r="N578" s="1"/>
      <c r="Q578"/>
    </row>
    <row r="579" spans="1:17" ht="13.15" customHeight="1" x14ac:dyDescent="0.2">
      <c r="A579" s="1" t="s">
        <v>1547</v>
      </c>
      <c r="B579" s="1" t="s">
        <v>1381</v>
      </c>
      <c r="C579" s="580">
        <v>378</v>
      </c>
      <c r="D579" s="1">
        <v>1175.72</v>
      </c>
      <c r="E579" t="s">
        <v>1198</v>
      </c>
      <c r="F579">
        <v>378</v>
      </c>
      <c r="G579" s="580">
        <v>282</v>
      </c>
      <c r="H579" s="1" t="s">
        <v>1548</v>
      </c>
      <c r="I579" s="1"/>
      <c r="J579" s="1"/>
      <c r="K579" s="1"/>
      <c r="L579" s="1"/>
      <c r="M579" s="1"/>
      <c r="N579" s="1"/>
      <c r="Q579"/>
    </row>
    <row r="580" spans="1:17" ht="13.15" customHeight="1" x14ac:dyDescent="0.2">
      <c r="A580" s="1" t="s">
        <v>1549</v>
      </c>
      <c r="B580" s="1" t="s">
        <v>1381</v>
      </c>
      <c r="C580" s="580">
        <v>380</v>
      </c>
      <c r="D580" s="1">
        <v>1310.6400000000001</v>
      </c>
      <c r="E580" t="s">
        <v>1198</v>
      </c>
      <c r="F580">
        <v>380</v>
      </c>
      <c r="G580" s="580">
        <v>0</v>
      </c>
      <c r="H580" s="1" t="s">
        <v>1550</v>
      </c>
      <c r="I580" s="1"/>
      <c r="J580" s="1"/>
      <c r="K580" s="1"/>
      <c r="L580" s="1"/>
      <c r="M580" s="1"/>
      <c r="N580" s="1"/>
      <c r="Q580"/>
    </row>
    <row r="581" spans="1:17" ht="13.15" customHeight="1" x14ac:dyDescent="0.2">
      <c r="A581" s="1" t="s">
        <v>1551</v>
      </c>
      <c r="B581" s="1" t="s">
        <v>1381</v>
      </c>
      <c r="C581" s="580">
        <v>381</v>
      </c>
      <c r="D581" s="1">
        <v>1310.6400000000001</v>
      </c>
      <c r="E581" t="s">
        <v>1198</v>
      </c>
      <c r="F581">
        <v>381</v>
      </c>
      <c r="G581" s="580">
        <v>0</v>
      </c>
      <c r="H581" s="1" t="s">
        <v>1552</v>
      </c>
      <c r="I581" s="1"/>
      <c r="J581" s="1"/>
      <c r="K581" s="1"/>
      <c r="L581" s="1"/>
      <c r="M581" s="1"/>
      <c r="N581" s="1"/>
      <c r="Q581"/>
    </row>
    <row r="582" spans="1:17" ht="13.15" customHeight="1" x14ac:dyDescent="0.2">
      <c r="A582" s="1" t="s">
        <v>1553</v>
      </c>
      <c r="B582" s="1" t="s">
        <v>1381</v>
      </c>
      <c r="C582" s="580">
        <v>382</v>
      </c>
      <c r="D582" s="1">
        <v>1310.6400000000001</v>
      </c>
      <c r="E582" t="s">
        <v>1198</v>
      </c>
      <c r="F582">
        <v>382</v>
      </c>
      <c r="G582" s="580">
        <v>0</v>
      </c>
      <c r="H582" s="1" t="s">
        <v>1554</v>
      </c>
      <c r="I582" s="1"/>
      <c r="J582" s="1"/>
      <c r="K582" s="1"/>
      <c r="L582" s="1"/>
      <c r="M582" s="1"/>
      <c r="N582" s="1"/>
      <c r="Q582"/>
    </row>
    <row r="583" spans="1:17" ht="13.15" customHeight="1" x14ac:dyDescent="0.2">
      <c r="A583" s="1" t="s">
        <v>1555</v>
      </c>
      <c r="B583" s="1" t="s">
        <v>1381</v>
      </c>
      <c r="C583" s="580">
        <v>383</v>
      </c>
      <c r="D583" s="1">
        <v>1310.6400000000001</v>
      </c>
      <c r="E583" t="s">
        <v>1198</v>
      </c>
      <c r="F583">
        <v>383</v>
      </c>
      <c r="G583" s="580">
        <v>380.7</v>
      </c>
      <c r="H583" s="1" t="s">
        <v>1556</v>
      </c>
      <c r="I583" s="1"/>
      <c r="J583" s="1"/>
      <c r="K583" s="1"/>
      <c r="L583" s="1"/>
      <c r="M583" s="1"/>
      <c r="N583" s="1"/>
      <c r="Q583"/>
    </row>
    <row r="584" spans="1:17" ht="13.15" customHeight="1" x14ac:dyDescent="0.2">
      <c r="A584" s="1" t="s">
        <v>1557</v>
      </c>
      <c r="B584" s="1" t="s">
        <v>1381</v>
      </c>
      <c r="C584" s="580">
        <v>384</v>
      </c>
      <c r="D584" s="1">
        <v>1636</v>
      </c>
      <c r="E584" t="s">
        <v>1198</v>
      </c>
      <c r="F584">
        <v>384</v>
      </c>
      <c r="G584" s="580">
        <v>0</v>
      </c>
      <c r="H584" s="1" t="s">
        <v>1558</v>
      </c>
      <c r="I584" s="1"/>
      <c r="J584" s="1"/>
      <c r="K584" s="1"/>
      <c r="L584" s="1"/>
      <c r="M584" s="1"/>
      <c r="N584" s="1"/>
      <c r="Q584"/>
    </row>
    <row r="585" spans="1:17" ht="13.15" customHeight="1" x14ac:dyDescent="0.2">
      <c r="A585" s="1" t="s">
        <v>1559</v>
      </c>
      <c r="B585" s="1" t="s">
        <v>1381</v>
      </c>
      <c r="C585" s="580">
        <v>385</v>
      </c>
      <c r="D585" s="1">
        <v>1897.76</v>
      </c>
      <c r="E585" t="s">
        <v>1198</v>
      </c>
      <c r="F585">
        <v>385</v>
      </c>
      <c r="G585" s="580">
        <v>0</v>
      </c>
      <c r="H585" s="1" t="s">
        <v>1560</v>
      </c>
      <c r="I585" s="1"/>
      <c r="J585" s="1"/>
      <c r="K585" s="1"/>
      <c r="L585" s="1"/>
      <c r="M585" s="1"/>
      <c r="N585" s="1"/>
      <c r="Q585"/>
    </row>
    <row r="586" spans="1:17" ht="13.15" customHeight="1" x14ac:dyDescent="0.2">
      <c r="A586" s="1" t="s">
        <v>1561</v>
      </c>
      <c r="B586" s="1" t="s">
        <v>1381</v>
      </c>
      <c r="C586" s="580">
        <v>386</v>
      </c>
      <c r="D586" s="1">
        <v>2290.4</v>
      </c>
      <c r="E586" t="s">
        <v>1198</v>
      </c>
      <c r="F586">
        <v>386</v>
      </c>
      <c r="G586" s="580">
        <v>423</v>
      </c>
      <c r="H586" s="1" t="s">
        <v>1562</v>
      </c>
      <c r="I586" s="1"/>
      <c r="J586" s="1"/>
      <c r="K586" s="1"/>
      <c r="L586" s="1"/>
      <c r="M586" s="1"/>
      <c r="N586" s="1"/>
      <c r="Q586"/>
    </row>
    <row r="587" spans="1:17" ht="13.15" customHeight="1" x14ac:dyDescent="0.2">
      <c r="A587" s="1" t="s">
        <v>1563</v>
      </c>
      <c r="B587" s="1" t="s">
        <v>1381</v>
      </c>
      <c r="C587" s="580">
        <v>387</v>
      </c>
      <c r="D587" s="1">
        <v>2748.88</v>
      </c>
      <c r="E587" t="s">
        <v>1198</v>
      </c>
      <c r="F587">
        <v>387</v>
      </c>
      <c r="G587" s="580">
        <v>423</v>
      </c>
      <c r="H587" s="1" t="s">
        <v>1564</v>
      </c>
      <c r="I587" s="1"/>
      <c r="J587" s="1"/>
      <c r="K587" s="1"/>
      <c r="L587" s="1"/>
      <c r="M587" s="1"/>
      <c r="N587" s="1"/>
      <c r="Q587"/>
    </row>
    <row r="588" spans="1:17" ht="13.15" customHeight="1" x14ac:dyDescent="0.2">
      <c r="A588" s="1" t="s">
        <v>1565</v>
      </c>
      <c r="B588" s="1" t="s">
        <v>1381</v>
      </c>
      <c r="C588" s="580">
        <v>388</v>
      </c>
      <c r="D588" s="1">
        <v>1732.12</v>
      </c>
      <c r="E588" t="s">
        <v>1198</v>
      </c>
      <c r="F588">
        <v>388</v>
      </c>
      <c r="G588" s="580">
        <v>0</v>
      </c>
      <c r="H588" s="1" t="s">
        <v>1566</v>
      </c>
      <c r="I588" s="1"/>
      <c r="J588" s="1"/>
      <c r="K588" s="1"/>
      <c r="L588" s="1"/>
      <c r="M588" s="1"/>
      <c r="N588" s="1"/>
      <c r="Q588"/>
    </row>
    <row r="589" spans="1:17" ht="13.15" customHeight="1" x14ac:dyDescent="0.2">
      <c r="A589" s="1" t="s">
        <v>1567</v>
      </c>
      <c r="B589" s="1" t="s">
        <v>1381</v>
      </c>
      <c r="C589" s="580">
        <v>389</v>
      </c>
      <c r="D589" s="1">
        <v>2421.2800000000002</v>
      </c>
      <c r="E589" t="s">
        <v>1198</v>
      </c>
      <c r="F589">
        <v>389</v>
      </c>
      <c r="G589" s="580">
        <v>0</v>
      </c>
      <c r="H589" s="1" t="s">
        <v>1568</v>
      </c>
      <c r="I589" s="1"/>
      <c r="J589" s="1"/>
      <c r="K589" s="1"/>
      <c r="L589" s="1"/>
      <c r="M589" s="1"/>
      <c r="N589" s="1"/>
      <c r="Q589"/>
    </row>
    <row r="590" spans="1:17" ht="13.15" customHeight="1" x14ac:dyDescent="0.2">
      <c r="A590" s="1" t="s">
        <v>1569</v>
      </c>
      <c r="B590" s="1" t="s">
        <v>1381</v>
      </c>
      <c r="C590" s="580">
        <v>393</v>
      </c>
      <c r="D590" s="1">
        <v>811.92</v>
      </c>
      <c r="E590" t="s">
        <v>1198</v>
      </c>
      <c r="F590">
        <v>393</v>
      </c>
      <c r="G590" s="580">
        <v>0</v>
      </c>
      <c r="H590" s="1" t="s">
        <v>1570</v>
      </c>
      <c r="I590" s="1"/>
      <c r="J590" s="1"/>
      <c r="K590" s="1"/>
      <c r="L590" s="1"/>
      <c r="M590" s="1"/>
      <c r="N590" s="1"/>
      <c r="Q590"/>
    </row>
    <row r="591" spans="1:17" ht="13.15" customHeight="1" x14ac:dyDescent="0.2">
      <c r="A591" s="1" t="s">
        <v>1571</v>
      </c>
      <c r="B591" s="1" t="s">
        <v>1381</v>
      </c>
      <c r="C591" s="580">
        <v>394</v>
      </c>
      <c r="D591" s="1">
        <v>811.92</v>
      </c>
      <c r="E591" t="s">
        <v>1198</v>
      </c>
      <c r="F591">
        <v>394</v>
      </c>
      <c r="G591" s="580">
        <v>0</v>
      </c>
      <c r="H591" s="1" t="s">
        <v>1572</v>
      </c>
      <c r="I591" s="1"/>
      <c r="J591" s="1"/>
      <c r="K591" s="1"/>
      <c r="L591" s="1"/>
      <c r="M591" s="1"/>
      <c r="N591" s="1"/>
      <c r="Q591"/>
    </row>
    <row r="592" spans="1:17" ht="13.15" customHeight="1" x14ac:dyDescent="0.2">
      <c r="A592" s="1" t="s">
        <v>1573</v>
      </c>
      <c r="B592" s="1" t="s">
        <v>1381</v>
      </c>
      <c r="C592" s="580">
        <v>395</v>
      </c>
      <c r="D592" s="1">
        <v>811.92</v>
      </c>
      <c r="E592" t="s">
        <v>1198</v>
      </c>
      <c r="F592">
        <v>395</v>
      </c>
      <c r="G592" s="580">
        <v>0</v>
      </c>
      <c r="H592" s="1" t="s">
        <v>1574</v>
      </c>
      <c r="I592" s="1"/>
      <c r="J592" s="1"/>
      <c r="K592" s="1"/>
      <c r="L592" s="1"/>
      <c r="M592" s="1"/>
      <c r="N592" s="1"/>
      <c r="Q592"/>
    </row>
    <row r="593" spans="1:17" ht="13.15" customHeight="1" x14ac:dyDescent="0.2">
      <c r="A593" s="1" t="s">
        <v>1575</v>
      </c>
      <c r="B593" s="1" t="s">
        <v>1381</v>
      </c>
      <c r="C593" s="580">
        <v>396</v>
      </c>
      <c r="D593" s="1">
        <v>811.92</v>
      </c>
      <c r="E593" t="s">
        <v>1198</v>
      </c>
      <c r="F593">
        <v>396</v>
      </c>
      <c r="G593" s="580">
        <v>0</v>
      </c>
      <c r="H593" s="1" t="s">
        <v>1576</v>
      </c>
      <c r="I593" s="1"/>
      <c r="J593" s="1"/>
      <c r="K593" s="1"/>
      <c r="L593" s="1"/>
      <c r="M593" s="1"/>
      <c r="N593" s="1"/>
      <c r="Q593"/>
    </row>
    <row r="594" spans="1:17" ht="13.15" customHeight="1" x14ac:dyDescent="0.2">
      <c r="A594" s="1" t="s">
        <v>1577</v>
      </c>
      <c r="B594" s="1" t="s">
        <v>1381</v>
      </c>
      <c r="C594" s="580">
        <v>397</v>
      </c>
      <c r="D594" s="1">
        <v>811.92</v>
      </c>
      <c r="E594" t="s">
        <v>1198</v>
      </c>
      <c r="F594">
        <v>397</v>
      </c>
      <c r="G594" s="580">
        <v>0</v>
      </c>
      <c r="H594" s="1" t="s">
        <v>1578</v>
      </c>
      <c r="I594" s="1"/>
      <c r="J594" s="1"/>
      <c r="K594" s="1"/>
      <c r="L594" s="1"/>
      <c r="M594" s="1"/>
      <c r="N594" s="1"/>
      <c r="Q594"/>
    </row>
    <row r="595" spans="1:17" ht="13.15" customHeight="1" x14ac:dyDescent="0.2">
      <c r="A595" s="1" t="s">
        <v>1579</v>
      </c>
      <c r="B595" s="1" t="s">
        <v>1381</v>
      </c>
      <c r="C595" s="580">
        <v>398</v>
      </c>
      <c r="D595" s="1">
        <v>811.92</v>
      </c>
      <c r="E595" t="s">
        <v>1198</v>
      </c>
      <c r="F595">
        <v>398</v>
      </c>
      <c r="G595" s="580">
        <v>0</v>
      </c>
      <c r="H595" s="1" t="s">
        <v>1580</v>
      </c>
      <c r="I595" s="1"/>
      <c r="J595" s="1"/>
      <c r="K595" s="1"/>
      <c r="L595" s="1"/>
      <c r="M595" s="1"/>
      <c r="N595" s="1"/>
      <c r="Q595"/>
    </row>
    <row r="596" spans="1:17" ht="13.15" customHeight="1" x14ac:dyDescent="0.2">
      <c r="A596" s="1" t="s">
        <v>1581</v>
      </c>
      <c r="B596" s="1" t="s">
        <v>1381</v>
      </c>
      <c r="C596" s="580">
        <v>399</v>
      </c>
      <c r="D596" s="1">
        <v>916.16</v>
      </c>
      <c r="E596" t="s">
        <v>1198</v>
      </c>
      <c r="F596">
        <v>399</v>
      </c>
      <c r="G596" s="580">
        <v>0</v>
      </c>
      <c r="H596" s="1" t="s">
        <v>1582</v>
      </c>
      <c r="I596" s="1"/>
      <c r="J596" s="1"/>
      <c r="K596" s="1"/>
      <c r="L596" s="1"/>
      <c r="M596" s="1"/>
      <c r="N596" s="1"/>
      <c r="Q596"/>
    </row>
    <row r="597" spans="1:17" ht="13.15" customHeight="1" x14ac:dyDescent="0.2">
      <c r="A597" s="1" t="s">
        <v>1583</v>
      </c>
      <c r="B597" s="1" t="s">
        <v>1381</v>
      </c>
      <c r="C597" s="580">
        <v>400</v>
      </c>
      <c r="D597" s="1">
        <v>2239.7600000000002</v>
      </c>
      <c r="E597" t="s">
        <v>1198</v>
      </c>
      <c r="F597">
        <v>400</v>
      </c>
      <c r="G597" s="580">
        <v>0</v>
      </c>
      <c r="H597" s="1" t="s">
        <v>1584</v>
      </c>
      <c r="I597" s="1"/>
      <c r="J597" s="1"/>
      <c r="K597" s="1"/>
      <c r="L597" s="1"/>
      <c r="M597" s="1"/>
      <c r="N597" s="1"/>
      <c r="Q597"/>
    </row>
    <row r="598" spans="1:17" ht="13.15" customHeight="1" x14ac:dyDescent="0.2">
      <c r="A598" s="1" t="s">
        <v>1585</v>
      </c>
      <c r="B598" s="1" t="s">
        <v>1381</v>
      </c>
      <c r="C598" s="580">
        <v>401</v>
      </c>
      <c r="D598" s="1">
        <v>2351.8000000000002</v>
      </c>
      <c r="E598" t="s">
        <v>1198</v>
      </c>
      <c r="F598">
        <v>401</v>
      </c>
      <c r="G598" s="580">
        <v>0</v>
      </c>
      <c r="H598" s="1" t="s">
        <v>1586</v>
      </c>
      <c r="I598" s="1"/>
      <c r="J598" s="1"/>
      <c r="K598" s="1"/>
      <c r="L598" s="1"/>
      <c r="M598" s="1"/>
      <c r="N598" s="1"/>
      <c r="Q598"/>
    </row>
    <row r="599" spans="1:17" ht="13.15" customHeight="1" x14ac:dyDescent="0.2">
      <c r="A599" s="1" t="s">
        <v>1587</v>
      </c>
      <c r="B599" s="1" t="s">
        <v>1381</v>
      </c>
      <c r="C599" s="580">
        <v>402</v>
      </c>
      <c r="D599" s="1">
        <v>3223.6</v>
      </c>
      <c r="E599" t="s">
        <v>1198</v>
      </c>
      <c r="F599">
        <v>402</v>
      </c>
      <c r="G599" s="580">
        <v>0</v>
      </c>
      <c r="H599" s="1" t="s">
        <v>1588</v>
      </c>
      <c r="I599" s="1"/>
      <c r="J599" s="1"/>
      <c r="K599" s="1"/>
      <c r="L599" s="1"/>
      <c r="M599" s="1"/>
      <c r="N599" s="1"/>
      <c r="Q599"/>
    </row>
    <row r="600" spans="1:17" ht="13.15" customHeight="1" x14ac:dyDescent="0.2">
      <c r="A600" s="1" t="s">
        <v>1589</v>
      </c>
      <c r="B600" s="1" t="s">
        <v>1381</v>
      </c>
      <c r="C600" s="580">
        <v>403</v>
      </c>
      <c r="D600" s="1">
        <v>1506.6</v>
      </c>
      <c r="E600" t="s">
        <v>1198</v>
      </c>
      <c r="F600">
        <v>403</v>
      </c>
      <c r="G600" s="580">
        <v>0</v>
      </c>
      <c r="H600" s="1" t="s">
        <v>1590</v>
      </c>
      <c r="I600" s="1"/>
      <c r="J600" s="1"/>
      <c r="K600" s="1"/>
      <c r="L600" s="1"/>
      <c r="M600" s="1"/>
      <c r="N600" s="1"/>
      <c r="Q600"/>
    </row>
    <row r="601" spans="1:17" ht="13.15" customHeight="1" x14ac:dyDescent="0.2">
      <c r="A601" s="1" t="s">
        <v>1591</v>
      </c>
      <c r="B601" s="1" t="s">
        <v>1381</v>
      </c>
      <c r="C601" s="580">
        <v>404</v>
      </c>
      <c r="D601" s="1">
        <v>1506.6</v>
      </c>
      <c r="E601" t="s">
        <v>1198</v>
      </c>
      <c r="F601">
        <v>404</v>
      </c>
      <c r="G601" s="580">
        <v>0</v>
      </c>
      <c r="H601" s="1" t="s">
        <v>1588</v>
      </c>
      <c r="I601" s="1"/>
      <c r="J601" s="1"/>
      <c r="K601" s="1"/>
      <c r="L601" s="1"/>
      <c r="M601" s="1"/>
      <c r="N601" s="1"/>
      <c r="Q601"/>
    </row>
    <row r="602" spans="1:17" ht="13.15" customHeight="1" x14ac:dyDescent="0.2">
      <c r="A602" s="1" t="s">
        <v>1592</v>
      </c>
      <c r="B602" s="1" t="s">
        <v>1381</v>
      </c>
      <c r="C602" s="580">
        <v>405</v>
      </c>
      <c r="D602" s="1">
        <v>2195.04</v>
      </c>
      <c r="E602" t="s">
        <v>1198</v>
      </c>
      <c r="F602">
        <v>405</v>
      </c>
      <c r="G602" s="580">
        <v>0</v>
      </c>
      <c r="H602" s="1" t="s">
        <v>1593</v>
      </c>
      <c r="I602" s="1"/>
      <c r="J602" s="1"/>
      <c r="K602" s="1"/>
      <c r="L602" s="1"/>
      <c r="M602" s="1"/>
      <c r="N602" s="1"/>
      <c r="Q602"/>
    </row>
    <row r="603" spans="1:17" ht="13.15" customHeight="1" x14ac:dyDescent="0.2">
      <c r="A603" s="1" t="s">
        <v>1594</v>
      </c>
      <c r="B603" s="1" t="s">
        <v>1381</v>
      </c>
      <c r="C603" s="580">
        <v>407</v>
      </c>
      <c r="D603" s="1">
        <v>1657.84</v>
      </c>
      <c r="E603" t="s">
        <v>1198</v>
      </c>
      <c r="F603">
        <v>407</v>
      </c>
      <c r="G603" s="580">
        <v>126.9</v>
      </c>
      <c r="H603" s="1" t="s">
        <v>1595</v>
      </c>
      <c r="I603" s="1"/>
      <c r="J603" s="1"/>
      <c r="K603" s="1"/>
      <c r="L603" s="1"/>
      <c r="M603" s="1"/>
      <c r="N603" s="1"/>
      <c r="Q603"/>
    </row>
    <row r="604" spans="1:17" ht="13.15" customHeight="1" x14ac:dyDescent="0.2">
      <c r="A604" s="1" t="s">
        <v>1596</v>
      </c>
      <c r="B604" s="1" t="s">
        <v>1381</v>
      </c>
      <c r="C604" s="580">
        <v>408</v>
      </c>
      <c r="D604" s="1">
        <v>1657.84</v>
      </c>
      <c r="E604" t="s">
        <v>1198</v>
      </c>
      <c r="F604">
        <v>408</v>
      </c>
      <c r="G604" s="580">
        <v>0</v>
      </c>
      <c r="H604" s="1" t="s">
        <v>1267</v>
      </c>
      <c r="I604" s="1"/>
      <c r="J604" s="1"/>
      <c r="K604" s="1"/>
      <c r="L604" s="1"/>
      <c r="M604" s="1"/>
      <c r="N604" s="1"/>
      <c r="Q604"/>
    </row>
    <row r="605" spans="1:17" ht="13.15" customHeight="1" x14ac:dyDescent="0.2">
      <c r="A605" s="1" t="s">
        <v>1597</v>
      </c>
      <c r="B605" s="1" t="s">
        <v>1381</v>
      </c>
      <c r="C605" s="580">
        <v>410</v>
      </c>
      <c r="D605" s="1">
        <v>1657.84</v>
      </c>
      <c r="E605" t="s">
        <v>1198</v>
      </c>
      <c r="F605">
        <v>410</v>
      </c>
      <c r="G605" s="580">
        <v>0</v>
      </c>
      <c r="H605" s="1" t="s">
        <v>1598</v>
      </c>
      <c r="I605" s="1"/>
      <c r="J605" s="1"/>
      <c r="K605" s="1"/>
      <c r="L605" s="1"/>
      <c r="M605" s="1"/>
      <c r="N605" s="1"/>
      <c r="Q605"/>
    </row>
    <row r="606" spans="1:17" ht="13.15" customHeight="1" x14ac:dyDescent="0.2">
      <c r="A606" s="1" t="s">
        <v>1599</v>
      </c>
      <c r="B606" s="1" t="s">
        <v>1381</v>
      </c>
      <c r="C606" s="580">
        <v>411</v>
      </c>
      <c r="D606" s="1">
        <v>1989.4</v>
      </c>
      <c r="E606" t="s">
        <v>1198</v>
      </c>
      <c r="F606">
        <v>411</v>
      </c>
      <c r="G606" s="580">
        <v>0</v>
      </c>
      <c r="H606" s="1" t="s">
        <v>1600</v>
      </c>
      <c r="I606" s="1"/>
      <c r="J606" s="1"/>
      <c r="K606" s="1"/>
      <c r="L606" s="1"/>
      <c r="M606" s="1"/>
      <c r="N606" s="1"/>
      <c r="Q606"/>
    </row>
    <row r="607" spans="1:17" ht="13.15" customHeight="1" x14ac:dyDescent="0.2">
      <c r="A607" s="1" t="s">
        <v>1601</v>
      </c>
      <c r="B607" s="1" t="s">
        <v>1602</v>
      </c>
      <c r="C607" s="580">
        <v>110</v>
      </c>
      <c r="D607" s="1">
        <v>2836.12</v>
      </c>
      <c r="E607" t="s">
        <v>1198</v>
      </c>
      <c r="F607">
        <v>110</v>
      </c>
      <c r="G607" s="580">
        <v>0</v>
      </c>
      <c r="H607" s="1" t="s">
        <v>1603</v>
      </c>
      <c r="I607" s="1"/>
      <c r="J607" s="1"/>
      <c r="K607" s="1"/>
      <c r="L607" s="1"/>
      <c r="M607" s="1"/>
      <c r="N607" s="1"/>
      <c r="Q607"/>
    </row>
    <row r="608" spans="1:17" ht="13.15" customHeight="1" x14ac:dyDescent="0.2">
      <c r="A608" s="1" t="s">
        <v>1604</v>
      </c>
      <c r="B608" s="1" t="s">
        <v>1602</v>
      </c>
      <c r="C608" s="580">
        <v>112</v>
      </c>
      <c r="D608" s="1">
        <v>2836.12</v>
      </c>
      <c r="E608" t="s">
        <v>1198</v>
      </c>
      <c r="F608">
        <v>112</v>
      </c>
      <c r="G608" s="580">
        <v>0</v>
      </c>
      <c r="H608" s="1" t="s">
        <v>1605</v>
      </c>
      <c r="I608" s="1"/>
      <c r="J608" s="1"/>
      <c r="K608" s="1"/>
      <c r="L608" s="1"/>
      <c r="M608" s="1"/>
      <c r="N608" s="1"/>
      <c r="Q608"/>
    </row>
    <row r="609" spans="1:17" ht="13.15" customHeight="1" x14ac:dyDescent="0.2">
      <c r="A609" s="1" t="s">
        <v>1606</v>
      </c>
      <c r="B609" s="1" t="s">
        <v>1602</v>
      </c>
      <c r="C609" s="580">
        <v>114</v>
      </c>
      <c r="D609" s="1">
        <v>2448.2800000000002</v>
      </c>
      <c r="E609" t="s">
        <v>1198</v>
      </c>
      <c r="F609">
        <v>114</v>
      </c>
      <c r="G609" s="580">
        <v>451.2</v>
      </c>
      <c r="H609" s="1" t="s">
        <v>1607</v>
      </c>
      <c r="I609" s="1"/>
      <c r="J609" s="1"/>
      <c r="K609" s="1"/>
      <c r="L609" s="1"/>
      <c r="M609" s="1"/>
      <c r="N609" s="1"/>
      <c r="Q609"/>
    </row>
    <row r="610" spans="1:17" ht="13.15" customHeight="1" x14ac:dyDescent="0.2">
      <c r="A610" s="1" t="s">
        <v>1608</v>
      </c>
      <c r="B610" s="1" t="s">
        <v>1602</v>
      </c>
      <c r="C610" s="580">
        <v>116</v>
      </c>
      <c r="D610" s="1">
        <v>2645.72</v>
      </c>
      <c r="E610" t="s">
        <v>1198</v>
      </c>
      <c r="F610">
        <v>116</v>
      </c>
      <c r="G610" s="580">
        <v>507.6</v>
      </c>
      <c r="H610" s="1" t="s">
        <v>1609</v>
      </c>
      <c r="I610" s="1"/>
      <c r="J610" s="1"/>
      <c r="K610" s="1"/>
      <c r="L610" s="1"/>
      <c r="M610" s="1"/>
      <c r="N610" s="1"/>
      <c r="Q610"/>
    </row>
    <row r="611" spans="1:17" ht="13.15" customHeight="1" x14ac:dyDescent="0.2">
      <c r="A611" s="1" t="s">
        <v>1610</v>
      </c>
      <c r="B611" s="1" t="s">
        <v>1602</v>
      </c>
      <c r="C611" s="580">
        <v>118</v>
      </c>
      <c r="D611" s="1">
        <v>2170.2399999999998</v>
      </c>
      <c r="E611" t="s">
        <v>1198</v>
      </c>
      <c r="F611">
        <v>118</v>
      </c>
      <c r="G611" s="580">
        <v>394.8</v>
      </c>
      <c r="H611" s="1" t="s">
        <v>1611</v>
      </c>
      <c r="I611" s="1"/>
      <c r="J611" s="1"/>
      <c r="K611" s="1"/>
      <c r="L611" s="1"/>
      <c r="M611" s="1"/>
      <c r="N611" s="1"/>
      <c r="Q611"/>
    </row>
    <row r="612" spans="1:17" ht="13.15" customHeight="1" x14ac:dyDescent="0.2">
      <c r="A612" s="1" t="s">
        <v>1612</v>
      </c>
      <c r="B612" s="1" t="s">
        <v>1602</v>
      </c>
      <c r="C612" s="580">
        <v>120</v>
      </c>
      <c r="D612" s="1">
        <v>2869.76</v>
      </c>
      <c r="E612" t="s">
        <v>1198</v>
      </c>
      <c r="F612">
        <v>120</v>
      </c>
      <c r="G612" s="580">
        <v>0</v>
      </c>
      <c r="H612" s="1" t="s">
        <v>1343</v>
      </c>
      <c r="I612" s="1"/>
      <c r="J612" s="1"/>
      <c r="K612" s="1"/>
      <c r="L612" s="1"/>
      <c r="M612" s="1"/>
      <c r="N612" s="1"/>
      <c r="Q612"/>
    </row>
    <row r="613" spans="1:17" ht="13.15" customHeight="1" x14ac:dyDescent="0.2">
      <c r="A613" s="1" t="s">
        <v>1613</v>
      </c>
      <c r="B613" s="1" t="s">
        <v>1602</v>
      </c>
      <c r="C613" s="580">
        <v>122</v>
      </c>
      <c r="D613" s="1">
        <v>2170.2399999999998</v>
      </c>
      <c r="E613" t="s">
        <v>1198</v>
      </c>
      <c r="F613">
        <v>122</v>
      </c>
      <c r="G613" s="580">
        <v>0</v>
      </c>
      <c r="H613" s="1" t="s">
        <v>1614</v>
      </c>
      <c r="I613" s="1"/>
      <c r="J613" s="1"/>
      <c r="K613" s="1"/>
      <c r="L613" s="1"/>
      <c r="M613" s="1"/>
      <c r="N613" s="1"/>
      <c r="Q613"/>
    </row>
    <row r="614" spans="1:17" ht="13.15" customHeight="1" x14ac:dyDescent="0.2">
      <c r="A614" s="1" t="s">
        <v>1615</v>
      </c>
      <c r="B614" s="1" t="s">
        <v>1602</v>
      </c>
      <c r="C614" s="580">
        <v>124</v>
      </c>
      <c r="D614" s="1">
        <v>2170.2399999999998</v>
      </c>
      <c r="E614" t="s">
        <v>1198</v>
      </c>
      <c r="F614">
        <v>124</v>
      </c>
      <c r="G614" s="580">
        <v>0</v>
      </c>
      <c r="H614" s="1" t="s">
        <v>1616</v>
      </c>
      <c r="I614" s="1"/>
      <c r="J614" s="1"/>
      <c r="K614" s="1"/>
      <c r="L614" s="1"/>
      <c r="M614" s="1"/>
      <c r="N614" s="1"/>
      <c r="Q614"/>
    </row>
    <row r="615" spans="1:17" ht="13.15" customHeight="1" x14ac:dyDescent="0.2">
      <c r="A615" s="1" t="s">
        <v>1617</v>
      </c>
      <c r="B615" s="1" t="s">
        <v>1602</v>
      </c>
      <c r="C615" s="580">
        <v>125</v>
      </c>
      <c r="D615" s="1">
        <v>2170.2399999999998</v>
      </c>
      <c r="E615" t="s">
        <v>1198</v>
      </c>
      <c r="F615">
        <v>125</v>
      </c>
      <c r="G615" s="580">
        <v>0</v>
      </c>
      <c r="H615" s="1" t="s">
        <v>1618</v>
      </c>
      <c r="I615" s="1"/>
      <c r="J615" s="1"/>
      <c r="K615" s="1"/>
      <c r="L615" s="1"/>
      <c r="M615" s="1"/>
      <c r="N615" s="1"/>
      <c r="Q615"/>
    </row>
    <row r="616" spans="1:17" ht="13.15" customHeight="1" x14ac:dyDescent="0.2">
      <c r="A616" s="1" t="s">
        <v>1619</v>
      </c>
      <c r="B616" s="1" t="s">
        <v>1602</v>
      </c>
      <c r="C616" s="580">
        <v>126</v>
      </c>
      <c r="D616" s="1">
        <v>2466.4</v>
      </c>
      <c r="E616" t="s">
        <v>1198</v>
      </c>
      <c r="F616">
        <v>126</v>
      </c>
      <c r="G616" s="580">
        <v>0</v>
      </c>
      <c r="H616" s="1" t="s">
        <v>1620</v>
      </c>
      <c r="I616" s="1"/>
      <c r="J616" s="1"/>
      <c r="K616" s="1"/>
      <c r="L616" s="1"/>
      <c r="M616" s="1"/>
      <c r="N616" s="1"/>
      <c r="Q616"/>
    </row>
    <row r="617" spans="1:17" ht="13.15" customHeight="1" x14ac:dyDescent="0.2">
      <c r="A617" s="1" t="s">
        <v>1621</v>
      </c>
      <c r="B617" s="1" t="s">
        <v>1602</v>
      </c>
      <c r="C617" s="580">
        <v>128</v>
      </c>
      <c r="D617" s="1">
        <v>2636.84</v>
      </c>
      <c r="E617" t="s">
        <v>1198</v>
      </c>
      <c r="F617">
        <v>128</v>
      </c>
      <c r="G617" s="580">
        <v>0</v>
      </c>
      <c r="H617" s="1" t="s">
        <v>1622</v>
      </c>
      <c r="I617" s="1"/>
      <c r="J617" s="1"/>
      <c r="K617" s="1"/>
      <c r="L617" s="1"/>
      <c r="M617" s="1"/>
      <c r="N617" s="1"/>
      <c r="Q617"/>
    </row>
    <row r="618" spans="1:17" ht="13.15" customHeight="1" x14ac:dyDescent="0.2">
      <c r="A618" s="1" t="s">
        <v>1623</v>
      </c>
      <c r="B618" s="1" t="s">
        <v>1602</v>
      </c>
      <c r="C618" s="580">
        <v>130</v>
      </c>
      <c r="D618" s="1">
        <v>2780.28</v>
      </c>
      <c r="E618" t="s">
        <v>1198</v>
      </c>
      <c r="F618">
        <v>130</v>
      </c>
      <c r="G618" s="580">
        <v>0</v>
      </c>
      <c r="H618" s="1" t="s">
        <v>1624</v>
      </c>
      <c r="I618" s="1"/>
      <c r="J618" s="1"/>
      <c r="K618" s="1"/>
      <c r="L618" s="1"/>
      <c r="M618" s="1"/>
      <c r="N618" s="1"/>
      <c r="Q618"/>
    </row>
    <row r="619" spans="1:17" ht="13.15" customHeight="1" x14ac:dyDescent="0.2">
      <c r="A619" s="1" t="s">
        <v>1625</v>
      </c>
      <c r="B619" s="1" t="s">
        <v>1602</v>
      </c>
      <c r="C619" s="580">
        <v>132</v>
      </c>
      <c r="D619" s="1">
        <v>2780.28</v>
      </c>
      <c r="E619" t="s">
        <v>1198</v>
      </c>
      <c r="F619">
        <v>132</v>
      </c>
      <c r="G619" s="580">
        <v>230</v>
      </c>
      <c r="H619" s="1" t="s">
        <v>1626</v>
      </c>
      <c r="I619" s="1"/>
      <c r="J619" s="1"/>
      <c r="K619" s="1"/>
      <c r="L619" s="1"/>
      <c r="M619" s="1"/>
      <c r="N619" s="1"/>
      <c r="Q619"/>
    </row>
    <row r="620" spans="1:17" ht="13.15" customHeight="1" x14ac:dyDescent="0.2">
      <c r="A620" s="1" t="s">
        <v>1627</v>
      </c>
      <c r="B620" s="1" t="s">
        <v>1602</v>
      </c>
      <c r="C620" s="580">
        <v>134</v>
      </c>
      <c r="D620" s="1">
        <v>2869.76</v>
      </c>
      <c r="E620" t="s">
        <v>1198</v>
      </c>
      <c r="F620">
        <v>134</v>
      </c>
      <c r="G620" s="580">
        <v>0</v>
      </c>
      <c r="H620" s="1" t="s">
        <v>1628</v>
      </c>
      <c r="I620" s="1"/>
      <c r="J620" s="1"/>
      <c r="K620" s="1"/>
      <c r="L620" s="1"/>
      <c r="M620" s="1"/>
      <c r="N620" s="1"/>
      <c r="Q620"/>
    </row>
    <row r="621" spans="1:17" ht="13.15" customHeight="1" x14ac:dyDescent="0.2">
      <c r="A621" s="1" t="s">
        <v>1629</v>
      </c>
      <c r="B621" s="1" t="s">
        <v>1602</v>
      </c>
      <c r="C621" s="580">
        <v>136</v>
      </c>
      <c r="D621" s="1">
        <v>2493.4</v>
      </c>
      <c r="E621" t="s">
        <v>1198</v>
      </c>
      <c r="F621">
        <v>136</v>
      </c>
      <c r="G621" s="580">
        <v>817.8</v>
      </c>
      <c r="H621" s="1" t="s">
        <v>1630</v>
      </c>
      <c r="I621" s="1"/>
      <c r="J621" s="1"/>
      <c r="K621" s="1"/>
      <c r="L621" s="1"/>
      <c r="M621" s="1"/>
      <c r="N621" s="1"/>
      <c r="Q621"/>
    </row>
    <row r="622" spans="1:17" ht="13.15" customHeight="1" x14ac:dyDescent="0.2">
      <c r="A622" s="1" t="s">
        <v>1631</v>
      </c>
      <c r="B622" s="1" t="s">
        <v>1602</v>
      </c>
      <c r="C622" s="580">
        <v>138</v>
      </c>
      <c r="D622" s="1">
        <v>4954.24</v>
      </c>
      <c r="E622" t="s">
        <v>1198</v>
      </c>
      <c r="F622">
        <v>138</v>
      </c>
      <c r="G622" s="580">
        <v>0</v>
      </c>
      <c r="H622" s="1" t="s">
        <v>1632</v>
      </c>
      <c r="I622" s="1"/>
      <c r="J622" s="1"/>
      <c r="K622" s="1"/>
      <c r="L622" s="1"/>
      <c r="M622" s="1"/>
      <c r="N622" s="1"/>
      <c r="Q622"/>
    </row>
    <row r="623" spans="1:17" ht="13.15" customHeight="1" x14ac:dyDescent="0.2">
      <c r="A623" s="1" t="s">
        <v>1633</v>
      </c>
      <c r="B623" s="1" t="s">
        <v>1602</v>
      </c>
      <c r="C623" s="580">
        <v>140</v>
      </c>
      <c r="D623" s="1">
        <v>5362.8</v>
      </c>
      <c r="E623" t="s">
        <v>1198</v>
      </c>
      <c r="F623">
        <v>140</v>
      </c>
      <c r="G623" s="580">
        <v>0</v>
      </c>
      <c r="H623" s="1" t="s">
        <v>1634</v>
      </c>
      <c r="I623" s="1"/>
      <c r="J623" s="1"/>
      <c r="K623" s="1"/>
      <c r="L623" s="1"/>
      <c r="M623" s="1"/>
      <c r="N623" s="1"/>
      <c r="Q623"/>
    </row>
    <row r="624" spans="1:17" ht="13.15" customHeight="1" x14ac:dyDescent="0.2">
      <c r="A624" s="1" t="s">
        <v>1635</v>
      </c>
      <c r="B624" s="1" t="s">
        <v>1602</v>
      </c>
      <c r="C624" s="580">
        <v>145</v>
      </c>
      <c r="D624" s="1">
        <v>3165.92</v>
      </c>
      <c r="E624" t="s">
        <v>1198</v>
      </c>
      <c r="F624">
        <v>145</v>
      </c>
      <c r="G624" s="580">
        <v>0</v>
      </c>
      <c r="H624" s="1" t="s">
        <v>1636</v>
      </c>
      <c r="I624" s="1"/>
      <c r="J624" s="1"/>
      <c r="K624" s="1"/>
      <c r="L624" s="1"/>
      <c r="M624" s="1"/>
      <c r="N624" s="1"/>
      <c r="Q624"/>
    </row>
    <row r="625" spans="1:17" ht="13.15" customHeight="1" x14ac:dyDescent="0.2">
      <c r="A625" s="1" t="s">
        <v>1637</v>
      </c>
      <c r="B625" s="1" t="s">
        <v>1602</v>
      </c>
      <c r="C625" s="580">
        <v>146</v>
      </c>
      <c r="D625" s="1">
        <v>4439.24</v>
      </c>
      <c r="E625" t="s">
        <v>1198</v>
      </c>
      <c r="F625">
        <v>146</v>
      </c>
      <c r="G625" s="580">
        <v>0</v>
      </c>
      <c r="H625" s="1" t="s">
        <v>1638</v>
      </c>
      <c r="I625" s="1"/>
      <c r="J625" s="1"/>
      <c r="K625" s="1"/>
      <c r="L625" s="1"/>
      <c r="M625" s="1"/>
      <c r="N625" s="1"/>
      <c r="Q625"/>
    </row>
    <row r="626" spans="1:17" ht="13.15" customHeight="1" x14ac:dyDescent="0.2">
      <c r="A626" s="1" t="s">
        <v>1639</v>
      </c>
      <c r="B626" s="1" t="s">
        <v>1602</v>
      </c>
      <c r="C626" s="580">
        <v>149</v>
      </c>
      <c r="D626" s="1">
        <v>4439.24</v>
      </c>
      <c r="E626" t="s">
        <v>1198</v>
      </c>
      <c r="F626">
        <v>149</v>
      </c>
      <c r="G626" s="580">
        <v>0</v>
      </c>
      <c r="H626" s="1" t="s">
        <v>1640</v>
      </c>
      <c r="I626" s="1"/>
      <c r="J626" s="1"/>
      <c r="K626" s="1"/>
      <c r="L626" s="1"/>
      <c r="M626" s="1"/>
      <c r="N626" s="1"/>
      <c r="Q626"/>
    </row>
    <row r="627" spans="1:17" ht="13.15" customHeight="1" x14ac:dyDescent="0.2">
      <c r="A627" s="1" t="s">
        <v>1641</v>
      </c>
      <c r="B627" s="1" t="s">
        <v>1602</v>
      </c>
      <c r="C627" s="580">
        <v>151</v>
      </c>
      <c r="D627" s="1">
        <v>3990.76</v>
      </c>
      <c r="E627" t="s">
        <v>1198</v>
      </c>
      <c r="F627">
        <v>151</v>
      </c>
      <c r="G627" s="580">
        <v>0</v>
      </c>
      <c r="H627" s="1" t="s">
        <v>1642</v>
      </c>
      <c r="I627" s="1"/>
      <c r="J627" s="1"/>
      <c r="K627" s="1"/>
      <c r="L627" s="1"/>
      <c r="M627" s="1"/>
      <c r="N627" s="1"/>
      <c r="Q627"/>
    </row>
    <row r="628" spans="1:17" ht="13.15" customHeight="1" x14ac:dyDescent="0.2">
      <c r="A628" s="1" t="s">
        <v>1643</v>
      </c>
      <c r="B628" s="1" t="s">
        <v>1602</v>
      </c>
      <c r="C628" s="580">
        <v>153</v>
      </c>
      <c r="D628" s="1">
        <v>3901.28</v>
      </c>
      <c r="E628" t="s">
        <v>1198</v>
      </c>
      <c r="F628">
        <v>153</v>
      </c>
      <c r="G628" s="580">
        <v>0</v>
      </c>
      <c r="H628" s="1" t="s">
        <v>1644</v>
      </c>
      <c r="I628" s="1"/>
      <c r="J628" s="1"/>
      <c r="K628" s="1"/>
      <c r="L628" s="1"/>
      <c r="M628" s="1"/>
      <c r="N628" s="1"/>
      <c r="Q628"/>
    </row>
    <row r="629" spans="1:17" ht="13.15" customHeight="1" x14ac:dyDescent="0.2">
      <c r="A629" s="1" t="s">
        <v>1645</v>
      </c>
      <c r="B629" s="1" t="s">
        <v>1602</v>
      </c>
      <c r="C629" s="580">
        <v>157</v>
      </c>
      <c r="D629" s="1">
        <v>3990.76</v>
      </c>
      <c r="E629" t="s">
        <v>1198</v>
      </c>
      <c r="F629">
        <v>157</v>
      </c>
      <c r="G629" s="580">
        <v>0</v>
      </c>
      <c r="H629" s="1" t="s">
        <v>1646</v>
      </c>
      <c r="I629" s="1"/>
      <c r="J629" s="1"/>
      <c r="K629" s="1"/>
      <c r="L629" s="1"/>
      <c r="M629" s="1"/>
      <c r="N629" s="1"/>
      <c r="Q629"/>
    </row>
    <row r="630" spans="1:17" ht="13.15" customHeight="1" x14ac:dyDescent="0.2">
      <c r="A630" s="1" t="s">
        <v>1647</v>
      </c>
      <c r="B630" s="1" t="s">
        <v>1602</v>
      </c>
      <c r="C630" s="580">
        <v>161</v>
      </c>
      <c r="D630" s="1">
        <v>4304.6400000000003</v>
      </c>
      <c r="E630" t="s">
        <v>1198</v>
      </c>
      <c r="F630">
        <v>161</v>
      </c>
      <c r="G630" s="580">
        <v>0</v>
      </c>
      <c r="H630" s="1" t="s">
        <v>1648</v>
      </c>
      <c r="I630" s="1"/>
      <c r="J630" s="1"/>
      <c r="K630" s="1"/>
      <c r="L630" s="1"/>
      <c r="M630" s="1"/>
      <c r="N630" s="1"/>
      <c r="Q630"/>
    </row>
    <row r="631" spans="1:17" ht="13.15" customHeight="1" x14ac:dyDescent="0.2">
      <c r="A631" s="1" t="s">
        <v>1649</v>
      </c>
      <c r="B631" s="1" t="s">
        <v>1602</v>
      </c>
      <c r="C631" s="580">
        <v>163</v>
      </c>
      <c r="D631" s="1">
        <v>4439.24</v>
      </c>
      <c r="E631" t="s">
        <v>1198</v>
      </c>
      <c r="F631">
        <v>163</v>
      </c>
      <c r="G631" s="580">
        <v>0</v>
      </c>
      <c r="H631" s="1" t="s">
        <v>1650</v>
      </c>
      <c r="I631" s="1"/>
      <c r="J631" s="1"/>
      <c r="K631" s="1"/>
      <c r="L631" s="1"/>
      <c r="M631" s="1"/>
      <c r="N631" s="1"/>
      <c r="Q631"/>
    </row>
    <row r="632" spans="1:17" ht="13.15" customHeight="1" x14ac:dyDescent="0.2">
      <c r="A632" s="1" t="s">
        <v>1651</v>
      </c>
      <c r="B632" s="1" t="s">
        <v>1602</v>
      </c>
      <c r="C632" s="580">
        <v>165</v>
      </c>
      <c r="D632" s="1">
        <v>7659.48</v>
      </c>
      <c r="E632" t="s">
        <v>1198</v>
      </c>
      <c r="F632">
        <v>165</v>
      </c>
      <c r="G632" s="580">
        <v>0</v>
      </c>
      <c r="H632" s="1" t="s">
        <v>1652</v>
      </c>
      <c r="I632" s="1"/>
      <c r="J632" s="1"/>
      <c r="K632" s="1"/>
      <c r="L632" s="1"/>
      <c r="M632" s="1"/>
      <c r="N632" s="1"/>
      <c r="Q632"/>
    </row>
    <row r="633" spans="1:17" ht="13.15" customHeight="1" x14ac:dyDescent="0.2">
      <c r="A633" s="1" t="s">
        <v>1653</v>
      </c>
      <c r="B633" s="1" t="s">
        <v>1602</v>
      </c>
      <c r="C633" s="580">
        <v>167</v>
      </c>
      <c r="D633" s="1">
        <v>9016.7199999999993</v>
      </c>
      <c r="E633" t="s">
        <v>1198</v>
      </c>
      <c r="F633">
        <v>167</v>
      </c>
      <c r="G633" s="580">
        <v>0</v>
      </c>
      <c r="H633" s="1" t="s">
        <v>1654</v>
      </c>
      <c r="I633" s="1"/>
      <c r="J633" s="1"/>
      <c r="K633" s="1"/>
      <c r="L633" s="1"/>
      <c r="M633" s="1"/>
      <c r="N633" s="1"/>
      <c r="Q633"/>
    </row>
    <row r="634" spans="1:17" ht="13.15" customHeight="1" x14ac:dyDescent="0.2">
      <c r="A634" s="1" t="s">
        <v>1655</v>
      </c>
      <c r="B634" s="1" t="s">
        <v>1602</v>
      </c>
      <c r="C634" s="580">
        <v>169</v>
      </c>
      <c r="D634" s="1">
        <v>9123.6</v>
      </c>
      <c r="E634" t="s">
        <v>1198</v>
      </c>
      <c r="F634">
        <v>169</v>
      </c>
      <c r="G634" s="580">
        <v>0</v>
      </c>
      <c r="H634" s="1" t="s">
        <v>1656</v>
      </c>
      <c r="I634" s="1"/>
      <c r="J634" s="1"/>
      <c r="K634" s="1"/>
      <c r="L634" s="1"/>
      <c r="M634" s="1"/>
      <c r="N634" s="1"/>
      <c r="Q634"/>
    </row>
    <row r="635" spans="1:17" ht="13.15" customHeight="1" x14ac:dyDescent="0.2">
      <c r="A635" s="1" t="s">
        <v>1657</v>
      </c>
      <c r="B635" s="1" t="s">
        <v>1602</v>
      </c>
      <c r="C635" s="580">
        <v>170</v>
      </c>
      <c r="D635" s="1">
        <v>5380.92</v>
      </c>
      <c r="E635" t="s">
        <v>1198</v>
      </c>
      <c r="F635">
        <v>170</v>
      </c>
      <c r="G635" s="580">
        <v>0</v>
      </c>
      <c r="H635" s="1" t="s">
        <v>1607</v>
      </c>
      <c r="I635" s="1"/>
      <c r="J635" s="1"/>
      <c r="K635" s="1"/>
      <c r="L635" s="1"/>
      <c r="M635" s="1"/>
      <c r="N635" s="1"/>
      <c r="Q635"/>
    </row>
    <row r="636" spans="1:17" ht="13.15" customHeight="1" x14ac:dyDescent="0.2">
      <c r="A636" s="1" t="s">
        <v>1658</v>
      </c>
      <c r="B636" s="1" t="s">
        <v>1602</v>
      </c>
      <c r="C636" s="580">
        <v>172</v>
      </c>
      <c r="D636" s="1">
        <v>7174.8</v>
      </c>
      <c r="E636" t="s">
        <v>1198</v>
      </c>
      <c r="F636">
        <v>172</v>
      </c>
      <c r="G636" s="580">
        <v>817.8</v>
      </c>
      <c r="H636" s="1" t="s">
        <v>1659</v>
      </c>
      <c r="I636" s="1"/>
      <c r="J636" s="1"/>
      <c r="K636" s="1"/>
      <c r="L636" s="1"/>
      <c r="M636" s="1"/>
      <c r="N636" s="1"/>
      <c r="Q636"/>
    </row>
    <row r="637" spans="1:17" ht="13.15" customHeight="1" x14ac:dyDescent="0.2">
      <c r="A637" s="1" t="s">
        <v>1660</v>
      </c>
      <c r="B637" s="1" t="s">
        <v>1602</v>
      </c>
      <c r="C637" s="580">
        <v>174</v>
      </c>
      <c r="D637" s="1">
        <v>5380.92</v>
      </c>
      <c r="E637" t="s">
        <v>1198</v>
      </c>
      <c r="F637">
        <v>174</v>
      </c>
      <c r="G637" s="580">
        <v>0</v>
      </c>
      <c r="H637" s="1" t="s">
        <v>1661</v>
      </c>
      <c r="I637" s="1"/>
      <c r="J637" s="1"/>
      <c r="K637" s="1"/>
      <c r="L637" s="1"/>
      <c r="M637" s="1"/>
      <c r="N637" s="1"/>
      <c r="Q637"/>
    </row>
    <row r="638" spans="1:17" ht="13.15" customHeight="1" x14ac:dyDescent="0.2">
      <c r="A638" s="1" t="s">
        <v>1662</v>
      </c>
      <c r="B638" s="1" t="s">
        <v>1602</v>
      </c>
      <c r="C638" s="580">
        <v>176</v>
      </c>
      <c r="D638" s="1">
        <v>7623.24</v>
      </c>
      <c r="E638" t="s">
        <v>1198</v>
      </c>
      <c r="F638">
        <v>176</v>
      </c>
      <c r="G638" s="580">
        <v>817.8</v>
      </c>
      <c r="H638" s="1" t="s">
        <v>1663</v>
      </c>
      <c r="I638" s="1"/>
      <c r="J638" s="1"/>
      <c r="K638" s="1"/>
      <c r="L638" s="1"/>
      <c r="M638" s="1"/>
      <c r="N638" s="1"/>
      <c r="Q638"/>
    </row>
    <row r="639" spans="1:17" ht="13.15" customHeight="1" x14ac:dyDescent="0.2">
      <c r="A639" s="1" t="s">
        <v>1664</v>
      </c>
      <c r="B639" s="1" t="s">
        <v>1602</v>
      </c>
      <c r="C639" s="580">
        <v>178</v>
      </c>
      <c r="D639" s="1">
        <v>8519.84</v>
      </c>
      <c r="E639" t="s">
        <v>1198</v>
      </c>
      <c r="F639">
        <v>178</v>
      </c>
      <c r="G639" s="580">
        <v>0</v>
      </c>
      <c r="H639" s="1" t="s">
        <v>1665</v>
      </c>
      <c r="I639" s="1"/>
      <c r="J639" s="1"/>
      <c r="K639" s="1"/>
      <c r="L639" s="1"/>
      <c r="M639" s="1"/>
      <c r="N639" s="1"/>
      <c r="Q639"/>
    </row>
    <row r="640" spans="1:17" ht="13.15" customHeight="1" x14ac:dyDescent="0.2">
      <c r="A640" s="1" t="s">
        <v>1666</v>
      </c>
      <c r="B640" s="1" t="s">
        <v>1602</v>
      </c>
      <c r="C640" s="580">
        <v>179</v>
      </c>
      <c r="D640" s="1">
        <v>8196</v>
      </c>
      <c r="E640" t="s">
        <v>1198</v>
      </c>
      <c r="F640">
        <v>179</v>
      </c>
      <c r="G640" s="580">
        <v>0</v>
      </c>
      <c r="H640" s="1" t="s">
        <v>1667</v>
      </c>
      <c r="I640" s="1"/>
      <c r="J640" s="1"/>
      <c r="K640" s="1"/>
      <c r="L640" s="1"/>
      <c r="M640" s="1"/>
      <c r="N640" s="1"/>
      <c r="Q640"/>
    </row>
    <row r="641" spans="1:17" ht="13.15" customHeight="1" x14ac:dyDescent="0.2">
      <c r="A641" s="1" t="s">
        <v>1668</v>
      </c>
      <c r="B641" s="1" t="s">
        <v>1602</v>
      </c>
      <c r="C641" s="580">
        <v>180</v>
      </c>
      <c r="D641" s="1">
        <v>11030.96</v>
      </c>
      <c r="E641" t="s">
        <v>1198</v>
      </c>
      <c r="F641">
        <v>180</v>
      </c>
      <c r="G641" s="580">
        <v>0</v>
      </c>
      <c r="H641" s="1" t="s">
        <v>1669</v>
      </c>
      <c r="I641" s="1"/>
      <c r="J641" s="1"/>
      <c r="K641" s="1"/>
      <c r="L641" s="1"/>
      <c r="M641" s="1"/>
      <c r="N641" s="1"/>
      <c r="Q641"/>
    </row>
    <row r="642" spans="1:17" ht="13.15" customHeight="1" x14ac:dyDescent="0.2">
      <c r="A642" s="1" t="s">
        <v>1670</v>
      </c>
      <c r="B642" s="1" t="s">
        <v>1602</v>
      </c>
      <c r="C642" s="580">
        <v>182</v>
      </c>
      <c r="D642" s="1">
        <v>10941.48</v>
      </c>
      <c r="E642" t="s">
        <v>1198</v>
      </c>
      <c r="F642">
        <v>182</v>
      </c>
      <c r="G642" s="580">
        <v>0</v>
      </c>
      <c r="H642" s="1" t="s">
        <v>1671</v>
      </c>
      <c r="I642" s="1"/>
      <c r="J642" s="1"/>
      <c r="K642" s="1"/>
      <c r="L642" s="1"/>
      <c r="M642" s="1"/>
      <c r="N642" s="1"/>
      <c r="Q642"/>
    </row>
    <row r="643" spans="1:17" ht="13.15" customHeight="1" x14ac:dyDescent="0.2">
      <c r="A643" s="1" t="s">
        <v>1672</v>
      </c>
      <c r="B643" s="1" t="s">
        <v>1602</v>
      </c>
      <c r="C643" s="580">
        <v>184</v>
      </c>
      <c r="D643" s="1">
        <v>13901.12</v>
      </c>
      <c r="E643" t="s">
        <v>1198</v>
      </c>
      <c r="F643">
        <v>184</v>
      </c>
      <c r="G643" s="580">
        <v>0</v>
      </c>
      <c r="H643" s="1" t="s">
        <v>1673</v>
      </c>
      <c r="I643" s="1"/>
      <c r="J643" s="1"/>
      <c r="K643" s="1"/>
      <c r="L643" s="1"/>
      <c r="M643" s="1"/>
      <c r="N643" s="1"/>
      <c r="Q643"/>
    </row>
    <row r="644" spans="1:17" ht="13.15" customHeight="1" x14ac:dyDescent="0.2">
      <c r="A644" s="1" t="s">
        <v>1674</v>
      </c>
      <c r="B644" s="1" t="s">
        <v>1602</v>
      </c>
      <c r="C644" s="580">
        <v>188</v>
      </c>
      <c r="D644" s="1">
        <v>15694.6</v>
      </c>
      <c r="E644" t="s">
        <v>1198</v>
      </c>
      <c r="F644">
        <v>188</v>
      </c>
      <c r="G644" s="580">
        <v>0</v>
      </c>
      <c r="H644" s="1" t="s">
        <v>1675</v>
      </c>
      <c r="I644" s="1"/>
      <c r="J644" s="1"/>
      <c r="K644" s="1"/>
      <c r="L644" s="1"/>
      <c r="M644" s="1"/>
      <c r="N644" s="1"/>
      <c r="Q644"/>
    </row>
    <row r="645" spans="1:17" ht="13.15" customHeight="1" x14ac:dyDescent="0.2">
      <c r="A645" s="1" t="s">
        <v>1676</v>
      </c>
      <c r="B645" s="1" t="s">
        <v>1602</v>
      </c>
      <c r="C645" s="580">
        <v>190</v>
      </c>
      <c r="D645" s="1">
        <v>17219.32</v>
      </c>
      <c r="E645" t="s">
        <v>1198</v>
      </c>
      <c r="F645">
        <v>190</v>
      </c>
      <c r="G645" s="580">
        <v>0</v>
      </c>
      <c r="H645" s="1" t="s">
        <v>1677</v>
      </c>
      <c r="I645" s="1"/>
      <c r="J645" s="1"/>
      <c r="K645" s="1"/>
      <c r="L645" s="1"/>
      <c r="M645" s="1"/>
      <c r="N645" s="1"/>
      <c r="Q645"/>
    </row>
    <row r="646" spans="1:17" ht="13.15" customHeight="1" x14ac:dyDescent="0.2">
      <c r="A646" s="1" t="s">
        <v>1678</v>
      </c>
      <c r="B646" s="1" t="s">
        <v>1602</v>
      </c>
      <c r="C646" s="580">
        <v>194</v>
      </c>
      <c r="D646" s="1">
        <v>13901.12</v>
      </c>
      <c r="E646" t="s">
        <v>1198</v>
      </c>
      <c r="F646">
        <v>194</v>
      </c>
      <c r="G646" s="580">
        <v>0</v>
      </c>
      <c r="H646" s="1" t="s">
        <v>1679</v>
      </c>
      <c r="I646" s="1"/>
      <c r="J646" s="1"/>
      <c r="K646" s="1"/>
      <c r="L646" s="1"/>
      <c r="M646" s="1"/>
      <c r="N646" s="1"/>
      <c r="Q646"/>
    </row>
    <row r="647" spans="1:17" ht="13.15" customHeight="1" x14ac:dyDescent="0.2">
      <c r="A647" s="1" t="s">
        <v>1680</v>
      </c>
      <c r="B647" s="1" t="s">
        <v>1602</v>
      </c>
      <c r="C647" s="580">
        <v>196</v>
      </c>
      <c r="D647" s="1">
        <v>20627.400000000001</v>
      </c>
      <c r="E647" t="s">
        <v>1198</v>
      </c>
      <c r="F647">
        <v>196</v>
      </c>
      <c r="G647" s="580">
        <v>0</v>
      </c>
      <c r="H647" s="1" t="s">
        <v>1681</v>
      </c>
      <c r="I647" s="1"/>
      <c r="J647" s="1"/>
      <c r="K647" s="1"/>
      <c r="L647" s="1"/>
      <c r="M647" s="1"/>
      <c r="N647" s="1"/>
      <c r="Q647"/>
    </row>
    <row r="648" spans="1:17" ht="13.15" customHeight="1" x14ac:dyDescent="0.2">
      <c r="A648" s="1" t="s">
        <v>1682</v>
      </c>
      <c r="B648" s="1" t="s">
        <v>1602</v>
      </c>
      <c r="C648" s="580">
        <v>198</v>
      </c>
      <c r="D648" s="1">
        <v>22420.92</v>
      </c>
      <c r="E648" t="s">
        <v>1198</v>
      </c>
      <c r="F648">
        <v>198</v>
      </c>
      <c r="G648" s="580">
        <v>3800</v>
      </c>
      <c r="H648" s="1" t="s">
        <v>1683</v>
      </c>
      <c r="I648" s="1"/>
      <c r="J648" s="1"/>
      <c r="K648" s="1"/>
      <c r="L648" s="1"/>
      <c r="M648" s="1"/>
      <c r="N648" s="1"/>
      <c r="Q648"/>
    </row>
    <row r="649" spans="1:17" ht="13.15" customHeight="1" x14ac:dyDescent="0.2">
      <c r="A649" s="1" t="s">
        <v>1684</v>
      </c>
      <c r="B649" s="1" t="s">
        <v>1685</v>
      </c>
      <c r="C649" s="580">
        <v>400</v>
      </c>
      <c r="D649" s="1">
        <v>2239.7600000000002</v>
      </c>
      <c r="E649" t="s">
        <v>1686</v>
      </c>
      <c r="F649" t="s">
        <v>1687</v>
      </c>
      <c r="G649" s="580">
        <v>1057.5</v>
      </c>
      <c r="H649" s="1" t="s">
        <v>1688</v>
      </c>
      <c r="I649" s="1"/>
      <c r="J649" s="1"/>
      <c r="K649" s="1"/>
      <c r="L649" s="1"/>
      <c r="M649" s="1"/>
      <c r="N649" s="1"/>
      <c r="Q649"/>
    </row>
    <row r="650" spans="1:17" ht="13.15" customHeight="1" x14ac:dyDescent="0.2">
      <c r="A650" s="1" t="s">
        <v>1689</v>
      </c>
      <c r="B650" s="1" t="s">
        <v>1685</v>
      </c>
      <c r="C650" s="580">
        <v>401</v>
      </c>
      <c r="D650" s="1">
        <v>2351.8000000000002</v>
      </c>
      <c r="E650" t="s">
        <v>1686</v>
      </c>
      <c r="F650" t="s">
        <v>1690</v>
      </c>
      <c r="G650" s="580">
        <v>1170.3</v>
      </c>
      <c r="H650" s="1" t="s">
        <v>1691</v>
      </c>
      <c r="I650" s="1"/>
      <c r="J650" s="1"/>
      <c r="K650" s="1"/>
      <c r="L650" s="1"/>
      <c r="M650" s="1"/>
      <c r="N650" s="1"/>
      <c r="Q650"/>
    </row>
    <row r="651" spans="1:17" ht="13.15" customHeight="1" x14ac:dyDescent="0.2">
      <c r="A651" s="1" t="s">
        <v>1692</v>
      </c>
      <c r="B651" s="1" t="s">
        <v>1685</v>
      </c>
      <c r="C651" s="580">
        <v>402</v>
      </c>
      <c r="D651" s="1">
        <v>3223.6</v>
      </c>
      <c r="E651" t="s">
        <v>1686</v>
      </c>
      <c r="F651" t="s">
        <v>1693</v>
      </c>
      <c r="G651" s="580">
        <v>775.5</v>
      </c>
      <c r="H651" s="1" t="s">
        <v>1694</v>
      </c>
      <c r="I651" s="1"/>
      <c r="J651" s="1"/>
      <c r="K651" s="1"/>
      <c r="L651" s="1"/>
      <c r="M651" s="1"/>
      <c r="N651" s="1"/>
      <c r="Q651"/>
    </row>
    <row r="652" spans="1:17" ht="13.15" customHeight="1" x14ac:dyDescent="0.2">
      <c r="A652" s="1" t="s">
        <v>1695</v>
      </c>
      <c r="B652" s="1" t="s">
        <v>1685</v>
      </c>
      <c r="C652" s="580">
        <v>405</v>
      </c>
      <c r="D652" s="1">
        <v>2195.04</v>
      </c>
      <c r="E652" t="s">
        <v>1686</v>
      </c>
      <c r="F652" t="s">
        <v>1696</v>
      </c>
      <c r="G652" s="580">
        <v>1311.3</v>
      </c>
      <c r="H652" s="1" t="s">
        <v>1697</v>
      </c>
      <c r="I652" s="1"/>
      <c r="J652" s="1"/>
      <c r="K652" s="1"/>
      <c r="L652" s="1"/>
      <c r="M652" s="1"/>
      <c r="N652" s="1"/>
      <c r="Q652"/>
    </row>
    <row r="653" spans="1:17" ht="13.15" customHeight="1" x14ac:dyDescent="0.2">
      <c r="A653" s="1" t="s">
        <v>1698</v>
      </c>
      <c r="B653" s="1" t="s">
        <v>1685</v>
      </c>
      <c r="C653" s="580">
        <v>406</v>
      </c>
      <c r="D653" s="1">
        <v>1523.24</v>
      </c>
      <c r="E653" t="s">
        <v>1686</v>
      </c>
      <c r="F653" t="s">
        <v>1699</v>
      </c>
      <c r="G653" s="580">
        <v>423</v>
      </c>
      <c r="H653" s="1" t="s">
        <v>1700</v>
      </c>
      <c r="I653" s="1"/>
      <c r="J653" s="1"/>
      <c r="K653" s="1"/>
      <c r="L653" s="1"/>
      <c r="M653" s="1"/>
      <c r="N653" s="1"/>
      <c r="Q653"/>
    </row>
    <row r="654" spans="1:17" ht="13.15" customHeight="1" x14ac:dyDescent="0.2">
      <c r="A654" s="1" t="s">
        <v>1701</v>
      </c>
      <c r="B654" s="1" t="s">
        <v>1685</v>
      </c>
      <c r="C654" s="580">
        <v>409</v>
      </c>
      <c r="D654" s="1">
        <v>1522.88</v>
      </c>
      <c r="E654" t="s">
        <v>1686</v>
      </c>
      <c r="F654" t="s">
        <v>1702</v>
      </c>
      <c r="G654" s="580">
        <v>916.5</v>
      </c>
      <c r="H654" s="1" t="s">
        <v>1703</v>
      </c>
      <c r="I654" s="1"/>
      <c r="J654" s="1"/>
      <c r="K654" s="1"/>
      <c r="L654" s="1"/>
      <c r="M654" s="1"/>
      <c r="N654" s="1"/>
      <c r="Q654"/>
    </row>
    <row r="655" spans="1:17" ht="13.15" customHeight="1" x14ac:dyDescent="0.2">
      <c r="A655" s="1" t="s">
        <v>1704</v>
      </c>
      <c r="B655" s="1" t="s">
        <v>1685</v>
      </c>
      <c r="C655" s="580">
        <v>414</v>
      </c>
      <c r="D655" s="1">
        <v>1187.56</v>
      </c>
      <c r="E655" t="s">
        <v>1686</v>
      </c>
      <c r="F655" t="s">
        <v>1705</v>
      </c>
      <c r="G655" s="580">
        <v>310.2</v>
      </c>
      <c r="H655" s="1" t="s">
        <v>1706</v>
      </c>
      <c r="I655" s="1"/>
      <c r="J655" s="1"/>
      <c r="K655" s="1"/>
      <c r="L655" s="1"/>
      <c r="M655" s="1"/>
      <c r="N655" s="1"/>
      <c r="Q655"/>
    </row>
    <row r="656" spans="1:17" ht="13.15" customHeight="1" x14ac:dyDescent="0.2">
      <c r="A656" s="1" t="s">
        <v>1707</v>
      </c>
      <c r="B656" s="1" t="s">
        <v>1685</v>
      </c>
      <c r="C656" s="580">
        <v>415</v>
      </c>
      <c r="D656" s="1">
        <v>1187.56</v>
      </c>
      <c r="E656" t="s">
        <v>1686</v>
      </c>
      <c r="F656" t="s">
        <v>1708</v>
      </c>
      <c r="G656" s="580">
        <v>197.4</v>
      </c>
      <c r="H656" s="1" t="s">
        <v>1709</v>
      </c>
      <c r="I656" s="1"/>
      <c r="J656" s="1"/>
      <c r="K656" s="1"/>
      <c r="L656" s="1"/>
      <c r="M656" s="1"/>
      <c r="N656" s="1"/>
      <c r="Q656"/>
    </row>
    <row r="657" spans="1:17" ht="13.15" customHeight="1" x14ac:dyDescent="0.2">
      <c r="A657" s="1" t="s">
        <v>1710</v>
      </c>
      <c r="B657" s="1" t="s">
        <v>1685</v>
      </c>
      <c r="C657" s="580">
        <v>420</v>
      </c>
      <c r="D657" s="1">
        <v>3225.08</v>
      </c>
      <c r="E657" t="s">
        <v>1686</v>
      </c>
      <c r="F657" t="s">
        <v>1711</v>
      </c>
      <c r="G657" s="580">
        <v>1692</v>
      </c>
      <c r="H657" s="1" t="s">
        <v>1712</v>
      </c>
      <c r="I657" s="1"/>
      <c r="J657" s="1"/>
      <c r="K657" s="1"/>
      <c r="L657" s="1"/>
      <c r="M657" s="1"/>
      <c r="N657" s="1"/>
      <c r="Q657"/>
    </row>
    <row r="658" spans="1:17" ht="13.15" customHeight="1" x14ac:dyDescent="0.2">
      <c r="A658" s="1" t="s">
        <v>1713</v>
      </c>
      <c r="B658" s="1" t="s">
        <v>1685</v>
      </c>
      <c r="C658" s="580">
        <v>421</v>
      </c>
      <c r="D658" s="1">
        <v>1187.56</v>
      </c>
      <c r="E658" t="s">
        <v>1686</v>
      </c>
      <c r="F658" t="s">
        <v>1714</v>
      </c>
      <c r="G658" s="580">
        <v>0</v>
      </c>
      <c r="H658" s="1" t="s">
        <v>1715</v>
      </c>
      <c r="I658" s="1"/>
      <c r="J658" s="1"/>
      <c r="K658" s="1"/>
      <c r="L658" s="1"/>
      <c r="M658" s="1"/>
      <c r="N658" s="1"/>
      <c r="Q658"/>
    </row>
    <row r="659" spans="1:17" ht="13.15" customHeight="1" x14ac:dyDescent="0.2">
      <c r="A659" s="1" t="s">
        <v>1716</v>
      </c>
      <c r="B659" s="1" t="s">
        <v>1685</v>
      </c>
      <c r="C659" s="580">
        <v>429</v>
      </c>
      <c r="D659" s="1">
        <v>3919.4</v>
      </c>
      <c r="E659" t="s">
        <v>1686</v>
      </c>
      <c r="F659" t="s">
        <v>1717</v>
      </c>
      <c r="G659" s="580">
        <v>1959.9</v>
      </c>
      <c r="H659" s="1" t="s">
        <v>1718</v>
      </c>
      <c r="I659" s="1"/>
      <c r="J659" s="1"/>
      <c r="K659" s="1"/>
      <c r="L659" s="1"/>
      <c r="M659" s="1"/>
      <c r="N659" s="1"/>
      <c r="Q659"/>
    </row>
    <row r="660" spans="1:17" ht="13.15" customHeight="1" x14ac:dyDescent="0.2">
      <c r="A660" s="1" t="s">
        <v>1719</v>
      </c>
      <c r="B660" s="1" t="s">
        <v>1685</v>
      </c>
      <c r="C660" s="580">
        <v>440</v>
      </c>
      <c r="D660" s="1">
        <v>2956.28</v>
      </c>
      <c r="E660" t="s">
        <v>1686</v>
      </c>
      <c r="F660" t="s">
        <v>1720</v>
      </c>
      <c r="G660" s="580">
        <v>860.1</v>
      </c>
      <c r="H660" s="1" t="s">
        <v>1721</v>
      </c>
      <c r="I660" s="1"/>
      <c r="J660" s="1"/>
      <c r="K660" s="1"/>
      <c r="L660" s="1"/>
      <c r="M660" s="1"/>
      <c r="N660" s="1"/>
      <c r="Q660"/>
    </row>
    <row r="661" spans="1:17" ht="13.15" customHeight="1" x14ac:dyDescent="0.2">
      <c r="A661" s="1" t="s">
        <v>1722</v>
      </c>
      <c r="B661" s="1" t="s">
        <v>1685</v>
      </c>
      <c r="C661" s="580">
        <v>441</v>
      </c>
      <c r="D661" s="1">
        <v>2956.28</v>
      </c>
      <c r="E661" t="s">
        <v>1686</v>
      </c>
      <c r="F661" t="s">
        <v>1723</v>
      </c>
      <c r="G661" s="580">
        <v>860.1</v>
      </c>
      <c r="H661" s="1" t="s">
        <v>1724</v>
      </c>
      <c r="I661" s="1"/>
      <c r="J661" s="1"/>
      <c r="K661" s="1"/>
      <c r="L661" s="1"/>
      <c r="M661" s="1"/>
      <c r="N661" s="1"/>
      <c r="Q661"/>
    </row>
    <row r="662" spans="1:17" ht="13.15" customHeight="1" x14ac:dyDescent="0.2">
      <c r="A662" s="1" t="s">
        <v>1725</v>
      </c>
      <c r="B662" s="1" t="s">
        <v>1685</v>
      </c>
      <c r="C662" s="580">
        <v>442</v>
      </c>
      <c r="D662" s="1">
        <v>1791.68</v>
      </c>
      <c r="E662" t="s">
        <v>1686</v>
      </c>
      <c r="F662" t="s">
        <v>1726</v>
      </c>
      <c r="G662" s="580">
        <v>521.70000000000005</v>
      </c>
      <c r="H662" s="1" t="s">
        <v>1727</v>
      </c>
      <c r="I662" s="1"/>
      <c r="J662" s="1"/>
      <c r="K662" s="1"/>
      <c r="L662" s="1"/>
      <c r="M662" s="1"/>
      <c r="N662" s="1"/>
      <c r="Q662"/>
    </row>
    <row r="663" spans="1:17" ht="13.15" customHeight="1" x14ac:dyDescent="0.2">
      <c r="A663" s="1" t="s">
        <v>1728</v>
      </c>
      <c r="B663" s="1" t="s">
        <v>1685</v>
      </c>
      <c r="C663" s="580">
        <v>443</v>
      </c>
      <c r="D663" s="1">
        <v>3493.84</v>
      </c>
      <c r="E663" t="s">
        <v>1686</v>
      </c>
      <c r="F663" t="s">
        <v>1729</v>
      </c>
      <c r="G663" s="580">
        <v>1029.3</v>
      </c>
      <c r="H663" s="1" t="s">
        <v>1730</v>
      </c>
      <c r="I663" s="1"/>
      <c r="J663" s="1"/>
      <c r="K663" s="1"/>
      <c r="L663" s="1"/>
      <c r="M663" s="1"/>
      <c r="N663" s="1"/>
      <c r="Q663"/>
    </row>
    <row r="664" spans="1:17" ht="13.15" customHeight="1" x14ac:dyDescent="0.2">
      <c r="A664" s="1" t="s">
        <v>1731</v>
      </c>
      <c r="B664" s="1" t="s">
        <v>1685</v>
      </c>
      <c r="C664" s="580">
        <v>460</v>
      </c>
      <c r="D664" s="1">
        <v>4120.88</v>
      </c>
      <c r="E664" t="s">
        <v>1686</v>
      </c>
      <c r="F664" t="s">
        <v>1732</v>
      </c>
      <c r="G664" s="580">
        <v>1804.8</v>
      </c>
      <c r="H664" s="1" t="s">
        <v>1733</v>
      </c>
      <c r="I664" s="1"/>
      <c r="J664" s="1"/>
      <c r="K664" s="1"/>
      <c r="L664" s="1"/>
      <c r="M664" s="1"/>
      <c r="N664" s="1"/>
      <c r="Q664"/>
    </row>
    <row r="665" spans="1:17" ht="13.15" customHeight="1" x14ac:dyDescent="0.2">
      <c r="A665" s="1" t="s">
        <v>1734</v>
      </c>
      <c r="B665" s="1" t="s">
        <v>1685</v>
      </c>
      <c r="C665" s="580">
        <v>461</v>
      </c>
      <c r="D665" s="1">
        <v>4031.44</v>
      </c>
      <c r="E665" t="s">
        <v>1686</v>
      </c>
      <c r="F665" t="s">
        <v>1735</v>
      </c>
      <c r="G665" s="580">
        <v>1649.7</v>
      </c>
      <c r="H665" s="1" t="s">
        <v>1736</v>
      </c>
      <c r="I665" s="1"/>
      <c r="J665" s="1"/>
      <c r="K665" s="1"/>
      <c r="L665" s="1"/>
      <c r="M665" s="1"/>
      <c r="N665" s="1"/>
      <c r="Q665"/>
    </row>
    <row r="666" spans="1:17" ht="13.15" customHeight="1" x14ac:dyDescent="0.2">
      <c r="A666" s="1" t="s">
        <v>1737</v>
      </c>
      <c r="B666" s="1" t="s">
        <v>1685</v>
      </c>
      <c r="C666" s="580">
        <v>462</v>
      </c>
      <c r="D666" s="1">
        <v>2508.56</v>
      </c>
      <c r="E666" t="s">
        <v>1686</v>
      </c>
      <c r="F666" t="s">
        <v>1738</v>
      </c>
      <c r="G666" s="580">
        <v>1001.1</v>
      </c>
      <c r="H666" s="1" t="s">
        <v>1739</v>
      </c>
      <c r="I666" s="1"/>
      <c r="J666" s="1"/>
      <c r="K666" s="1"/>
      <c r="L666" s="1"/>
      <c r="M666" s="1"/>
      <c r="N666" s="1"/>
      <c r="Q666"/>
    </row>
    <row r="667" spans="1:17" ht="13.15" customHeight="1" x14ac:dyDescent="0.2">
      <c r="A667" s="1" t="s">
        <v>1740</v>
      </c>
      <c r="B667" s="1" t="s">
        <v>1685</v>
      </c>
      <c r="C667" s="580">
        <v>463</v>
      </c>
      <c r="D667" s="1">
        <v>1433.4</v>
      </c>
      <c r="E667" t="s">
        <v>1686</v>
      </c>
      <c r="F667" t="s">
        <v>1741</v>
      </c>
      <c r="G667" s="580">
        <v>394.8</v>
      </c>
      <c r="H667" s="1" t="s">
        <v>1742</v>
      </c>
      <c r="I667" s="1"/>
      <c r="J667" s="1"/>
      <c r="K667" s="1"/>
      <c r="L667" s="1"/>
      <c r="M667" s="1"/>
      <c r="N667" s="1"/>
      <c r="Q667"/>
    </row>
    <row r="668" spans="1:17" ht="13.15" customHeight="1" x14ac:dyDescent="0.2">
      <c r="A668" s="1" t="s">
        <v>1743</v>
      </c>
      <c r="B668" s="1" t="s">
        <v>1685</v>
      </c>
      <c r="C668" s="580">
        <v>464</v>
      </c>
      <c r="D668" s="1">
        <v>1433.4</v>
      </c>
      <c r="E668" t="s">
        <v>1686</v>
      </c>
      <c r="F668" t="s">
        <v>1744</v>
      </c>
      <c r="G668" s="580">
        <v>394.8</v>
      </c>
      <c r="H668" s="1" t="s">
        <v>1745</v>
      </c>
      <c r="I668" s="1"/>
      <c r="J668" s="1"/>
      <c r="K668" s="1"/>
      <c r="L668" s="1"/>
      <c r="M668" s="1"/>
      <c r="N668" s="1"/>
      <c r="Q668"/>
    </row>
    <row r="669" spans="1:17" ht="13.15" customHeight="1" x14ac:dyDescent="0.2">
      <c r="A669" s="1" t="s">
        <v>1746</v>
      </c>
      <c r="B669" s="1" t="s">
        <v>1685</v>
      </c>
      <c r="C669" s="580">
        <v>465</v>
      </c>
      <c r="D669" s="1">
        <v>1433.4</v>
      </c>
      <c r="E669" t="s">
        <v>1686</v>
      </c>
      <c r="F669" t="s">
        <v>1747</v>
      </c>
      <c r="G669" s="580">
        <v>944.7</v>
      </c>
      <c r="H669" s="1" t="s">
        <v>1748</v>
      </c>
      <c r="I669" s="1"/>
      <c r="J669" s="1"/>
      <c r="K669" s="1"/>
      <c r="L669" s="1"/>
      <c r="M669" s="1"/>
      <c r="N669" s="1"/>
      <c r="Q669"/>
    </row>
    <row r="670" spans="1:17" ht="13.15" customHeight="1" x14ac:dyDescent="0.2">
      <c r="A670" s="1" t="s">
        <v>1749</v>
      </c>
      <c r="B670" s="1" t="s">
        <v>1685</v>
      </c>
      <c r="C670" s="580">
        <v>466</v>
      </c>
      <c r="D670" s="1">
        <v>2239.7600000000002</v>
      </c>
      <c r="E670" t="s">
        <v>1686</v>
      </c>
      <c r="F670" t="s">
        <v>1750</v>
      </c>
      <c r="G670" s="580">
        <v>1001.1</v>
      </c>
      <c r="H670" s="1" t="s">
        <v>1751</v>
      </c>
      <c r="I670" s="1"/>
      <c r="J670" s="1"/>
      <c r="K670" s="1"/>
      <c r="L670" s="1"/>
      <c r="M670" s="1"/>
      <c r="N670" s="1"/>
      <c r="Q670"/>
    </row>
    <row r="671" spans="1:17" ht="13.15" customHeight="1" x14ac:dyDescent="0.2">
      <c r="A671" s="1" t="s">
        <v>1752</v>
      </c>
      <c r="B671" s="1" t="s">
        <v>1685</v>
      </c>
      <c r="C671" s="580">
        <v>467</v>
      </c>
      <c r="D671" s="1">
        <v>2690.44</v>
      </c>
      <c r="E671" t="s">
        <v>1686</v>
      </c>
      <c r="F671" t="s">
        <v>1753</v>
      </c>
      <c r="G671" s="580">
        <v>733.2</v>
      </c>
      <c r="H671" s="1" t="s">
        <v>1754</v>
      </c>
      <c r="I671" s="1"/>
      <c r="J671" s="1"/>
      <c r="K671" s="1"/>
      <c r="L671" s="1"/>
      <c r="M671" s="1"/>
      <c r="N671" s="1"/>
      <c r="Q671"/>
    </row>
    <row r="672" spans="1:17" ht="13.15" customHeight="1" x14ac:dyDescent="0.2">
      <c r="A672" s="1" t="s">
        <v>1755</v>
      </c>
      <c r="B672" s="1" t="s">
        <v>1685</v>
      </c>
      <c r="C672" s="580">
        <v>470</v>
      </c>
      <c r="D672" s="1">
        <v>2508.56</v>
      </c>
      <c r="E672" t="s">
        <v>1686</v>
      </c>
      <c r="F672" t="s">
        <v>1756</v>
      </c>
      <c r="G672" s="580">
        <v>1240.8</v>
      </c>
      <c r="H672" s="1" t="s">
        <v>1757</v>
      </c>
      <c r="I672" s="1"/>
      <c r="J672" s="1"/>
      <c r="K672" s="1"/>
      <c r="L672" s="1"/>
      <c r="M672" s="1"/>
      <c r="N672" s="1"/>
      <c r="Q672"/>
    </row>
    <row r="673" spans="1:17" ht="13.15" customHeight="1" x14ac:dyDescent="0.2">
      <c r="A673" s="1" t="s">
        <v>1758</v>
      </c>
      <c r="B673" s="1" t="s">
        <v>1685</v>
      </c>
      <c r="C673" s="580">
        <v>473</v>
      </c>
      <c r="D673" s="1">
        <v>1187.56</v>
      </c>
      <c r="E673" t="s">
        <v>1686</v>
      </c>
      <c r="F673" t="s">
        <v>1759</v>
      </c>
      <c r="G673" s="580">
        <v>564</v>
      </c>
      <c r="H673" s="1" t="s">
        <v>1760</v>
      </c>
      <c r="I673" s="1"/>
      <c r="J673" s="1"/>
      <c r="K673" s="1"/>
      <c r="L673" s="1"/>
      <c r="M673" s="1"/>
      <c r="N673" s="1"/>
      <c r="Q673"/>
    </row>
    <row r="674" spans="1:17" ht="13.15" customHeight="1" x14ac:dyDescent="0.2">
      <c r="A674" s="1" t="s">
        <v>1761</v>
      </c>
      <c r="B674" s="1" t="s">
        <v>1685</v>
      </c>
      <c r="C674" s="580">
        <v>478</v>
      </c>
      <c r="D674" s="1">
        <v>3583.32</v>
      </c>
      <c r="E674" t="s">
        <v>1686</v>
      </c>
      <c r="F674" t="s">
        <v>1762</v>
      </c>
      <c r="G674" s="580">
        <v>1692</v>
      </c>
      <c r="H674" s="1" t="s">
        <v>1763</v>
      </c>
      <c r="I674" s="1"/>
      <c r="J674" s="1"/>
      <c r="K674" s="1"/>
      <c r="L674" s="1"/>
      <c r="M674" s="1"/>
      <c r="N674" s="1"/>
      <c r="Q674"/>
    </row>
    <row r="675" spans="1:17" ht="13.15" customHeight="1" x14ac:dyDescent="0.2">
      <c r="A675" s="1" t="s">
        <v>1764</v>
      </c>
      <c r="B675" s="1" t="s">
        <v>1685</v>
      </c>
      <c r="C675" s="580">
        <v>479</v>
      </c>
      <c r="D675" s="1">
        <v>2331.84</v>
      </c>
      <c r="E675" t="s">
        <v>1686</v>
      </c>
      <c r="F675" t="s">
        <v>1765</v>
      </c>
      <c r="G675" s="580">
        <v>874.2</v>
      </c>
      <c r="H675" s="1" t="s">
        <v>1766</v>
      </c>
      <c r="I675" s="1"/>
      <c r="J675" s="1"/>
      <c r="K675" s="1"/>
      <c r="L675" s="1"/>
      <c r="M675" s="1"/>
      <c r="N675" s="1"/>
      <c r="Q675"/>
    </row>
    <row r="676" spans="1:17" ht="13.15" customHeight="1" x14ac:dyDescent="0.2">
      <c r="A676" s="1" t="s">
        <v>1767</v>
      </c>
      <c r="B676" s="1" t="s">
        <v>1685</v>
      </c>
      <c r="C676" s="580">
        <v>480</v>
      </c>
      <c r="D676" s="1">
        <v>2690.44</v>
      </c>
      <c r="E676" t="s">
        <v>1686</v>
      </c>
      <c r="F676" t="s">
        <v>1768</v>
      </c>
      <c r="G676" s="580">
        <v>930.6</v>
      </c>
      <c r="H676" s="1" t="s">
        <v>1769</v>
      </c>
      <c r="I676" s="1"/>
      <c r="J676" s="1"/>
      <c r="K676" s="1"/>
      <c r="L676" s="1"/>
      <c r="M676" s="1"/>
      <c r="N676" s="1"/>
      <c r="Q676"/>
    </row>
    <row r="677" spans="1:17" ht="13.15" customHeight="1" x14ac:dyDescent="0.2">
      <c r="A677" s="1" t="s">
        <v>1770</v>
      </c>
      <c r="B677" s="1" t="s">
        <v>1685</v>
      </c>
      <c r="C677" s="580">
        <v>481</v>
      </c>
      <c r="D677" s="1">
        <v>1187.56</v>
      </c>
      <c r="E677" t="s">
        <v>1686</v>
      </c>
      <c r="F677" t="s">
        <v>1771</v>
      </c>
      <c r="G677" s="580">
        <v>0</v>
      </c>
      <c r="H677" s="1" t="s">
        <v>1709</v>
      </c>
      <c r="I677" s="1"/>
      <c r="J677" s="1"/>
      <c r="K677" s="1"/>
      <c r="L677" s="1"/>
      <c r="M677" s="1"/>
      <c r="N677" s="1"/>
      <c r="Q677"/>
    </row>
    <row r="678" spans="1:17" ht="13.15" customHeight="1" x14ac:dyDescent="0.2">
      <c r="A678" s="1" t="s">
        <v>1772</v>
      </c>
      <c r="B678" s="1" t="s">
        <v>1685</v>
      </c>
      <c r="C678" s="580">
        <v>482</v>
      </c>
      <c r="D678" s="1">
        <v>3673.16</v>
      </c>
      <c r="E678" t="s">
        <v>1686</v>
      </c>
      <c r="F678" t="s">
        <v>1773</v>
      </c>
      <c r="G678" s="580">
        <v>2129.1</v>
      </c>
      <c r="H678" s="1" t="s">
        <v>1774</v>
      </c>
      <c r="I678" s="1"/>
      <c r="J678" s="1"/>
      <c r="K678" s="1"/>
      <c r="L678" s="1"/>
      <c r="M678" s="1"/>
      <c r="N678" s="1"/>
      <c r="Q678"/>
    </row>
    <row r="679" spans="1:17" ht="13.15" customHeight="1" x14ac:dyDescent="0.2">
      <c r="A679" s="1" t="s">
        <v>1775</v>
      </c>
      <c r="B679" s="1" t="s">
        <v>1685</v>
      </c>
      <c r="C679" s="580">
        <v>484</v>
      </c>
      <c r="D679" s="1">
        <v>1970.96</v>
      </c>
      <c r="E679" t="s">
        <v>1686</v>
      </c>
      <c r="F679" t="s">
        <v>1776</v>
      </c>
      <c r="G679" s="580">
        <v>549.9</v>
      </c>
      <c r="H679" s="1" t="s">
        <v>1777</v>
      </c>
      <c r="I679" s="1"/>
      <c r="J679" s="1"/>
      <c r="K679" s="1"/>
      <c r="L679" s="1"/>
      <c r="M679" s="1"/>
      <c r="N679" s="1"/>
      <c r="Q679"/>
    </row>
    <row r="680" spans="1:17" ht="13.15" customHeight="1" x14ac:dyDescent="0.2">
      <c r="A680" s="1" t="s">
        <v>1778</v>
      </c>
      <c r="B680" s="1" t="s">
        <v>1685</v>
      </c>
      <c r="C680" s="580">
        <v>485</v>
      </c>
      <c r="D680" s="1">
        <v>1187.56</v>
      </c>
      <c r="E680" t="s">
        <v>1686</v>
      </c>
      <c r="F680" t="s">
        <v>1779</v>
      </c>
      <c r="G680" s="580">
        <v>549.9</v>
      </c>
      <c r="H680" s="1" t="s">
        <v>1780</v>
      </c>
      <c r="I680" s="1"/>
      <c r="J680" s="1"/>
      <c r="K680" s="1"/>
      <c r="L680" s="1"/>
      <c r="M680" s="1"/>
      <c r="N680" s="1"/>
      <c r="Q680"/>
    </row>
    <row r="681" spans="1:17" ht="13.15" customHeight="1" x14ac:dyDescent="0.2">
      <c r="A681" s="1" t="s">
        <v>1781</v>
      </c>
      <c r="B681" s="1" t="s">
        <v>1685</v>
      </c>
      <c r="C681" s="580">
        <v>487</v>
      </c>
      <c r="D681" s="1">
        <v>2239.7600000000002</v>
      </c>
      <c r="E681" t="s">
        <v>1686</v>
      </c>
      <c r="F681" t="s">
        <v>1782</v>
      </c>
      <c r="G681" s="580">
        <v>1099.8</v>
      </c>
      <c r="H681" s="1" t="s">
        <v>1783</v>
      </c>
      <c r="I681" s="1"/>
      <c r="J681" s="1"/>
      <c r="K681" s="1"/>
      <c r="L681" s="1"/>
      <c r="M681" s="1"/>
      <c r="N681" s="1"/>
      <c r="Q681"/>
    </row>
    <row r="682" spans="1:17" ht="13.15" customHeight="1" x14ac:dyDescent="0.2">
      <c r="A682" s="1" t="s">
        <v>1784</v>
      </c>
      <c r="B682" s="1" t="s">
        <v>1685</v>
      </c>
      <c r="C682" s="580">
        <v>488</v>
      </c>
      <c r="D682" s="1">
        <v>2463.8000000000002</v>
      </c>
      <c r="E682" t="s">
        <v>1686</v>
      </c>
      <c r="F682" t="s">
        <v>1785</v>
      </c>
      <c r="G682" s="580">
        <v>987</v>
      </c>
      <c r="H682" s="1" t="s">
        <v>1786</v>
      </c>
      <c r="I682" s="1"/>
      <c r="J682" s="1"/>
      <c r="K682" s="1"/>
      <c r="L682" s="1"/>
      <c r="M682" s="1"/>
      <c r="N682" s="1"/>
      <c r="Q682"/>
    </row>
    <row r="683" spans="1:17" ht="13.15" customHeight="1" x14ac:dyDescent="0.2">
      <c r="A683" s="1" t="s">
        <v>1787</v>
      </c>
      <c r="B683" s="1" t="s">
        <v>1685</v>
      </c>
      <c r="C683" s="580">
        <v>491</v>
      </c>
      <c r="D683" s="1">
        <v>3493.84</v>
      </c>
      <c r="E683" t="s">
        <v>1686</v>
      </c>
      <c r="F683" t="s">
        <v>1788</v>
      </c>
      <c r="G683" s="580">
        <v>1776.6</v>
      </c>
      <c r="H683" s="1" t="s">
        <v>1789</v>
      </c>
      <c r="I683" s="1"/>
      <c r="J683" s="1"/>
      <c r="K683" s="1"/>
      <c r="L683" s="1"/>
      <c r="M683" s="1"/>
      <c r="N683" s="1"/>
      <c r="Q683"/>
    </row>
    <row r="684" spans="1:17" ht="13.15" customHeight="1" x14ac:dyDescent="0.2">
      <c r="A684" s="1" t="s">
        <v>1790</v>
      </c>
      <c r="B684" s="1" t="s">
        <v>1685</v>
      </c>
      <c r="C684" s="580">
        <v>504</v>
      </c>
      <c r="D684" s="1">
        <v>1260.3599999999999</v>
      </c>
      <c r="E684" t="s">
        <v>1686</v>
      </c>
      <c r="F684" t="s">
        <v>1791</v>
      </c>
      <c r="G684" s="580">
        <v>437.1</v>
      </c>
      <c r="H684" s="1" t="s">
        <v>1792</v>
      </c>
      <c r="I684" s="1"/>
      <c r="J684" s="1"/>
      <c r="K684" s="1"/>
      <c r="L684" s="1"/>
      <c r="M684" s="1"/>
      <c r="N684" s="1"/>
      <c r="Q684"/>
    </row>
    <row r="685" spans="1:17" ht="13.15" customHeight="1" x14ac:dyDescent="0.2">
      <c r="A685" s="1" t="s">
        <v>1793</v>
      </c>
      <c r="B685" s="1" t="s">
        <v>1685</v>
      </c>
      <c r="C685" s="580">
        <v>505</v>
      </c>
      <c r="D685" s="1">
        <v>1260.3599999999999</v>
      </c>
      <c r="E685" t="s">
        <v>1686</v>
      </c>
      <c r="F685" t="s">
        <v>1794</v>
      </c>
      <c r="G685" s="580">
        <v>578.1</v>
      </c>
      <c r="H685" s="1" t="s">
        <v>1795</v>
      </c>
      <c r="I685" s="1"/>
      <c r="J685" s="1"/>
      <c r="K685" s="1"/>
      <c r="L685" s="1"/>
      <c r="M685" s="1"/>
      <c r="N685" s="1"/>
      <c r="Q685"/>
    </row>
    <row r="686" spans="1:17" ht="13.15" customHeight="1" x14ac:dyDescent="0.2">
      <c r="A686" s="1" t="s">
        <v>1796</v>
      </c>
      <c r="B686" s="1" t="s">
        <v>1685</v>
      </c>
      <c r="C686" s="580">
        <v>506</v>
      </c>
      <c r="D686" s="1">
        <v>1260.3599999999999</v>
      </c>
      <c r="E686" t="s">
        <v>1686</v>
      </c>
      <c r="F686" t="s">
        <v>1797</v>
      </c>
      <c r="G686" s="580">
        <v>578.1</v>
      </c>
      <c r="H686" s="1" t="s">
        <v>1798</v>
      </c>
      <c r="I686" s="1"/>
      <c r="J686" s="1"/>
      <c r="K686" s="1"/>
      <c r="L686" s="1"/>
      <c r="M686" s="1"/>
      <c r="N686" s="1"/>
      <c r="Q686"/>
    </row>
    <row r="687" spans="1:17" ht="13.15" customHeight="1" x14ac:dyDescent="0.2">
      <c r="A687" s="1" t="s">
        <v>1799</v>
      </c>
      <c r="B687" s="1" t="s">
        <v>1685</v>
      </c>
      <c r="C687" s="580">
        <v>507</v>
      </c>
      <c r="D687" s="1">
        <v>1260.3599999999999</v>
      </c>
      <c r="E687" t="s">
        <v>1686</v>
      </c>
      <c r="F687" t="s">
        <v>1800</v>
      </c>
      <c r="G687" s="580">
        <v>338.4</v>
      </c>
      <c r="H687" s="1" t="s">
        <v>1801</v>
      </c>
      <c r="I687" s="1"/>
      <c r="J687" s="1"/>
      <c r="K687" s="1"/>
      <c r="L687" s="1"/>
      <c r="M687" s="1"/>
      <c r="N687" s="1"/>
      <c r="Q687"/>
    </row>
    <row r="688" spans="1:17" ht="13.15" customHeight="1" x14ac:dyDescent="0.2">
      <c r="A688" s="1" t="s">
        <v>1802</v>
      </c>
      <c r="B688" s="1" t="s">
        <v>1685</v>
      </c>
      <c r="C688" s="580">
        <v>508</v>
      </c>
      <c r="D688" s="1">
        <v>1260.3599999999999</v>
      </c>
      <c r="E688" t="s">
        <v>1686</v>
      </c>
      <c r="F688" t="s">
        <v>1803</v>
      </c>
      <c r="G688" s="580">
        <v>507.6</v>
      </c>
      <c r="H688" s="1" t="s">
        <v>1804</v>
      </c>
      <c r="I688" s="1"/>
      <c r="J688" s="1"/>
      <c r="K688" s="1"/>
      <c r="L688" s="1"/>
      <c r="M688" s="1"/>
      <c r="N688" s="1"/>
      <c r="Q688"/>
    </row>
    <row r="689" spans="1:17" ht="13.15" customHeight="1" x14ac:dyDescent="0.2">
      <c r="A689" s="1" t="s">
        <v>1805</v>
      </c>
      <c r="B689" s="1" t="s">
        <v>1685</v>
      </c>
      <c r="C689" s="580">
        <v>511</v>
      </c>
      <c r="D689" s="1">
        <v>2060.44</v>
      </c>
      <c r="E689" t="s">
        <v>1686</v>
      </c>
      <c r="F689" t="s">
        <v>1806</v>
      </c>
      <c r="G689" s="580">
        <v>578.1</v>
      </c>
      <c r="H689" s="1" t="s">
        <v>1807</v>
      </c>
      <c r="I689" s="1"/>
      <c r="J689" s="1"/>
      <c r="K689" s="1"/>
      <c r="L689" s="1"/>
      <c r="M689" s="1"/>
      <c r="N689" s="1"/>
      <c r="Q689"/>
    </row>
    <row r="690" spans="1:17" ht="13.15" customHeight="1" x14ac:dyDescent="0.2">
      <c r="A690" s="1" t="s">
        <v>1808</v>
      </c>
      <c r="B690" s="1" t="s">
        <v>1685</v>
      </c>
      <c r="C690" s="580">
        <v>512</v>
      </c>
      <c r="D690" s="1">
        <v>2060.44</v>
      </c>
      <c r="E690" t="s">
        <v>1686</v>
      </c>
      <c r="F690" t="s">
        <v>1809</v>
      </c>
      <c r="G690" s="580">
        <v>578.1</v>
      </c>
      <c r="H690" s="1" t="s">
        <v>1810</v>
      </c>
      <c r="I690" s="1"/>
      <c r="J690" s="1"/>
      <c r="K690" s="1"/>
      <c r="L690" s="1"/>
      <c r="M690" s="1"/>
      <c r="N690" s="1"/>
      <c r="Q690"/>
    </row>
    <row r="691" spans="1:17" ht="13.15" customHeight="1" x14ac:dyDescent="0.2">
      <c r="A691" s="1" t="s">
        <v>1811</v>
      </c>
      <c r="B691" s="1" t="s">
        <v>1685</v>
      </c>
      <c r="C691" s="580">
        <v>513</v>
      </c>
      <c r="D691" s="1">
        <v>1612.72</v>
      </c>
      <c r="E691" t="s">
        <v>1686</v>
      </c>
      <c r="F691" t="s">
        <v>1812</v>
      </c>
      <c r="G691" s="580">
        <v>465.3</v>
      </c>
      <c r="H691" s="1" t="s">
        <v>1813</v>
      </c>
      <c r="I691" s="1"/>
      <c r="J691" s="1"/>
      <c r="K691" s="1"/>
      <c r="L691" s="1"/>
      <c r="M691" s="1"/>
      <c r="N691" s="1"/>
      <c r="Q691"/>
    </row>
    <row r="692" spans="1:17" ht="13.15" customHeight="1" x14ac:dyDescent="0.2">
      <c r="A692" s="1" t="s">
        <v>1814</v>
      </c>
      <c r="B692" s="1" t="s">
        <v>1685</v>
      </c>
      <c r="C692" s="580">
        <v>524</v>
      </c>
      <c r="D692" s="1">
        <v>1343.92</v>
      </c>
      <c r="E692" t="s">
        <v>1686</v>
      </c>
      <c r="F692" t="s">
        <v>1815</v>
      </c>
      <c r="G692" s="580">
        <v>366.6</v>
      </c>
      <c r="H692" s="1" t="s">
        <v>1816</v>
      </c>
      <c r="I692" s="1"/>
      <c r="J692" s="1"/>
      <c r="K692" s="1"/>
      <c r="L692" s="1"/>
      <c r="M692" s="1"/>
      <c r="N692" s="1"/>
      <c r="Q692"/>
    </row>
    <row r="693" spans="1:17" ht="13.15" customHeight="1" x14ac:dyDescent="0.2">
      <c r="A693" s="1" t="s">
        <v>1817</v>
      </c>
      <c r="B693" s="1" t="s">
        <v>1685</v>
      </c>
      <c r="C693" s="580">
        <v>526</v>
      </c>
      <c r="D693" s="1">
        <v>1612.72</v>
      </c>
      <c r="E693" t="s">
        <v>1686</v>
      </c>
      <c r="F693" t="s">
        <v>1818</v>
      </c>
      <c r="G693" s="580">
        <v>437.1</v>
      </c>
      <c r="H693" s="1" t="s">
        <v>1819</v>
      </c>
      <c r="I693" s="1"/>
      <c r="J693" s="1"/>
      <c r="K693" s="1"/>
      <c r="L693" s="1"/>
      <c r="M693" s="1"/>
      <c r="N693" s="1"/>
      <c r="Q693"/>
    </row>
    <row r="694" spans="1:17" ht="13.15" customHeight="1" x14ac:dyDescent="0.2">
      <c r="A694" s="1" t="s">
        <v>1820</v>
      </c>
      <c r="B694" s="1" t="s">
        <v>1685</v>
      </c>
      <c r="C694" s="580">
        <v>545</v>
      </c>
      <c r="D694" s="1">
        <v>2508.56</v>
      </c>
      <c r="E694" t="s">
        <v>1686</v>
      </c>
      <c r="F694" t="s">
        <v>1821</v>
      </c>
      <c r="G694" s="580">
        <v>1240.8</v>
      </c>
      <c r="H694" s="1" t="s">
        <v>1822</v>
      </c>
      <c r="I694" s="1"/>
      <c r="J694" s="1"/>
      <c r="K694" s="1"/>
      <c r="L694" s="1"/>
      <c r="M694" s="1"/>
      <c r="N694" s="1"/>
      <c r="Q694"/>
    </row>
    <row r="695" spans="1:17" ht="13.15" customHeight="1" x14ac:dyDescent="0.2">
      <c r="A695" s="1" t="s">
        <v>1823</v>
      </c>
      <c r="B695" s="1" t="s">
        <v>1685</v>
      </c>
      <c r="C695" s="580">
        <v>547</v>
      </c>
      <c r="D695" s="1">
        <v>2956.28</v>
      </c>
      <c r="E695" t="s">
        <v>1686</v>
      </c>
      <c r="F695" t="s">
        <v>1824</v>
      </c>
      <c r="G695" s="580">
        <v>1522.8</v>
      </c>
      <c r="H695" s="1" t="s">
        <v>1825</v>
      </c>
      <c r="I695" s="1"/>
      <c r="J695" s="1"/>
      <c r="K695" s="1"/>
      <c r="L695" s="1"/>
      <c r="M695" s="1"/>
      <c r="N695" s="1"/>
      <c r="Q695"/>
    </row>
    <row r="696" spans="1:17" ht="13.15" customHeight="1" x14ac:dyDescent="0.2">
      <c r="A696" s="1" t="s">
        <v>1826</v>
      </c>
      <c r="B696" s="1" t="s">
        <v>1685</v>
      </c>
      <c r="C696" s="580">
        <v>548</v>
      </c>
      <c r="D696" s="1">
        <v>2598.04</v>
      </c>
      <c r="E696" t="s">
        <v>1686</v>
      </c>
      <c r="F696" t="s">
        <v>1827</v>
      </c>
      <c r="G696" s="580">
        <v>1395.9</v>
      </c>
      <c r="H696" s="1" t="s">
        <v>1828</v>
      </c>
      <c r="I696" s="1"/>
      <c r="J696" s="1"/>
      <c r="K696" s="1"/>
      <c r="L696" s="1"/>
      <c r="M696" s="1"/>
      <c r="N696" s="1"/>
      <c r="Q696"/>
    </row>
    <row r="697" spans="1:17" ht="13.15" customHeight="1" x14ac:dyDescent="0.2">
      <c r="A697" s="1" t="s">
        <v>1829</v>
      </c>
      <c r="B697" s="1" t="s">
        <v>1685</v>
      </c>
      <c r="C697" s="580">
        <v>550</v>
      </c>
      <c r="D697" s="1">
        <v>2239.7600000000002</v>
      </c>
      <c r="E697" t="s">
        <v>1686</v>
      </c>
      <c r="F697" t="s">
        <v>1830</v>
      </c>
      <c r="G697" s="580">
        <v>620.4</v>
      </c>
      <c r="H697" s="1" t="s">
        <v>1831</v>
      </c>
      <c r="I697" s="1"/>
      <c r="J697" s="1"/>
      <c r="K697" s="1"/>
      <c r="L697" s="1"/>
      <c r="M697" s="1"/>
      <c r="N697" s="1"/>
      <c r="Q697"/>
    </row>
    <row r="698" spans="1:17" ht="13.15" customHeight="1" x14ac:dyDescent="0.2">
      <c r="A698" s="1" t="s">
        <v>1832</v>
      </c>
      <c r="B698" s="1" t="s">
        <v>1685</v>
      </c>
      <c r="C698" s="580">
        <v>555</v>
      </c>
      <c r="D698" s="1">
        <v>1612.72</v>
      </c>
      <c r="E698" t="s">
        <v>1686</v>
      </c>
      <c r="F698" t="s">
        <v>1833</v>
      </c>
      <c r="G698" s="580">
        <v>1438.2</v>
      </c>
      <c r="H698" s="1" t="s">
        <v>1834</v>
      </c>
      <c r="I698" s="1"/>
      <c r="J698" s="1"/>
      <c r="K698" s="1"/>
      <c r="L698" s="1"/>
      <c r="M698" s="1"/>
      <c r="N698" s="1"/>
      <c r="Q698"/>
    </row>
    <row r="699" spans="1:17" ht="13.15" customHeight="1" x14ac:dyDescent="0.2">
      <c r="A699" s="1" t="s">
        <v>1835</v>
      </c>
      <c r="B699" s="1" t="s">
        <v>1685</v>
      </c>
      <c r="C699" s="580">
        <v>575</v>
      </c>
      <c r="D699" s="1">
        <v>1970.96</v>
      </c>
      <c r="E699" t="s">
        <v>1686</v>
      </c>
      <c r="F699" t="s">
        <v>1836</v>
      </c>
      <c r="G699" s="580">
        <v>1128</v>
      </c>
      <c r="H699" s="1" t="s">
        <v>1837</v>
      </c>
      <c r="I699" s="1"/>
      <c r="J699" s="1"/>
      <c r="K699" s="1"/>
      <c r="L699" s="1"/>
      <c r="M699" s="1"/>
      <c r="N699" s="1"/>
      <c r="Q699"/>
    </row>
    <row r="700" spans="1:17" ht="13.15" customHeight="1" x14ac:dyDescent="0.2">
      <c r="A700" s="1" t="s">
        <v>1838</v>
      </c>
      <c r="B700" s="1" t="s">
        <v>1685</v>
      </c>
      <c r="C700" s="580">
        <v>576</v>
      </c>
      <c r="D700" s="1">
        <v>2015.72</v>
      </c>
      <c r="E700" t="s">
        <v>1686</v>
      </c>
      <c r="F700" t="s">
        <v>1839</v>
      </c>
      <c r="G700" s="580">
        <v>719.1</v>
      </c>
      <c r="H700" s="1" t="s">
        <v>1840</v>
      </c>
      <c r="I700" s="1"/>
      <c r="J700" s="1"/>
      <c r="K700" s="1"/>
      <c r="L700" s="1"/>
      <c r="M700" s="1"/>
      <c r="N700" s="1"/>
      <c r="Q700"/>
    </row>
    <row r="701" spans="1:17" ht="13.15" customHeight="1" x14ac:dyDescent="0.2">
      <c r="A701" s="1" t="s">
        <v>1841</v>
      </c>
      <c r="B701" s="1" t="s">
        <v>1685</v>
      </c>
      <c r="C701" s="580">
        <v>583</v>
      </c>
      <c r="D701" s="1">
        <v>1433.4</v>
      </c>
      <c r="E701" t="s">
        <v>1686</v>
      </c>
      <c r="F701" t="s">
        <v>1842</v>
      </c>
      <c r="G701" s="580">
        <v>535.79999999999995</v>
      </c>
      <c r="H701" s="1" t="s">
        <v>1837</v>
      </c>
      <c r="I701" s="1"/>
      <c r="J701" s="1"/>
      <c r="K701" s="1"/>
      <c r="L701" s="1"/>
      <c r="M701" s="1"/>
      <c r="N701" s="1"/>
      <c r="Q701"/>
    </row>
    <row r="702" spans="1:17" ht="13.15" customHeight="1" x14ac:dyDescent="0.2">
      <c r="A702" s="1" t="s">
        <v>1843</v>
      </c>
      <c r="B702" s="1" t="s">
        <v>1685</v>
      </c>
      <c r="C702" s="580">
        <v>584</v>
      </c>
      <c r="D702" s="1">
        <v>1433.4</v>
      </c>
      <c r="E702" t="s">
        <v>1686</v>
      </c>
      <c r="F702" t="s">
        <v>1844</v>
      </c>
      <c r="G702" s="580">
        <v>789.6</v>
      </c>
      <c r="H702" s="1" t="s">
        <v>1845</v>
      </c>
      <c r="I702" s="1"/>
      <c r="J702" s="1"/>
      <c r="K702" s="1"/>
      <c r="L702" s="1"/>
      <c r="M702" s="1"/>
      <c r="N702" s="1"/>
      <c r="Q702"/>
    </row>
    <row r="703" spans="1:17" ht="13.15" customHeight="1" x14ac:dyDescent="0.2">
      <c r="A703" s="1" t="s">
        <v>1846</v>
      </c>
      <c r="B703" s="1" t="s">
        <v>1685</v>
      </c>
      <c r="C703" s="580">
        <v>585</v>
      </c>
      <c r="D703" s="1">
        <v>1254.08</v>
      </c>
      <c r="E703" t="s">
        <v>1686</v>
      </c>
      <c r="F703" t="s">
        <v>1847</v>
      </c>
      <c r="G703" s="580">
        <v>394.8</v>
      </c>
      <c r="H703" s="1" t="s">
        <v>1848</v>
      </c>
      <c r="I703" s="1"/>
      <c r="J703" s="1"/>
      <c r="K703" s="1"/>
      <c r="L703" s="1"/>
      <c r="M703" s="1"/>
      <c r="N703" s="1"/>
      <c r="Q703"/>
    </row>
    <row r="704" spans="1:17" ht="13.15" customHeight="1" x14ac:dyDescent="0.2">
      <c r="A704" s="1" t="s">
        <v>1849</v>
      </c>
      <c r="B704" s="1" t="s">
        <v>1685</v>
      </c>
      <c r="C704" s="580">
        <v>589</v>
      </c>
      <c r="D704" s="1">
        <v>1612.72</v>
      </c>
      <c r="E704" t="s">
        <v>1686</v>
      </c>
      <c r="F704" t="s">
        <v>1850</v>
      </c>
      <c r="G704" s="580">
        <v>507.6</v>
      </c>
      <c r="H704" s="1" t="s">
        <v>1851</v>
      </c>
      <c r="I704" s="1"/>
      <c r="J704" s="1"/>
      <c r="K704" s="1"/>
      <c r="L704" s="1"/>
      <c r="M704" s="1"/>
      <c r="N704" s="1"/>
      <c r="Q704"/>
    </row>
    <row r="705" spans="1:17" ht="13.15" customHeight="1" x14ac:dyDescent="0.2">
      <c r="A705" s="1" t="s">
        <v>1852</v>
      </c>
      <c r="B705" s="1" t="s">
        <v>1685</v>
      </c>
      <c r="C705" s="580">
        <v>590</v>
      </c>
      <c r="D705" s="1">
        <v>2239.7600000000002</v>
      </c>
      <c r="E705" t="s">
        <v>1686</v>
      </c>
      <c r="F705" t="s">
        <v>1853</v>
      </c>
      <c r="G705" s="580">
        <v>789.6</v>
      </c>
      <c r="H705" s="1" t="s">
        <v>1854</v>
      </c>
      <c r="I705" s="1"/>
      <c r="J705" s="1"/>
      <c r="K705" s="1"/>
      <c r="L705" s="1"/>
      <c r="M705" s="1"/>
      <c r="N705" s="1"/>
      <c r="Q705"/>
    </row>
    <row r="706" spans="1:17" ht="13.15" customHeight="1" x14ac:dyDescent="0.2">
      <c r="A706" s="1" t="s">
        <v>1855</v>
      </c>
      <c r="B706" s="1" t="s">
        <v>1685</v>
      </c>
      <c r="C706" s="580">
        <v>594</v>
      </c>
      <c r="D706" s="1">
        <v>1119.8800000000001</v>
      </c>
      <c r="E706" t="s">
        <v>1686</v>
      </c>
      <c r="F706" t="s">
        <v>1856</v>
      </c>
      <c r="G706" s="580">
        <v>352.5</v>
      </c>
      <c r="H706" s="1" t="s">
        <v>1857</v>
      </c>
      <c r="I706" s="1"/>
      <c r="J706" s="1"/>
      <c r="K706" s="1"/>
      <c r="L706" s="1"/>
      <c r="M706" s="1"/>
      <c r="N706" s="1"/>
      <c r="Q706"/>
    </row>
    <row r="707" spans="1:17" ht="13.15" customHeight="1" x14ac:dyDescent="0.2">
      <c r="A707" s="1" t="s">
        <v>1858</v>
      </c>
      <c r="B707" s="1" t="s">
        <v>1685</v>
      </c>
      <c r="C707" s="580">
        <v>595</v>
      </c>
      <c r="D707" s="1">
        <v>1119.8800000000001</v>
      </c>
      <c r="E707" t="s">
        <v>1686</v>
      </c>
      <c r="F707" t="s">
        <v>1859</v>
      </c>
      <c r="G707" s="580">
        <v>296.10000000000002</v>
      </c>
      <c r="H707" s="1" t="s">
        <v>1860</v>
      </c>
      <c r="I707" s="1"/>
      <c r="J707" s="1"/>
      <c r="K707" s="1"/>
      <c r="L707" s="1"/>
      <c r="M707" s="1"/>
      <c r="N707" s="1"/>
      <c r="Q707"/>
    </row>
    <row r="708" spans="1:17" ht="13.15" customHeight="1" x14ac:dyDescent="0.2">
      <c r="A708" s="1" t="s">
        <v>1861</v>
      </c>
      <c r="B708" s="1" t="s">
        <v>1685</v>
      </c>
      <c r="C708" s="580">
        <v>598</v>
      </c>
      <c r="D708" s="1">
        <v>2060.44</v>
      </c>
      <c r="E708" t="s">
        <v>1686</v>
      </c>
      <c r="F708" t="s">
        <v>1862</v>
      </c>
      <c r="G708" s="580">
        <v>902.4</v>
      </c>
      <c r="H708" s="1" t="s">
        <v>1863</v>
      </c>
      <c r="I708" s="1"/>
      <c r="J708" s="1"/>
      <c r="K708" s="1"/>
      <c r="L708" s="1"/>
      <c r="M708" s="1"/>
      <c r="N708" s="1"/>
      <c r="Q708"/>
    </row>
    <row r="709" spans="1:17" ht="13.15" customHeight="1" x14ac:dyDescent="0.2">
      <c r="A709" s="1" t="s">
        <v>1864</v>
      </c>
      <c r="B709" s="1" t="s">
        <v>1685</v>
      </c>
      <c r="C709" s="580">
        <v>599</v>
      </c>
      <c r="D709" s="1">
        <v>1119.8800000000001</v>
      </c>
      <c r="E709" t="s">
        <v>1686</v>
      </c>
      <c r="F709" t="s">
        <v>1865</v>
      </c>
      <c r="G709" s="580">
        <v>451.2</v>
      </c>
      <c r="H709" s="1" t="s">
        <v>1866</v>
      </c>
      <c r="I709" s="1"/>
      <c r="J709" s="1"/>
      <c r="K709" s="1"/>
      <c r="L709" s="1"/>
      <c r="M709" s="1"/>
      <c r="N709" s="1"/>
      <c r="Q709"/>
    </row>
    <row r="710" spans="1:17" ht="13.15" customHeight="1" x14ac:dyDescent="0.2">
      <c r="A710" s="1" t="s">
        <v>1867</v>
      </c>
      <c r="B710" s="1" t="s">
        <v>1685</v>
      </c>
      <c r="C710" s="580">
        <v>600</v>
      </c>
      <c r="D710" s="1">
        <v>1119.8800000000001</v>
      </c>
      <c r="E710" t="s">
        <v>1686</v>
      </c>
      <c r="F710" t="s">
        <v>1868</v>
      </c>
      <c r="G710" s="580">
        <v>338.4</v>
      </c>
      <c r="H710" s="1" t="s">
        <v>1869</v>
      </c>
      <c r="I710" s="1"/>
      <c r="J710" s="1"/>
      <c r="K710" s="1"/>
      <c r="L710" s="1"/>
      <c r="M710" s="1"/>
      <c r="N710" s="1"/>
      <c r="Q710"/>
    </row>
    <row r="711" spans="1:17" ht="13.15" customHeight="1" x14ac:dyDescent="0.2">
      <c r="A711" s="1" t="s">
        <v>1870</v>
      </c>
      <c r="B711" s="1" t="s">
        <v>1685</v>
      </c>
      <c r="C711" s="580">
        <v>601</v>
      </c>
      <c r="D711" s="1">
        <v>1119.8800000000001</v>
      </c>
      <c r="E711" t="s">
        <v>1686</v>
      </c>
      <c r="F711" t="s">
        <v>1871</v>
      </c>
      <c r="G711" s="580">
        <v>338.4</v>
      </c>
      <c r="H711" s="1" t="s">
        <v>1872</v>
      </c>
      <c r="I711" s="1"/>
      <c r="J711" s="1"/>
      <c r="K711" s="1"/>
      <c r="L711" s="1"/>
      <c r="M711" s="1"/>
      <c r="N711" s="1"/>
      <c r="Q711"/>
    </row>
    <row r="712" spans="1:17" ht="13.15" customHeight="1" x14ac:dyDescent="0.2">
      <c r="A712" s="1" t="s">
        <v>1873</v>
      </c>
      <c r="B712" s="1" t="s">
        <v>1685</v>
      </c>
      <c r="C712" s="580">
        <v>606</v>
      </c>
      <c r="D712" s="1">
        <v>1433.4</v>
      </c>
      <c r="E712" t="s">
        <v>1686</v>
      </c>
      <c r="F712" t="s">
        <v>1874</v>
      </c>
      <c r="G712" s="580">
        <v>549.9</v>
      </c>
      <c r="H712" s="1" t="s">
        <v>1875</v>
      </c>
      <c r="I712" s="1"/>
      <c r="J712" s="1"/>
      <c r="K712" s="1"/>
      <c r="L712" s="1"/>
      <c r="M712" s="1"/>
      <c r="N712" s="1"/>
      <c r="Q712"/>
    </row>
    <row r="713" spans="1:17" ht="13.15" customHeight="1" x14ac:dyDescent="0.2">
      <c r="A713" s="1" t="s">
        <v>1876</v>
      </c>
      <c r="B713" s="1" t="s">
        <v>1685</v>
      </c>
      <c r="C713" s="580">
        <v>607</v>
      </c>
      <c r="D713" s="1">
        <v>1343.92</v>
      </c>
      <c r="E713" t="s">
        <v>1686</v>
      </c>
      <c r="F713" t="s">
        <v>1877</v>
      </c>
      <c r="G713" s="580">
        <v>366.6</v>
      </c>
      <c r="H713" s="1" t="s">
        <v>1878</v>
      </c>
      <c r="I713" s="1"/>
      <c r="J713" s="1"/>
      <c r="K713" s="1"/>
      <c r="L713" s="1"/>
      <c r="M713" s="1"/>
      <c r="N713" s="1"/>
      <c r="Q713"/>
    </row>
    <row r="714" spans="1:17" ht="13.15" customHeight="1" x14ac:dyDescent="0.2">
      <c r="A714" s="1" t="s">
        <v>1879</v>
      </c>
      <c r="B714" s="1" t="s">
        <v>1685</v>
      </c>
      <c r="C714" s="580">
        <v>608</v>
      </c>
      <c r="D714" s="1">
        <v>1791.68</v>
      </c>
      <c r="E714" t="s">
        <v>1686</v>
      </c>
      <c r="F714" t="s">
        <v>1880</v>
      </c>
      <c r="G714" s="580">
        <v>507.6</v>
      </c>
      <c r="H714" s="1" t="s">
        <v>1881</v>
      </c>
      <c r="I714" s="1"/>
      <c r="J714" s="1"/>
      <c r="K714" s="1"/>
      <c r="L714" s="1"/>
      <c r="M714" s="1"/>
      <c r="N714" s="1"/>
      <c r="Q714"/>
    </row>
    <row r="715" spans="1:17" ht="13.15" customHeight="1" x14ac:dyDescent="0.2">
      <c r="A715" s="1" t="s">
        <v>1882</v>
      </c>
      <c r="B715" s="1" t="s">
        <v>1685</v>
      </c>
      <c r="C715" s="580">
        <v>609</v>
      </c>
      <c r="D715" s="1">
        <v>2015.72</v>
      </c>
      <c r="E715" t="s">
        <v>1686</v>
      </c>
      <c r="F715" t="s">
        <v>1883</v>
      </c>
      <c r="G715" s="580">
        <v>1113.9000000000001</v>
      </c>
      <c r="H715" s="1" t="s">
        <v>1884</v>
      </c>
      <c r="I715" s="1"/>
      <c r="J715" s="1"/>
      <c r="K715" s="1"/>
      <c r="L715" s="1"/>
      <c r="M715" s="1"/>
      <c r="N715" s="1"/>
      <c r="Q715"/>
    </row>
    <row r="716" spans="1:17" ht="13.15" customHeight="1" x14ac:dyDescent="0.2">
      <c r="A716" s="1" t="s">
        <v>1885</v>
      </c>
      <c r="B716" s="1" t="s">
        <v>1685</v>
      </c>
      <c r="C716" s="580">
        <v>612</v>
      </c>
      <c r="D716" s="1">
        <v>1254.08</v>
      </c>
      <c r="E716" t="s">
        <v>1686</v>
      </c>
      <c r="F716" t="s">
        <v>1856</v>
      </c>
      <c r="G716" s="580">
        <v>352.5</v>
      </c>
      <c r="H716" s="1" t="s">
        <v>1886</v>
      </c>
      <c r="I716" s="1"/>
      <c r="J716" s="1"/>
      <c r="K716" s="1"/>
      <c r="L716" s="1"/>
      <c r="M716" s="1"/>
      <c r="N716" s="1"/>
      <c r="Q716"/>
    </row>
    <row r="717" spans="1:17" ht="13.15" customHeight="1" x14ac:dyDescent="0.2">
      <c r="A717" s="1" t="s">
        <v>1887</v>
      </c>
      <c r="B717" s="1" t="s">
        <v>1685</v>
      </c>
      <c r="C717" s="580">
        <v>613</v>
      </c>
      <c r="D717" s="1">
        <v>1254.08</v>
      </c>
      <c r="E717" t="s">
        <v>1686</v>
      </c>
      <c r="F717" t="s">
        <v>1888</v>
      </c>
      <c r="G717" s="580">
        <v>352.5</v>
      </c>
      <c r="H717" s="1" t="s">
        <v>1889</v>
      </c>
      <c r="I717" s="1"/>
      <c r="J717" s="1"/>
      <c r="K717" s="1"/>
      <c r="L717" s="1"/>
      <c r="M717" s="1"/>
      <c r="N717" s="1"/>
      <c r="Q717"/>
    </row>
    <row r="718" spans="1:17" ht="13.15" customHeight="1" x14ac:dyDescent="0.2">
      <c r="A718" s="1" t="s">
        <v>1890</v>
      </c>
      <c r="B718" s="1" t="s">
        <v>1685</v>
      </c>
      <c r="C718" s="580">
        <v>615</v>
      </c>
      <c r="D718" s="1">
        <v>2015.72</v>
      </c>
      <c r="E718" t="s">
        <v>1686</v>
      </c>
      <c r="F718" t="s">
        <v>1839</v>
      </c>
      <c r="G718" s="580">
        <v>719.1</v>
      </c>
      <c r="H718" s="1" t="s">
        <v>1891</v>
      </c>
      <c r="I718" s="1"/>
      <c r="J718" s="1"/>
      <c r="K718" s="1"/>
      <c r="L718" s="1"/>
      <c r="M718" s="1"/>
      <c r="N718" s="1"/>
      <c r="Q718"/>
    </row>
    <row r="719" spans="1:17" ht="13.15" customHeight="1" x14ac:dyDescent="0.2">
      <c r="A719" s="1" t="s">
        <v>1892</v>
      </c>
      <c r="B719" s="1" t="s">
        <v>1685</v>
      </c>
      <c r="C719" s="580">
        <v>631</v>
      </c>
      <c r="D719" s="1">
        <v>1567.6</v>
      </c>
      <c r="E719" t="s">
        <v>1686</v>
      </c>
      <c r="F719" t="s">
        <v>1893</v>
      </c>
      <c r="G719" s="580">
        <v>465.3</v>
      </c>
      <c r="H719" s="1" t="s">
        <v>1894</v>
      </c>
      <c r="I719" s="1"/>
      <c r="J719" s="1"/>
      <c r="K719" s="1"/>
      <c r="L719" s="1"/>
      <c r="M719" s="1"/>
      <c r="N719" s="1"/>
      <c r="Q719"/>
    </row>
    <row r="720" spans="1:17" ht="13.15" customHeight="1" x14ac:dyDescent="0.2">
      <c r="A720" s="1" t="s">
        <v>1895</v>
      </c>
      <c r="B720" s="1" t="s">
        <v>1685</v>
      </c>
      <c r="C720" s="580">
        <v>632</v>
      </c>
      <c r="D720" s="1">
        <v>1567.6</v>
      </c>
      <c r="E720" t="s">
        <v>1686</v>
      </c>
      <c r="F720" t="s">
        <v>1896</v>
      </c>
      <c r="G720" s="580">
        <v>465.3</v>
      </c>
      <c r="H720" s="1" t="s">
        <v>1897</v>
      </c>
      <c r="I720" s="1"/>
      <c r="J720" s="1"/>
      <c r="K720" s="1"/>
      <c r="L720" s="1"/>
      <c r="M720" s="1"/>
      <c r="N720" s="1"/>
      <c r="Q720"/>
    </row>
    <row r="721" spans="1:17" ht="13.15" customHeight="1" x14ac:dyDescent="0.2">
      <c r="A721" s="1" t="s">
        <v>1898</v>
      </c>
      <c r="B721" s="1" t="s">
        <v>1685</v>
      </c>
      <c r="C721" s="580">
        <v>633</v>
      </c>
      <c r="D721" s="1">
        <v>2956.28</v>
      </c>
      <c r="E721" t="s">
        <v>1686</v>
      </c>
      <c r="F721" t="s">
        <v>1899</v>
      </c>
      <c r="G721" s="580">
        <v>2115</v>
      </c>
      <c r="H721" s="1" t="s">
        <v>1900</v>
      </c>
      <c r="I721" s="1"/>
      <c r="J721" s="1"/>
      <c r="K721" s="1"/>
      <c r="L721" s="1"/>
      <c r="M721" s="1"/>
      <c r="N721" s="1"/>
      <c r="Q721"/>
    </row>
    <row r="722" spans="1:17" ht="13.15" customHeight="1" x14ac:dyDescent="0.2">
      <c r="A722" s="1" t="s">
        <v>1901</v>
      </c>
      <c r="B722" s="1" t="s">
        <v>1685</v>
      </c>
      <c r="C722" s="580">
        <v>658</v>
      </c>
      <c r="D722" s="1">
        <v>1254.08</v>
      </c>
      <c r="E722" t="s">
        <v>1686</v>
      </c>
      <c r="F722" t="s">
        <v>1902</v>
      </c>
      <c r="G722" s="580">
        <v>634.5</v>
      </c>
      <c r="H722" s="1" t="s">
        <v>1903</v>
      </c>
      <c r="I722" s="1"/>
      <c r="J722" s="1"/>
      <c r="K722" s="1"/>
      <c r="L722" s="1"/>
      <c r="M722" s="1"/>
      <c r="N722" s="1"/>
      <c r="Q722"/>
    </row>
    <row r="723" spans="1:17" ht="13.15" customHeight="1" x14ac:dyDescent="0.2">
      <c r="A723" s="1" t="s">
        <v>1904</v>
      </c>
      <c r="B723" s="1" t="s">
        <v>1685</v>
      </c>
      <c r="C723" s="580">
        <v>659</v>
      </c>
      <c r="D723" s="1">
        <v>1567.6</v>
      </c>
      <c r="E723" t="s">
        <v>1686</v>
      </c>
      <c r="F723" t="s">
        <v>1905</v>
      </c>
      <c r="G723" s="580">
        <v>662.7</v>
      </c>
      <c r="H723" s="1" t="s">
        <v>1906</v>
      </c>
      <c r="I723" s="1"/>
      <c r="J723" s="1"/>
      <c r="K723" s="1"/>
      <c r="L723" s="1"/>
      <c r="M723" s="1"/>
      <c r="N723" s="1"/>
      <c r="Q723"/>
    </row>
    <row r="724" spans="1:17" ht="13.15" customHeight="1" x14ac:dyDescent="0.2">
      <c r="A724" s="1" t="s">
        <v>1907</v>
      </c>
      <c r="B724" s="1" t="s">
        <v>1685</v>
      </c>
      <c r="C724" s="580">
        <v>660</v>
      </c>
      <c r="D724" s="1">
        <v>1970.96</v>
      </c>
      <c r="E724" t="s">
        <v>1686</v>
      </c>
      <c r="F724" t="s">
        <v>1908</v>
      </c>
      <c r="G724" s="580">
        <v>549.9</v>
      </c>
      <c r="H724" s="1" t="s">
        <v>1909</v>
      </c>
      <c r="I724" s="1"/>
      <c r="J724" s="1"/>
      <c r="K724" s="1"/>
      <c r="L724" s="1"/>
      <c r="M724" s="1"/>
      <c r="N724" s="1"/>
      <c r="Q724"/>
    </row>
    <row r="725" spans="1:17" ht="13.15" customHeight="1" x14ac:dyDescent="0.2">
      <c r="A725" s="1" t="s">
        <v>1910</v>
      </c>
      <c r="B725" s="1" t="s">
        <v>1685</v>
      </c>
      <c r="C725" s="580">
        <v>664</v>
      </c>
      <c r="D725" s="1">
        <v>2239.7600000000002</v>
      </c>
      <c r="E725" t="s">
        <v>1686</v>
      </c>
      <c r="F725" t="s">
        <v>1911</v>
      </c>
      <c r="G725" s="580">
        <v>1057.5</v>
      </c>
      <c r="H725" s="1" t="s">
        <v>1912</v>
      </c>
      <c r="I725" s="1"/>
      <c r="J725" s="1"/>
      <c r="K725" s="1"/>
      <c r="L725" s="1"/>
      <c r="M725" s="1"/>
      <c r="N725" s="1"/>
      <c r="Q725"/>
    </row>
    <row r="726" spans="1:17" ht="13.15" customHeight="1" x14ac:dyDescent="0.2">
      <c r="A726" s="1" t="s">
        <v>1913</v>
      </c>
      <c r="B726" s="1" t="s">
        <v>1685</v>
      </c>
      <c r="C726" s="580">
        <v>665</v>
      </c>
      <c r="D726" s="1">
        <v>1433.4</v>
      </c>
      <c r="E726" t="s">
        <v>1686</v>
      </c>
      <c r="F726" t="s">
        <v>1914</v>
      </c>
      <c r="G726" s="580">
        <v>719.1</v>
      </c>
      <c r="H726" s="1" t="s">
        <v>1915</v>
      </c>
      <c r="I726" s="1"/>
      <c r="J726" s="1"/>
      <c r="K726" s="1"/>
      <c r="L726" s="1"/>
      <c r="M726" s="1"/>
      <c r="N726" s="1"/>
      <c r="Q726"/>
    </row>
    <row r="727" spans="1:17" ht="13.15" customHeight="1" x14ac:dyDescent="0.2">
      <c r="A727" s="1" t="s">
        <v>1916</v>
      </c>
      <c r="B727" s="1" t="s">
        <v>1685</v>
      </c>
      <c r="C727" s="580">
        <v>666</v>
      </c>
      <c r="D727" s="1">
        <v>1791.68</v>
      </c>
      <c r="E727" t="s">
        <v>1686</v>
      </c>
      <c r="F727" t="s">
        <v>1917</v>
      </c>
      <c r="G727" s="580">
        <v>916.5</v>
      </c>
      <c r="H727" s="1" t="s">
        <v>1918</v>
      </c>
      <c r="I727" s="1"/>
      <c r="J727" s="1"/>
      <c r="K727" s="1"/>
      <c r="L727" s="1"/>
      <c r="M727" s="1"/>
      <c r="N727" s="1"/>
      <c r="Q727"/>
    </row>
    <row r="728" spans="1:17" ht="13.15" customHeight="1" x14ac:dyDescent="0.2">
      <c r="A728" s="1" t="s">
        <v>1919</v>
      </c>
      <c r="B728" s="1" t="s">
        <v>1685</v>
      </c>
      <c r="C728" s="580">
        <v>668</v>
      </c>
      <c r="D728" s="1">
        <v>1187.56</v>
      </c>
      <c r="E728" t="s">
        <v>1686</v>
      </c>
      <c r="F728" t="s">
        <v>1920</v>
      </c>
      <c r="G728" s="580">
        <v>352.5</v>
      </c>
      <c r="H728" s="1" t="s">
        <v>1921</v>
      </c>
      <c r="I728" s="1"/>
      <c r="J728" s="1"/>
      <c r="K728" s="1"/>
      <c r="L728" s="1"/>
      <c r="M728" s="1"/>
      <c r="N728" s="1"/>
      <c r="Q728"/>
    </row>
    <row r="729" spans="1:17" ht="13.15" customHeight="1" x14ac:dyDescent="0.2">
      <c r="A729" s="1" t="s">
        <v>1922</v>
      </c>
      <c r="B729" s="1" t="s">
        <v>1685</v>
      </c>
      <c r="C729" s="580">
        <v>685</v>
      </c>
      <c r="D729" s="1">
        <v>1187.56</v>
      </c>
      <c r="E729" t="s">
        <v>1686</v>
      </c>
      <c r="F729" t="s">
        <v>1923</v>
      </c>
      <c r="G729" s="580">
        <v>324.3</v>
      </c>
      <c r="H729" s="1" t="s">
        <v>1924</v>
      </c>
      <c r="I729" s="1"/>
      <c r="J729" s="1"/>
      <c r="K729" s="1"/>
      <c r="L729" s="1"/>
      <c r="M729" s="1"/>
      <c r="N729" s="1"/>
      <c r="Q729"/>
    </row>
    <row r="730" spans="1:17" ht="13.15" customHeight="1" x14ac:dyDescent="0.2">
      <c r="A730" s="1" t="s">
        <v>1925</v>
      </c>
      <c r="B730" s="1" t="s">
        <v>1685</v>
      </c>
      <c r="C730" s="580">
        <v>686</v>
      </c>
      <c r="D730" s="1">
        <v>3135.6</v>
      </c>
      <c r="E730" t="s">
        <v>1686</v>
      </c>
      <c r="F730" t="s">
        <v>1926</v>
      </c>
      <c r="G730" s="580">
        <v>1339.5</v>
      </c>
      <c r="H730" s="1" t="s">
        <v>1927</v>
      </c>
      <c r="I730" s="1"/>
      <c r="J730" s="1"/>
      <c r="K730" s="1"/>
      <c r="L730" s="1"/>
      <c r="M730" s="1"/>
      <c r="N730" s="1"/>
      <c r="Q730"/>
    </row>
    <row r="731" spans="1:17" ht="13.15" customHeight="1" x14ac:dyDescent="0.2">
      <c r="A731" s="1" t="s">
        <v>1928</v>
      </c>
      <c r="B731" s="1" t="s">
        <v>1685</v>
      </c>
      <c r="C731" s="580">
        <v>687</v>
      </c>
      <c r="D731" s="1">
        <v>3135.6</v>
      </c>
      <c r="E731" t="s">
        <v>1686</v>
      </c>
      <c r="F731" t="s">
        <v>1929</v>
      </c>
      <c r="G731" s="580">
        <v>1170.3</v>
      </c>
      <c r="H731" s="1" t="s">
        <v>1930</v>
      </c>
      <c r="I731" s="1"/>
      <c r="J731" s="1"/>
      <c r="K731" s="1"/>
      <c r="L731" s="1"/>
      <c r="M731" s="1"/>
      <c r="N731" s="1"/>
      <c r="Q731"/>
    </row>
    <row r="732" spans="1:17" ht="13.15" customHeight="1" x14ac:dyDescent="0.2">
      <c r="A732" s="1" t="s">
        <v>1931</v>
      </c>
      <c r="B732" s="1" t="s">
        <v>1685</v>
      </c>
      <c r="C732" s="580">
        <v>690</v>
      </c>
      <c r="D732" s="1">
        <v>1612.72</v>
      </c>
      <c r="E732" t="s">
        <v>1686</v>
      </c>
      <c r="F732" t="s">
        <v>1932</v>
      </c>
      <c r="G732" s="580">
        <v>0</v>
      </c>
      <c r="H732" s="1" t="s">
        <v>1933</v>
      </c>
      <c r="I732" s="1"/>
      <c r="J732" s="1"/>
      <c r="K732" s="1"/>
      <c r="L732" s="1"/>
      <c r="M732" s="1"/>
      <c r="N732" s="1"/>
      <c r="Q732"/>
    </row>
    <row r="733" spans="1:17" ht="13.15" customHeight="1" x14ac:dyDescent="0.2">
      <c r="A733" s="1" t="s">
        <v>1934</v>
      </c>
      <c r="B733" s="1" t="s">
        <v>1685</v>
      </c>
      <c r="C733" s="580">
        <v>698</v>
      </c>
      <c r="D733" s="1">
        <v>3493.84</v>
      </c>
      <c r="E733" t="s">
        <v>1686</v>
      </c>
      <c r="F733" t="s">
        <v>1935</v>
      </c>
      <c r="G733" s="580">
        <v>1748.4</v>
      </c>
      <c r="H733" s="1" t="s">
        <v>1936</v>
      </c>
      <c r="I733" s="1"/>
      <c r="J733" s="1"/>
      <c r="K733" s="1"/>
      <c r="L733" s="1"/>
      <c r="M733" s="1"/>
      <c r="N733" s="1"/>
      <c r="Q733"/>
    </row>
    <row r="734" spans="1:17" ht="13.15" customHeight="1" x14ac:dyDescent="0.2">
      <c r="A734" s="1" t="s">
        <v>1937</v>
      </c>
      <c r="B734" s="1" t="s">
        <v>1685</v>
      </c>
      <c r="C734" s="580">
        <v>700</v>
      </c>
      <c r="D734" s="1">
        <v>2508.56</v>
      </c>
      <c r="E734" t="s">
        <v>1686</v>
      </c>
      <c r="F734" t="s">
        <v>1938</v>
      </c>
      <c r="G734" s="580">
        <v>1170.3</v>
      </c>
      <c r="H734" s="1" t="s">
        <v>1939</v>
      </c>
      <c r="I734" s="1"/>
      <c r="J734" s="1"/>
      <c r="K734" s="1"/>
      <c r="L734" s="1"/>
      <c r="M734" s="1"/>
      <c r="N734" s="1"/>
      <c r="Q734"/>
    </row>
    <row r="735" spans="1:17" ht="13.15" customHeight="1" x14ac:dyDescent="0.2">
      <c r="A735" s="1" t="s">
        <v>1940</v>
      </c>
      <c r="B735" s="1" t="s">
        <v>1685</v>
      </c>
      <c r="C735" s="580">
        <v>702</v>
      </c>
      <c r="D735" s="1">
        <v>2239.7600000000002</v>
      </c>
      <c r="E735" t="s">
        <v>1686</v>
      </c>
      <c r="F735" t="s">
        <v>1941</v>
      </c>
      <c r="G735" s="580">
        <v>620.4</v>
      </c>
      <c r="H735" s="1" t="s">
        <v>1942</v>
      </c>
      <c r="I735" s="1"/>
      <c r="J735" s="1"/>
      <c r="K735" s="1"/>
      <c r="L735" s="1"/>
      <c r="M735" s="1"/>
      <c r="N735" s="1"/>
      <c r="Q735"/>
    </row>
    <row r="736" spans="1:17" ht="13.15" customHeight="1" x14ac:dyDescent="0.2">
      <c r="A736" s="1" t="s">
        <v>1943</v>
      </c>
      <c r="B736" s="1" t="s">
        <v>1685</v>
      </c>
      <c r="C736" s="580">
        <v>706</v>
      </c>
      <c r="D736" s="1">
        <v>1298.8399999999999</v>
      </c>
      <c r="E736" t="s">
        <v>1686</v>
      </c>
      <c r="F736" t="s">
        <v>1944</v>
      </c>
      <c r="G736" s="580">
        <v>394.8</v>
      </c>
      <c r="H736" s="1" t="s">
        <v>1945</v>
      </c>
      <c r="I736" s="1"/>
      <c r="J736" s="1"/>
      <c r="K736" s="1"/>
      <c r="L736" s="1"/>
      <c r="M736" s="1"/>
      <c r="N736" s="1"/>
      <c r="Q736"/>
    </row>
    <row r="737" spans="1:17" ht="13.15" customHeight="1" x14ac:dyDescent="0.2">
      <c r="A737" s="1" t="s">
        <v>1946</v>
      </c>
      <c r="B737" s="1" t="s">
        <v>1685</v>
      </c>
      <c r="C737" s="580">
        <v>707</v>
      </c>
      <c r="D737" s="1">
        <v>1612.72</v>
      </c>
      <c r="E737" t="s">
        <v>1686</v>
      </c>
      <c r="F737" t="s">
        <v>1947</v>
      </c>
      <c r="G737" s="580">
        <v>394.8</v>
      </c>
      <c r="H737" s="1" t="s">
        <v>1948</v>
      </c>
      <c r="I737" s="1"/>
      <c r="J737" s="1"/>
      <c r="K737" s="1"/>
      <c r="L737" s="1"/>
      <c r="M737" s="1"/>
      <c r="N737" s="1"/>
      <c r="Q737"/>
    </row>
    <row r="738" spans="1:17" ht="13.15" customHeight="1" x14ac:dyDescent="0.2">
      <c r="A738" s="1" t="s">
        <v>1949</v>
      </c>
      <c r="B738" s="1" t="s">
        <v>1685</v>
      </c>
      <c r="C738" s="580">
        <v>708</v>
      </c>
      <c r="D738" s="1">
        <v>1612.72</v>
      </c>
      <c r="E738" t="s">
        <v>1686</v>
      </c>
      <c r="F738" t="s">
        <v>1950</v>
      </c>
      <c r="G738" s="580">
        <v>747.3</v>
      </c>
      <c r="H738" s="1" t="s">
        <v>1951</v>
      </c>
      <c r="I738" s="1"/>
      <c r="J738" s="1"/>
      <c r="K738" s="1"/>
      <c r="L738" s="1"/>
      <c r="M738" s="1"/>
      <c r="N738" s="1"/>
      <c r="Q738"/>
    </row>
    <row r="739" spans="1:17" ht="13.15" customHeight="1" x14ac:dyDescent="0.2">
      <c r="A739" s="1" t="s">
        <v>1952</v>
      </c>
      <c r="B739" s="1" t="s">
        <v>1685</v>
      </c>
      <c r="C739" s="580">
        <v>709</v>
      </c>
      <c r="D739" s="1">
        <v>1187.56</v>
      </c>
      <c r="E739" t="s">
        <v>1686</v>
      </c>
      <c r="F739" t="s">
        <v>1953</v>
      </c>
      <c r="G739" s="580">
        <v>394.8</v>
      </c>
      <c r="H739" s="1" t="s">
        <v>1954</v>
      </c>
      <c r="I739" s="1"/>
      <c r="J739" s="1"/>
      <c r="K739" s="1"/>
      <c r="L739" s="1"/>
      <c r="M739" s="1"/>
      <c r="N739" s="1"/>
      <c r="Q739"/>
    </row>
    <row r="740" spans="1:17" ht="13.15" customHeight="1" x14ac:dyDescent="0.2">
      <c r="A740" s="1" t="s">
        <v>1955</v>
      </c>
      <c r="B740" s="1" t="s">
        <v>1685</v>
      </c>
      <c r="C740" s="580">
        <v>710</v>
      </c>
      <c r="D740" s="1">
        <v>1791.68</v>
      </c>
      <c r="E740" t="s">
        <v>1686</v>
      </c>
      <c r="F740" t="s">
        <v>1956</v>
      </c>
      <c r="G740" s="580">
        <v>507.6</v>
      </c>
      <c r="H740" s="1" t="s">
        <v>1957</v>
      </c>
      <c r="I740" s="1"/>
      <c r="J740" s="1"/>
      <c r="K740" s="1"/>
      <c r="L740" s="1"/>
      <c r="M740" s="1"/>
      <c r="N740" s="1"/>
      <c r="Q740"/>
    </row>
    <row r="741" spans="1:17" ht="13.15" customHeight="1" x14ac:dyDescent="0.2">
      <c r="A741" s="1" t="s">
        <v>1958</v>
      </c>
      <c r="B741" s="1" t="s">
        <v>1685</v>
      </c>
      <c r="C741" s="580">
        <v>793</v>
      </c>
      <c r="D741" s="1">
        <v>3639.52</v>
      </c>
      <c r="E741" t="s">
        <v>1686</v>
      </c>
      <c r="F741" t="s">
        <v>1771</v>
      </c>
      <c r="G741" s="580">
        <v>0</v>
      </c>
      <c r="H741" s="1" t="s">
        <v>1959</v>
      </c>
      <c r="I741" s="1"/>
      <c r="J741" s="1"/>
      <c r="K741" s="1"/>
      <c r="L741" s="1"/>
      <c r="M741" s="1"/>
      <c r="N741" s="1"/>
      <c r="Q741"/>
    </row>
    <row r="742" spans="1:17" ht="13.15" customHeight="1" x14ac:dyDescent="0.2">
      <c r="A742" s="1" t="s">
        <v>1960</v>
      </c>
      <c r="B742" s="1" t="s">
        <v>1685</v>
      </c>
      <c r="C742" s="580">
        <v>794</v>
      </c>
      <c r="D742" s="1">
        <v>4991.24</v>
      </c>
      <c r="E742" t="s">
        <v>1686</v>
      </c>
      <c r="F742" t="s">
        <v>1771</v>
      </c>
      <c r="G742" s="580">
        <v>0</v>
      </c>
      <c r="H742" s="1" t="s">
        <v>1961</v>
      </c>
      <c r="I742" s="1"/>
      <c r="J742" s="1"/>
      <c r="K742" s="1"/>
      <c r="L742" s="1"/>
      <c r="M742" s="1"/>
      <c r="N742" s="1"/>
      <c r="Q742"/>
    </row>
    <row r="743" spans="1:17" ht="13.15" customHeight="1" x14ac:dyDescent="0.2">
      <c r="A743" s="1" t="s">
        <v>1962</v>
      </c>
      <c r="B743" s="1" t="s">
        <v>1685</v>
      </c>
      <c r="C743" s="580">
        <v>795</v>
      </c>
      <c r="D743" s="1">
        <v>4759.3999999999996</v>
      </c>
      <c r="E743" t="s">
        <v>1686</v>
      </c>
      <c r="F743" t="s">
        <v>1771</v>
      </c>
      <c r="G743" s="580">
        <v>0</v>
      </c>
      <c r="H743" s="1" t="s">
        <v>1963</v>
      </c>
      <c r="I743" s="1"/>
      <c r="J743" s="1"/>
      <c r="K743" s="1"/>
      <c r="L743" s="1"/>
      <c r="M743" s="1"/>
      <c r="N743" s="1"/>
      <c r="Q743"/>
    </row>
    <row r="744" spans="1:17" ht="13.15" customHeight="1" x14ac:dyDescent="0.2">
      <c r="A744" s="1" t="s">
        <v>1964</v>
      </c>
      <c r="B744" s="1" t="s">
        <v>1685</v>
      </c>
      <c r="C744" s="580">
        <v>796</v>
      </c>
      <c r="D744" s="1">
        <v>2239.7600000000002</v>
      </c>
      <c r="E744" t="s">
        <v>1686</v>
      </c>
      <c r="F744" t="s">
        <v>1771</v>
      </c>
      <c r="G744" s="580">
        <v>0</v>
      </c>
      <c r="H744" s="1" t="s">
        <v>1965</v>
      </c>
      <c r="I744" s="1"/>
      <c r="J744" s="1"/>
      <c r="K744" s="1"/>
      <c r="L744" s="1"/>
      <c r="M744" s="1"/>
      <c r="N744" s="1"/>
      <c r="Q744"/>
    </row>
    <row r="745" spans="1:17" ht="13.15" customHeight="1" x14ac:dyDescent="0.2">
      <c r="A745" s="1" t="s">
        <v>1966</v>
      </c>
      <c r="B745" s="1" t="s">
        <v>1685</v>
      </c>
      <c r="C745" s="580">
        <v>797</v>
      </c>
      <c r="D745" s="1">
        <v>2239.7600000000002</v>
      </c>
      <c r="E745" t="s">
        <v>1686</v>
      </c>
      <c r="F745" t="s">
        <v>1771</v>
      </c>
      <c r="G745" s="580">
        <v>0</v>
      </c>
      <c r="H745" s="1" t="s">
        <v>1967</v>
      </c>
      <c r="I745" s="1"/>
      <c r="J745" s="1"/>
      <c r="K745" s="1"/>
      <c r="L745" s="1"/>
      <c r="M745" s="1"/>
      <c r="N745" s="1"/>
      <c r="Q745"/>
    </row>
    <row r="746" spans="1:17" ht="13.15" customHeight="1" x14ac:dyDescent="0.2">
      <c r="A746" s="1" t="s">
        <v>1968</v>
      </c>
      <c r="B746" s="1" t="s">
        <v>1969</v>
      </c>
      <c r="C746" s="580">
        <v>200</v>
      </c>
      <c r="D746" s="1">
        <v>4011.48</v>
      </c>
      <c r="E746" t="s">
        <v>1198</v>
      </c>
      <c r="F746">
        <v>200</v>
      </c>
      <c r="G746" s="580">
        <v>0</v>
      </c>
      <c r="H746" s="1" t="s">
        <v>1970</v>
      </c>
      <c r="I746" s="1"/>
      <c r="J746" s="1"/>
      <c r="K746" s="1"/>
      <c r="L746" s="1"/>
      <c r="M746" s="1"/>
      <c r="N746" s="1"/>
      <c r="Q746"/>
    </row>
    <row r="747" spans="1:17" ht="13.15" customHeight="1" x14ac:dyDescent="0.2">
      <c r="A747" s="1" t="s">
        <v>1971</v>
      </c>
      <c r="B747" s="1" t="s">
        <v>1969</v>
      </c>
      <c r="C747" s="580">
        <v>203</v>
      </c>
      <c r="D747" s="1">
        <v>4244.3999999999996</v>
      </c>
      <c r="E747" t="s">
        <v>1198</v>
      </c>
      <c r="F747">
        <v>203</v>
      </c>
      <c r="G747" s="580">
        <v>0</v>
      </c>
      <c r="H747" s="1" t="s">
        <v>1972</v>
      </c>
      <c r="I747" s="1"/>
      <c r="J747" s="1"/>
      <c r="K747" s="1"/>
      <c r="L747" s="1"/>
      <c r="M747" s="1"/>
      <c r="N747" s="1"/>
      <c r="Q747"/>
    </row>
    <row r="748" spans="1:17" ht="13.15" customHeight="1" x14ac:dyDescent="0.2">
      <c r="A748" s="1" t="s">
        <v>1973</v>
      </c>
      <c r="B748" s="1" t="s">
        <v>1969</v>
      </c>
      <c r="C748" s="580">
        <v>205</v>
      </c>
      <c r="D748" s="1">
        <v>4011.48</v>
      </c>
      <c r="E748" t="s">
        <v>1198</v>
      </c>
      <c r="F748">
        <v>205</v>
      </c>
      <c r="G748" s="580">
        <v>0</v>
      </c>
      <c r="H748" s="1" t="s">
        <v>1974</v>
      </c>
      <c r="I748" s="1"/>
      <c r="J748" s="1"/>
      <c r="K748" s="1"/>
      <c r="L748" s="1"/>
      <c r="M748" s="1"/>
      <c r="N748" s="1"/>
      <c r="Q748"/>
    </row>
    <row r="749" spans="1:17" ht="13.15" customHeight="1" x14ac:dyDescent="0.2">
      <c r="A749" s="1" t="s">
        <v>1975</v>
      </c>
      <c r="B749" s="1" t="s">
        <v>1969</v>
      </c>
      <c r="C749" s="580">
        <v>208</v>
      </c>
      <c r="D749" s="1">
        <v>4244.3999999999996</v>
      </c>
      <c r="E749" t="s">
        <v>1198</v>
      </c>
      <c r="F749">
        <v>208</v>
      </c>
      <c r="G749" s="580">
        <v>0</v>
      </c>
      <c r="H749" s="1" t="s">
        <v>1976</v>
      </c>
      <c r="I749" s="1"/>
      <c r="J749" s="1"/>
      <c r="K749" s="1"/>
      <c r="L749" s="1"/>
      <c r="M749" s="1"/>
      <c r="N749" s="1"/>
      <c r="Q749"/>
    </row>
    <row r="750" spans="1:17" ht="13.15" customHeight="1" x14ac:dyDescent="0.2">
      <c r="A750" s="1" t="s">
        <v>1977</v>
      </c>
      <c r="B750" s="1" t="s">
        <v>1969</v>
      </c>
      <c r="C750" s="580">
        <v>210</v>
      </c>
      <c r="D750" s="1">
        <v>4083.56</v>
      </c>
      <c r="E750" t="s">
        <v>1198</v>
      </c>
      <c r="F750">
        <v>210</v>
      </c>
      <c r="G750" s="580">
        <v>0</v>
      </c>
      <c r="H750" s="1" t="s">
        <v>1978</v>
      </c>
      <c r="I750" s="1"/>
      <c r="J750" s="1"/>
      <c r="K750" s="1"/>
      <c r="L750" s="1"/>
      <c r="M750" s="1"/>
      <c r="N750" s="1"/>
      <c r="Q750"/>
    </row>
    <row r="751" spans="1:17" ht="13.15" customHeight="1" x14ac:dyDescent="0.2">
      <c r="A751" s="1" t="s">
        <v>1979</v>
      </c>
      <c r="B751" s="1" t="s">
        <v>1969</v>
      </c>
      <c r="C751" s="580">
        <v>211</v>
      </c>
      <c r="D751" s="1">
        <v>4011.48</v>
      </c>
      <c r="E751" t="s">
        <v>1198</v>
      </c>
      <c r="F751">
        <v>211</v>
      </c>
      <c r="G751" s="580">
        <v>0</v>
      </c>
      <c r="H751" s="1" t="s">
        <v>1980</v>
      </c>
      <c r="I751" s="1"/>
      <c r="J751" s="1"/>
      <c r="K751" s="1"/>
      <c r="L751" s="1"/>
      <c r="M751" s="1"/>
      <c r="N751" s="1"/>
      <c r="Q751"/>
    </row>
    <row r="752" spans="1:17" ht="13.15" customHeight="1" x14ac:dyDescent="0.2">
      <c r="A752" s="1" t="s">
        <v>1981</v>
      </c>
      <c r="B752" s="1" t="s">
        <v>1969</v>
      </c>
      <c r="C752" s="580">
        <v>214</v>
      </c>
      <c r="D752" s="1">
        <v>5372.04</v>
      </c>
      <c r="E752" t="s">
        <v>1198</v>
      </c>
      <c r="F752">
        <v>214</v>
      </c>
      <c r="G752" s="580">
        <v>0</v>
      </c>
      <c r="H752" s="1" t="s">
        <v>1982</v>
      </c>
      <c r="I752" s="1"/>
      <c r="J752" s="1"/>
      <c r="K752" s="1"/>
      <c r="L752" s="1"/>
      <c r="M752" s="1"/>
      <c r="N752" s="1"/>
      <c r="Q752"/>
    </row>
    <row r="753" spans="1:17" ht="13.15" customHeight="1" x14ac:dyDescent="0.2">
      <c r="A753" s="1" t="s">
        <v>1983</v>
      </c>
      <c r="B753" s="1" t="s">
        <v>1969</v>
      </c>
      <c r="C753" s="580">
        <v>216</v>
      </c>
      <c r="D753" s="1">
        <v>5013.3999999999996</v>
      </c>
      <c r="E753" t="s">
        <v>1198</v>
      </c>
      <c r="F753">
        <v>216</v>
      </c>
      <c r="G753" s="580">
        <v>0</v>
      </c>
      <c r="H753" s="1" t="s">
        <v>1984</v>
      </c>
      <c r="I753" s="1"/>
      <c r="J753" s="1"/>
      <c r="K753" s="1"/>
      <c r="L753" s="1"/>
      <c r="M753" s="1"/>
      <c r="N753" s="1"/>
      <c r="Q753"/>
    </row>
    <row r="754" spans="1:17" ht="13.15" customHeight="1" x14ac:dyDescent="0.2">
      <c r="A754" s="1" t="s">
        <v>1985</v>
      </c>
      <c r="B754" s="1" t="s">
        <v>1969</v>
      </c>
      <c r="C754" s="580">
        <v>219</v>
      </c>
      <c r="D754" s="1">
        <v>4244.3999999999996</v>
      </c>
      <c r="E754" t="s">
        <v>1198</v>
      </c>
      <c r="F754">
        <v>219</v>
      </c>
      <c r="G754" s="580">
        <v>0</v>
      </c>
      <c r="H754" s="1" t="s">
        <v>1986</v>
      </c>
      <c r="I754" s="1"/>
      <c r="J754" s="1"/>
      <c r="K754" s="1"/>
      <c r="L754" s="1"/>
      <c r="M754" s="1"/>
      <c r="N754" s="1"/>
      <c r="Q754"/>
    </row>
    <row r="755" spans="1:17" ht="13.15" customHeight="1" x14ac:dyDescent="0.2">
      <c r="A755" s="1" t="s">
        <v>1987</v>
      </c>
      <c r="B755" s="1" t="s">
        <v>1969</v>
      </c>
      <c r="C755" s="580">
        <v>220</v>
      </c>
      <c r="D755" s="1">
        <v>5379.44</v>
      </c>
      <c r="E755" t="s">
        <v>1198</v>
      </c>
      <c r="F755">
        <v>220</v>
      </c>
      <c r="G755" s="580">
        <v>0</v>
      </c>
      <c r="H755" s="1" t="s">
        <v>1988</v>
      </c>
      <c r="I755" s="1"/>
      <c r="J755" s="1"/>
      <c r="K755" s="1"/>
      <c r="L755" s="1"/>
      <c r="M755" s="1"/>
      <c r="N755" s="1"/>
      <c r="Q755"/>
    </row>
    <row r="756" spans="1:17" ht="13.15" customHeight="1" x14ac:dyDescent="0.2">
      <c r="A756" s="1" t="s">
        <v>1989</v>
      </c>
      <c r="B756" s="1" t="s">
        <v>1969</v>
      </c>
      <c r="C756" s="580">
        <v>221</v>
      </c>
      <c r="D756" s="1">
        <v>2902.32</v>
      </c>
      <c r="E756" t="s">
        <v>1198</v>
      </c>
      <c r="F756">
        <v>221</v>
      </c>
      <c r="G756" s="580">
        <v>0</v>
      </c>
      <c r="H756" s="1" t="s">
        <v>1990</v>
      </c>
      <c r="I756" s="1"/>
      <c r="J756" s="1"/>
      <c r="K756" s="1"/>
      <c r="L756" s="1"/>
      <c r="M756" s="1"/>
      <c r="N756" s="1"/>
      <c r="Q756"/>
    </row>
    <row r="757" spans="1:17" ht="13.15" customHeight="1" x14ac:dyDescent="0.2">
      <c r="A757" s="1" t="s">
        <v>1991</v>
      </c>
      <c r="B757" s="1" t="s">
        <v>1969</v>
      </c>
      <c r="C757" s="580">
        <v>223</v>
      </c>
      <c r="D757" s="1">
        <v>5379.44</v>
      </c>
      <c r="E757" t="s">
        <v>1198</v>
      </c>
      <c r="F757">
        <v>223</v>
      </c>
      <c r="G757" s="580">
        <v>0</v>
      </c>
      <c r="H757" s="1" t="s">
        <v>1992</v>
      </c>
      <c r="I757" s="1"/>
      <c r="J757" s="1"/>
      <c r="K757" s="1"/>
      <c r="L757" s="1"/>
      <c r="M757" s="1"/>
      <c r="N757" s="1"/>
      <c r="Q757"/>
    </row>
    <row r="758" spans="1:17" ht="13.15" customHeight="1" x14ac:dyDescent="0.2">
      <c r="A758" s="1" t="s">
        <v>1993</v>
      </c>
      <c r="B758" s="1" t="s">
        <v>1969</v>
      </c>
      <c r="C758" s="580">
        <v>224</v>
      </c>
      <c r="D758" s="1">
        <v>4643.68</v>
      </c>
      <c r="E758" t="s">
        <v>1198</v>
      </c>
      <c r="F758">
        <v>224</v>
      </c>
      <c r="G758" s="580">
        <v>0</v>
      </c>
      <c r="H758" s="1" t="s">
        <v>1994</v>
      </c>
      <c r="I758" s="1"/>
      <c r="J758" s="1"/>
      <c r="K758" s="1"/>
      <c r="L758" s="1"/>
      <c r="M758" s="1"/>
      <c r="N758" s="1"/>
      <c r="Q758"/>
    </row>
    <row r="759" spans="1:17" ht="13.15" customHeight="1" x14ac:dyDescent="0.2">
      <c r="A759" s="1" t="s">
        <v>1995</v>
      </c>
      <c r="B759" s="1" t="s">
        <v>1969</v>
      </c>
      <c r="C759" s="580">
        <v>232</v>
      </c>
      <c r="D759" s="1">
        <v>2894.92</v>
      </c>
      <c r="E759" t="s">
        <v>1198</v>
      </c>
      <c r="F759">
        <v>232</v>
      </c>
      <c r="G759" s="580">
        <v>0</v>
      </c>
      <c r="H759" s="1" t="s">
        <v>1996</v>
      </c>
      <c r="I759" s="1"/>
      <c r="J759" s="1"/>
      <c r="K759" s="1"/>
      <c r="L759" s="1"/>
      <c r="M759" s="1"/>
      <c r="N759" s="1"/>
      <c r="Q759"/>
    </row>
    <row r="760" spans="1:17" ht="13.15" customHeight="1" x14ac:dyDescent="0.2">
      <c r="A760" s="1" t="s">
        <v>1997</v>
      </c>
      <c r="B760" s="1" t="s">
        <v>1969</v>
      </c>
      <c r="C760" s="580">
        <v>233</v>
      </c>
      <c r="D760" s="1">
        <v>4244.3999999999996</v>
      </c>
      <c r="E760" t="s">
        <v>1198</v>
      </c>
      <c r="F760">
        <v>233</v>
      </c>
      <c r="G760" s="580">
        <v>0</v>
      </c>
      <c r="H760" s="1" t="s">
        <v>1998</v>
      </c>
      <c r="I760" s="1"/>
      <c r="J760" s="1"/>
      <c r="K760" s="1"/>
      <c r="L760" s="1"/>
      <c r="M760" s="1"/>
      <c r="N760" s="1"/>
      <c r="Q760"/>
    </row>
    <row r="761" spans="1:17" ht="13.15" customHeight="1" x14ac:dyDescent="0.2">
      <c r="A761" s="1" t="s">
        <v>1999</v>
      </c>
      <c r="B761" s="1" t="s">
        <v>1969</v>
      </c>
      <c r="C761" s="580">
        <v>234</v>
      </c>
      <c r="D761" s="1">
        <v>4244.3999999999996</v>
      </c>
      <c r="E761" t="s">
        <v>1198</v>
      </c>
      <c r="F761">
        <v>234</v>
      </c>
      <c r="G761" s="580">
        <v>0</v>
      </c>
      <c r="H761" s="1" t="s">
        <v>2000</v>
      </c>
      <c r="I761" s="1"/>
      <c r="J761" s="1"/>
      <c r="K761" s="1"/>
      <c r="L761" s="1"/>
      <c r="M761" s="1"/>
      <c r="N761" s="1"/>
      <c r="Q761"/>
    </row>
    <row r="762" spans="1:17" ht="13.15" customHeight="1" x14ac:dyDescent="0.2">
      <c r="A762" s="1" t="s">
        <v>2001</v>
      </c>
      <c r="B762" s="1" t="s">
        <v>1969</v>
      </c>
      <c r="C762" s="580">
        <v>235</v>
      </c>
      <c r="D762" s="1">
        <v>3153.72</v>
      </c>
      <c r="E762" t="s">
        <v>1198</v>
      </c>
      <c r="F762">
        <v>235</v>
      </c>
      <c r="G762" s="580">
        <v>0</v>
      </c>
      <c r="H762" s="1" t="s">
        <v>2002</v>
      </c>
      <c r="I762" s="1"/>
      <c r="J762" s="1"/>
      <c r="K762" s="1"/>
      <c r="L762" s="1"/>
      <c r="M762" s="1"/>
      <c r="N762" s="1"/>
      <c r="Q762"/>
    </row>
    <row r="763" spans="1:17" ht="13.15" customHeight="1" x14ac:dyDescent="0.2">
      <c r="A763" s="1" t="s">
        <v>2003</v>
      </c>
      <c r="B763" s="1" t="s">
        <v>1969</v>
      </c>
      <c r="C763" s="580">
        <v>236</v>
      </c>
      <c r="D763" s="1">
        <v>5372.04</v>
      </c>
      <c r="E763" t="s">
        <v>1198</v>
      </c>
      <c r="F763">
        <v>236</v>
      </c>
      <c r="G763" s="580">
        <v>0</v>
      </c>
      <c r="H763" s="1" t="s">
        <v>2004</v>
      </c>
      <c r="I763" s="1"/>
      <c r="J763" s="1"/>
      <c r="K763" s="1"/>
      <c r="L763" s="1"/>
      <c r="M763" s="1"/>
      <c r="N763" s="1"/>
      <c r="Q763"/>
    </row>
    <row r="764" spans="1:17" ht="13.15" customHeight="1" x14ac:dyDescent="0.2">
      <c r="A764" s="1" t="s">
        <v>2005</v>
      </c>
      <c r="B764" s="1" t="s">
        <v>1969</v>
      </c>
      <c r="C764" s="580">
        <v>238</v>
      </c>
      <c r="D764" s="1">
        <v>4244.3999999999996</v>
      </c>
      <c r="E764" t="s">
        <v>1198</v>
      </c>
      <c r="F764">
        <v>238</v>
      </c>
      <c r="G764" s="580">
        <v>0</v>
      </c>
      <c r="H764" s="1" t="s">
        <v>2006</v>
      </c>
      <c r="I764" s="1"/>
      <c r="J764" s="1"/>
      <c r="K764" s="1"/>
      <c r="L764" s="1"/>
      <c r="M764" s="1"/>
      <c r="N764" s="1"/>
      <c r="Q764"/>
    </row>
    <row r="765" spans="1:17" ht="13.15" customHeight="1" x14ac:dyDescent="0.2">
      <c r="A765" s="1" t="s">
        <v>2007</v>
      </c>
      <c r="B765" s="1" t="s">
        <v>1969</v>
      </c>
      <c r="C765" s="580">
        <v>239</v>
      </c>
      <c r="D765" s="1">
        <v>5383.12</v>
      </c>
      <c r="E765" t="s">
        <v>1198</v>
      </c>
      <c r="F765">
        <v>239</v>
      </c>
      <c r="G765" s="580">
        <v>0</v>
      </c>
      <c r="H765" s="1" t="s">
        <v>2008</v>
      </c>
      <c r="I765" s="1"/>
      <c r="J765" s="1"/>
      <c r="K765" s="1"/>
      <c r="L765" s="1"/>
      <c r="M765" s="1"/>
      <c r="N765" s="1"/>
      <c r="Q765"/>
    </row>
    <row r="766" spans="1:17" ht="13.15" customHeight="1" x14ac:dyDescent="0.2">
      <c r="A766" s="1" t="s">
        <v>2009</v>
      </c>
      <c r="B766" s="1" t="s">
        <v>1969</v>
      </c>
      <c r="C766" s="580">
        <v>240</v>
      </c>
      <c r="D766" s="1">
        <v>5383.12</v>
      </c>
      <c r="E766" t="s">
        <v>1198</v>
      </c>
      <c r="F766">
        <v>240</v>
      </c>
      <c r="G766" s="580">
        <v>0</v>
      </c>
      <c r="H766" s="1" t="s">
        <v>2010</v>
      </c>
      <c r="I766" s="1"/>
      <c r="J766" s="1"/>
      <c r="K766" s="1"/>
      <c r="L766" s="1"/>
      <c r="M766" s="1"/>
      <c r="N766" s="1"/>
      <c r="Q766"/>
    </row>
    <row r="767" spans="1:17" ht="13.15" customHeight="1" x14ac:dyDescent="0.2">
      <c r="A767" s="1" t="s">
        <v>2011</v>
      </c>
      <c r="B767" s="1" t="s">
        <v>1969</v>
      </c>
      <c r="C767" s="580">
        <v>242</v>
      </c>
      <c r="D767" s="1">
        <v>1035.2</v>
      </c>
      <c r="E767" t="s">
        <v>1198</v>
      </c>
      <c r="F767">
        <v>242</v>
      </c>
      <c r="G767" s="580">
        <v>0</v>
      </c>
      <c r="H767" s="1" t="s">
        <v>2012</v>
      </c>
      <c r="I767" s="1"/>
      <c r="J767" s="1"/>
      <c r="K767" s="1"/>
      <c r="L767" s="1"/>
      <c r="M767" s="1"/>
      <c r="N767" s="1"/>
      <c r="Q767"/>
    </row>
    <row r="768" spans="1:17" ht="13.15" customHeight="1" x14ac:dyDescent="0.2">
      <c r="A768" s="1" t="s">
        <v>2013</v>
      </c>
      <c r="B768" s="1" t="s">
        <v>1969</v>
      </c>
      <c r="C768" s="580">
        <v>243</v>
      </c>
      <c r="D768" s="1">
        <v>1294.04</v>
      </c>
      <c r="E768" t="s">
        <v>1198</v>
      </c>
      <c r="F768">
        <v>243</v>
      </c>
      <c r="G768" s="580">
        <v>0</v>
      </c>
      <c r="H768" s="1" t="s">
        <v>2012</v>
      </c>
      <c r="I768" s="1"/>
      <c r="J768" s="1"/>
      <c r="K768" s="1"/>
      <c r="L768" s="1"/>
      <c r="M768" s="1"/>
      <c r="N768" s="1"/>
      <c r="Q768"/>
    </row>
    <row r="769" spans="1:17" ht="13.15" customHeight="1" x14ac:dyDescent="0.2">
      <c r="A769" s="1" t="s">
        <v>2014</v>
      </c>
      <c r="B769" s="1" t="s">
        <v>1969</v>
      </c>
      <c r="C769" s="580">
        <v>245</v>
      </c>
      <c r="D769" s="1">
        <v>4455.12</v>
      </c>
      <c r="E769" t="s">
        <v>1198</v>
      </c>
      <c r="F769">
        <v>245</v>
      </c>
      <c r="G769" s="580">
        <v>0</v>
      </c>
      <c r="H769" s="1" t="s">
        <v>2015</v>
      </c>
      <c r="I769" s="1"/>
      <c r="J769" s="1"/>
      <c r="K769" s="1"/>
      <c r="L769" s="1"/>
      <c r="M769" s="1"/>
      <c r="N769" s="1"/>
      <c r="Q769"/>
    </row>
    <row r="770" spans="1:17" ht="13.15" customHeight="1" x14ac:dyDescent="0.2">
      <c r="A770" s="1" t="s">
        <v>2016</v>
      </c>
      <c r="B770" s="1" t="s">
        <v>1969</v>
      </c>
      <c r="C770" s="580">
        <v>246</v>
      </c>
      <c r="D770" s="1">
        <v>4455.12</v>
      </c>
      <c r="E770" t="s">
        <v>1198</v>
      </c>
      <c r="F770">
        <v>246</v>
      </c>
      <c r="G770" s="580">
        <v>0</v>
      </c>
      <c r="H770" s="1" t="s">
        <v>2017</v>
      </c>
      <c r="I770" s="1"/>
      <c r="J770" s="1"/>
      <c r="K770" s="1"/>
      <c r="L770" s="1"/>
      <c r="M770" s="1"/>
      <c r="N770" s="1"/>
      <c r="Q770"/>
    </row>
    <row r="771" spans="1:17" ht="13.15" customHeight="1" x14ac:dyDescent="0.2">
      <c r="A771" s="1" t="s">
        <v>2018</v>
      </c>
      <c r="B771" s="1" t="s">
        <v>1969</v>
      </c>
      <c r="C771" s="580">
        <v>247</v>
      </c>
      <c r="D771" s="1">
        <v>4455.12</v>
      </c>
      <c r="E771" t="s">
        <v>1198</v>
      </c>
      <c r="F771">
        <v>247</v>
      </c>
      <c r="G771" s="580">
        <v>0</v>
      </c>
      <c r="H771" s="1" t="s">
        <v>2019</v>
      </c>
      <c r="I771" s="1"/>
      <c r="J771" s="1"/>
      <c r="K771" s="1"/>
      <c r="L771" s="1"/>
      <c r="M771" s="1"/>
      <c r="N771" s="1"/>
      <c r="Q771"/>
    </row>
    <row r="772" spans="1:17" ht="13.15" customHeight="1" x14ac:dyDescent="0.2">
      <c r="A772" s="1" t="s">
        <v>2020</v>
      </c>
      <c r="B772" s="1" t="s">
        <v>1969</v>
      </c>
      <c r="C772" s="580">
        <v>248</v>
      </c>
      <c r="D772" s="1">
        <v>12943.88</v>
      </c>
      <c r="E772" t="s">
        <v>1198</v>
      </c>
      <c r="F772">
        <v>248</v>
      </c>
      <c r="G772" s="580">
        <v>0</v>
      </c>
      <c r="H772" s="1" t="s">
        <v>2021</v>
      </c>
      <c r="I772" s="1"/>
      <c r="J772" s="1"/>
      <c r="K772" s="1"/>
      <c r="L772" s="1"/>
      <c r="M772" s="1"/>
      <c r="N772" s="1"/>
      <c r="Q772"/>
    </row>
    <row r="773" spans="1:17" ht="13.15" customHeight="1" x14ac:dyDescent="0.2">
      <c r="A773" s="1" t="s">
        <v>2022</v>
      </c>
      <c r="B773" s="1" t="s">
        <v>2023</v>
      </c>
      <c r="C773" s="580">
        <v>800</v>
      </c>
      <c r="D773" s="1">
        <v>3110.4</v>
      </c>
      <c r="E773" t="s">
        <v>1198</v>
      </c>
      <c r="F773">
        <v>800</v>
      </c>
      <c r="G773" s="580">
        <v>747.3</v>
      </c>
      <c r="H773" s="1" t="s">
        <v>2024</v>
      </c>
      <c r="I773" s="1"/>
      <c r="J773" s="1"/>
      <c r="K773" s="1"/>
      <c r="L773" s="1"/>
      <c r="M773" s="1"/>
      <c r="N773" s="1"/>
      <c r="Q773"/>
    </row>
    <row r="774" spans="1:17" ht="13.15" customHeight="1" x14ac:dyDescent="0.2">
      <c r="A774" s="1" t="s">
        <v>2025</v>
      </c>
      <c r="B774" s="1" t="s">
        <v>2023</v>
      </c>
      <c r="C774" s="580">
        <v>801</v>
      </c>
      <c r="D774" s="1">
        <v>3110.4</v>
      </c>
      <c r="E774" t="s">
        <v>1198</v>
      </c>
      <c r="F774">
        <v>801</v>
      </c>
      <c r="G774" s="580">
        <v>747.3</v>
      </c>
      <c r="H774" s="1" t="s">
        <v>2026</v>
      </c>
      <c r="I774" s="1"/>
      <c r="J774" s="1"/>
      <c r="K774" s="1"/>
      <c r="L774" s="1"/>
      <c r="M774" s="1"/>
      <c r="N774" s="1"/>
      <c r="Q774"/>
    </row>
    <row r="775" spans="1:17" ht="13.15" customHeight="1" x14ac:dyDescent="0.2">
      <c r="A775" s="1" t="s">
        <v>2027</v>
      </c>
      <c r="B775" s="1" t="s">
        <v>2023</v>
      </c>
      <c r="C775" s="580">
        <v>803</v>
      </c>
      <c r="D775" s="1">
        <v>3110.4</v>
      </c>
      <c r="E775" t="s">
        <v>1198</v>
      </c>
      <c r="F775">
        <v>803</v>
      </c>
      <c r="G775" s="580">
        <v>747.3</v>
      </c>
      <c r="H775" s="1" t="s">
        <v>2028</v>
      </c>
      <c r="I775" s="1"/>
      <c r="J775" s="1"/>
      <c r="K775" s="1"/>
      <c r="L775" s="1"/>
      <c r="M775" s="1"/>
      <c r="N775" s="1"/>
      <c r="Q775"/>
    </row>
    <row r="776" spans="1:17" ht="13.15" customHeight="1" x14ac:dyDescent="0.2">
      <c r="A776" s="1" t="s">
        <v>2029</v>
      </c>
      <c r="B776" s="1" t="s">
        <v>2023</v>
      </c>
      <c r="C776" s="580">
        <v>805</v>
      </c>
      <c r="D776" s="1">
        <v>3265.92</v>
      </c>
      <c r="E776" t="s">
        <v>1198</v>
      </c>
      <c r="F776">
        <v>805</v>
      </c>
      <c r="G776" s="580">
        <v>775.5</v>
      </c>
      <c r="H776" s="1" t="s">
        <v>2030</v>
      </c>
      <c r="I776" s="1"/>
      <c r="J776" s="1"/>
      <c r="K776" s="1"/>
      <c r="L776" s="1"/>
      <c r="M776" s="1"/>
      <c r="N776" s="1"/>
      <c r="Q776"/>
    </row>
    <row r="777" spans="1:17" ht="13.15" customHeight="1" x14ac:dyDescent="0.2">
      <c r="A777" s="1" t="s">
        <v>2031</v>
      </c>
      <c r="B777" s="1" t="s">
        <v>2023</v>
      </c>
      <c r="C777" s="580">
        <v>807</v>
      </c>
      <c r="D777" s="1">
        <v>3732.48</v>
      </c>
      <c r="E777" t="s">
        <v>1198</v>
      </c>
      <c r="F777">
        <v>807</v>
      </c>
      <c r="G777" s="580">
        <v>888.3</v>
      </c>
      <c r="H777" s="1" t="s">
        <v>2032</v>
      </c>
      <c r="I777" s="1"/>
      <c r="J777" s="1"/>
      <c r="K777" s="1"/>
      <c r="L777" s="1"/>
      <c r="M777" s="1"/>
      <c r="N777" s="1"/>
      <c r="Q777"/>
    </row>
    <row r="778" spans="1:17" ht="13.15" customHeight="1" x14ac:dyDescent="0.2">
      <c r="A778" s="1" t="s">
        <v>2033</v>
      </c>
      <c r="B778" s="1" t="s">
        <v>2023</v>
      </c>
      <c r="C778" s="580">
        <v>808</v>
      </c>
      <c r="D778" s="1">
        <v>4587.84</v>
      </c>
      <c r="E778" t="s">
        <v>1198</v>
      </c>
      <c r="F778">
        <v>808</v>
      </c>
      <c r="G778" s="580">
        <v>1099.8</v>
      </c>
      <c r="H778" s="1" t="s">
        <v>2034</v>
      </c>
      <c r="I778" s="1"/>
      <c r="J778" s="1"/>
      <c r="K778" s="1"/>
      <c r="L778" s="1"/>
      <c r="M778" s="1"/>
      <c r="N778" s="1"/>
      <c r="Q778"/>
    </row>
    <row r="779" spans="1:17" ht="13.15" customHeight="1" x14ac:dyDescent="0.2">
      <c r="A779" s="1" t="s">
        <v>2035</v>
      </c>
      <c r="B779" s="1" t="s">
        <v>2023</v>
      </c>
      <c r="C779" s="580">
        <v>809</v>
      </c>
      <c r="D779" s="1">
        <v>5054.3999999999996</v>
      </c>
      <c r="E779" t="s">
        <v>1198</v>
      </c>
      <c r="F779">
        <v>809</v>
      </c>
      <c r="G779" s="580">
        <v>1057.5</v>
      </c>
      <c r="H779" s="1" t="s">
        <v>2036</v>
      </c>
      <c r="I779" s="1"/>
      <c r="J779" s="1"/>
      <c r="K779" s="1"/>
      <c r="L779" s="1"/>
      <c r="M779" s="1"/>
      <c r="N779" s="1"/>
      <c r="Q779"/>
    </row>
    <row r="780" spans="1:17" ht="13.15" customHeight="1" x14ac:dyDescent="0.2">
      <c r="A780" s="1" t="s">
        <v>2037</v>
      </c>
      <c r="B780" s="1" t="s">
        <v>2023</v>
      </c>
      <c r="C780" s="580">
        <v>810</v>
      </c>
      <c r="D780" s="1">
        <v>5054.3999999999996</v>
      </c>
      <c r="E780" t="s">
        <v>1198</v>
      </c>
      <c r="F780">
        <v>810</v>
      </c>
      <c r="G780" s="580">
        <v>1198.5</v>
      </c>
      <c r="H780" s="1" t="s">
        <v>2038</v>
      </c>
      <c r="I780" s="1"/>
      <c r="J780" s="1"/>
      <c r="K780" s="1"/>
      <c r="L780" s="1"/>
      <c r="M780" s="1"/>
      <c r="N780" s="1"/>
      <c r="Q780"/>
    </row>
    <row r="781" spans="1:17" ht="13.15" customHeight="1" x14ac:dyDescent="0.2">
      <c r="A781" s="1" t="s">
        <v>2039</v>
      </c>
      <c r="B781" s="1" t="s">
        <v>2023</v>
      </c>
      <c r="C781" s="580">
        <v>812</v>
      </c>
      <c r="D781" s="1">
        <v>6220.8</v>
      </c>
      <c r="E781" t="s">
        <v>1198</v>
      </c>
      <c r="F781">
        <v>812</v>
      </c>
      <c r="G781" s="580">
        <v>1480.5</v>
      </c>
      <c r="H781" s="1" t="s">
        <v>2040</v>
      </c>
      <c r="I781" s="1"/>
      <c r="J781" s="1"/>
      <c r="K781" s="1"/>
      <c r="L781" s="1"/>
      <c r="M781" s="1"/>
      <c r="N781" s="1"/>
      <c r="Q781"/>
    </row>
    <row r="782" spans="1:17" ht="13.15" customHeight="1" x14ac:dyDescent="0.2">
      <c r="A782" s="1" t="s">
        <v>2041</v>
      </c>
      <c r="B782" s="1" t="s">
        <v>2023</v>
      </c>
      <c r="C782" s="580">
        <v>813</v>
      </c>
      <c r="D782" s="1">
        <v>5365.44</v>
      </c>
      <c r="E782" t="s">
        <v>1198</v>
      </c>
      <c r="F782">
        <v>813</v>
      </c>
      <c r="G782" s="580">
        <v>775.5</v>
      </c>
      <c r="H782" s="1" t="s">
        <v>2042</v>
      </c>
      <c r="I782" s="1"/>
      <c r="J782" s="1"/>
      <c r="K782" s="1"/>
      <c r="L782" s="1"/>
      <c r="M782" s="1"/>
      <c r="N782" s="1"/>
      <c r="Q782"/>
    </row>
    <row r="783" spans="1:17" ht="13.15" customHeight="1" x14ac:dyDescent="0.2">
      <c r="A783" s="1" t="s">
        <v>2043</v>
      </c>
      <c r="B783" s="1" t="s">
        <v>2023</v>
      </c>
      <c r="C783" s="580">
        <v>814</v>
      </c>
      <c r="D783" s="1">
        <v>5365.44</v>
      </c>
      <c r="E783" t="s">
        <v>1198</v>
      </c>
      <c r="F783">
        <v>814</v>
      </c>
      <c r="G783" s="580">
        <v>1297.2</v>
      </c>
      <c r="H783" s="1" t="s">
        <v>2044</v>
      </c>
      <c r="I783" s="1"/>
      <c r="J783" s="1"/>
      <c r="K783" s="1"/>
      <c r="L783" s="1"/>
      <c r="M783" s="1"/>
      <c r="N783" s="1"/>
      <c r="Q783"/>
    </row>
    <row r="784" spans="1:17" ht="13.15" customHeight="1" x14ac:dyDescent="0.2">
      <c r="A784" s="1" t="s">
        <v>2045</v>
      </c>
      <c r="B784" s="1" t="s">
        <v>2023</v>
      </c>
      <c r="C784" s="580">
        <v>815</v>
      </c>
      <c r="D784" s="1">
        <v>5832</v>
      </c>
      <c r="E784" t="s">
        <v>1198</v>
      </c>
      <c r="F784">
        <v>815</v>
      </c>
      <c r="G784" s="580">
        <v>1381.8</v>
      </c>
      <c r="H784" s="1" t="s">
        <v>2046</v>
      </c>
      <c r="I784" s="1"/>
      <c r="J784" s="1"/>
      <c r="K784" s="1"/>
      <c r="L784" s="1"/>
      <c r="M784" s="1"/>
      <c r="N784" s="1"/>
      <c r="Q784"/>
    </row>
    <row r="785" spans="1:17" ht="13.15" customHeight="1" x14ac:dyDescent="0.2">
      <c r="A785" s="1" t="s">
        <v>2047</v>
      </c>
      <c r="B785" s="1" t="s">
        <v>2023</v>
      </c>
      <c r="C785" s="580">
        <v>816</v>
      </c>
      <c r="D785" s="1">
        <v>7387.2</v>
      </c>
      <c r="E785" t="s">
        <v>1198</v>
      </c>
      <c r="F785">
        <v>816</v>
      </c>
      <c r="G785" s="580">
        <v>1762.5</v>
      </c>
      <c r="H785" s="1" t="s">
        <v>2048</v>
      </c>
      <c r="I785" s="1"/>
      <c r="J785" s="1"/>
      <c r="K785" s="1"/>
      <c r="L785" s="1"/>
      <c r="M785" s="1"/>
      <c r="N785" s="1"/>
      <c r="Q785"/>
    </row>
    <row r="786" spans="1:17" ht="13.15" customHeight="1" x14ac:dyDescent="0.2">
      <c r="A786" s="1" t="s">
        <v>2049</v>
      </c>
      <c r="B786" s="1" t="s">
        <v>2023</v>
      </c>
      <c r="C786" s="580">
        <v>818</v>
      </c>
      <c r="D786" s="1">
        <v>8553.6</v>
      </c>
      <c r="E786" t="s">
        <v>1198</v>
      </c>
      <c r="F786">
        <v>818</v>
      </c>
      <c r="G786" s="580">
        <v>2030.4</v>
      </c>
      <c r="H786" s="1" t="s">
        <v>2050</v>
      </c>
      <c r="I786" s="1"/>
      <c r="J786" s="1"/>
      <c r="K786" s="1"/>
      <c r="L786" s="1"/>
      <c r="M786" s="1"/>
      <c r="N786" s="1"/>
      <c r="Q786"/>
    </row>
    <row r="787" spans="1:17" ht="13.15" customHeight="1" x14ac:dyDescent="0.2">
      <c r="A787" s="1" t="s">
        <v>2051</v>
      </c>
      <c r="B787" s="1" t="s">
        <v>2023</v>
      </c>
      <c r="C787" s="580">
        <v>820</v>
      </c>
      <c r="D787" s="1">
        <v>7387.2</v>
      </c>
      <c r="E787" t="s">
        <v>1198</v>
      </c>
      <c r="F787">
        <v>820</v>
      </c>
      <c r="G787" s="580">
        <v>1762.5</v>
      </c>
      <c r="H787" s="1" t="s">
        <v>2052</v>
      </c>
      <c r="I787" s="1"/>
      <c r="J787" s="1"/>
      <c r="K787" s="1"/>
      <c r="L787" s="1"/>
      <c r="M787" s="1"/>
      <c r="N787" s="1"/>
      <c r="Q787"/>
    </row>
    <row r="788" spans="1:17" ht="13.15" customHeight="1" x14ac:dyDescent="0.2">
      <c r="A788" s="1" t="s">
        <v>2053</v>
      </c>
      <c r="B788" s="1" t="s">
        <v>2023</v>
      </c>
      <c r="C788" s="580">
        <v>822</v>
      </c>
      <c r="D788" s="1">
        <v>7387.2</v>
      </c>
      <c r="E788" t="s">
        <v>1198</v>
      </c>
      <c r="F788">
        <v>822</v>
      </c>
      <c r="G788" s="580">
        <v>1762.5</v>
      </c>
      <c r="H788" s="1" t="s">
        <v>2054</v>
      </c>
      <c r="I788" s="1"/>
      <c r="J788" s="1"/>
      <c r="K788" s="1"/>
      <c r="L788" s="1"/>
      <c r="M788" s="1"/>
      <c r="N788" s="1"/>
      <c r="Q788"/>
    </row>
    <row r="789" spans="1:17" ht="13.15" customHeight="1" x14ac:dyDescent="0.2">
      <c r="A789" s="1" t="s">
        <v>2055</v>
      </c>
      <c r="B789" s="1" t="s">
        <v>2023</v>
      </c>
      <c r="C789" s="580">
        <v>824</v>
      </c>
      <c r="D789" s="1">
        <v>8553.6</v>
      </c>
      <c r="E789" t="s">
        <v>1198</v>
      </c>
      <c r="F789">
        <v>824</v>
      </c>
      <c r="G789" s="580">
        <v>2030.4</v>
      </c>
      <c r="H789" s="1" t="s">
        <v>2056</v>
      </c>
      <c r="I789" s="1"/>
      <c r="J789" s="1"/>
      <c r="K789" s="1"/>
      <c r="L789" s="1"/>
      <c r="M789" s="1"/>
      <c r="N789" s="1"/>
      <c r="Q789"/>
    </row>
    <row r="790" spans="1:17" ht="13.15" customHeight="1" x14ac:dyDescent="0.2">
      <c r="A790" s="1" t="s">
        <v>2057</v>
      </c>
      <c r="B790" s="1" t="s">
        <v>2023</v>
      </c>
      <c r="C790" s="580">
        <v>828</v>
      </c>
      <c r="D790" s="1">
        <v>12441.6</v>
      </c>
      <c r="E790" t="s">
        <v>1198</v>
      </c>
      <c r="F790">
        <v>828</v>
      </c>
      <c r="G790" s="580">
        <v>2946.9</v>
      </c>
      <c r="H790" s="1" t="s">
        <v>2058</v>
      </c>
      <c r="I790" s="1"/>
      <c r="J790" s="1"/>
      <c r="K790" s="1"/>
      <c r="L790" s="1"/>
      <c r="M790" s="1"/>
      <c r="N790" s="1"/>
      <c r="Q790"/>
    </row>
    <row r="791" spans="1:17" ht="13.15" customHeight="1" x14ac:dyDescent="0.2">
      <c r="A791" s="1" t="s">
        <v>2059</v>
      </c>
      <c r="B791" s="1" t="s">
        <v>2023</v>
      </c>
      <c r="C791" s="580">
        <v>840</v>
      </c>
      <c r="D791" s="1">
        <v>1788.48</v>
      </c>
      <c r="E791" t="s">
        <v>1198</v>
      </c>
      <c r="F791">
        <v>840</v>
      </c>
      <c r="G791" s="580">
        <v>451.2</v>
      </c>
      <c r="H791" s="1" t="s">
        <v>2060</v>
      </c>
      <c r="I791" s="1"/>
      <c r="J791" s="1"/>
      <c r="K791" s="1"/>
      <c r="L791" s="1"/>
      <c r="M791" s="1"/>
      <c r="N791" s="1"/>
      <c r="Q791"/>
    </row>
    <row r="792" spans="1:17" ht="13.15" customHeight="1" x14ac:dyDescent="0.2">
      <c r="A792" s="1" t="s">
        <v>2061</v>
      </c>
      <c r="B792" s="1" t="s">
        <v>2023</v>
      </c>
      <c r="C792" s="580">
        <v>842</v>
      </c>
      <c r="D792" s="1">
        <v>1788.48</v>
      </c>
      <c r="E792" t="s">
        <v>1198</v>
      </c>
      <c r="F792">
        <v>842</v>
      </c>
      <c r="G792" s="580">
        <v>451.2</v>
      </c>
      <c r="H792" s="1" t="s">
        <v>2062</v>
      </c>
      <c r="I792" s="1"/>
      <c r="J792" s="1"/>
      <c r="K792" s="1"/>
      <c r="L792" s="1"/>
      <c r="M792" s="1"/>
      <c r="N792" s="1"/>
      <c r="Q792"/>
    </row>
    <row r="793" spans="1:17" ht="13.15" customHeight="1" x14ac:dyDescent="0.2">
      <c r="A793" s="1" t="s">
        <v>2063</v>
      </c>
      <c r="B793" s="1" t="s">
        <v>2023</v>
      </c>
      <c r="C793" s="580">
        <v>844</v>
      </c>
      <c r="D793" s="1">
        <v>1944</v>
      </c>
      <c r="E793" t="s">
        <v>1198</v>
      </c>
      <c r="F793">
        <v>844</v>
      </c>
      <c r="G793" s="580">
        <v>479.4</v>
      </c>
      <c r="H793" s="1" t="s">
        <v>2064</v>
      </c>
      <c r="I793" s="1"/>
      <c r="J793" s="1"/>
      <c r="K793" s="1"/>
      <c r="L793" s="1"/>
      <c r="M793" s="1"/>
      <c r="N793" s="1"/>
      <c r="Q793"/>
    </row>
    <row r="794" spans="1:17" ht="13.15" customHeight="1" x14ac:dyDescent="0.2">
      <c r="A794" s="1" t="s">
        <v>2065</v>
      </c>
      <c r="B794" s="1" t="s">
        <v>2023</v>
      </c>
      <c r="C794" s="580">
        <v>846</v>
      </c>
      <c r="D794" s="1">
        <v>1944</v>
      </c>
      <c r="E794" t="s">
        <v>1198</v>
      </c>
      <c r="F794">
        <v>846</v>
      </c>
      <c r="G794" s="580">
        <v>479.4</v>
      </c>
      <c r="H794" s="1" t="s">
        <v>2066</v>
      </c>
      <c r="I794" s="1"/>
      <c r="J794" s="1"/>
      <c r="K794" s="1"/>
      <c r="L794" s="1"/>
      <c r="M794" s="1"/>
      <c r="N794" s="1"/>
      <c r="Q794"/>
    </row>
    <row r="795" spans="1:17" ht="13.15" customHeight="1" x14ac:dyDescent="0.2">
      <c r="A795" s="1" t="s">
        <v>2067</v>
      </c>
      <c r="B795" s="1" t="s">
        <v>2023</v>
      </c>
      <c r="C795" s="580">
        <v>847</v>
      </c>
      <c r="D795" s="1">
        <v>2488.3200000000002</v>
      </c>
      <c r="E795" t="s">
        <v>1198</v>
      </c>
      <c r="F795">
        <v>847</v>
      </c>
      <c r="G795" s="580">
        <v>592.20000000000005</v>
      </c>
      <c r="H795" s="1" t="s">
        <v>2068</v>
      </c>
      <c r="I795" s="1"/>
      <c r="J795" s="1"/>
      <c r="K795" s="1"/>
      <c r="L795" s="1"/>
      <c r="M795" s="1"/>
      <c r="N795" s="1"/>
      <c r="Q795"/>
    </row>
    <row r="796" spans="1:17" ht="13.15" customHeight="1" x14ac:dyDescent="0.2">
      <c r="A796" s="1" t="s">
        <v>2069</v>
      </c>
      <c r="B796" s="1" t="s">
        <v>2023</v>
      </c>
      <c r="C796" s="580">
        <v>848</v>
      </c>
      <c r="D796" s="1">
        <v>2488.3200000000002</v>
      </c>
      <c r="E796" t="s">
        <v>1198</v>
      </c>
      <c r="F796">
        <v>848</v>
      </c>
      <c r="G796" s="580">
        <v>592.20000000000005</v>
      </c>
      <c r="H796" s="1" t="s">
        <v>2070</v>
      </c>
      <c r="I796" s="1"/>
      <c r="J796" s="1"/>
      <c r="K796" s="1"/>
      <c r="L796" s="1"/>
      <c r="M796" s="1"/>
      <c r="N796" s="1"/>
      <c r="Q796"/>
    </row>
    <row r="797" spans="1:17" ht="13.15" customHeight="1" x14ac:dyDescent="0.2">
      <c r="A797" s="1" t="s">
        <v>2071</v>
      </c>
      <c r="B797" s="1" t="s">
        <v>2023</v>
      </c>
      <c r="C797" s="580">
        <v>850</v>
      </c>
      <c r="D797" s="1">
        <v>2488.3200000000002</v>
      </c>
      <c r="E797" t="s">
        <v>1198</v>
      </c>
      <c r="F797">
        <v>850</v>
      </c>
      <c r="G797" s="580">
        <v>592.20000000000005</v>
      </c>
      <c r="H797" s="1" t="s">
        <v>2072</v>
      </c>
      <c r="I797" s="1"/>
      <c r="J797" s="1"/>
      <c r="K797" s="1"/>
      <c r="L797" s="1"/>
      <c r="M797" s="1"/>
      <c r="N797" s="1"/>
      <c r="Q797"/>
    </row>
    <row r="798" spans="1:17" ht="13.15" customHeight="1" x14ac:dyDescent="0.2">
      <c r="A798" s="1" t="s">
        <v>2073</v>
      </c>
      <c r="B798" s="1" t="s">
        <v>2023</v>
      </c>
      <c r="C798" s="580">
        <v>852</v>
      </c>
      <c r="D798" s="1">
        <v>2488.3200000000002</v>
      </c>
      <c r="E798" t="s">
        <v>1198</v>
      </c>
      <c r="F798">
        <v>852</v>
      </c>
      <c r="G798" s="580">
        <v>592.20000000000005</v>
      </c>
      <c r="H798" s="1" t="s">
        <v>2074</v>
      </c>
      <c r="I798" s="1"/>
      <c r="J798" s="1"/>
      <c r="K798" s="1"/>
      <c r="L798" s="1"/>
      <c r="M798" s="1"/>
      <c r="N798" s="1"/>
      <c r="Q798"/>
    </row>
    <row r="799" spans="1:17" ht="13.15" customHeight="1" x14ac:dyDescent="0.2">
      <c r="A799" s="1" t="s">
        <v>2075</v>
      </c>
      <c r="B799" s="1" t="s">
        <v>2023</v>
      </c>
      <c r="C799" s="580">
        <v>854</v>
      </c>
      <c r="D799" s="1">
        <v>2877.12</v>
      </c>
      <c r="E799" t="s">
        <v>1198</v>
      </c>
      <c r="F799">
        <v>854</v>
      </c>
      <c r="G799" s="580">
        <v>606.29999999999995</v>
      </c>
      <c r="H799" s="1" t="s">
        <v>2076</v>
      </c>
      <c r="I799" s="1"/>
      <c r="J799" s="1"/>
      <c r="K799" s="1"/>
      <c r="L799" s="1"/>
      <c r="M799" s="1"/>
      <c r="N799" s="1"/>
      <c r="Q799"/>
    </row>
    <row r="800" spans="1:17" ht="13.15" customHeight="1" x14ac:dyDescent="0.2">
      <c r="A800" s="1" t="s">
        <v>2077</v>
      </c>
      <c r="B800" s="1" t="s">
        <v>2023</v>
      </c>
      <c r="C800" s="580">
        <v>856</v>
      </c>
      <c r="D800" s="1">
        <v>2877.12</v>
      </c>
      <c r="E800" t="s">
        <v>1198</v>
      </c>
      <c r="F800">
        <v>856</v>
      </c>
      <c r="G800" s="580">
        <v>676.8</v>
      </c>
      <c r="H800" s="1" t="s">
        <v>2078</v>
      </c>
      <c r="I800" s="1"/>
      <c r="J800" s="1"/>
      <c r="K800" s="1"/>
      <c r="L800" s="1"/>
      <c r="M800" s="1"/>
      <c r="N800" s="1"/>
      <c r="Q800"/>
    </row>
    <row r="801" spans="1:17" ht="13.15" customHeight="1" x14ac:dyDescent="0.2">
      <c r="A801" s="1" t="s">
        <v>2079</v>
      </c>
      <c r="B801" s="1" t="s">
        <v>2023</v>
      </c>
      <c r="C801" s="580">
        <v>858</v>
      </c>
      <c r="D801" s="1">
        <v>2877.12</v>
      </c>
      <c r="E801" t="s">
        <v>1198</v>
      </c>
      <c r="F801">
        <v>858</v>
      </c>
      <c r="G801" s="580">
        <v>662.7</v>
      </c>
      <c r="H801" s="1" t="s">
        <v>2080</v>
      </c>
      <c r="I801" s="1"/>
      <c r="J801" s="1"/>
      <c r="K801" s="1"/>
      <c r="L801" s="1"/>
      <c r="M801" s="1"/>
      <c r="N801" s="1"/>
      <c r="Q801"/>
    </row>
    <row r="802" spans="1:17" ht="13.15" customHeight="1" x14ac:dyDescent="0.2">
      <c r="A802" s="1" t="s">
        <v>2081</v>
      </c>
      <c r="B802" s="1" t="s">
        <v>2023</v>
      </c>
      <c r="C802" s="580">
        <v>860</v>
      </c>
      <c r="D802" s="1">
        <v>2877.12</v>
      </c>
      <c r="E802" t="s">
        <v>1198</v>
      </c>
      <c r="F802">
        <v>860</v>
      </c>
      <c r="G802" s="580">
        <v>676.8</v>
      </c>
      <c r="H802" s="1" t="s">
        <v>2082</v>
      </c>
      <c r="I802" s="1"/>
      <c r="J802" s="1"/>
      <c r="K802" s="1"/>
      <c r="L802" s="1"/>
      <c r="M802" s="1"/>
      <c r="N802" s="1"/>
      <c r="Q802"/>
    </row>
    <row r="803" spans="1:17" ht="13.15" customHeight="1" x14ac:dyDescent="0.2">
      <c r="A803" s="1" t="s">
        <v>2083</v>
      </c>
      <c r="B803" s="1" t="s">
        <v>2023</v>
      </c>
      <c r="C803" s="580">
        <v>862</v>
      </c>
      <c r="D803" s="1">
        <v>3265.92</v>
      </c>
      <c r="E803" t="s">
        <v>1198</v>
      </c>
      <c r="F803">
        <v>862</v>
      </c>
      <c r="G803" s="580">
        <v>775.5</v>
      </c>
      <c r="H803" s="1" t="s">
        <v>2084</v>
      </c>
      <c r="I803" s="1"/>
      <c r="J803" s="1"/>
      <c r="K803" s="1"/>
      <c r="L803" s="1"/>
      <c r="M803" s="1"/>
      <c r="N803" s="1"/>
      <c r="Q803"/>
    </row>
    <row r="804" spans="1:17" ht="13.15" customHeight="1" x14ac:dyDescent="0.2">
      <c r="A804" s="1" t="s">
        <v>2085</v>
      </c>
      <c r="B804" s="1" t="s">
        <v>2023</v>
      </c>
      <c r="C804" s="580">
        <v>864</v>
      </c>
      <c r="D804" s="1">
        <v>3343.68</v>
      </c>
      <c r="E804" t="s">
        <v>1198</v>
      </c>
      <c r="F804">
        <v>864</v>
      </c>
      <c r="G804" s="580">
        <v>803.7</v>
      </c>
      <c r="H804" s="1" t="s">
        <v>2086</v>
      </c>
      <c r="I804" s="1"/>
      <c r="J804" s="1"/>
      <c r="K804" s="1"/>
      <c r="L804" s="1"/>
      <c r="M804" s="1"/>
      <c r="N804" s="1"/>
      <c r="Q804"/>
    </row>
    <row r="805" spans="1:17" ht="13.15" customHeight="1" x14ac:dyDescent="0.2">
      <c r="A805" s="1" t="s">
        <v>2087</v>
      </c>
      <c r="B805" s="1" t="s">
        <v>2023</v>
      </c>
      <c r="C805" s="580">
        <v>866</v>
      </c>
      <c r="D805" s="1">
        <v>3965.76</v>
      </c>
      <c r="E805" t="s">
        <v>1198</v>
      </c>
      <c r="F805">
        <v>866</v>
      </c>
      <c r="G805" s="580">
        <v>944.7</v>
      </c>
      <c r="H805" s="1" t="s">
        <v>2088</v>
      </c>
      <c r="I805" s="1"/>
      <c r="J805" s="1"/>
      <c r="K805" s="1"/>
      <c r="L805" s="1"/>
      <c r="M805" s="1"/>
      <c r="N805" s="1"/>
      <c r="Q805"/>
    </row>
    <row r="806" spans="1:17" ht="13.15" customHeight="1" x14ac:dyDescent="0.2">
      <c r="A806" s="1" t="s">
        <v>2089</v>
      </c>
      <c r="B806" s="1" t="s">
        <v>2023</v>
      </c>
      <c r="C806" s="580">
        <v>868</v>
      </c>
      <c r="D806" s="1">
        <v>3965.76</v>
      </c>
      <c r="E806" t="s">
        <v>1198</v>
      </c>
      <c r="F806">
        <v>868</v>
      </c>
      <c r="G806" s="580">
        <v>944.7</v>
      </c>
      <c r="H806" s="1" t="s">
        <v>2090</v>
      </c>
      <c r="I806" s="1"/>
      <c r="J806" s="1"/>
      <c r="K806" s="1"/>
      <c r="L806" s="1"/>
      <c r="M806" s="1"/>
      <c r="N806" s="1"/>
      <c r="Q806"/>
    </row>
    <row r="807" spans="1:17" ht="13.15" customHeight="1" x14ac:dyDescent="0.2">
      <c r="A807" s="1" t="s">
        <v>2091</v>
      </c>
      <c r="B807" s="1" t="s">
        <v>2023</v>
      </c>
      <c r="C807" s="580">
        <v>870</v>
      </c>
      <c r="D807" s="1">
        <v>4510.08</v>
      </c>
      <c r="E807" t="s">
        <v>1198</v>
      </c>
      <c r="F807">
        <v>870</v>
      </c>
      <c r="G807" s="580">
        <v>1071.5999999999999</v>
      </c>
      <c r="H807" s="1" t="s">
        <v>2092</v>
      </c>
      <c r="I807" s="1"/>
      <c r="J807" s="1"/>
      <c r="K807" s="1"/>
      <c r="L807" s="1"/>
      <c r="M807" s="1"/>
      <c r="N807" s="1"/>
      <c r="Q807"/>
    </row>
    <row r="808" spans="1:17" ht="13.15" customHeight="1" x14ac:dyDescent="0.2">
      <c r="A808" s="1" t="s">
        <v>2093</v>
      </c>
      <c r="B808" s="1" t="s">
        <v>2023</v>
      </c>
      <c r="C808" s="580">
        <v>872</v>
      </c>
      <c r="D808" s="1">
        <v>4510.08</v>
      </c>
      <c r="E808" t="s">
        <v>1198</v>
      </c>
      <c r="F808">
        <v>872</v>
      </c>
      <c r="G808" s="580">
        <v>1099.8</v>
      </c>
      <c r="H808" s="1" t="s">
        <v>2094</v>
      </c>
      <c r="I808" s="1"/>
      <c r="J808" s="1"/>
      <c r="K808" s="1"/>
      <c r="L808" s="1"/>
      <c r="M808" s="1"/>
      <c r="N808" s="1"/>
      <c r="Q808"/>
    </row>
    <row r="809" spans="1:17" ht="13.15" customHeight="1" x14ac:dyDescent="0.2">
      <c r="A809" s="1" t="s">
        <v>2095</v>
      </c>
      <c r="B809" s="1" t="s">
        <v>2096</v>
      </c>
      <c r="C809" s="580">
        <v>4</v>
      </c>
      <c r="D809" s="1">
        <v>88.72</v>
      </c>
      <c r="E809" t="s">
        <v>2097</v>
      </c>
      <c r="F809" t="s">
        <v>2098</v>
      </c>
      <c r="G809" s="580">
        <v>10.772600000000001</v>
      </c>
      <c r="H809" s="1" t="s">
        <v>2099</v>
      </c>
      <c r="I809" s="1"/>
      <c r="J809" s="1"/>
      <c r="K809" s="1"/>
      <c r="L809" s="1"/>
      <c r="M809" s="1"/>
      <c r="N809" s="1"/>
      <c r="Q809"/>
    </row>
    <row r="810" spans="1:17" ht="13.15" customHeight="1" x14ac:dyDescent="0.2">
      <c r="A810" s="1" t="s">
        <v>2100</v>
      </c>
      <c r="B810" s="1" t="s">
        <v>2096</v>
      </c>
      <c r="C810" s="580">
        <v>5</v>
      </c>
      <c r="D810" s="1">
        <v>88.72</v>
      </c>
      <c r="E810" t="s">
        <v>2097</v>
      </c>
      <c r="F810" t="s">
        <v>2101</v>
      </c>
      <c r="G810" s="580">
        <v>10.772600000000001</v>
      </c>
      <c r="H810" s="1" t="s">
        <v>2102</v>
      </c>
      <c r="I810" s="1"/>
      <c r="J810" s="1"/>
      <c r="K810" s="1"/>
      <c r="L810" s="1"/>
      <c r="M810" s="1"/>
      <c r="N810" s="1"/>
      <c r="Q810"/>
    </row>
    <row r="811" spans="1:17" ht="13.15" customHeight="1" x14ac:dyDescent="0.2">
      <c r="A811" s="1" t="s">
        <v>2103</v>
      </c>
      <c r="B811" s="1" t="s">
        <v>2096</v>
      </c>
      <c r="C811" s="580">
        <v>6</v>
      </c>
      <c r="D811" s="1">
        <v>117.56</v>
      </c>
      <c r="E811" t="s">
        <v>2097</v>
      </c>
      <c r="F811" t="s">
        <v>2104</v>
      </c>
      <c r="G811" s="580">
        <v>14.4109</v>
      </c>
      <c r="H811" s="1" t="s">
        <v>2105</v>
      </c>
      <c r="I811" s="1"/>
      <c r="J811" s="1"/>
      <c r="K811" s="1"/>
      <c r="L811" s="1"/>
      <c r="M811" s="1"/>
      <c r="N811" s="1"/>
      <c r="Q811"/>
    </row>
    <row r="812" spans="1:17" ht="13.15" customHeight="1" x14ac:dyDescent="0.2">
      <c r="A812" s="1" t="s">
        <v>2106</v>
      </c>
      <c r="B812" s="1" t="s">
        <v>2096</v>
      </c>
      <c r="C812" s="580">
        <v>7</v>
      </c>
      <c r="D812" s="1">
        <v>147.88</v>
      </c>
      <c r="E812" t="s">
        <v>2097</v>
      </c>
      <c r="F812" t="s">
        <v>2107</v>
      </c>
      <c r="G812" s="580">
        <v>17.948799999999999</v>
      </c>
      <c r="H812" s="1" t="s">
        <v>2108</v>
      </c>
      <c r="I812" s="1"/>
      <c r="J812" s="1"/>
      <c r="K812" s="1"/>
      <c r="L812" s="1"/>
      <c r="M812" s="1"/>
      <c r="N812" s="1"/>
      <c r="Q812"/>
    </row>
    <row r="813" spans="1:17" ht="13.15" customHeight="1" x14ac:dyDescent="0.2">
      <c r="A813" s="1" t="s">
        <v>2109</v>
      </c>
      <c r="B813" s="1" t="s">
        <v>2096</v>
      </c>
      <c r="C813" s="580">
        <v>8</v>
      </c>
      <c r="D813" s="1">
        <v>167.48</v>
      </c>
      <c r="E813" t="s">
        <v>2097</v>
      </c>
      <c r="F813" t="s">
        <v>2110</v>
      </c>
      <c r="G813" s="580">
        <v>23.938199999999998</v>
      </c>
      <c r="H813" s="1" t="s">
        <v>2111</v>
      </c>
      <c r="I813" s="1"/>
      <c r="J813" s="1"/>
      <c r="K813" s="1"/>
      <c r="L813" s="1"/>
      <c r="M813" s="1"/>
      <c r="N813" s="1"/>
      <c r="Q813"/>
    </row>
    <row r="814" spans="1:17" ht="13.15" customHeight="1" x14ac:dyDescent="0.2">
      <c r="A814" s="1" t="s">
        <v>2112</v>
      </c>
      <c r="B814" s="1" t="s">
        <v>2096</v>
      </c>
      <c r="C814" s="580">
        <v>9</v>
      </c>
      <c r="D814" s="1">
        <v>178.56</v>
      </c>
      <c r="E814" t="s">
        <v>2097</v>
      </c>
      <c r="F814" t="s">
        <v>2113</v>
      </c>
      <c r="G814" s="580">
        <v>21.591200000000001</v>
      </c>
      <c r="H814" s="1" t="s">
        <v>2114</v>
      </c>
      <c r="I814" s="1"/>
      <c r="J814" s="1"/>
      <c r="K814" s="1"/>
      <c r="L814" s="1"/>
      <c r="M814" s="1"/>
      <c r="N814" s="1"/>
      <c r="Q814"/>
    </row>
    <row r="815" spans="1:17" ht="13.15" customHeight="1" x14ac:dyDescent="0.2">
      <c r="A815" s="1" t="s">
        <v>2115</v>
      </c>
      <c r="B815" s="1" t="s">
        <v>2096</v>
      </c>
      <c r="C815" s="580">
        <v>10</v>
      </c>
      <c r="D815" s="1">
        <v>201.12</v>
      </c>
      <c r="E815" t="s">
        <v>2097</v>
      </c>
      <c r="F815" t="s">
        <v>2116</v>
      </c>
      <c r="G815" s="580">
        <v>30.834</v>
      </c>
      <c r="H815" s="1" t="s">
        <v>2117</v>
      </c>
      <c r="I815" s="1"/>
      <c r="J815" s="1"/>
      <c r="K815" s="1"/>
      <c r="L815" s="1"/>
      <c r="M815" s="1"/>
      <c r="N815" s="1"/>
      <c r="Q815"/>
    </row>
    <row r="816" spans="1:17" ht="13.15" customHeight="1" x14ac:dyDescent="0.2">
      <c r="A816" s="1" t="s">
        <v>2118</v>
      </c>
      <c r="B816" s="1" t="s">
        <v>2096</v>
      </c>
      <c r="C816" s="580">
        <v>11</v>
      </c>
      <c r="D816" s="1">
        <v>205.92</v>
      </c>
      <c r="E816" t="s">
        <v>2097</v>
      </c>
      <c r="F816" t="s">
        <v>2119</v>
      </c>
      <c r="G816" s="580">
        <v>25.179300000000001</v>
      </c>
      <c r="H816" s="1" t="s">
        <v>2120</v>
      </c>
      <c r="I816" s="1"/>
      <c r="J816" s="1"/>
      <c r="K816" s="1"/>
      <c r="L816" s="1"/>
      <c r="M816" s="1"/>
      <c r="N816" s="1"/>
      <c r="Q816"/>
    </row>
    <row r="817" spans="1:17" ht="13.15" customHeight="1" x14ac:dyDescent="0.2">
      <c r="A817" s="1" t="s">
        <v>2121</v>
      </c>
      <c r="B817" s="1" t="s">
        <v>2096</v>
      </c>
      <c r="C817" s="580">
        <v>12</v>
      </c>
      <c r="D817" s="1">
        <v>212.6</v>
      </c>
      <c r="E817" t="s">
        <v>2097</v>
      </c>
      <c r="F817" t="s">
        <v>2122</v>
      </c>
      <c r="G817" s="580">
        <v>39.636000000000003</v>
      </c>
      <c r="H817" s="1" t="s">
        <v>2123</v>
      </c>
      <c r="I817" s="1"/>
      <c r="J817" s="1"/>
      <c r="K817" s="1"/>
      <c r="L817" s="1"/>
      <c r="M817" s="1"/>
      <c r="N817" s="1"/>
      <c r="Q817"/>
    </row>
    <row r="818" spans="1:17" ht="13.15" customHeight="1" x14ac:dyDescent="0.2">
      <c r="A818" s="1" t="s">
        <v>2124</v>
      </c>
      <c r="B818" s="1" t="s">
        <v>2096</v>
      </c>
      <c r="C818" s="580">
        <v>13</v>
      </c>
      <c r="D818" s="1">
        <v>268.04000000000002</v>
      </c>
      <c r="E818" t="s">
        <v>2097</v>
      </c>
      <c r="F818" t="s">
        <v>2125</v>
      </c>
      <c r="G818" s="580">
        <v>32.522599999999997</v>
      </c>
      <c r="H818" s="1" t="s">
        <v>2126</v>
      </c>
      <c r="I818" s="1"/>
      <c r="J818" s="1"/>
      <c r="K818" s="1"/>
      <c r="L818" s="1"/>
      <c r="M818" s="1"/>
      <c r="N818" s="1"/>
      <c r="Q818"/>
    </row>
    <row r="819" spans="1:17" ht="13.15" customHeight="1" x14ac:dyDescent="0.2">
      <c r="A819" s="1" t="s">
        <v>2127</v>
      </c>
      <c r="B819" s="1" t="s">
        <v>2096</v>
      </c>
      <c r="C819" s="580">
        <v>14</v>
      </c>
      <c r="D819" s="1">
        <v>268.04000000000002</v>
      </c>
      <c r="E819" t="s">
        <v>2097</v>
      </c>
      <c r="F819" t="s">
        <v>2128</v>
      </c>
      <c r="G819" s="580">
        <v>37.280299999999997</v>
      </c>
      <c r="H819" s="1" t="s">
        <v>2129</v>
      </c>
      <c r="I819" s="1"/>
      <c r="J819" s="1"/>
      <c r="K819" s="1"/>
      <c r="L819" s="1"/>
      <c r="M819" s="1"/>
      <c r="N819" s="1"/>
      <c r="Q819"/>
    </row>
    <row r="820" spans="1:17" ht="13.15" customHeight="1" x14ac:dyDescent="0.2">
      <c r="A820" s="1" t="s">
        <v>2130</v>
      </c>
      <c r="B820" s="1" t="s">
        <v>2096</v>
      </c>
      <c r="C820" s="580">
        <v>15</v>
      </c>
      <c r="D820" s="1">
        <v>284.68</v>
      </c>
      <c r="E820" t="s">
        <v>2097</v>
      </c>
      <c r="F820" t="s">
        <v>2131</v>
      </c>
      <c r="G820" s="580">
        <v>44.479799999999997</v>
      </c>
      <c r="H820" s="1" t="s">
        <v>2132</v>
      </c>
      <c r="I820" s="1"/>
      <c r="J820" s="1"/>
      <c r="K820" s="1"/>
      <c r="L820" s="1"/>
      <c r="M820" s="1"/>
      <c r="N820" s="1"/>
      <c r="Q820"/>
    </row>
    <row r="821" spans="1:17" ht="13.15" customHeight="1" x14ac:dyDescent="0.2">
      <c r="A821" s="1" t="s">
        <v>2133</v>
      </c>
      <c r="B821" s="1" t="s">
        <v>2096</v>
      </c>
      <c r="C821" s="580">
        <v>16</v>
      </c>
      <c r="D821" s="1">
        <v>293.2</v>
      </c>
      <c r="E821" t="s">
        <v>2097</v>
      </c>
      <c r="F821" t="s">
        <v>2134</v>
      </c>
      <c r="G821" s="580">
        <v>53.783999999999999</v>
      </c>
      <c r="H821" s="1" t="s">
        <v>2135</v>
      </c>
      <c r="I821" s="1"/>
      <c r="J821" s="1"/>
      <c r="K821" s="1"/>
      <c r="L821" s="1"/>
      <c r="M821" s="1"/>
      <c r="N821" s="1"/>
      <c r="Q821"/>
    </row>
    <row r="822" spans="1:17" ht="13.15" customHeight="1" x14ac:dyDescent="0.2">
      <c r="A822" s="1" t="s">
        <v>2136</v>
      </c>
      <c r="B822" s="1" t="s">
        <v>2096</v>
      </c>
      <c r="C822" s="580">
        <v>17</v>
      </c>
      <c r="D822" s="1">
        <v>435.32</v>
      </c>
      <c r="E822" t="s">
        <v>2097</v>
      </c>
      <c r="F822" t="s">
        <v>2137</v>
      </c>
      <c r="G822" s="580">
        <v>79.352999999999994</v>
      </c>
      <c r="H822" s="1" t="s">
        <v>2138</v>
      </c>
      <c r="I822" s="1"/>
      <c r="J822" s="1"/>
      <c r="K822" s="1"/>
      <c r="L822" s="1"/>
      <c r="M822" s="1"/>
      <c r="N822" s="1"/>
      <c r="Q822"/>
    </row>
    <row r="823" spans="1:17" ht="13.15" customHeight="1" x14ac:dyDescent="0.2">
      <c r="A823" s="1" t="s">
        <v>2139</v>
      </c>
      <c r="B823" s="1" t="s">
        <v>2096</v>
      </c>
      <c r="C823" s="580">
        <v>18</v>
      </c>
      <c r="D823" s="1">
        <v>474</v>
      </c>
      <c r="E823" t="s">
        <v>2097</v>
      </c>
      <c r="F823" t="s">
        <v>2140</v>
      </c>
      <c r="G823" s="580">
        <v>87.2316</v>
      </c>
      <c r="H823" s="1" t="s">
        <v>2141</v>
      </c>
      <c r="I823" s="1"/>
      <c r="J823" s="1"/>
      <c r="K823" s="1"/>
      <c r="L823" s="1"/>
      <c r="M823" s="1"/>
      <c r="N823" s="1"/>
      <c r="Q823"/>
    </row>
    <row r="824" spans="1:17" ht="13.15" customHeight="1" x14ac:dyDescent="0.2">
      <c r="A824" s="1" t="s">
        <v>2142</v>
      </c>
      <c r="B824" s="1" t="s">
        <v>2096</v>
      </c>
      <c r="C824" s="580">
        <v>19</v>
      </c>
      <c r="D824" s="1">
        <v>601.61</v>
      </c>
      <c r="E824" t="s">
        <v>2097</v>
      </c>
      <c r="F824" t="s">
        <v>2143</v>
      </c>
      <c r="G824" s="580">
        <v>107.352</v>
      </c>
      <c r="H824" s="1" t="s">
        <v>2144</v>
      </c>
      <c r="I824" s="1"/>
      <c r="J824" s="1"/>
      <c r="K824" s="1"/>
      <c r="L824" s="1"/>
      <c r="M824" s="1"/>
      <c r="N824" s="1"/>
      <c r="Q824"/>
    </row>
    <row r="825" spans="1:17" ht="13.15" customHeight="1" x14ac:dyDescent="0.2">
      <c r="A825" s="1" t="s">
        <v>2145</v>
      </c>
      <c r="B825" s="1" t="s">
        <v>2096</v>
      </c>
      <c r="C825" s="580">
        <v>20</v>
      </c>
      <c r="D825" s="1">
        <v>552.72</v>
      </c>
      <c r="E825" t="s">
        <v>2097</v>
      </c>
      <c r="F825" t="s">
        <v>2146</v>
      </c>
      <c r="G825" s="580">
        <v>89.802000000000007</v>
      </c>
      <c r="H825" s="1" t="s">
        <v>2147</v>
      </c>
      <c r="I825" s="1"/>
      <c r="J825" s="1"/>
      <c r="K825" s="1"/>
      <c r="L825" s="1"/>
      <c r="M825" s="1"/>
      <c r="N825" s="1"/>
      <c r="Q825"/>
    </row>
    <row r="826" spans="1:17" ht="13.15" customHeight="1" x14ac:dyDescent="0.2">
      <c r="A826" s="1" t="s">
        <v>2148</v>
      </c>
      <c r="B826" s="1" t="s">
        <v>2096</v>
      </c>
      <c r="C826" s="580">
        <v>21</v>
      </c>
      <c r="D826" s="1">
        <v>641.48</v>
      </c>
      <c r="E826" t="s">
        <v>2097</v>
      </c>
      <c r="F826" t="s">
        <v>2149</v>
      </c>
      <c r="G826" s="580">
        <v>89.2102</v>
      </c>
      <c r="H826" s="1" t="s">
        <v>2150</v>
      </c>
      <c r="I826" s="1"/>
      <c r="J826" s="1"/>
      <c r="K826" s="1"/>
      <c r="L826" s="1"/>
      <c r="M826" s="1"/>
      <c r="N826" s="1"/>
      <c r="Q826"/>
    </row>
    <row r="827" spans="1:17" ht="13.15" customHeight="1" x14ac:dyDescent="0.2">
      <c r="A827" s="1" t="s">
        <v>2151</v>
      </c>
      <c r="B827" s="1" t="s">
        <v>2096</v>
      </c>
      <c r="C827" s="580">
        <v>22</v>
      </c>
      <c r="D827" s="1">
        <v>661.44</v>
      </c>
      <c r="E827" t="s">
        <v>2097</v>
      </c>
      <c r="F827" t="s">
        <v>2152</v>
      </c>
      <c r="G827" s="580">
        <v>97.400300000000001</v>
      </c>
      <c r="H827" s="1" t="s">
        <v>2153</v>
      </c>
      <c r="I827" s="1"/>
      <c r="J827" s="1"/>
      <c r="K827" s="1"/>
      <c r="L827" s="1"/>
      <c r="M827" s="1"/>
      <c r="N827" s="1"/>
      <c r="Q827"/>
    </row>
    <row r="828" spans="1:17" ht="13.15" customHeight="1" x14ac:dyDescent="0.2">
      <c r="A828" s="1" t="s">
        <v>2154</v>
      </c>
      <c r="B828" s="1" t="s">
        <v>2096</v>
      </c>
      <c r="C828" s="580">
        <v>23</v>
      </c>
      <c r="D828" s="1">
        <v>661.44</v>
      </c>
      <c r="E828" t="s">
        <v>2097</v>
      </c>
      <c r="F828" t="s">
        <v>2155</v>
      </c>
      <c r="G828" s="580">
        <v>127.71</v>
      </c>
      <c r="H828" s="1" t="s">
        <v>2156</v>
      </c>
      <c r="I828" s="1"/>
      <c r="J828" s="1"/>
      <c r="K828" s="1"/>
      <c r="L828" s="1"/>
      <c r="M828" s="1"/>
      <c r="N828" s="1"/>
      <c r="Q828"/>
    </row>
    <row r="829" spans="1:17" ht="13.15" customHeight="1" x14ac:dyDescent="0.2">
      <c r="A829" s="1" t="s">
        <v>2157</v>
      </c>
      <c r="B829" s="1" t="s">
        <v>2096</v>
      </c>
      <c r="C829" s="580">
        <v>24</v>
      </c>
      <c r="D829" s="1">
        <v>766.46</v>
      </c>
      <c r="E829" t="s">
        <v>2097</v>
      </c>
      <c r="F829" t="s">
        <v>2158</v>
      </c>
      <c r="G829" s="580">
        <v>156.85919999999999</v>
      </c>
      <c r="H829" s="1" t="s">
        <v>2159</v>
      </c>
      <c r="I829" s="1"/>
      <c r="J829" s="1"/>
      <c r="K829" s="1"/>
      <c r="L829" s="1"/>
      <c r="M829" s="1"/>
      <c r="N829" s="1"/>
      <c r="Q829"/>
    </row>
    <row r="830" spans="1:17" ht="13.15" customHeight="1" x14ac:dyDescent="0.2">
      <c r="A830" s="1" t="s">
        <v>2160</v>
      </c>
      <c r="B830" s="1" t="s">
        <v>2096</v>
      </c>
      <c r="C830" s="580">
        <v>25</v>
      </c>
      <c r="D830" s="1">
        <v>688.8</v>
      </c>
      <c r="E830" t="s">
        <v>2097</v>
      </c>
      <c r="F830" t="s">
        <v>2161</v>
      </c>
      <c r="G830" s="580">
        <v>114.858</v>
      </c>
      <c r="H830" s="1" t="s">
        <v>2162</v>
      </c>
      <c r="I830" s="1"/>
      <c r="J830" s="1"/>
      <c r="K830" s="1"/>
      <c r="L830" s="1"/>
      <c r="M830" s="1"/>
      <c r="N830" s="1"/>
      <c r="Q830"/>
    </row>
    <row r="831" spans="1:17" ht="13.15" customHeight="1" x14ac:dyDescent="0.2">
      <c r="A831" s="1" t="s">
        <v>2163</v>
      </c>
      <c r="B831" s="1" t="s">
        <v>2096</v>
      </c>
      <c r="C831" s="580">
        <v>26</v>
      </c>
      <c r="D831" s="1">
        <v>751.64</v>
      </c>
      <c r="E831" t="s">
        <v>2097</v>
      </c>
      <c r="F831" t="s">
        <v>2164</v>
      </c>
      <c r="G831" s="580">
        <v>114.9485</v>
      </c>
      <c r="H831" s="1" t="s">
        <v>2165</v>
      </c>
      <c r="I831" s="1"/>
      <c r="J831" s="1"/>
      <c r="K831" s="1"/>
      <c r="L831" s="1"/>
      <c r="M831" s="1"/>
      <c r="N831" s="1"/>
      <c r="Q831"/>
    </row>
    <row r="832" spans="1:17" ht="13.15" customHeight="1" x14ac:dyDescent="0.2">
      <c r="A832" s="1" t="s">
        <v>2166</v>
      </c>
      <c r="B832" s="1" t="s">
        <v>2096</v>
      </c>
      <c r="C832" s="580">
        <v>27</v>
      </c>
      <c r="D832" s="1">
        <v>751.64</v>
      </c>
      <c r="E832" t="s">
        <v>2097</v>
      </c>
      <c r="F832" t="s">
        <v>2167</v>
      </c>
      <c r="G832" s="580">
        <v>114.9485</v>
      </c>
      <c r="H832" s="1" t="s">
        <v>2168</v>
      </c>
      <c r="I832" s="1"/>
      <c r="J832" s="1"/>
      <c r="K832" s="1"/>
      <c r="L832" s="1"/>
      <c r="M832" s="1"/>
      <c r="N832" s="1"/>
      <c r="Q832"/>
    </row>
    <row r="833" spans="1:17" ht="13.15" customHeight="1" x14ac:dyDescent="0.2">
      <c r="A833" s="1" t="s">
        <v>2169</v>
      </c>
      <c r="B833" s="1" t="s">
        <v>2096</v>
      </c>
      <c r="C833" s="580">
        <v>28</v>
      </c>
      <c r="D833" s="1">
        <v>856.28</v>
      </c>
      <c r="E833" t="s">
        <v>2097</v>
      </c>
      <c r="F833" t="s">
        <v>2170</v>
      </c>
      <c r="G833" s="580">
        <v>126.4563</v>
      </c>
      <c r="H833" s="1" t="s">
        <v>2171</v>
      </c>
      <c r="I833" s="1"/>
      <c r="J833" s="1"/>
      <c r="K833" s="1"/>
      <c r="L833" s="1"/>
      <c r="M833" s="1"/>
      <c r="N833" s="1"/>
      <c r="Q833"/>
    </row>
    <row r="834" spans="1:17" ht="13.15" customHeight="1" x14ac:dyDescent="0.2">
      <c r="A834" s="1" t="s">
        <v>2172</v>
      </c>
      <c r="B834" s="1" t="s">
        <v>2096</v>
      </c>
      <c r="C834" s="580">
        <v>29</v>
      </c>
      <c r="D834" s="1">
        <v>906.92</v>
      </c>
      <c r="E834" t="s">
        <v>2097</v>
      </c>
      <c r="F834" t="s">
        <v>2173</v>
      </c>
      <c r="G834" s="580">
        <v>134.946</v>
      </c>
      <c r="H834" s="1" t="s">
        <v>2174</v>
      </c>
      <c r="I834" s="1"/>
      <c r="J834" s="1"/>
      <c r="K834" s="1"/>
      <c r="L834" s="1"/>
      <c r="M834" s="1"/>
      <c r="N834" s="1"/>
      <c r="Q834"/>
    </row>
    <row r="835" spans="1:17" ht="13.15" customHeight="1" x14ac:dyDescent="0.2">
      <c r="A835" s="1" t="s">
        <v>2175</v>
      </c>
      <c r="B835" s="1" t="s">
        <v>2096</v>
      </c>
      <c r="C835" s="580">
        <v>30</v>
      </c>
      <c r="D835" s="1">
        <v>1323.36</v>
      </c>
      <c r="E835" t="s">
        <v>2097</v>
      </c>
      <c r="F835" t="s">
        <v>2176</v>
      </c>
      <c r="G835" s="580">
        <v>134.946</v>
      </c>
      <c r="H835" s="1" t="s">
        <v>2177</v>
      </c>
      <c r="I835" s="1"/>
      <c r="J835" s="1"/>
      <c r="K835" s="1"/>
      <c r="L835" s="1"/>
      <c r="M835" s="1"/>
      <c r="N835" s="1"/>
      <c r="Q835"/>
    </row>
    <row r="836" spans="1:17" ht="13.15" customHeight="1" x14ac:dyDescent="0.2">
      <c r="A836" s="1" t="s">
        <v>2178</v>
      </c>
      <c r="B836" s="1" t="s">
        <v>2096</v>
      </c>
      <c r="C836" s="580">
        <v>31</v>
      </c>
      <c r="D836" s="1">
        <v>1232.6400000000001</v>
      </c>
      <c r="E836" t="s">
        <v>2097</v>
      </c>
      <c r="F836" t="s">
        <v>2179</v>
      </c>
      <c r="G836" s="580">
        <v>183.14099999999999</v>
      </c>
      <c r="H836" s="1" t="s">
        <v>2180</v>
      </c>
      <c r="I836" s="1"/>
      <c r="J836" s="1"/>
      <c r="K836" s="1"/>
      <c r="L836" s="1"/>
      <c r="M836" s="1"/>
      <c r="N836" s="1"/>
      <c r="Q836"/>
    </row>
    <row r="837" spans="1:17" ht="13.15" customHeight="1" x14ac:dyDescent="0.2">
      <c r="A837" s="1" t="s">
        <v>2181</v>
      </c>
      <c r="B837" s="1" t="s">
        <v>2096</v>
      </c>
      <c r="C837" s="580">
        <v>32</v>
      </c>
      <c r="D837" s="1">
        <v>1392.88</v>
      </c>
      <c r="E837" t="s">
        <v>2097</v>
      </c>
      <c r="F837" t="s">
        <v>2182</v>
      </c>
      <c r="G837" s="580">
        <v>183.14099999999999</v>
      </c>
      <c r="H837" s="1" t="s">
        <v>2183</v>
      </c>
      <c r="I837" s="1"/>
      <c r="J837" s="1"/>
      <c r="K837" s="1"/>
      <c r="L837" s="1"/>
      <c r="M837" s="1"/>
      <c r="N837" s="1"/>
      <c r="Q837"/>
    </row>
    <row r="838" spans="1:17" ht="13.15" customHeight="1" x14ac:dyDescent="0.2">
      <c r="A838" s="1" t="s">
        <v>2184</v>
      </c>
      <c r="B838" s="1" t="s">
        <v>2096</v>
      </c>
      <c r="C838" s="580">
        <v>33</v>
      </c>
      <c r="D838" s="1">
        <v>1312.88</v>
      </c>
      <c r="E838" t="s">
        <v>2097</v>
      </c>
      <c r="F838" t="s">
        <v>2185</v>
      </c>
      <c r="G838" s="580">
        <v>208.0385</v>
      </c>
      <c r="H838" s="1" t="s">
        <v>2186</v>
      </c>
      <c r="I838" s="1"/>
      <c r="J838" s="1"/>
      <c r="K838" s="1"/>
      <c r="L838" s="1"/>
      <c r="M838" s="1"/>
      <c r="N838" s="1"/>
      <c r="Q838"/>
    </row>
    <row r="839" spans="1:17" ht="13.15" customHeight="1" x14ac:dyDescent="0.2">
      <c r="A839" s="1" t="s">
        <v>2187</v>
      </c>
      <c r="B839" s="1" t="s">
        <v>2096</v>
      </c>
      <c r="C839" s="580">
        <v>34</v>
      </c>
      <c r="D839" s="1">
        <v>1312.88</v>
      </c>
      <c r="E839" t="s">
        <v>2097</v>
      </c>
      <c r="F839" t="s">
        <v>2188</v>
      </c>
      <c r="G839" s="580">
        <v>194.108</v>
      </c>
      <c r="H839" s="1" t="s">
        <v>2189</v>
      </c>
      <c r="I839" s="1"/>
      <c r="J839" s="1"/>
      <c r="K839" s="1"/>
      <c r="L839" s="1"/>
      <c r="M839" s="1"/>
      <c r="N839" s="1"/>
      <c r="Q839"/>
    </row>
    <row r="840" spans="1:17" ht="13.15" customHeight="1" x14ac:dyDescent="0.2">
      <c r="A840" s="1" t="s">
        <v>2190</v>
      </c>
      <c r="B840" s="1" t="s">
        <v>2096</v>
      </c>
      <c r="C840" s="580">
        <v>35</v>
      </c>
      <c r="D840" s="1">
        <v>1974</v>
      </c>
      <c r="E840" t="s">
        <v>2097</v>
      </c>
      <c r="F840" t="s">
        <v>2191</v>
      </c>
      <c r="G840" s="580">
        <v>194.108</v>
      </c>
      <c r="H840" s="1" t="s">
        <v>2192</v>
      </c>
      <c r="I840" s="1"/>
      <c r="J840" s="1"/>
      <c r="K840" s="1"/>
      <c r="L840" s="1"/>
      <c r="M840" s="1"/>
      <c r="N840" s="1"/>
      <c r="Q840"/>
    </row>
    <row r="841" spans="1:17" ht="13.15" customHeight="1" x14ac:dyDescent="0.2">
      <c r="A841" s="1" t="s">
        <v>2193</v>
      </c>
      <c r="B841" s="1" t="s">
        <v>2096</v>
      </c>
      <c r="C841" s="580">
        <v>36</v>
      </c>
      <c r="D841" s="1">
        <v>1583.52</v>
      </c>
      <c r="E841" t="s">
        <v>2097</v>
      </c>
      <c r="F841" t="s">
        <v>2194</v>
      </c>
      <c r="G841" s="580">
        <v>250.27279999999999</v>
      </c>
      <c r="H841" s="1" t="s">
        <v>2195</v>
      </c>
      <c r="I841" s="1"/>
      <c r="J841" s="1"/>
      <c r="K841" s="1"/>
      <c r="L841" s="1"/>
      <c r="M841" s="1"/>
      <c r="N841" s="1"/>
      <c r="Q841"/>
    </row>
    <row r="842" spans="1:17" ht="13.15" customHeight="1" x14ac:dyDescent="0.2">
      <c r="A842" s="1" t="s">
        <v>2196</v>
      </c>
      <c r="B842" s="1" t="s">
        <v>2096</v>
      </c>
      <c r="C842" s="580">
        <v>37</v>
      </c>
      <c r="D842" s="1">
        <v>1583.88</v>
      </c>
      <c r="E842" t="s">
        <v>2097</v>
      </c>
      <c r="F842" t="s">
        <v>2197</v>
      </c>
      <c r="G842" s="580">
        <v>250.27279999999999</v>
      </c>
      <c r="H842" s="1" t="s">
        <v>2198</v>
      </c>
      <c r="I842" s="1"/>
      <c r="J842" s="1"/>
      <c r="K842" s="1"/>
      <c r="L842" s="1"/>
      <c r="M842" s="1"/>
      <c r="N842" s="1"/>
      <c r="Q842"/>
    </row>
    <row r="843" spans="1:17" ht="13.15" customHeight="1" x14ac:dyDescent="0.2">
      <c r="A843" s="1" t="s">
        <v>2199</v>
      </c>
      <c r="B843" s="1" t="s">
        <v>2096</v>
      </c>
      <c r="C843" s="580">
        <v>38</v>
      </c>
      <c r="D843" s="1">
        <v>2068</v>
      </c>
      <c r="E843" t="s">
        <v>2097</v>
      </c>
      <c r="F843" t="s">
        <v>2200</v>
      </c>
      <c r="G843" s="580">
        <v>250.93279999999999</v>
      </c>
      <c r="H843" s="1" t="s">
        <v>2201</v>
      </c>
      <c r="I843" s="1"/>
      <c r="J843" s="1"/>
      <c r="K843" s="1"/>
      <c r="L843" s="1"/>
      <c r="M843" s="1"/>
      <c r="N843" s="1"/>
      <c r="Q843"/>
    </row>
    <row r="844" spans="1:17" ht="13.15" customHeight="1" x14ac:dyDescent="0.2">
      <c r="A844" s="1" t="s">
        <v>2202</v>
      </c>
      <c r="B844" s="1" t="s">
        <v>2096</v>
      </c>
      <c r="C844" s="580">
        <v>39</v>
      </c>
      <c r="D844" s="1">
        <v>1699.27</v>
      </c>
      <c r="E844" t="s">
        <v>2097</v>
      </c>
      <c r="F844" t="s">
        <v>2203</v>
      </c>
      <c r="G844" s="580">
        <v>250.93279999999999</v>
      </c>
      <c r="H844" s="1" t="s">
        <v>2204</v>
      </c>
      <c r="I844" s="1"/>
      <c r="J844" s="1"/>
      <c r="K844" s="1"/>
      <c r="L844" s="1"/>
      <c r="M844" s="1"/>
      <c r="N844" s="1"/>
      <c r="Q844"/>
    </row>
    <row r="845" spans="1:17" ht="13.15" customHeight="1" x14ac:dyDescent="0.2">
      <c r="A845" s="1" t="s">
        <v>2205</v>
      </c>
      <c r="B845" s="1" t="s">
        <v>2096</v>
      </c>
      <c r="C845" s="580">
        <v>40</v>
      </c>
      <c r="D845" s="1">
        <v>1791.64</v>
      </c>
      <c r="E845" t="s">
        <v>2097</v>
      </c>
      <c r="F845" t="s">
        <v>2206</v>
      </c>
      <c r="G845" s="580">
        <v>256.86419999999998</v>
      </c>
      <c r="H845" s="1" t="s">
        <v>2207</v>
      </c>
      <c r="I845" s="1"/>
      <c r="J845" s="1"/>
      <c r="K845" s="1"/>
      <c r="L845" s="1"/>
      <c r="M845" s="1"/>
      <c r="N845" s="1"/>
      <c r="Q845"/>
    </row>
    <row r="846" spans="1:17" ht="13.15" customHeight="1" x14ac:dyDescent="0.2">
      <c r="A846" s="1" t="s">
        <v>2208</v>
      </c>
      <c r="B846" s="1" t="s">
        <v>2096</v>
      </c>
      <c r="C846" s="580">
        <v>41</v>
      </c>
      <c r="D846" s="1">
        <v>1791.64</v>
      </c>
      <c r="E846" t="s">
        <v>2097</v>
      </c>
      <c r="F846" t="s">
        <v>2209</v>
      </c>
      <c r="G846" s="580">
        <v>311.95960000000002</v>
      </c>
      <c r="H846" s="1" t="s">
        <v>2210</v>
      </c>
      <c r="I846" s="1"/>
      <c r="J846" s="1"/>
      <c r="K846" s="1"/>
      <c r="L846" s="1"/>
      <c r="M846" s="1"/>
      <c r="N846" s="1"/>
      <c r="Q846"/>
    </row>
    <row r="847" spans="1:17" ht="13.15" customHeight="1" x14ac:dyDescent="0.2">
      <c r="A847" s="1" t="s">
        <v>2211</v>
      </c>
      <c r="B847" s="1" t="s">
        <v>2096</v>
      </c>
      <c r="C847" s="580">
        <v>42</v>
      </c>
      <c r="D847" s="1">
        <v>1964.44</v>
      </c>
      <c r="E847" t="s">
        <v>2097</v>
      </c>
      <c r="F847" t="s">
        <v>2212</v>
      </c>
      <c r="G847" s="580">
        <v>311.95960000000002</v>
      </c>
      <c r="H847" s="1" t="s">
        <v>2213</v>
      </c>
      <c r="I847" s="1"/>
      <c r="J847" s="1"/>
      <c r="K847" s="1"/>
      <c r="L847" s="1"/>
      <c r="M847" s="1"/>
      <c r="N847" s="1"/>
      <c r="Q847"/>
    </row>
    <row r="848" spans="1:17" ht="13.15" customHeight="1" x14ac:dyDescent="0.2">
      <c r="A848" s="1" t="s">
        <v>2214</v>
      </c>
      <c r="B848" s="1" t="s">
        <v>2096</v>
      </c>
      <c r="C848" s="580">
        <v>44</v>
      </c>
      <c r="D848" s="1">
        <v>1964.44</v>
      </c>
      <c r="E848" t="s">
        <v>2097</v>
      </c>
      <c r="F848" t="s">
        <v>2215</v>
      </c>
      <c r="G848" s="580">
        <v>342.04700000000003</v>
      </c>
      <c r="H848" s="1" t="s">
        <v>2216</v>
      </c>
      <c r="I848" s="1"/>
      <c r="J848" s="1"/>
      <c r="K848" s="1"/>
      <c r="L848" s="1"/>
      <c r="M848" s="1"/>
      <c r="N848" s="1"/>
      <c r="Q848"/>
    </row>
    <row r="849" spans="1:17" ht="13.15" customHeight="1" x14ac:dyDescent="0.2">
      <c r="A849" s="1" t="s">
        <v>2217</v>
      </c>
      <c r="B849" s="1" t="s">
        <v>2096</v>
      </c>
      <c r="C849" s="580">
        <v>45</v>
      </c>
      <c r="D849" s="1">
        <v>2626.82</v>
      </c>
      <c r="E849" t="s">
        <v>2097</v>
      </c>
      <c r="F849" t="s">
        <v>2218</v>
      </c>
      <c r="G849" s="580">
        <v>342.04700000000003</v>
      </c>
      <c r="H849" s="1" t="s">
        <v>2219</v>
      </c>
      <c r="I849" s="1"/>
      <c r="J849" s="1"/>
      <c r="K849" s="1"/>
      <c r="L849" s="1"/>
      <c r="M849" s="1"/>
      <c r="N849" s="1"/>
      <c r="Q849"/>
    </row>
    <row r="850" spans="1:17" ht="13.15" customHeight="1" x14ac:dyDescent="0.2">
      <c r="A850" s="1" t="s">
        <v>2220</v>
      </c>
      <c r="B850" s="1" t="s">
        <v>2096</v>
      </c>
      <c r="C850" s="580">
        <v>46</v>
      </c>
      <c r="D850" s="1">
        <v>2143.02</v>
      </c>
      <c r="E850" t="s">
        <v>2097</v>
      </c>
      <c r="F850" t="s">
        <v>2221</v>
      </c>
      <c r="G850" s="580">
        <v>373.14940000000001</v>
      </c>
      <c r="H850" s="1" t="s">
        <v>2222</v>
      </c>
      <c r="I850" s="1"/>
      <c r="J850" s="1"/>
      <c r="K850" s="1"/>
      <c r="L850" s="1"/>
      <c r="M850" s="1"/>
      <c r="N850" s="1"/>
      <c r="Q850"/>
    </row>
    <row r="851" spans="1:17" ht="13.15" customHeight="1" x14ac:dyDescent="0.2">
      <c r="A851" s="1" t="s">
        <v>2223</v>
      </c>
      <c r="B851" s="1" t="s">
        <v>2096</v>
      </c>
      <c r="C851" s="580">
        <v>47</v>
      </c>
      <c r="D851" s="1">
        <v>2143.02</v>
      </c>
      <c r="E851" t="s">
        <v>2097</v>
      </c>
      <c r="F851" t="s">
        <v>2224</v>
      </c>
      <c r="G851" s="580">
        <v>373.14940000000001</v>
      </c>
      <c r="H851" s="1" t="s">
        <v>2225</v>
      </c>
      <c r="I851" s="1"/>
      <c r="J851" s="1"/>
      <c r="K851" s="1"/>
      <c r="L851" s="1"/>
      <c r="M851" s="1"/>
      <c r="N851" s="1"/>
      <c r="Q851"/>
    </row>
    <row r="852" spans="1:17" ht="13.15" customHeight="1" x14ac:dyDescent="0.2">
      <c r="A852" s="1" t="s">
        <v>2226</v>
      </c>
      <c r="B852" s="1" t="s">
        <v>2096</v>
      </c>
      <c r="C852" s="580">
        <v>48</v>
      </c>
      <c r="D852" s="1">
        <v>2532.3000000000002</v>
      </c>
      <c r="E852" t="s">
        <v>2097</v>
      </c>
      <c r="F852" t="s">
        <v>2227</v>
      </c>
      <c r="G852" s="580">
        <v>373.14940000000001</v>
      </c>
      <c r="H852" s="1" t="s">
        <v>2228</v>
      </c>
      <c r="I852" s="1"/>
      <c r="J852" s="1"/>
      <c r="K852" s="1"/>
      <c r="L852" s="1"/>
      <c r="M852" s="1"/>
      <c r="N852" s="1"/>
      <c r="Q852"/>
    </row>
    <row r="853" spans="1:17" ht="13.15" customHeight="1" x14ac:dyDescent="0.2">
      <c r="A853" s="1" t="s">
        <v>2229</v>
      </c>
      <c r="B853" s="1" t="s">
        <v>2096</v>
      </c>
      <c r="C853" s="580">
        <v>50</v>
      </c>
      <c r="D853" s="1">
        <v>2656.54</v>
      </c>
      <c r="E853" t="s">
        <v>2097</v>
      </c>
      <c r="F853" t="s">
        <v>2230</v>
      </c>
      <c r="G853" s="580">
        <v>378.30680000000001</v>
      </c>
      <c r="H853" s="1" t="s">
        <v>2231</v>
      </c>
      <c r="I853" s="1"/>
      <c r="J853" s="1"/>
      <c r="K853" s="1"/>
      <c r="L853" s="1"/>
      <c r="M853" s="1"/>
      <c r="N853" s="1"/>
      <c r="Q853"/>
    </row>
    <row r="854" spans="1:17" ht="13.15" customHeight="1" x14ac:dyDescent="0.2">
      <c r="A854" s="1" t="s">
        <v>2232</v>
      </c>
      <c r="B854" s="1" t="s">
        <v>2096</v>
      </c>
      <c r="C854" s="580">
        <v>52</v>
      </c>
      <c r="D854" s="1">
        <v>2665.25</v>
      </c>
      <c r="E854" t="s">
        <v>2097</v>
      </c>
      <c r="F854" t="s">
        <v>2233</v>
      </c>
      <c r="G854" s="580">
        <v>421.25240000000002</v>
      </c>
      <c r="H854" s="1" t="s">
        <v>2234</v>
      </c>
      <c r="I854" s="1"/>
      <c r="J854" s="1"/>
      <c r="K854" s="1"/>
      <c r="L854" s="1"/>
      <c r="M854" s="1"/>
      <c r="N854" s="1"/>
      <c r="Q854"/>
    </row>
    <row r="855" spans="1:17" ht="13.15" customHeight="1" x14ac:dyDescent="0.2">
      <c r="A855" s="1" t="s">
        <v>2235</v>
      </c>
      <c r="B855" s="1" t="s">
        <v>2096</v>
      </c>
      <c r="C855" s="580">
        <v>54</v>
      </c>
      <c r="D855" s="1">
        <v>2665.25</v>
      </c>
      <c r="E855" t="s">
        <v>2097</v>
      </c>
      <c r="F855" t="s">
        <v>2236</v>
      </c>
      <c r="G855" s="580">
        <v>464.07560000000001</v>
      </c>
      <c r="H855" s="1" t="s">
        <v>2237</v>
      </c>
      <c r="I855" s="1"/>
      <c r="J855" s="1"/>
      <c r="K855" s="1"/>
      <c r="L855" s="1"/>
      <c r="M855" s="1"/>
      <c r="N855" s="1"/>
      <c r="Q855"/>
    </row>
    <row r="856" spans="1:17" ht="13.15" customHeight="1" x14ac:dyDescent="0.2">
      <c r="A856" s="1" t="s">
        <v>2238</v>
      </c>
      <c r="B856" s="1" t="s">
        <v>2096</v>
      </c>
      <c r="C856" s="580">
        <v>55</v>
      </c>
      <c r="D856" s="1">
        <v>2849.25</v>
      </c>
      <c r="E856" t="s">
        <v>2097</v>
      </c>
      <c r="F856" t="s">
        <v>2239</v>
      </c>
      <c r="G856" s="580">
        <v>496.11369999999999</v>
      </c>
      <c r="H856" s="1" t="s">
        <v>2240</v>
      </c>
      <c r="I856" s="1"/>
      <c r="J856" s="1"/>
      <c r="K856" s="1"/>
      <c r="L856" s="1"/>
      <c r="M856" s="1"/>
      <c r="N856" s="1"/>
      <c r="Q856"/>
    </row>
    <row r="857" spans="1:17" ht="13.15" customHeight="1" x14ac:dyDescent="0.2">
      <c r="A857" s="1" t="s">
        <v>2241</v>
      </c>
      <c r="B857" s="1" t="s">
        <v>2096</v>
      </c>
      <c r="C857" s="580">
        <v>56</v>
      </c>
      <c r="D857" s="1">
        <v>2858.99</v>
      </c>
      <c r="E857" t="s">
        <v>2097</v>
      </c>
      <c r="F857" t="s">
        <v>2242</v>
      </c>
      <c r="G857" s="580">
        <v>497.80959999999999</v>
      </c>
      <c r="H857" s="1" t="s">
        <v>2243</v>
      </c>
      <c r="I857" s="1"/>
      <c r="J857" s="1"/>
      <c r="K857" s="1"/>
      <c r="L857" s="1"/>
      <c r="M857" s="1"/>
      <c r="N857" s="1"/>
      <c r="Q857"/>
    </row>
    <row r="858" spans="1:17" ht="13.15" customHeight="1" x14ac:dyDescent="0.2">
      <c r="A858" s="1" t="s">
        <v>2244</v>
      </c>
      <c r="B858" s="1" t="s">
        <v>2096</v>
      </c>
      <c r="C858" s="580">
        <v>57</v>
      </c>
      <c r="D858" s="1">
        <v>3041.36</v>
      </c>
      <c r="E858" t="s">
        <v>2097</v>
      </c>
      <c r="F858" t="s">
        <v>2245</v>
      </c>
      <c r="G858" s="580">
        <v>529.55939999999998</v>
      </c>
      <c r="H858" s="1" t="s">
        <v>2246</v>
      </c>
      <c r="I858" s="1"/>
      <c r="J858" s="1"/>
      <c r="K858" s="1"/>
      <c r="L858" s="1"/>
      <c r="M858" s="1"/>
      <c r="N858" s="1"/>
      <c r="Q858"/>
    </row>
    <row r="859" spans="1:17" ht="13.15" customHeight="1" x14ac:dyDescent="0.2">
      <c r="A859" s="1" t="s">
        <v>2247</v>
      </c>
      <c r="B859" s="1" t="s">
        <v>2096</v>
      </c>
      <c r="C859" s="580">
        <v>58</v>
      </c>
      <c r="D859" s="1">
        <v>3541.4</v>
      </c>
      <c r="E859" t="s">
        <v>2097</v>
      </c>
      <c r="F859" t="s">
        <v>2248</v>
      </c>
      <c r="G859" s="580">
        <v>529.53020000000004</v>
      </c>
      <c r="H859" s="1" t="s">
        <v>2249</v>
      </c>
      <c r="I859" s="1"/>
      <c r="J859" s="1"/>
      <c r="K859" s="1"/>
      <c r="L859" s="1"/>
      <c r="M859" s="1"/>
      <c r="N859" s="1"/>
      <c r="Q859"/>
    </row>
    <row r="860" spans="1:17" ht="13.15" customHeight="1" x14ac:dyDescent="0.2">
      <c r="A860" s="1" t="s">
        <v>2250</v>
      </c>
      <c r="B860" s="1" t="s">
        <v>2096</v>
      </c>
      <c r="C860" s="580">
        <v>60</v>
      </c>
      <c r="D860" s="1">
        <v>3344.69</v>
      </c>
      <c r="E860" t="s">
        <v>2097</v>
      </c>
      <c r="F860" t="s">
        <v>2251</v>
      </c>
      <c r="G860" s="580">
        <v>536.64369999999997</v>
      </c>
      <c r="H860" s="1" t="s">
        <v>2252</v>
      </c>
      <c r="I860" s="1"/>
      <c r="J860" s="1"/>
      <c r="K860" s="1"/>
      <c r="L860" s="1"/>
      <c r="M860" s="1"/>
      <c r="N860" s="1"/>
      <c r="Q860"/>
    </row>
    <row r="861" spans="1:17" ht="13.15" customHeight="1" x14ac:dyDescent="0.2">
      <c r="A861" s="1" t="s">
        <v>2253</v>
      </c>
      <c r="B861" s="1" t="s">
        <v>2096</v>
      </c>
      <c r="C861" s="580">
        <v>62</v>
      </c>
      <c r="D861" s="1">
        <v>3384.01</v>
      </c>
      <c r="E861" t="s">
        <v>2097</v>
      </c>
      <c r="F861" t="s">
        <v>2254</v>
      </c>
      <c r="G861" s="580">
        <v>557.19479999999999</v>
      </c>
      <c r="H861" s="1" t="s">
        <v>2255</v>
      </c>
      <c r="I861" s="1"/>
      <c r="J861" s="1"/>
      <c r="K861" s="1"/>
      <c r="L861" s="1"/>
      <c r="M861" s="1"/>
      <c r="N861" s="1"/>
      <c r="Q861"/>
    </row>
    <row r="862" spans="1:17" ht="13.15" customHeight="1" x14ac:dyDescent="0.2">
      <c r="A862" s="1" t="s">
        <v>2256</v>
      </c>
      <c r="B862" s="1" t="s">
        <v>2096</v>
      </c>
      <c r="C862" s="580">
        <v>63</v>
      </c>
      <c r="D862" s="1">
        <v>3384.01</v>
      </c>
      <c r="E862" t="s">
        <v>2097</v>
      </c>
      <c r="F862" t="s">
        <v>2257</v>
      </c>
      <c r="G862" s="580">
        <v>623.88580000000002</v>
      </c>
      <c r="H862" s="1" t="s">
        <v>2258</v>
      </c>
      <c r="I862" s="1"/>
      <c r="J862" s="1"/>
      <c r="K862" s="1"/>
      <c r="L862" s="1"/>
      <c r="M862" s="1"/>
      <c r="N862" s="1"/>
      <c r="Q862"/>
    </row>
    <row r="863" spans="1:17" ht="13.15" customHeight="1" x14ac:dyDescent="0.2">
      <c r="A863" s="1" t="s">
        <v>2259</v>
      </c>
      <c r="B863" s="1" t="s">
        <v>2096</v>
      </c>
      <c r="C863" s="580">
        <v>65</v>
      </c>
      <c r="D863" s="1">
        <v>3534.08</v>
      </c>
      <c r="E863" t="s">
        <v>2097</v>
      </c>
      <c r="F863" t="s">
        <v>2260</v>
      </c>
      <c r="G863" s="580">
        <v>651.54629999999997</v>
      </c>
      <c r="H863" s="1" t="s">
        <v>2261</v>
      </c>
      <c r="I863" s="1"/>
      <c r="J863" s="1"/>
      <c r="K863" s="1"/>
      <c r="L863" s="1"/>
      <c r="M863" s="1"/>
      <c r="N863" s="1"/>
      <c r="Q863"/>
    </row>
    <row r="864" spans="1:17" ht="13.15" customHeight="1" x14ac:dyDescent="0.2">
      <c r="A864" s="1" t="s">
        <v>2262</v>
      </c>
      <c r="B864" s="1" t="s">
        <v>2096</v>
      </c>
      <c r="C864" s="580">
        <v>67</v>
      </c>
      <c r="D864" s="1">
        <v>4198.05</v>
      </c>
      <c r="E864" t="s">
        <v>2097</v>
      </c>
      <c r="F864" t="s">
        <v>2263</v>
      </c>
      <c r="G864" s="580">
        <v>773.96339999999998</v>
      </c>
      <c r="H864" s="1" t="s">
        <v>2264</v>
      </c>
      <c r="I864" s="1"/>
      <c r="J864" s="1"/>
      <c r="K864" s="1"/>
      <c r="L864" s="1"/>
      <c r="M864" s="1"/>
      <c r="N864" s="1"/>
      <c r="Q864"/>
    </row>
    <row r="865" spans="1:17" ht="13.15" customHeight="1" x14ac:dyDescent="0.2">
      <c r="A865" s="1" t="s">
        <v>2265</v>
      </c>
      <c r="B865" s="1" t="s">
        <v>2096</v>
      </c>
      <c r="C865" s="580">
        <v>68</v>
      </c>
      <c r="D865" s="1">
        <v>4198.05</v>
      </c>
      <c r="E865" t="s">
        <v>2097</v>
      </c>
      <c r="F865" t="s">
        <v>2266</v>
      </c>
      <c r="G865" s="580">
        <v>773.96339999999998</v>
      </c>
      <c r="H865" s="1" t="s">
        <v>2267</v>
      </c>
      <c r="I865" s="1"/>
      <c r="J865" s="1"/>
      <c r="K865" s="1"/>
      <c r="L865" s="1"/>
      <c r="M865" s="1"/>
      <c r="N865" s="1"/>
      <c r="Q865"/>
    </row>
    <row r="866" spans="1:17" ht="13.15" customHeight="1" x14ac:dyDescent="0.2">
      <c r="A866" s="1" t="s">
        <v>2268</v>
      </c>
      <c r="B866" s="1" t="s">
        <v>2096</v>
      </c>
      <c r="C866" s="580">
        <v>70</v>
      </c>
      <c r="D866" s="1">
        <v>4735.88</v>
      </c>
      <c r="E866" t="s">
        <v>2097</v>
      </c>
      <c r="F866" t="s">
        <v>2269</v>
      </c>
      <c r="G866" s="580">
        <v>786.39020000000005</v>
      </c>
      <c r="H866" s="1" t="s">
        <v>2270</v>
      </c>
      <c r="I866" s="1"/>
      <c r="J866" s="1"/>
      <c r="K866" s="1"/>
      <c r="L866" s="1"/>
      <c r="M866" s="1"/>
      <c r="N866" s="1"/>
      <c r="Q866"/>
    </row>
    <row r="867" spans="1:17" ht="13.15" customHeight="1" x14ac:dyDescent="0.2">
      <c r="A867" s="1" t="s">
        <v>2271</v>
      </c>
      <c r="B867" s="1" t="s">
        <v>2096</v>
      </c>
      <c r="C867" s="580">
        <v>75</v>
      </c>
      <c r="D867" s="1">
        <v>4791.59</v>
      </c>
      <c r="E867" t="s">
        <v>2097</v>
      </c>
      <c r="F867" t="s">
        <v>2272</v>
      </c>
      <c r="G867" s="580">
        <v>869.3759</v>
      </c>
      <c r="H867" s="1" t="s">
        <v>2273</v>
      </c>
      <c r="I867" s="1"/>
      <c r="J867" s="1"/>
      <c r="K867" s="1"/>
      <c r="L867" s="1"/>
      <c r="M867" s="1"/>
      <c r="N867" s="1"/>
      <c r="Q867"/>
    </row>
    <row r="868" spans="1:17" ht="13.15" customHeight="1" x14ac:dyDescent="0.2">
      <c r="A868" s="1" t="s">
        <v>2274</v>
      </c>
      <c r="B868" s="1" t="s">
        <v>2096</v>
      </c>
      <c r="C868" s="580">
        <v>88</v>
      </c>
      <c r="D868" s="1">
        <v>6726.91</v>
      </c>
      <c r="E868" t="s">
        <v>2097</v>
      </c>
      <c r="F868" t="s">
        <v>2275</v>
      </c>
      <c r="G868" s="580">
        <v>1240.1944000000001</v>
      </c>
      <c r="H868" s="1" t="s">
        <v>2276</v>
      </c>
      <c r="I868" s="1"/>
      <c r="J868" s="1"/>
      <c r="K868" s="1"/>
      <c r="L868" s="1"/>
      <c r="M868" s="1"/>
      <c r="N868" s="1"/>
      <c r="Q868"/>
    </row>
    <row r="869" spans="1:17" ht="13.15" customHeight="1" x14ac:dyDescent="0.2">
      <c r="A869" s="1" t="s">
        <v>2277</v>
      </c>
      <c r="B869" s="1" t="s">
        <v>2096</v>
      </c>
      <c r="C869" s="580">
        <v>105</v>
      </c>
      <c r="D869" s="1">
        <v>19038.97</v>
      </c>
      <c r="E869" t="s">
        <v>2097</v>
      </c>
      <c r="F869" t="s">
        <v>2278</v>
      </c>
      <c r="G869" s="580">
        <v>3510.0635000000002</v>
      </c>
      <c r="H869" s="1" t="s">
        <v>2279</v>
      </c>
      <c r="I869" s="1"/>
      <c r="J869" s="1"/>
      <c r="K869" s="1"/>
      <c r="L869" s="1"/>
      <c r="M869" s="1"/>
      <c r="N869" s="1"/>
      <c r="Q869"/>
    </row>
    <row r="870" spans="1:17" ht="13.15" customHeight="1" x14ac:dyDescent="0.2">
      <c r="A870" s="1" t="s">
        <v>2280</v>
      </c>
      <c r="B870" s="1" t="s">
        <v>2281</v>
      </c>
      <c r="C870" s="580">
        <v>8</v>
      </c>
      <c r="D870" s="1">
        <v>160.38</v>
      </c>
      <c r="E870" t="s">
        <v>2097</v>
      </c>
      <c r="F870" t="s">
        <v>2282</v>
      </c>
      <c r="G870" s="580">
        <v>17.948799999999999</v>
      </c>
      <c r="H870" s="1" t="s">
        <v>2283</v>
      </c>
      <c r="I870" s="1"/>
      <c r="J870" s="1"/>
      <c r="K870" s="1"/>
      <c r="L870" s="1"/>
      <c r="M870" s="1"/>
      <c r="N870" s="1"/>
      <c r="Q870"/>
    </row>
    <row r="871" spans="1:17" ht="13.15" customHeight="1" x14ac:dyDescent="0.2">
      <c r="A871" s="1" t="s">
        <v>2284</v>
      </c>
      <c r="B871" s="1" t="s">
        <v>2281</v>
      </c>
      <c r="C871" s="580">
        <v>9</v>
      </c>
      <c r="D871" s="1">
        <v>160.38</v>
      </c>
      <c r="E871" t="s">
        <v>2097</v>
      </c>
      <c r="F871" t="s">
        <v>2285</v>
      </c>
      <c r="G871" s="580">
        <v>17.948799999999999</v>
      </c>
      <c r="H871" s="1" t="s">
        <v>2286</v>
      </c>
      <c r="I871" s="1"/>
      <c r="J871" s="1"/>
      <c r="K871" s="1"/>
      <c r="L871" s="1"/>
      <c r="M871" s="1"/>
      <c r="N871" s="1"/>
      <c r="Q871"/>
    </row>
    <row r="872" spans="1:17" ht="13.15" customHeight="1" x14ac:dyDescent="0.2">
      <c r="A872" s="1" t="s">
        <v>2287</v>
      </c>
      <c r="B872" s="1" t="s">
        <v>2281</v>
      </c>
      <c r="C872" s="580">
        <v>10</v>
      </c>
      <c r="D872" s="1">
        <v>192.93</v>
      </c>
      <c r="E872" t="s">
        <v>2097</v>
      </c>
      <c r="F872" t="s">
        <v>2288</v>
      </c>
      <c r="G872" s="580">
        <v>21.591200000000001</v>
      </c>
      <c r="H872" s="1" t="s">
        <v>2289</v>
      </c>
      <c r="I872" s="1"/>
      <c r="J872" s="1"/>
      <c r="K872" s="1"/>
      <c r="L872" s="1"/>
      <c r="M872" s="1"/>
      <c r="N872" s="1"/>
      <c r="Q872"/>
    </row>
    <row r="873" spans="1:17" ht="13.15" customHeight="1" x14ac:dyDescent="0.2">
      <c r="A873" s="1" t="s">
        <v>2290</v>
      </c>
      <c r="B873" s="1" t="s">
        <v>2281</v>
      </c>
      <c r="C873" s="580">
        <v>11</v>
      </c>
      <c r="D873" s="1">
        <v>201.29</v>
      </c>
      <c r="E873" t="s">
        <v>2097</v>
      </c>
      <c r="F873" t="s">
        <v>2291</v>
      </c>
      <c r="G873" s="580">
        <v>21.720700000000001</v>
      </c>
      <c r="H873" s="1" t="s">
        <v>2292</v>
      </c>
      <c r="I873" s="1"/>
      <c r="J873" s="1"/>
      <c r="K873" s="1"/>
      <c r="L873" s="1"/>
      <c r="M873" s="1"/>
      <c r="N873" s="1"/>
      <c r="Q873"/>
    </row>
    <row r="874" spans="1:17" ht="13.15" customHeight="1" x14ac:dyDescent="0.2">
      <c r="A874" s="1" t="s">
        <v>2293</v>
      </c>
      <c r="B874" s="1" t="s">
        <v>2281</v>
      </c>
      <c r="C874" s="580">
        <v>12</v>
      </c>
      <c r="D874" s="1">
        <v>201.29</v>
      </c>
      <c r="E874" t="s">
        <v>2097</v>
      </c>
      <c r="F874" t="s">
        <v>2294</v>
      </c>
      <c r="G874" s="580">
        <v>21.720700000000001</v>
      </c>
      <c r="H874" s="1" t="s">
        <v>2295</v>
      </c>
      <c r="I874" s="1"/>
      <c r="J874" s="1"/>
      <c r="K874" s="1"/>
      <c r="L874" s="1"/>
      <c r="M874" s="1"/>
      <c r="N874" s="1"/>
      <c r="Q874"/>
    </row>
    <row r="875" spans="1:17" ht="13.15" customHeight="1" x14ac:dyDescent="0.2">
      <c r="A875" s="1" t="s">
        <v>2296</v>
      </c>
      <c r="B875" s="1" t="s">
        <v>2281</v>
      </c>
      <c r="C875" s="580">
        <v>13</v>
      </c>
      <c r="D875" s="1">
        <v>251.84</v>
      </c>
      <c r="E875" t="s">
        <v>2097</v>
      </c>
      <c r="F875" t="s">
        <v>2297</v>
      </c>
      <c r="G875" s="580">
        <v>34.538400000000003</v>
      </c>
      <c r="H875" s="1" t="s">
        <v>2298</v>
      </c>
      <c r="I875" s="1"/>
      <c r="J875" s="1"/>
      <c r="K875" s="1"/>
      <c r="L875" s="1"/>
      <c r="M875" s="1"/>
      <c r="N875" s="1"/>
      <c r="Q875"/>
    </row>
    <row r="876" spans="1:17" ht="13.15" customHeight="1" x14ac:dyDescent="0.2">
      <c r="A876" s="1" t="s">
        <v>2299</v>
      </c>
      <c r="B876" s="1" t="s">
        <v>2281</v>
      </c>
      <c r="C876" s="580">
        <v>14</v>
      </c>
      <c r="D876" s="1">
        <v>225</v>
      </c>
      <c r="E876" t="s">
        <v>2097</v>
      </c>
      <c r="F876" t="s">
        <v>2300</v>
      </c>
      <c r="G876" s="580">
        <v>25.179300000000001</v>
      </c>
      <c r="H876" s="1" t="s">
        <v>2301</v>
      </c>
      <c r="I876" s="1"/>
      <c r="J876" s="1"/>
      <c r="K876" s="1"/>
      <c r="L876" s="1"/>
      <c r="M876" s="1"/>
      <c r="N876" s="1"/>
      <c r="Q876"/>
    </row>
    <row r="877" spans="1:17" ht="13.15" customHeight="1" x14ac:dyDescent="0.2">
      <c r="A877" s="1" t="s">
        <v>2302</v>
      </c>
      <c r="B877" s="1" t="s">
        <v>2281</v>
      </c>
      <c r="C877" s="580">
        <v>15</v>
      </c>
      <c r="D877" s="1">
        <v>269.63</v>
      </c>
      <c r="E877" t="s">
        <v>2097</v>
      </c>
      <c r="F877" t="s">
        <v>2303</v>
      </c>
      <c r="G877" s="580">
        <v>30.179300000000001</v>
      </c>
      <c r="H877" s="1" t="s">
        <v>2304</v>
      </c>
      <c r="I877" s="1"/>
      <c r="J877" s="1"/>
      <c r="K877" s="1"/>
      <c r="L877" s="1"/>
      <c r="M877" s="1"/>
      <c r="N877" s="1"/>
      <c r="Q877"/>
    </row>
    <row r="878" spans="1:17" ht="13.15" customHeight="1" x14ac:dyDescent="0.2">
      <c r="A878" s="1" t="s">
        <v>2305</v>
      </c>
      <c r="B878" s="1" t="s">
        <v>2281</v>
      </c>
      <c r="C878" s="580">
        <v>16</v>
      </c>
      <c r="D878" s="1">
        <v>308.22000000000003</v>
      </c>
      <c r="E878" t="s">
        <v>2097</v>
      </c>
      <c r="F878" t="s">
        <v>2306</v>
      </c>
      <c r="G878" s="580">
        <v>34.502499999999998</v>
      </c>
      <c r="H878" s="1" t="s">
        <v>2307</v>
      </c>
      <c r="I878" s="1"/>
      <c r="J878" s="1"/>
      <c r="K878" s="1"/>
      <c r="L878" s="1"/>
      <c r="M878" s="1"/>
      <c r="N878" s="1"/>
      <c r="Q878"/>
    </row>
    <row r="879" spans="1:17" ht="13.15" customHeight="1" x14ac:dyDescent="0.2">
      <c r="A879" s="1" t="s">
        <v>2308</v>
      </c>
      <c r="B879" s="1" t="s">
        <v>2281</v>
      </c>
      <c r="C879" s="580">
        <v>17</v>
      </c>
      <c r="D879" s="1">
        <v>348.66</v>
      </c>
      <c r="E879" t="s">
        <v>2097</v>
      </c>
      <c r="F879" t="s">
        <v>2309</v>
      </c>
      <c r="G879" s="580">
        <v>39.022100000000002</v>
      </c>
      <c r="H879" s="1" t="s">
        <v>2310</v>
      </c>
      <c r="I879" s="1"/>
      <c r="J879" s="1"/>
      <c r="K879" s="1"/>
      <c r="L879" s="1"/>
      <c r="M879" s="1"/>
      <c r="N879" s="1"/>
      <c r="Q879"/>
    </row>
    <row r="880" spans="1:17" ht="13.15" customHeight="1" x14ac:dyDescent="0.2">
      <c r="A880" s="1" t="s">
        <v>2311</v>
      </c>
      <c r="B880" s="1" t="s">
        <v>2281</v>
      </c>
      <c r="C880" s="580">
        <v>18</v>
      </c>
      <c r="D880" s="1">
        <v>329.03</v>
      </c>
      <c r="E880" t="s">
        <v>2097</v>
      </c>
      <c r="F880" t="s">
        <v>2312</v>
      </c>
      <c r="G880" s="580">
        <v>46.345199999999998</v>
      </c>
      <c r="H880" s="1" t="s">
        <v>2313</v>
      </c>
      <c r="I880" s="1"/>
      <c r="J880" s="1"/>
      <c r="K880" s="1"/>
      <c r="L880" s="1"/>
      <c r="M880" s="1"/>
      <c r="N880" s="1"/>
      <c r="Q880"/>
    </row>
    <row r="881" spans="1:17" ht="13.15" customHeight="1" x14ac:dyDescent="0.2">
      <c r="A881" s="1" t="s">
        <v>2314</v>
      </c>
      <c r="B881" s="1" t="s">
        <v>2281</v>
      </c>
      <c r="C881" s="580">
        <v>19</v>
      </c>
      <c r="D881" s="1">
        <v>442.62</v>
      </c>
      <c r="E881" t="s">
        <v>2097</v>
      </c>
      <c r="F881" t="s">
        <v>2315</v>
      </c>
      <c r="G881" s="580">
        <v>51.724699999999999</v>
      </c>
      <c r="H881" s="1" t="s">
        <v>2316</v>
      </c>
      <c r="I881" s="1"/>
      <c r="J881" s="1"/>
      <c r="K881" s="1"/>
      <c r="L881" s="1"/>
      <c r="M881" s="1"/>
      <c r="N881" s="1"/>
      <c r="Q881"/>
    </row>
    <row r="882" spans="1:17" ht="13.15" customHeight="1" x14ac:dyDescent="0.2">
      <c r="A882" s="1" t="s">
        <v>2317</v>
      </c>
      <c r="B882" s="1" t="s">
        <v>2281</v>
      </c>
      <c r="C882" s="580">
        <v>20</v>
      </c>
      <c r="D882" s="1">
        <v>438.95</v>
      </c>
      <c r="E882" t="s">
        <v>2097</v>
      </c>
      <c r="F882" t="s">
        <v>2318</v>
      </c>
      <c r="G882" s="580">
        <v>51.724699999999999</v>
      </c>
      <c r="H882" s="1" t="s">
        <v>2319</v>
      </c>
      <c r="I882" s="1"/>
      <c r="J882" s="1"/>
      <c r="K882" s="1"/>
      <c r="L882" s="1"/>
      <c r="M882" s="1"/>
      <c r="N882" s="1"/>
      <c r="Q882"/>
    </row>
    <row r="883" spans="1:17" ht="13.15" customHeight="1" x14ac:dyDescent="0.2">
      <c r="A883" s="1" t="s">
        <v>2320</v>
      </c>
      <c r="B883" s="1" t="s">
        <v>2281</v>
      </c>
      <c r="C883" s="580">
        <v>21</v>
      </c>
      <c r="D883" s="1">
        <v>427.16</v>
      </c>
      <c r="E883" t="s">
        <v>2097</v>
      </c>
      <c r="F883" t="s">
        <v>2321</v>
      </c>
      <c r="G883" s="580">
        <v>62.552500000000002</v>
      </c>
      <c r="H883" s="1" t="s">
        <v>2322</v>
      </c>
      <c r="I883" s="1"/>
      <c r="J883" s="1"/>
      <c r="K883" s="1"/>
      <c r="L883" s="1"/>
      <c r="M883" s="1"/>
      <c r="N883" s="1"/>
      <c r="Q883"/>
    </row>
    <row r="884" spans="1:17" ht="13.15" customHeight="1" x14ac:dyDescent="0.2">
      <c r="A884" s="1" t="s">
        <v>2323</v>
      </c>
      <c r="B884" s="1" t="s">
        <v>2281</v>
      </c>
      <c r="C884" s="580">
        <v>22</v>
      </c>
      <c r="D884" s="1">
        <v>502.63</v>
      </c>
      <c r="E884" t="s">
        <v>2097</v>
      </c>
      <c r="F884" t="s">
        <v>2324</v>
      </c>
      <c r="G884" s="580">
        <v>70.447299999999998</v>
      </c>
      <c r="H884" s="1" t="s">
        <v>2325</v>
      </c>
      <c r="I884" s="1"/>
      <c r="J884" s="1"/>
      <c r="K884" s="1"/>
      <c r="L884" s="1"/>
      <c r="M884" s="1"/>
      <c r="N884" s="1"/>
      <c r="Q884"/>
    </row>
    <row r="885" spans="1:17" ht="13.15" customHeight="1" x14ac:dyDescent="0.2">
      <c r="A885" s="1" t="s">
        <v>2326</v>
      </c>
      <c r="B885" s="1" t="s">
        <v>2281</v>
      </c>
      <c r="C885" s="580">
        <v>23</v>
      </c>
      <c r="D885" s="1">
        <v>602.91</v>
      </c>
      <c r="E885" t="s">
        <v>2097</v>
      </c>
      <c r="F885" t="s">
        <v>2327</v>
      </c>
      <c r="G885" s="580">
        <v>127.65600000000001</v>
      </c>
      <c r="H885" s="1" t="s">
        <v>2328</v>
      </c>
      <c r="I885" s="1"/>
      <c r="J885" s="1"/>
      <c r="K885" s="1"/>
      <c r="L885" s="1"/>
      <c r="M885" s="1"/>
      <c r="N885" s="1"/>
      <c r="Q885"/>
    </row>
    <row r="886" spans="1:17" ht="13.15" customHeight="1" x14ac:dyDescent="0.2">
      <c r="A886" s="1" t="s">
        <v>2329</v>
      </c>
      <c r="B886" s="1" t="s">
        <v>2281</v>
      </c>
      <c r="C886" s="580">
        <v>24</v>
      </c>
      <c r="D886" s="1">
        <v>601.29999999999995</v>
      </c>
      <c r="E886" t="s">
        <v>2097</v>
      </c>
      <c r="F886" t="s">
        <v>2330</v>
      </c>
      <c r="G886" s="580">
        <v>92.070300000000003</v>
      </c>
      <c r="H886" s="1" t="s">
        <v>2331</v>
      </c>
      <c r="I886" s="1"/>
      <c r="J886" s="1"/>
      <c r="K886" s="1"/>
      <c r="L886" s="1"/>
      <c r="M886" s="1"/>
      <c r="N886" s="1"/>
      <c r="Q886"/>
    </row>
    <row r="887" spans="1:17" ht="13.15" customHeight="1" x14ac:dyDescent="0.2">
      <c r="A887" s="1" t="s">
        <v>2332</v>
      </c>
      <c r="B887" s="1" t="s">
        <v>2281</v>
      </c>
      <c r="C887" s="580">
        <v>25</v>
      </c>
      <c r="D887" s="1">
        <v>661.43</v>
      </c>
      <c r="E887" t="s">
        <v>2097</v>
      </c>
      <c r="F887" t="s">
        <v>2333</v>
      </c>
      <c r="G887" s="580">
        <v>97.713800000000006</v>
      </c>
      <c r="H887" s="1" t="s">
        <v>2334</v>
      </c>
      <c r="I887" s="1"/>
      <c r="J887" s="1"/>
      <c r="K887" s="1"/>
      <c r="L887" s="1"/>
      <c r="M887" s="1"/>
      <c r="N887" s="1"/>
      <c r="Q887"/>
    </row>
    <row r="888" spans="1:17" ht="13.15" customHeight="1" x14ac:dyDescent="0.2">
      <c r="A888" s="1" t="s">
        <v>2335</v>
      </c>
      <c r="B888" s="1" t="s">
        <v>2281</v>
      </c>
      <c r="C888" s="580">
        <v>26</v>
      </c>
      <c r="D888" s="1">
        <v>749.64</v>
      </c>
      <c r="E888" t="s">
        <v>2097</v>
      </c>
      <c r="F888" t="s">
        <v>2336</v>
      </c>
      <c r="G888" s="580">
        <v>148.75380000000001</v>
      </c>
      <c r="H888" s="1" t="s">
        <v>2337</v>
      </c>
      <c r="I888" s="1"/>
      <c r="J888" s="1"/>
      <c r="K888" s="1"/>
      <c r="L888" s="1"/>
      <c r="M888" s="1"/>
      <c r="N888" s="1"/>
      <c r="Q888"/>
    </row>
    <row r="889" spans="1:17" ht="13.15" customHeight="1" x14ac:dyDescent="0.2">
      <c r="A889" s="1" t="s">
        <v>2338</v>
      </c>
      <c r="B889" s="1" t="s">
        <v>2281</v>
      </c>
      <c r="C889" s="580">
        <v>27</v>
      </c>
      <c r="D889" s="1">
        <v>634.37</v>
      </c>
      <c r="E889" t="s">
        <v>2097</v>
      </c>
      <c r="F889" t="s">
        <v>2339</v>
      </c>
      <c r="G889" s="580">
        <v>106.7072</v>
      </c>
      <c r="H889" s="1" t="s">
        <v>2340</v>
      </c>
      <c r="I889" s="1"/>
      <c r="J889" s="1"/>
      <c r="K889" s="1"/>
      <c r="L889" s="1"/>
      <c r="M889" s="1"/>
      <c r="N889" s="1"/>
      <c r="Q889"/>
    </row>
    <row r="890" spans="1:17" ht="13.15" customHeight="1" x14ac:dyDescent="0.2">
      <c r="A890" s="1" t="s">
        <v>2341</v>
      </c>
      <c r="B890" s="1" t="s">
        <v>2281</v>
      </c>
      <c r="C890" s="580">
        <v>28</v>
      </c>
      <c r="D890" s="1">
        <v>726.85</v>
      </c>
      <c r="E890" t="s">
        <v>2097</v>
      </c>
      <c r="F890" t="s">
        <v>2342</v>
      </c>
      <c r="G890" s="580">
        <v>107.59269999999999</v>
      </c>
      <c r="H890" s="1" t="s">
        <v>2343</v>
      </c>
      <c r="I890" s="1"/>
      <c r="J890" s="1"/>
      <c r="K890" s="1"/>
      <c r="L890" s="1"/>
      <c r="M890" s="1"/>
      <c r="N890" s="1"/>
      <c r="Q890"/>
    </row>
    <row r="891" spans="1:17" ht="13.15" customHeight="1" x14ac:dyDescent="0.2">
      <c r="A891" s="1" t="s">
        <v>2344</v>
      </c>
      <c r="B891" s="1" t="s">
        <v>2281</v>
      </c>
      <c r="C891" s="580">
        <v>29</v>
      </c>
      <c r="D891" s="1">
        <v>660.71</v>
      </c>
      <c r="E891" t="s">
        <v>2097</v>
      </c>
      <c r="F891" t="s">
        <v>2345</v>
      </c>
      <c r="G891" s="580">
        <v>115.0446</v>
      </c>
      <c r="H891" s="1" t="s">
        <v>2346</v>
      </c>
      <c r="I891" s="1"/>
      <c r="J891" s="1"/>
      <c r="K891" s="1"/>
      <c r="L891" s="1"/>
      <c r="M891" s="1"/>
      <c r="N891" s="1"/>
      <c r="Q891"/>
    </row>
    <row r="892" spans="1:17" ht="13.15" customHeight="1" x14ac:dyDescent="0.2">
      <c r="A892" s="1" t="s">
        <v>2347</v>
      </c>
      <c r="B892" s="1" t="s">
        <v>2281</v>
      </c>
      <c r="C892" s="580">
        <v>30</v>
      </c>
      <c r="D892" s="1">
        <v>597.44000000000005</v>
      </c>
      <c r="E892" t="s">
        <v>2097</v>
      </c>
      <c r="F892" t="s">
        <v>2348</v>
      </c>
      <c r="G892" s="580">
        <v>154.251</v>
      </c>
      <c r="H892" s="1" t="s">
        <v>2349</v>
      </c>
      <c r="I892" s="1"/>
      <c r="J892" s="1"/>
      <c r="K892" s="1"/>
      <c r="L892" s="1"/>
      <c r="M892" s="1"/>
      <c r="N892" s="1"/>
      <c r="Q892"/>
    </row>
    <row r="893" spans="1:17" ht="13.15" customHeight="1" x14ac:dyDescent="0.2">
      <c r="A893" s="1" t="s">
        <v>2350</v>
      </c>
      <c r="B893" s="1" t="s">
        <v>2281</v>
      </c>
      <c r="C893" s="580">
        <v>31</v>
      </c>
      <c r="D893" s="1">
        <v>747.62</v>
      </c>
      <c r="E893" t="s">
        <v>2097</v>
      </c>
      <c r="F893" t="s">
        <v>2351</v>
      </c>
      <c r="G893" s="580">
        <v>130.1781</v>
      </c>
      <c r="H893" s="1" t="s">
        <v>2352</v>
      </c>
      <c r="I893" s="1"/>
      <c r="J893" s="1"/>
      <c r="K893" s="1"/>
      <c r="L893" s="1"/>
      <c r="M893" s="1"/>
      <c r="N893" s="1"/>
      <c r="Q893"/>
    </row>
    <row r="894" spans="1:17" ht="13.15" customHeight="1" x14ac:dyDescent="0.2">
      <c r="A894" s="1" t="s">
        <v>2353</v>
      </c>
      <c r="B894" s="1" t="s">
        <v>2281</v>
      </c>
      <c r="C894" s="580">
        <v>32</v>
      </c>
      <c r="D894" s="1">
        <v>902.07</v>
      </c>
      <c r="E894" t="s">
        <v>2097</v>
      </c>
      <c r="F894" t="s">
        <v>2354</v>
      </c>
      <c r="G894" s="580">
        <v>170.1</v>
      </c>
      <c r="H894" s="1" t="s">
        <v>2355</v>
      </c>
      <c r="I894" s="1"/>
      <c r="J894" s="1"/>
      <c r="K894" s="1"/>
      <c r="L894" s="1"/>
      <c r="M894" s="1"/>
      <c r="N894" s="1"/>
      <c r="Q894"/>
    </row>
    <row r="895" spans="1:17" ht="13.15" customHeight="1" x14ac:dyDescent="0.2">
      <c r="A895" s="1" t="s">
        <v>2356</v>
      </c>
      <c r="B895" s="1" t="s">
        <v>2281</v>
      </c>
      <c r="C895" s="580">
        <v>33</v>
      </c>
      <c r="D895" s="1">
        <v>866.84</v>
      </c>
      <c r="E895" t="s">
        <v>2097</v>
      </c>
      <c r="F895" t="s">
        <v>2357</v>
      </c>
      <c r="G895" s="580">
        <v>150.93389999999999</v>
      </c>
      <c r="H895" s="1" t="s">
        <v>2358</v>
      </c>
      <c r="I895" s="1"/>
      <c r="J895" s="1"/>
      <c r="K895" s="1"/>
      <c r="L895" s="1"/>
      <c r="M895" s="1"/>
      <c r="N895" s="1"/>
      <c r="Q895"/>
    </row>
    <row r="896" spans="1:17" ht="13.15" customHeight="1" x14ac:dyDescent="0.2">
      <c r="A896" s="1" t="s">
        <v>2359</v>
      </c>
      <c r="B896" s="1" t="s">
        <v>2281</v>
      </c>
      <c r="C896" s="580">
        <v>34</v>
      </c>
      <c r="D896" s="1">
        <v>828.85</v>
      </c>
      <c r="E896" t="s">
        <v>2097</v>
      </c>
      <c r="F896" t="s">
        <v>2360</v>
      </c>
      <c r="G896" s="580">
        <v>144.32159999999999</v>
      </c>
      <c r="H896" s="1" t="s">
        <v>2361</v>
      </c>
      <c r="I896" s="1"/>
      <c r="J896" s="1"/>
      <c r="K896" s="1"/>
      <c r="L896" s="1"/>
      <c r="M896" s="1"/>
      <c r="N896" s="1"/>
      <c r="Q896"/>
    </row>
    <row r="897" spans="1:17" ht="13.15" customHeight="1" x14ac:dyDescent="0.2">
      <c r="A897" s="1" t="s">
        <v>2362</v>
      </c>
      <c r="B897" s="1" t="s">
        <v>2281</v>
      </c>
      <c r="C897" s="580">
        <v>35</v>
      </c>
      <c r="D897" s="1">
        <v>1048.3599999999999</v>
      </c>
      <c r="E897" t="s">
        <v>2097</v>
      </c>
      <c r="F897" t="s">
        <v>2363</v>
      </c>
      <c r="G897" s="580">
        <v>252.55799999999999</v>
      </c>
      <c r="H897" s="1" t="s">
        <v>2364</v>
      </c>
      <c r="I897" s="1"/>
      <c r="J897" s="1"/>
      <c r="K897" s="1"/>
      <c r="L897" s="1"/>
      <c r="M897" s="1"/>
      <c r="N897" s="1"/>
      <c r="Q897"/>
    </row>
    <row r="898" spans="1:17" ht="13.15" customHeight="1" x14ac:dyDescent="0.2">
      <c r="A898" s="1" t="s">
        <v>2365</v>
      </c>
      <c r="B898" s="1" t="s">
        <v>2281</v>
      </c>
      <c r="C898" s="580">
        <v>36</v>
      </c>
      <c r="D898" s="1">
        <v>1067.27</v>
      </c>
      <c r="E898" t="s">
        <v>2097</v>
      </c>
      <c r="F898" t="s">
        <v>2366</v>
      </c>
      <c r="G898" s="580">
        <v>167.47319999999999</v>
      </c>
      <c r="H898" s="1" t="s">
        <v>2367</v>
      </c>
      <c r="I898" s="1"/>
      <c r="J898" s="1"/>
      <c r="K898" s="1"/>
      <c r="L898" s="1"/>
      <c r="M898" s="1"/>
      <c r="N898" s="1"/>
      <c r="Q898"/>
    </row>
    <row r="899" spans="1:17" ht="13.15" customHeight="1" x14ac:dyDescent="0.2">
      <c r="A899" s="1" t="s">
        <v>2368</v>
      </c>
      <c r="B899" s="1" t="s">
        <v>2281</v>
      </c>
      <c r="C899" s="580">
        <v>37</v>
      </c>
      <c r="D899" s="1">
        <v>991.69</v>
      </c>
      <c r="E899" t="s">
        <v>2097</v>
      </c>
      <c r="F899" t="s">
        <v>2369</v>
      </c>
      <c r="G899" s="580">
        <v>172.6797</v>
      </c>
      <c r="H899" s="1" t="s">
        <v>2370</v>
      </c>
      <c r="I899" s="1"/>
      <c r="J899" s="1"/>
      <c r="K899" s="1"/>
      <c r="L899" s="1"/>
      <c r="M899" s="1"/>
      <c r="N899" s="1"/>
      <c r="Q899"/>
    </row>
    <row r="900" spans="1:17" ht="13.15" customHeight="1" x14ac:dyDescent="0.2">
      <c r="A900" s="1" t="s">
        <v>2371</v>
      </c>
      <c r="B900" s="1" t="s">
        <v>2281</v>
      </c>
      <c r="C900" s="580">
        <v>38</v>
      </c>
      <c r="D900" s="1">
        <v>1429.2</v>
      </c>
      <c r="E900" t="s">
        <v>2097</v>
      </c>
      <c r="F900" t="s">
        <v>2372</v>
      </c>
      <c r="G900" s="580">
        <v>181.24270000000001</v>
      </c>
      <c r="H900" s="1" t="s">
        <v>2373</v>
      </c>
      <c r="I900" s="1"/>
      <c r="J900" s="1"/>
      <c r="K900" s="1"/>
      <c r="L900" s="1"/>
      <c r="M900" s="1"/>
      <c r="N900" s="1"/>
      <c r="Q900"/>
    </row>
    <row r="901" spans="1:17" ht="13.15" customHeight="1" x14ac:dyDescent="0.2">
      <c r="A901" s="1" t="s">
        <v>2374</v>
      </c>
      <c r="B901" s="1" t="s">
        <v>2281</v>
      </c>
      <c r="C901" s="580">
        <v>39</v>
      </c>
      <c r="D901" s="1">
        <v>1087.75</v>
      </c>
      <c r="E901" t="s">
        <v>2097</v>
      </c>
      <c r="F901" t="s">
        <v>2375</v>
      </c>
      <c r="G901" s="580">
        <v>189.3963</v>
      </c>
      <c r="H901" s="1" t="s">
        <v>2376</v>
      </c>
      <c r="I901" s="1"/>
      <c r="J901" s="1"/>
      <c r="K901" s="1"/>
      <c r="L901" s="1"/>
      <c r="M901" s="1"/>
      <c r="N901" s="1"/>
      <c r="Q901"/>
    </row>
    <row r="902" spans="1:17" ht="13.15" customHeight="1" x14ac:dyDescent="0.2">
      <c r="A902" s="1" t="s">
        <v>2377</v>
      </c>
      <c r="B902" s="1" t="s">
        <v>2281</v>
      </c>
      <c r="C902" s="580">
        <v>40</v>
      </c>
      <c r="D902" s="1">
        <v>1561.27</v>
      </c>
      <c r="E902" t="s">
        <v>2097</v>
      </c>
      <c r="F902" t="s">
        <v>2378</v>
      </c>
      <c r="G902" s="580">
        <v>216.95660000000001</v>
      </c>
      <c r="H902" s="1" t="s">
        <v>2379</v>
      </c>
      <c r="I902" s="1"/>
      <c r="J902" s="1"/>
      <c r="K902" s="1"/>
      <c r="L902" s="1"/>
      <c r="M902" s="1"/>
      <c r="N902" s="1"/>
      <c r="Q902"/>
    </row>
    <row r="903" spans="1:17" ht="13.15" customHeight="1" x14ac:dyDescent="0.2">
      <c r="A903" s="1" t="s">
        <v>2380</v>
      </c>
      <c r="B903" s="1" t="s">
        <v>2281</v>
      </c>
      <c r="C903" s="580">
        <v>41</v>
      </c>
      <c r="D903" s="1">
        <v>1344.8</v>
      </c>
      <c r="E903" t="s">
        <v>2097</v>
      </c>
      <c r="F903" t="s">
        <v>2381</v>
      </c>
      <c r="G903" s="580">
        <v>234.15350000000001</v>
      </c>
      <c r="H903" s="1" t="s">
        <v>2382</v>
      </c>
      <c r="I903" s="1"/>
      <c r="J903" s="1"/>
      <c r="K903" s="1"/>
      <c r="L903" s="1"/>
      <c r="M903" s="1"/>
      <c r="N903" s="1"/>
      <c r="Q903"/>
    </row>
    <row r="904" spans="1:17" ht="13.15" customHeight="1" x14ac:dyDescent="0.2">
      <c r="A904" s="1" t="s">
        <v>2383</v>
      </c>
      <c r="B904" s="1" t="s">
        <v>2281</v>
      </c>
      <c r="C904" s="580">
        <v>42</v>
      </c>
      <c r="D904" s="1">
        <v>1955.71</v>
      </c>
      <c r="E904" t="s">
        <v>2097</v>
      </c>
      <c r="F904" t="s">
        <v>2384</v>
      </c>
      <c r="G904" s="580">
        <v>241.30879999999999</v>
      </c>
      <c r="H904" s="1" t="s">
        <v>2385</v>
      </c>
      <c r="I904" s="1"/>
      <c r="J904" s="1"/>
      <c r="K904" s="1"/>
      <c r="L904" s="1"/>
      <c r="M904" s="1"/>
      <c r="N904" s="1"/>
      <c r="Q904"/>
    </row>
    <row r="905" spans="1:17" ht="13.15" customHeight="1" x14ac:dyDescent="0.2">
      <c r="A905" s="1" t="s">
        <v>2386</v>
      </c>
      <c r="B905" s="1" t="s">
        <v>2281</v>
      </c>
      <c r="C905" s="580">
        <v>43</v>
      </c>
      <c r="D905" s="1">
        <v>1434.09</v>
      </c>
      <c r="E905" t="s">
        <v>2097</v>
      </c>
      <c r="F905" t="s">
        <v>2387</v>
      </c>
      <c r="G905" s="580">
        <v>249.70050000000001</v>
      </c>
      <c r="H905" s="1" t="s">
        <v>2388</v>
      </c>
      <c r="I905" s="1"/>
      <c r="J905" s="1"/>
      <c r="K905" s="1"/>
      <c r="L905" s="1"/>
      <c r="M905" s="1"/>
      <c r="N905" s="1"/>
      <c r="Q905"/>
    </row>
    <row r="906" spans="1:17" ht="13.15" customHeight="1" x14ac:dyDescent="0.2">
      <c r="A906" s="1" t="s">
        <v>2389</v>
      </c>
      <c r="B906" s="1" t="s">
        <v>2281</v>
      </c>
      <c r="C906" s="580">
        <v>44</v>
      </c>
      <c r="D906" s="1">
        <v>2365.0100000000002</v>
      </c>
      <c r="E906" t="s">
        <v>2097</v>
      </c>
      <c r="F906" t="s">
        <v>2390</v>
      </c>
      <c r="G906" s="580">
        <v>265.66109999999998</v>
      </c>
      <c r="H906" s="1" t="s">
        <v>2391</v>
      </c>
      <c r="I906" s="1"/>
      <c r="J906" s="1"/>
      <c r="K906" s="1"/>
      <c r="L906" s="1"/>
      <c r="M906" s="1"/>
      <c r="N906" s="1"/>
      <c r="Q906"/>
    </row>
    <row r="907" spans="1:17" ht="13.15" customHeight="1" x14ac:dyDescent="0.2">
      <c r="A907" s="1" t="s">
        <v>2392</v>
      </c>
      <c r="B907" s="1" t="s">
        <v>2281</v>
      </c>
      <c r="C907" s="580">
        <v>45</v>
      </c>
      <c r="D907" s="1">
        <v>1985.13</v>
      </c>
      <c r="E907" t="s">
        <v>2097</v>
      </c>
      <c r="F907" t="s">
        <v>2393</v>
      </c>
      <c r="G907" s="580">
        <v>248.55600000000001</v>
      </c>
      <c r="H907" s="1" t="s">
        <v>2394</v>
      </c>
      <c r="I907" s="1"/>
      <c r="J907" s="1"/>
      <c r="K907" s="1"/>
      <c r="L907" s="1"/>
      <c r="M907" s="1"/>
      <c r="N907" s="1"/>
      <c r="Q907"/>
    </row>
    <row r="908" spans="1:17" ht="13.15" customHeight="1" x14ac:dyDescent="0.2">
      <c r="A908" s="1" t="s">
        <v>2395</v>
      </c>
      <c r="B908" s="1" t="s">
        <v>2281</v>
      </c>
      <c r="C908" s="580">
        <v>46</v>
      </c>
      <c r="D908" s="1">
        <v>1574.8</v>
      </c>
      <c r="E908" t="s">
        <v>2097</v>
      </c>
      <c r="F908" t="s">
        <v>2396</v>
      </c>
      <c r="G908" s="580">
        <v>274.51650000000001</v>
      </c>
      <c r="H908" s="1" t="s">
        <v>2397</v>
      </c>
      <c r="I908" s="1"/>
      <c r="J908" s="1"/>
      <c r="K908" s="1"/>
      <c r="L908" s="1"/>
      <c r="M908" s="1"/>
      <c r="N908" s="1"/>
      <c r="Q908"/>
    </row>
    <row r="909" spans="1:17" ht="13.15" customHeight="1" x14ac:dyDescent="0.2">
      <c r="A909" s="1" t="s">
        <v>2398</v>
      </c>
      <c r="B909" s="1" t="s">
        <v>2281</v>
      </c>
      <c r="C909" s="580">
        <v>47</v>
      </c>
      <c r="D909" s="1">
        <v>2092.92</v>
      </c>
      <c r="E909" t="s">
        <v>2097</v>
      </c>
      <c r="F909" t="s">
        <v>2399</v>
      </c>
      <c r="G909" s="580">
        <v>256.8057</v>
      </c>
      <c r="H909" s="1" t="s">
        <v>2400</v>
      </c>
      <c r="I909" s="1"/>
      <c r="J909" s="1"/>
      <c r="K909" s="1"/>
      <c r="L909" s="1"/>
      <c r="M909" s="1"/>
      <c r="N909" s="1"/>
      <c r="Q909"/>
    </row>
    <row r="910" spans="1:17" ht="13.15" customHeight="1" x14ac:dyDescent="0.2">
      <c r="A910" s="1" t="s">
        <v>2401</v>
      </c>
      <c r="B910" s="1" t="s">
        <v>2281</v>
      </c>
      <c r="C910" s="580">
        <v>48</v>
      </c>
      <c r="D910" s="1">
        <v>1696.56</v>
      </c>
      <c r="E910" t="s">
        <v>2097</v>
      </c>
      <c r="F910" t="s">
        <v>2402</v>
      </c>
      <c r="G910" s="580">
        <v>295.40589999999997</v>
      </c>
      <c r="H910" s="1" t="s">
        <v>2403</v>
      </c>
      <c r="I910" s="1"/>
      <c r="J910" s="1"/>
      <c r="K910" s="1"/>
      <c r="L910" s="1"/>
      <c r="M910" s="1"/>
      <c r="N910" s="1"/>
      <c r="Q910"/>
    </row>
    <row r="911" spans="1:17" ht="13.15" customHeight="1" x14ac:dyDescent="0.2">
      <c r="A911" s="1" t="s">
        <v>2404</v>
      </c>
      <c r="B911" s="1" t="s">
        <v>2281</v>
      </c>
      <c r="C911" s="580">
        <v>50</v>
      </c>
      <c r="D911" s="1">
        <v>1861.62</v>
      </c>
      <c r="E911" t="s">
        <v>2097</v>
      </c>
      <c r="F911" t="s">
        <v>2405</v>
      </c>
      <c r="G911" s="580">
        <v>282.28500000000003</v>
      </c>
      <c r="H911" s="1" t="s">
        <v>2406</v>
      </c>
      <c r="I911" s="1"/>
      <c r="J911" s="1"/>
      <c r="K911" s="1"/>
      <c r="L911" s="1"/>
      <c r="M911" s="1"/>
      <c r="N911" s="1"/>
      <c r="Q911"/>
    </row>
    <row r="912" spans="1:17" ht="13.15" customHeight="1" x14ac:dyDescent="0.2">
      <c r="A912" s="1" t="s">
        <v>2407</v>
      </c>
      <c r="B912" s="1" t="s">
        <v>2281</v>
      </c>
      <c r="C912" s="580">
        <v>51</v>
      </c>
      <c r="D912" s="1">
        <v>1868.11</v>
      </c>
      <c r="E912" t="s">
        <v>2097</v>
      </c>
      <c r="F912" t="s">
        <v>2408</v>
      </c>
      <c r="G912" s="580">
        <v>325.27609999999999</v>
      </c>
      <c r="H912" s="1" t="s">
        <v>2409</v>
      </c>
      <c r="I912" s="1"/>
      <c r="J912" s="1"/>
      <c r="K912" s="1"/>
      <c r="L912" s="1"/>
      <c r="M912" s="1"/>
      <c r="N912" s="1"/>
      <c r="Q912"/>
    </row>
    <row r="913" spans="1:17" ht="13.15" customHeight="1" x14ac:dyDescent="0.2">
      <c r="A913" s="1" t="s">
        <v>2410</v>
      </c>
      <c r="B913" s="1" t="s">
        <v>2281</v>
      </c>
      <c r="C913" s="580">
        <v>52</v>
      </c>
      <c r="D913" s="1">
        <v>2029.38</v>
      </c>
      <c r="E913" t="s">
        <v>2097</v>
      </c>
      <c r="F913" t="s">
        <v>2411</v>
      </c>
      <c r="G913" s="580">
        <v>295.1678</v>
      </c>
      <c r="H913" s="1" t="s">
        <v>2412</v>
      </c>
      <c r="I913" s="1"/>
      <c r="J913" s="1"/>
      <c r="K913" s="1"/>
      <c r="L913" s="1"/>
      <c r="M913" s="1"/>
      <c r="N913" s="1"/>
      <c r="Q913"/>
    </row>
    <row r="914" spans="1:17" ht="13.15" customHeight="1" x14ac:dyDescent="0.2">
      <c r="A914" s="1" t="s">
        <v>2413</v>
      </c>
      <c r="B914" s="1" t="s">
        <v>2281</v>
      </c>
      <c r="C914" s="580">
        <v>53</v>
      </c>
      <c r="D914" s="1">
        <v>2048.3200000000002</v>
      </c>
      <c r="E914" t="s">
        <v>2097</v>
      </c>
      <c r="F914" t="s">
        <v>2414</v>
      </c>
      <c r="G914" s="580">
        <v>356.65</v>
      </c>
      <c r="H914" s="1" t="s">
        <v>2415</v>
      </c>
      <c r="I914" s="1"/>
      <c r="J914" s="1"/>
      <c r="K914" s="1"/>
      <c r="L914" s="1"/>
      <c r="M914" s="1"/>
      <c r="N914" s="1"/>
      <c r="Q914"/>
    </row>
    <row r="915" spans="1:17" ht="13.15" customHeight="1" x14ac:dyDescent="0.2">
      <c r="A915" s="1" t="s">
        <v>2416</v>
      </c>
      <c r="B915" s="1" t="s">
        <v>2281</v>
      </c>
      <c r="C915" s="580">
        <v>54</v>
      </c>
      <c r="D915" s="1">
        <v>2048.3200000000002</v>
      </c>
      <c r="E915" t="s">
        <v>2097</v>
      </c>
      <c r="F915" t="s">
        <v>2417</v>
      </c>
      <c r="G915" s="580">
        <v>356.65</v>
      </c>
      <c r="H915" s="1" t="s">
        <v>2418</v>
      </c>
      <c r="I915" s="1"/>
      <c r="J915" s="1"/>
      <c r="K915" s="1"/>
      <c r="L915" s="1"/>
      <c r="M915" s="1"/>
      <c r="N915" s="1"/>
      <c r="Q915"/>
    </row>
    <row r="916" spans="1:17" ht="13.15" customHeight="1" x14ac:dyDescent="0.2">
      <c r="A916" s="1" t="s">
        <v>2419</v>
      </c>
      <c r="B916" s="1" t="s">
        <v>2281</v>
      </c>
      <c r="C916" s="580">
        <v>55</v>
      </c>
      <c r="D916" s="1">
        <v>1961.73</v>
      </c>
      <c r="E916" t="s">
        <v>2097</v>
      </c>
      <c r="F916" t="s">
        <v>2420</v>
      </c>
      <c r="G916" s="580">
        <v>341.58330000000001</v>
      </c>
      <c r="H916" s="1" t="s">
        <v>2421</v>
      </c>
      <c r="I916" s="1"/>
      <c r="J916" s="1"/>
      <c r="K916" s="1"/>
      <c r="L916" s="1"/>
      <c r="M916" s="1"/>
      <c r="N916" s="1"/>
      <c r="Q916"/>
    </row>
    <row r="917" spans="1:17" ht="13.15" customHeight="1" x14ac:dyDescent="0.2">
      <c r="A917" s="1" t="s">
        <v>2422</v>
      </c>
      <c r="B917" s="1" t="s">
        <v>2281</v>
      </c>
      <c r="C917" s="580">
        <v>56</v>
      </c>
      <c r="D917" s="1">
        <v>2229.61</v>
      </c>
      <c r="E917" t="s">
        <v>2097</v>
      </c>
      <c r="F917" t="s">
        <v>2423</v>
      </c>
      <c r="G917" s="580">
        <v>388.21600000000001</v>
      </c>
      <c r="H917" s="1" t="s">
        <v>2424</v>
      </c>
      <c r="I917" s="1"/>
      <c r="J917" s="1"/>
      <c r="K917" s="1"/>
      <c r="L917" s="1"/>
      <c r="M917" s="1"/>
      <c r="N917" s="1"/>
      <c r="Q917"/>
    </row>
    <row r="918" spans="1:17" ht="13.15" customHeight="1" x14ac:dyDescent="0.2">
      <c r="A918" s="1" t="s">
        <v>2425</v>
      </c>
      <c r="B918" s="1" t="s">
        <v>2281</v>
      </c>
      <c r="C918" s="580">
        <v>57</v>
      </c>
      <c r="D918" s="1">
        <v>2105.7399999999998</v>
      </c>
      <c r="E918" t="s">
        <v>2097</v>
      </c>
      <c r="F918" t="s">
        <v>2426</v>
      </c>
      <c r="G918" s="580">
        <v>388.21600000000001</v>
      </c>
      <c r="H918" s="1" t="s">
        <v>2427</v>
      </c>
      <c r="I918" s="1"/>
      <c r="J918" s="1"/>
      <c r="K918" s="1"/>
      <c r="L918" s="1"/>
      <c r="M918" s="1"/>
      <c r="N918" s="1"/>
      <c r="Q918"/>
    </row>
    <row r="919" spans="1:17" ht="13.15" customHeight="1" x14ac:dyDescent="0.2">
      <c r="A919" s="1" t="s">
        <v>2428</v>
      </c>
      <c r="B919" s="1" t="s">
        <v>2281</v>
      </c>
      <c r="C919" s="580">
        <v>58</v>
      </c>
      <c r="D919" s="1">
        <v>2800.6</v>
      </c>
      <c r="E919" t="s">
        <v>2097</v>
      </c>
      <c r="F919" t="s">
        <v>2429</v>
      </c>
      <c r="G919" s="580">
        <v>430.73849999999999</v>
      </c>
      <c r="H919" s="1" t="s">
        <v>2430</v>
      </c>
      <c r="I919" s="1"/>
      <c r="J919" s="1"/>
      <c r="K919" s="1"/>
      <c r="L919" s="1"/>
      <c r="M919" s="1"/>
      <c r="N919" s="1"/>
      <c r="Q919"/>
    </row>
    <row r="920" spans="1:17" ht="13.15" customHeight="1" x14ac:dyDescent="0.2">
      <c r="A920" s="1" t="s">
        <v>2431</v>
      </c>
      <c r="B920" s="1" t="s">
        <v>2281</v>
      </c>
      <c r="C920" s="580">
        <v>60</v>
      </c>
      <c r="D920" s="1">
        <v>2869.94</v>
      </c>
      <c r="E920" t="s">
        <v>2097</v>
      </c>
      <c r="F920" t="s">
        <v>2432</v>
      </c>
      <c r="G920" s="580">
        <v>414.9325</v>
      </c>
      <c r="H920" s="1" t="s">
        <v>2433</v>
      </c>
      <c r="I920" s="1"/>
      <c r="J920" s="1"/>
      <c r="K920" s="1"/>
      <c r="L920" s="1"/>
      <c r="M920" s="1"/>
      <c r="N920" s="1"/>
      <c r="Q920"/>
    </row>
    <row r="921" spans="1:17" ht="13.15" customHeight="1" x14ac:dyDescent="0.2">
      <c r="A921" s="1" t="s">
        <v>2434</v>
      </c>
      <c r="B921" s="1" t="s">
        <v>2281</v>
      </c>
      <c r="C921" s="580">
        <v>62</v>
      </c>
      <c r="D921" s="1">
        <v>3061.35</v>
      </c>
      <c r="E921" t="s">
        <v>2097</v>
      </c>
      <c r="F921" t="s">
        <v>2435</v>
      </c>
      <c r="G921" s="580">
        <v>414.9325</v>
      </c>
      <c r="H921" s="1" t="s">
        <v>2436</v>
      </c>
      <c r="I921" s="1"/>
      <c r="J921" s="1"/>
      <c r="K921" s="1"/>
      <c r="L921" s="1"/>
      <c r="M921" s="1"/>
      <c r="N921" s="1"/>
      <c r="Q921"/>
    </row>
    <row r="922" spans="1:17" ht="13.15" customHeight="1" x14ac:dyDescent="0.2">
      <c r="A922" s="1" t="s">
        <v>2437</v>
      </c>
      <c r="B922" s="1" t="s">
        <v>2281</v>
      </c>
      <c r="C922" s="580">
        <v>63</v>
      </c>
      <c r="D922" s="1">
        <v>2825.48</v>
      </c>
      <c r="E922" t="s">
        <v>2097</v>
      </c>
      <c r="F922" t="s">
        <v>2438</v>
      </c>
      <c r="G922" s="580">
        <v>434.69</v>
      </c>
      <c r="H922" s="1" t="s">
        <v>2439</v>
      </c>
      <c r="I922" s="1"/>
      <c r="J922" s="1"/>
      <c r="K922" s="1"/>
      <c r="L922" s="1"/>
      <c r="M922" s="1"/>
      <c r="N922" s="1"/>
      <c r="Q922"/>
    </row>
    <row r="923" spans="1:17" ht="13.15" customHeight="1" x14ac:dyDescent="0.2">
      <c r="A923" s="1" t="s">
        <v>2440</v>
      </c>
      <c r="B923" s="1" t="s">
        <v>2281</v>
      </c>
      <c r="C923" s="580">
        <v>65</v>
      </c>
      <c r="D923" s="1">
        <v>2825.48</v>
      </c>
      <c r="E923" t="s">
        <v>2097</v>
      </c>
      <c r="F923" t="s">
        <v>2441</v>
      </c>
      <c r="G923" s="580">
        <v>520.91290000000004</v>
      </c>
      <c r="H923" s="1" t="s">
        <v>2442</v>
      </c>
      <c r="I923" s="1"/>
      <c r="J923" s="1"/>
      <c r="K923" s="1"/>
      <c r="L923" s="1"/>
      <c r="M923" s="1"/>
      <c r="N923" s="1"/>
      <c r="Q923"/>
    </row>
    <row r="924" spans="1:17" ht="13.15" customHeight="1" x14ac:dyDescent="0.2">
      <c r="A924" s="1" t="s">
        <v>2443</v>
      </c>
      <c r="B924" s="1" t="s">
        <v>2281</v>
      </c>
      <c r="C924" s="580">
        <v>67</v>
      </c>
      <c r="D924" s="1">
        <v>3175.66</v>
      </c>
      <c r="E924" t="s">
        <v>2097</v>
      </c>
      <c r="F924" t="s">
        <v>2444</v>
      </c>
      <c r="G924" s="580">
        <v>585.47349999999994</v>
      </c>
      <c r="H924" s="1" t="s">
        <v>2445</v>
      </c>
      <c r="I924" s="1"/>
      <c r="J924" s="1"/>
      <c r="K924" s="1"/>
      <c r="L924" s="1"/>
      <c r="M924" s="1"/>
      <c r="N924" s="1"/>
      <c r="Q924"/>
    </row>
    <row r="925" spans="1:17" ht="13.15" customHeight="1" x14ac:dyDescent="0.2">
      <c r="A925" s="1" t="s">
        <v>2446</v>
      </c>
      <c r="B925" s="1" t="s">
        <v>2281</v>
      </c>
      <c r="C925" s="580">
        <v>68</v>
      </c>
      <c r="D925" s="1">
        <v>3368.17</v>
      </c>
      <c r="E925" t="s">
        <v>2097</v>
      </c>
      <c r="F925" t="s">
        <v>2447</v>
      </c>
      <c r="G925" s="580">
        <v>620.96600000000001</v>
      </c>
      <c r="H925" s="1" t="s">
        <v>2448</v>
      </c>
      <c r="I925" s="1"/>
      <c r="J925" s="1"/>
      <c r="K925" s="1"/>
      <c r="L925" s="1"/>
      <c r="M925" s="1"/>
      <c r="N925" s="1"/>
      <c r="Q925"/>
    </row>
    <row r="926" spans="1:17" ht="13.15" customHeight="1" x14ac:dyDescent="0.2">
      <c r="A926" s="1" t="s">
        <v>2449</v>
      </c>
      <c r="B926" s="1" t="s">
        <v>2281</v>
      </c>
      <c r="C926" s="580">
        <v>70</v>
      </c>
      <c r="D926" s="1">
        <v>3368.17</v>
      </c>
      <c r="E926" t="s">
        <v>2097</v>
      </c>
      <c r="F926" t="s">
        <v>2450</v>
      </c>
      <c r="G926" s="580">
        <v>620.96600000000001</v>
      </c>
      <c r="H926" s="1" t="s">
        <v>2451</v>
      </c>
      <c r="I926" s="1"/>
      <c r="J926" s="1"/>
      <c r="K926" s="1"/>
      <c r="L926" s="1"/>
      <c r="M926" s="1"/>
      <c r="N926" s="1"/>
      <c r="Q926"/>
    </row>
    <row r="927" spans="1:17" ht="13.15" customHeight="1" x14ac:dyDescent="0.2">
      <c r="A927" s="1" t="s">
        <v>2452</v>
      </c>
      <c r="B927" s="1" t="s">
        <v>2281</v>
      </c>
      <c r="C927" s="580">
        <v>72</v>
      </c>
      <c r="D927" s="1">
        <v>5246.3</v>
      </c>
      <c r="E927" t="s">
        <v>2097</v>
      </c>
      <c r="F927" t="s">
        <v>2453</v>
      </c>
      <c r="G927" s="580">
        <v>603.58500000000004</v>
      </c>
      <c r="H927" s="1" t="s">
        <v>2454</v>
      </c>
      <c r="I927" s="1"/>
      <c r="J927" s="1"/>
      <c r="K927" s="1"/>
      <c r="L927" s="1"/>
      <c r="M927" s="1"/>
      <c r="N927" s="1"/>
      <c r="Q927"/>
    </row>
    <row r="928" spans="1:17" ht="13.15" customHeight="1" x14ac:dyDescent="0.2">
      <c r="A928" s="1" t="s">
        <v>2455</v>
      </c>
      <c r="B928" s="1" t="s">
        <v>2281</v>
      </c>
      <c r="C928" s="580">
        <v>75</v>
      </c>
      <c r="D928" s="1">
        <v>3354.87</v>
      </c>
      <c r="E928" t="s">
        <v>2097</v>
      </c>
      <c r="F928" t="s">
        <v>2456</v>
      </c>
      <c r="G928" s="580">
        <v>618.50580000000002</v>
      </c>
      <c r="H928" s="1" t="s">
        <v>2457</v>
      </c>
      <c r="I928" s="1"/>
      <c r="J928" s="1"/>
      <c r="K928" s="1"/>
      <c r="L928" s="1"/>
      <c r="M928" s="1"/>
      <c r="N928" s="1"/>
      <c r="Q928"/>
    </row>
    <row r="929" spans="1:17" ht="13.15" customHeight="1" x14ac:dyDescent="0.2">
      <c r="A929" s="1" t="s">
        <v>2458</v>
      </c>
      <c r="B929" s="1" t="s">
        <v>2281</v>
      </c>
      <c r="C929" s="580">
        <v>80</v>
      </c>
      <c r="D929" s="1">
        <v>7870.65</v>
      </c>
      <c r="E929" t="s">
        <v>2097</v>
      </c>
      <c r="F929" t="s">
        <v>2459</v>
      </c>
      <c r="G929" s="580">
        <v>686.12819999999999</v>
      </c>
      <c r="H929" s="1" t="s">
        <v>2460</v>
      </c>
      <c r="I929" s="1"/>
      <c r="J929" s="1"/>
      <c r="K929" s="1"/>
      <c r="L929" s="1"/>
      <c r="M929" s="1"/>
      <c r="N929" s="1"/>
      <c r="Q929"/>
    </row>
    <row r="930" spans="1:17" ht="13.15" customHeight="1" x14ac:dyDescent="0.2">
      <c r="A930" s="1" t="s">
        <v>2461</v>
      </c>
      <c r="B930" s="1" t="s">
        <v>2281</v>
      </c>
      <c r="C930" s="580">
        <v>82</v>
      </c>
      <c r="D930" s="1">
        <v>3909.94</v>
      </c>
      <c r="E930" t="s">
        <v>2097</v>
      </c>
      <c r="F930" t="s">
        <v>2462</v>
      </c>
      <c r="G930" s="580">
        <v>720.827</v>
      </c>
      <c r="H930" s="1" t="s">
        <v>2463</v>
      </c>
      <c r="I930" s="1"/>
      <c r="J930" s="1"/>
      <c r="K930" s="1"/>
      <c r="L930" s="1"/>
      <c r="M930" s="1"/>
      <c r="N930" s="1"/>
      <c r="Q930"/>
    </row>
    <row r="931" spans="1:17" ht="13.15" customHeight="1" x14ac:dyDescent="0.2">
      <c r="A931" s="1" t="s">
        <v>2464</v>
      </c>
      <c r="B931" s="1" t="s">
        <v>2281</v>
      </c>
      <c r="C931" s="580">
        <v>85</v>
      </c>
      <c r="D931" s="1">
        <v>4583.25</v>
      </c>
      <c r="E931" t="s">
        <v>2097</v>
      </c>
      <c r="F931" t="s">
        <v>2465</v>
      </c>
      <c r="G931" s="580">
        <v>844.97770000000003</v>
      </c>
      <c r="H931" s="1" t="s">
        <v>2466</v>
      </c>
      <c r="I931" s="1"/>
      <c r="J931" s="1"/>
      <c r="K931" s="1"/>
      <c r="L931" s="1"/>
      <c r="M931" s="1"/>
      <c r="N931" s="1"/>
      <c r="Q931"/>
    </row>
    <row r="932" spans="1:17" ht="13.15" customHeight="1" x14ac:dyDescent="0.2">
      <c r="A932" s="1" t="s">
        <v>2467</v>
      </c>
      <c r="B932" s="1" t="s">
        <v>2281</v>
      </c>
      <c r="C932" s="580">
        <v>89</v>
      </c>
      <c r="D932" s="1">
        <v>5300.78</v>
      </c>
      <c r="E932" t="s">
        <v>2097</v>
      </c>
      <c r="F932" t="s">
        <v>2468</v>
      </c>
      <c r="G932" s="580">
        <v>977.26520000000005</v>
      </c>
      <c r="H932" s="1" t="s">
        <v>2469</v>
      </c>
      <c r="I932" s="1"/>
      <c r="J932" s="1"/>
      <c r="K932" s="1"/>
      <c r="L932" s="1"/>
      <c r="M932" s="1"/>
      <c r="N932" s="1"/>
      <c r="Q932"/>
    </row>
    <row r="933" spans="1:17" ht="13.15" customHeight="1" x14ac:dyDescent="0.2">
      <c r="A933" s="1" t="s">
        <v>2470</v>
      </c>
      <c r="B933" s="1" t="s">
        <v>2281</v>
      </c>
      <c r="C933" s="580">
        <v>95</v>
      </c>
      <c r="D933" s="1">
        <v>5300.78</v>
      </c>
      <c r="E933" t="s">
        <v>2097</v>
      </c>
      <c r="F933" t="s">
        <v>2471</v>
      </c>
      <c r="G933" s="580">
        <v>977.26520000000005</v>
      </c>
      <c r="H933" s="1" t="s">
        <v>2472</v>
      </c>
      <c r="I933" s="1"/>
      <c r="J933" s="1"/>
      <c r="K933" s="1"/>
      <c r="L933" s="1"/>
      <c r="M933" s="1"/>
      <c r="N933" s="1"/>
      <c r="Q933"/>
    </row>
    <row r="934" spans="1:17" ht="13.15" customHeight="1" x14ac:dyDescent="0.2">
      <c r="A934" s="1" t="s">
        <v>2473</v>
      </c>
      <c r="B934" s="1" t="s">
        <v>2281</v>
      </c>
      <c r="C934" s="580">
        <v>100</v>
      </c>
      <c r="D934" s="1">
        <v>6091.04</v>
      </c>
      <c r="E934" t="s">
        <v>2097</v>
      </c>
      <c r="F934" t="s">
        <v>2474</v>
      </c>
      <c r="G934" s="580">
        <v>1122.9527</v>
      </c>
      <c r="H934" s="1" t="s">
        <v>2475</v>
      </c>
      <c r="I934" s="1"/>
      <c r="J934" s="1"/>
      <c r="K934" s="1"/>
      <c r="L934" s="1"/>
      <c r="M934" s="1"/>
      <c r="N934" s="1"/>
      <c r="Q934"/>
    </row>
    <row r="935" spans="1:17" ht="13.15" customHeight="1" x14ac:dyDescent="0.2">
      <c r="A935" s="1" t="s">
        <v>2476</v>
      </c>
      <c r="B935" s="1" t="s">
        <v>2281</v>
      </c>
      <c r="C935" s="580">
        <v>105</v>
      </c>
      <c r="D935" s="1">
        <v>10815.75</v>
      </c>
      <c r="E935" t="s">
        <v>2097</v>
      </c>
      <c r="F935" t="s">
        <v>2477</v>
      </c>
      <c r="G935" s="580">
        <v>1994.0201999999999</v>
      </c>
      <c r="H935" s="1" t="s">
        <v>2478</v>
      </c>
      <c r="I935" s="1"/>
      <c r="J935" s="1"/>
      <c r="K935" s="1"/>
      <c r="L935" s="1"/>
      <c r="M935" s="1"/>
      <c r="N935" s="1"/>
      <c r="Q935"/>
    </row>
    <row r="936" spans="1:17" ht="13.15" customHeight="1" x14ac:dyDescent="0.2">
      <c r="A936" s="1" t="s">
        <v>2479</v>
      </c>
      <c r="B936" s="1" t="s">
        <v>2480</v>
      </c>
      <c r="C936" s="580">
        <v>5</v>
      </c>
      <c r="D936" s="1">
        <v>120.669</v>
      </c>
      <c r="E936" t="s">
        <v>2481</v>
      </c>
      <c r="F936">
        <v>5</v>
      </c>
      <c r="G936" s="580">
        <v>13.0914</v>
      </c>
      <c r="H936" s="1" t="s">
        <v>2482</v>
      </c>
      <c r="I936" s="1"/>
      <c r="J936" s="1"/>
      <c r="K936" s="1"/>
      <c r="L936" s="1"/>
      <c r="M936" s="1"/>
      <c r="N936" s="1"/>
      <c r="Q936"/>
    </row>
    <row r="937" spans="1:17" ht="13.15" customHeight="1" x14ac:dyDescent="0.2">
      <c r="A937" s="1" t="s">
        <v>2483</v>
      </c>
      <c r="B937" s="1" t="s">
        <v>2480</v>
      </c>
      <c r="C937" s="580">
        <v>6</v>
      </c>
      <c r="D937" s="1">
        <v>97.427800000000005</v>
      </c>
      <c r="E937" t="s">
        <v>2481</v>
      </c>
      <c r="F937">
        <v>6</v>
      </c>
      <c r="G937" s="580">
        <v>11.5763</v>
      </c>
      <c r="H937" s="1" t="s">
        <v>2484</v>
      </c>
      <c r="I937" s="1"/>
      <c r="J937" s="1"/>
      <c r="K937" s="1"/>
      <c r="L937" s="1"/>
      <c r="M937" s="1"/>
      <c r="N937" s="1"/>
      <c r="Q937"/>
    </row>
    <row r="938" spans="1:17" ht="13.15" customHeight="1" x14ac:dyDescent="0.2">
      <c r="A938" s="1" t="s">
        <v>2485</v>
      </c>
      <c r="B938" s="1" t="s">
        <v>2480</v>
      </c>
      <c r="C938" s="580">
        <v>7</v>
      </c>
      <c r="D938" s="1">
        <v>91.939899999999994</v>
      </c>
      <c r="E938" t="s">
        <v>2481</v>
      </c>
      <c r="F938">
        <v>7</v>
      </c>
      <c r="G938" s="580">
        <v>11.5763</v>
      </c>
      <c r="H938" s="1" t="s">
        <v>2486</v>
      </c>
      <c r="I938" s="1"/>
      <c r="J938" s="1"/>
      <c r="K938" s="1"/>
      <c r="L938" s="1"/>
      <c r="M938" s="1"/>
      <c r="N938" s="1"/>
      <c r="Q938"/>
    </row>
    <row r="939" spans="1:17" ht="13.15" customHeight="1" x14ac:dyDescent="0.2">
      <c r="A939" s="1" t="s">
        <v>2487</v>
      </c>
      <c r="B939" s="1" t="s">
        <v>2480</v>
      </c>
      <c r="C939" s="580">
        <v>8</v>
      </c>
      <c r="D939" s="1">
        <v>86.931299999999993</v>
      </c>
      <c r="E939" t="s">
        <v>2481</v>
      </c>
      <c r="F939">
        <v>8</v>
      </c>
      <c r="G939" s="580">
        <v>11.5763</v>
      </c>
      <c r="H939" s="1" t="s">
        <v>2488</v>
      </c>
      <c r="I939" s="1"/>
      <c r="J939" s="1"/>
      <c r="K939" s="1"/>
      <c r="L939" s="1"/>
      <c r="M939" s="1"/>
      <c r="N939" s="1"/>
      <c r="Q939"/>
    </row>
    <row r="940" spans="1:17" ht="13.15" customHeight="1" x14ac:dyDescent="0.2">
      <c r="A940" s="1" t="s">
        <v>2489</v>
      </c>
      <c r="B940" s="1" t="s">
        <v>2480</v>
      </c>
      <c r="C940" s="580">
        <v>9</v>
      </c>
      <c r="D940" s="1">
        <v>86.931299999999993</v>
      </c>
      <c r="E940" t="s">
        <v>2481</v>
      </c>
      <c r="F940">
        <v>9</v>
      </c>
      <c r="G940" s="580">
        <v>11.5763</v>
      </c>
      <c r="H940" s="1" t="s">
        <v>2490</v>
      </c>
      <c r="I940" s="1"/>
      <c r="J940" s="1"/>
      <c r="K940" s="1"/>
      <c r="L940" s="1"/>
      <c r="M940" s="1"/>
      <c r="N940" s="1"/>
      <c r="Q940"/>
    </row>
    <row r="941" spans="1:17" ht="13.15" customHeight="1" x14ac:dyDescent="0.2">
      <c r="A941" s="1" t="s">
        <v>2491</v>
      </c>
      <c r="B941" s="1" t="s">
        <v>2480</v>
      </c>
      <c r="C941" s="580">
        <v>10</v>
      </c>
      <c r="D941" s="1">
        <v>86.931299999999993</v>
      </c>
      <c r="E941" t="s">
        <v>2481</v>
      </c>
      <c r="F941">
        <v>10</v>
      </c>
      <c r="G941" s="580">
        <v>11.5763</v>
      </c>
      <c r="H941" s="1" t="s">
        <v>2492</v>
      </c>
      <c r="I941" s="1"/>
      <c r="J941" s="1"/>
      <c r="K941" s="1"/>
      <c r="L941" s="1"/>
      <c r="M941" s="1"/>
      <c r="N941" s="1"/>
      <c r="Q941"/>
    </row>
    <row r="942" spans="1:17" ht="13.15" customHeight="1" x14ac:dyDescent="0.2">
      <c r="A942" s="1" t="s">
        <v>2493</v>
      </c>
      <c r="B942" s="1" t="s">
        <v>2480</v>
      </c>
      <c r="C942" s="580">
        <v>11</v>
      </c>
      <c r="D942" s="1">
        <v>89.617400000000004</v>
      </c>
      <c r="E942" t="s">
        <v>2481</v>
      </c>
      <c r="F942">
        <v>11</v>
      </c>
      <c r="G942" s="580">
        <v>11.8535</v>
      </c>
      <c r="H942" s="1" t="s">
        <v>2494</v>
      </c>
      <c r="I942" s="1"/>
      <c r="J942" s="1"/>
      <c r="K942" s="1"/>
      <c r="L942" s="1"/>
      <c r="M942" s="1"/>
      <c r="N942" s="1"/>
      <c r="Q942"/>
    </row>
    <row r="943" spans="1:17" ht="13.15" customHeight="1" x14ac:dyDescent="0.2">
      <c r="A943" s="1" t="s">
        <v>2495</v>
      </c>
      <c r="B943" s="1" t="s">
        <v>2480</v>
      </c>
      <c r="C943" s="580">
        <v>12</v>
      </c>
      <c r="D943" s="1">
        <v>97.427800000000005</v>
      </c>
      <c r="E943" t="s">
        <v>2481</v>
      </c>
      <c r="F943">
        <v>12</v>
      </c>
      <c r="G943" s="580">
        <v>12.5543</v>
      </c>
      <c r="H943" s="1" t="s">
        <v>2496</v>
      </c>
      <c r="I943" s="1"/>
      <c r="J943" s="1"/>
      <c r="K943" s="1"/>
      <c r="L943" s="1"/>
      <c r="M943" s="1"/>
      <c r="N943" s="1"/>
      <c r="Q943"/>
    </row>
    <row r="944" spans="1:17" ht="13.15" customHeight="1" x14ac:dyDescent="0.2">
      <c r="A944" s="1" t="s">
        <v>2497</v>
      </c>
      <c r="B944" s="1" t="s">
        <v>2480</v>
      </c>
      <c r="C944" s="580">
        <v>13</v>
      </c>
      <c r="D944" s="1">
        <v>106.5441</v>
      </c>
      <c r="E944" t="s">
        <v>2481</v>
      </c>
      <c r="F944">
        <v>13</v>
      </c>
      <c r="G944" s="580">
        <v>14.9231</v>
      </c>
      <c r="H944" s="1" t="s">
        <v>2498</v>
      </c>
      <c r="I944" s="1"/>
      <c r="J944" s="1"/>
      <c r="K944" s="1"/>
      <c r="L944" s="1"/>
      <c r="M944" s="1"/>
      <c r="N944" s="1"/>
      <c r="Q944"/>
    </row>
    <row r="945" spans="1:17" ht="13.15" customHeight="1" x14ac:dyDescent="0.2">
      <c r="A945" s="1" t="s">
        <v>2499</v>
      </c>
      <c r="B945" s="1" t="s">
        <v>2480</v>
      </c>
      <c r="C945" s="580">
        <v>14</v>
      </c>
      <c r="D945" s="1">
        <v>111.02370000000001</v>
      </c>
      <c r="E945" t="s">
        <v>2481</v>
      </c>
      <c r="F945">
        <v>14</v>
      </c>
      <c r="G945" s="580">
        <v>16.342199999999998</v>
      </c>
      <c r="H945" s="1" t="s">
        <v>2500</v>
      </c>
      <c r="I945" s="1"/>
      <c r="J945" s="1"/>
      <c r="K945" s="1"/>
      <c r="L945" s="1"/>
      <c r="M945" s="1"/>
      <c r="N945" s="1"/>
      <c r="Q945"/>
    </row>
    <row r="946" spans="1:17" ht="13.15" customHeight="1" x14ac:dyDescent="0.2">
      <c r="A946" s="1" t="s">
        <v>2501</v>
      </c>
      <c r="B946" s="1" t="s">
        <v>2480</v>
      </c>
      <c r="C946" s="580">
        <v>15</v>
      </c>
      <c r="D946" s="1">
        <v>124.8841</v>
      </c>
      <c r="E946" t="s">
        <v>2481</v>
      </c>
      <c r="F946">
        <v>15</v>
      </c>
      <c r="G946" s="580">
        <v>18.051100000000002</v>
      </c>
      <c r="H946" s="1" t="s">
        <v>2502</v>
      </c>
      <c r="I946" s="1"/>
      <c r="J946" s="1"/>
      <c r="K946" s="1"/>
      <c r="L946" s="1"/>
      <c r="M946" s="1"/>
      <c r="N946" s="1"/>
      <c r="Q946"/>
    </row>
    <row r="947" spans="1:17" ht="13.15" customHeight="1" x14ac:dyDescent="0.2">
      <c r="A947" s="1" t="s">
        <v>2503</v>
      </c>
      <c r="B947" s="1" t="s">
        <v>2480</v>
      </c>
      <c r="C947" s="580">
        <v>16</v>
      </c>
      <c r="D947" s="1">
        <v>134.11619999999999</v>
      </c>
      <c r="E947" t="s">
        <v>2481</v>
      </c>
      <c r="F947">
        <v>16</v>
      </c>
      <c r="G947" s="580">
        <v>19.033899999999999</v>
      </c>
      <c r="H947" s="1" t="s">
        <v>2504</v>
      </c>
      <c r="I947" s="1"/>
      <c r="J947" s="1"/>
      <c r="K947" s="1"/>
      <c r="L947" s="1"/>
      <c r="M947" s="1"/>
      <c r="N947" s="1"/>
      <c r="Q947"/>
    </row>
    <row r="948" spans="1:17" ht="13.15" customHeight="1" x14ac:dyDescent="0.2">
      <c r="A948" s="1" t="s">
        <v>2505</v>
      </c>
      <c r="B948" s="1" t="s">
        <v>2480</v>
      </c>
      <c r="C948" s="580">
        <v>17</v>
      </c>
      <c r="D948" s="1">
        <v>143.08369999999999</v>
      </c>
      <c r="E948" t="s">
        <v>2481</v>
      </c>
      <c r="F948">
        <v>17</v>
      </c>
      <c r="G948" s="580">
        <v>20.955400000000001</v>
      </c>
      <c r="H948" s="1" t="s">
        <v>2506</v>
      </c>
      <c r="I948" s="1"/>
      <c r="J948" s="1"/>
      <c r="K948" s="1"/>
      <c r="L948" s="1"/>
      <c r="M948" s="1"/>
      <c r="N948" s="1"/>
      <c r="Q948"/>
    </row>
    <row r="949" spans="1:17" ht="13.15" customHeight="1" x14ac:dyDescent="0.2">
      <c r="A949" s="1" t="s">
        <v>2507</v>
      </c>
      <c r="B949" s="1" t="s">
        <v>2480</v>
      </c>
      <c r="C949" s="580">
        <v>18</v>
      </c>
      <c r="D949" s="1">
        <v>161.68819999999999</v>
      </c>
      <c r="E949" t="s">
        <v>2481</v>
      </c>
      <c r="F949">
        <v>18</v>
      </c>
      <c r="G949" s="580">
        <v>21.848400000000002</v>
      </c>
      <c r="H949" s="1" t="s">
        <v>2508</v>
      </c>
      <c r="I949" s="1"/>
      <c r="J949" s="1"/>
      <c r="K949" s="1"/>
      <c r="L949" s="1"/>
      <c r="M949" s="1"/>
      <c r="N949" s="1"/>
      <c r="Q949"/>
    </row>
    <row r="950" spans="1:17" ht="13.15" customHeight="1" x14ac:dyDescent="0.2">
      <c r="A950" s="1" t="s">
        <v>2509</v>
      </c>
      <c r="B950" s="1" t="s">
        <v>2480</v>
      </c>
      <c r="C950" s="580">
        <v>19</v>
      </c>
      <c r="D950" s="1">
        <v>173.71379999999999</v>
      </c>
      <c r="E950" t="s">
        <v>2481</v>
      </c>
      <c r="F950">
        <v>19</v>
      </c>
      <c r="G950" s="580">
        <v>23.458100000000002</v>
      </c>
      <c r="H950" s="1" t="s">
        <v>2510</v>
      </c>
      <c r="I950" s="1"/>
      <c r="J950" s="1"/>
      <c r="K950" s="1"/>
      <c r="L950" s="1"/>
      <c r="M950" s="1"/>
      <c r="N950" s="1"/>
      <c r="Q950"/>
    </row>
    <row r="951" spans="1:17" ht="13.15" customHeight="1" x14ac:dyDescent="0.2">
      <c r="A951" s="1" t="s">
        <v>2511</v>
      </c>
      <c r="B951" s="1" t="s">
        <v>2480</v>
      </c>
      <c r="C951" s="580">
        <v>20</v>
      </c>
      <c r="D951" s="1">
        <v>193.99610000000001</v>
      </c>
      <c r="E951" t="s">
        <v>2481</v>
      </c>
      <c r="F951">
        <v>20</v>
      </c>
      <c r="G951" s="580">
        <v>25.066099999999999</v>
      </c>
      <c r="H951" s="1" t="s">
        <v>2512</v>
      </c>
      <c r="I951" s="1"/>
      <c r="J951" s="1"/>
      <c r="K951" s="1"/>
      <c r="L951" s="1"/>
      <c r="M951" s="1"/>
      <c r="N951" s="1"/>
      <c r="Q951"/>
    </row>
    <row r="952" spans="1:17" ht="13.15" customHeight="1" x14ac:dyDescent="0.2">
      <c r="A952" s="1" t="s">
        <v>2513</v>
      </c>
      <c r="B952" s="1" t="s">
        <v>2480</v>
      </c>
      <c r="C952" s="580">
        <v>21</v>
      </c>
      <c r="D952" s="1">
        <v>196.54169999999999</v>
      </c>
      <c r="E952" t="s">
        <v>2481</v>
      </c>
      <c r="F952">
        <v>21</v>
      </c>
      <c r="G952" s="580">
        <v>28.238199999999999</v>
      </c>
      <c r="H952" s="1" t="s">
        <v>2514</v>
      </c>
      <c r="I952" s="1"/>
      <c r="J952" s="1"/>
      <c r="K952" s="1"/>
      <c r="L952" s="1"/>
      <c r="M952" s="1"/>
      <c r="N952" s="1"/>
      <c r="Q952"/>
    </row>
    <row r="953" spans="1:17" ht="13.15" customHeight="1" x14ac:dyDescent="0.2">
      <c r="A953" s="1" t="s">
        <v>2515</v>
      </c>
      <c r="B953" s="1" t="s">
        <v>2480</v>
      </c>
      <c r="C953" s="580">
        <v>22</v>
      </c>
      <c r="D953" s="1">
        <v>213.98910000000001</v>
      </c>
      <c r="E953" t="s">
        <v>2481</v>
      </c>
      <c r="F953">
        <v>22</v>
      </c>
      <c r="G953" s="580">
        <v>31.514199999999999</v>
      </c>
      <c r="H953" s="1" t="s">
        <v>2516</v>
      </c>
      <c r="I953" s="1"/>
      <c r="J953" s="1"/>
      <c r="K953" s="1"/>
      <c r="L953" s="1"/>
      <c r="M953" s="1"/>
      <c r="N953" s="1"/>
      <c r="Q953"/>
    </row>
    <row r="954" spans="1:17" ht="13.15" customHeight="1" x14ac:dyDescent="0.2">
      <c r="A954" s="1" t="s">
        <v>2517</v>
      </c>
      <c r="B954" s="1" t="s">
        <v>2480</v>
      </c>
      <c r="C954" s="580">
        <v>23</v>
      </c>
      <c r="D954" s="1">
        <v>232.32919999999999</v>
      </c>
      <c r="E954" t="s">
        <v>2481</v>
      </c>
      <c r="F954">
        <v>23</v>
      </c>
      <c r="G954" s="580">
        <v>33.511299999999999</v>
      </c>
      <c r="H954" s="1" t="s">
        <v>2518</v>
      </c>
      <c r="I954" s="1"/>
      <c r="J954" s="1"/>
      <c r="K954" s="1"/>
      <c r="L954" s="1"/>
      <c r="M954" s="1"/>
      <c r="N954" s="1"/>
      <c r="Q954"/>
    </row>
    <row r="955" spans="1:17" ht="13.15" customHeight="1" x14ac:dyDescent="0.2">
      <c r="A955" s="1" t="s">
        <v>2519</v>
      </c>
      <c r="B955" s="1" t="s">
        <v>2480</v>
      </c>
      <c r="C955" s="580">
        <v>24</v>
      </c>
      <c r="D955" s="1">
        <v>237.81710000000001</v>
      </c>
      <c r="E955" t="s">
        <v>2481</v>
      </c>
      <c r="F955">
        <v>24</v>
      </c>
      <c r="G955" s="580">
        <v>35.023299999999999</v>
      </c>
      <c r="H955" s="1" t="s">
        <v>2520</v>
      </c>
      <c r="I955" s="1"/>
      <c r="J955" s="1"/>
      <c r="K955" s="1"/>
      <c r="L955" s="1"/>
      <c r="M955" s="1"/>
      <c r="N955" s="1"/>
      <c r="Q955"/>
    </row>
    <row r="956" spans="1:17" ht="13.15" customHeight="1" x14ac:dyDescent="0.2">
      <c r="A956" s="1" t="s">
        <v>2521</v>
      </c>
      <c r="B956" s="1" t="s">
        <v>2480</v>
      </c>
      <c r="C956" s="580">
        <v>25</v>
      </c>
      <c r="D956" s="1">
        <v>248.47069999999999</v>
      </c>
      <c r="E956" t="s">
        <v>2481</v>
      </c>
      <c r="F956">
        <v>25</v>
      </c>
      <c r="G956" s="580">
        <v>36.5747</v>
      </c>
      <c r="H956" s="1" t="s">
        <v>2522</v>
      </c>
      <c r="I956" s="1"/>
      <c r="J956" s="1"/>
      <c r="K956" s="1"/>
      <c r="L956" s="1"/>
      <c r="M956" s="1"/>
      <c r="N956" s="1"/>
      <c r="Q956"/>
    </row>
    <row r="957" spans="1:17" ht="13.15" customHeight="1" x14ac:dyDescent="0.2">
      <c r="A957" s="1" t="s">
        <v>2523</v>
      </c>
      <c r="B957" s="1" t="s">
        <v>2480</v>
      </c>
      <c r="C957" s="580">
        <v>26</v>
      </c>
      <c r="D957" s="1">
        <v>315.15269999999998</v>
      </c>
      <c r="E957" t="s">
        <v>2481</v>
      </c>
      <c r="F957">
        <v>26</v>
      </c>
      <c r="G957" s="580">
        <v>40.345199999999998</v>
      </c>
      <c r="H957" s="1" t="s">
        <v>2524</v>
      </c>
      <c r="I957" s="1"/>
      <c r="J957" s="1"/>
      <c r="K957" s="1"/>
      <c r="L957" s="1"/>
      <c r="M957" s="1"/>
      <c r="N957" s="1"/>
      <c r="Q957"/>
    </row>
    <row r="958" spans="1:17" ht="13.15" customHeight="1" x14ac:dyDescent="0.2">
      <c r="A958" s="1" t="s">
        <v>2525</v>
      </c>
      <c r="B958" s="1" t="s">
        <v>2480</v>
      </c>
      <c r="C958" s="580">
        <v>27</v>
      </c>
      <c r="D958" s="1">
        <v>334.64980000000003</v>
      </c>
      <c r="E958" t="s">
        <v>2481</v>
      </c>
      <c r="F958">
        <v>27</v>
      </c>
      <c r="G958" s="580">
        <v>42.624200000000002</v>
      </c>
      <c r="H958" s="1" t="s">
        <v>2526</v>
      </c>
      <c r="I958" s="1"/>
      <c r="J958" s="1"/>
      <c r="K958" s="1"/>
      <c r="L958" s="1"/>
      <c r="M958" s="1"/>
      <c r="N958" s="1"/>
      <c r="Q958"/>
    </row>
    <row r="959" spans="1:17" ht="13.15" customHeight="1" x14ac:dyDescent="0.2">
      <c r="A959" s="1" t="s">
        <v>2527</v>
      </c>
      <c r="B959" s="1" t="s">
        <v>2480</v>
      </c>
      <c r="C959" s="580">
        <v>28</v>
      </c>
      <c r="D959" s="1">
        <v>340.29480000000001</v>
      </c>
      <c r="E959" t="s">
        <v>2481</v>
      </c>
      <c r="F959">
        <v>28</v>
      </c>
      <c r="G959" s="580">
        <v>47.5839</v>
      </c>
      <c r="H959" s="1" t="s">
        <v>2528</v>
      </c>
      <c r="I959" s="1"/>
      <c r="J959" s="1"/>
      <c r="K959" s="1"/>
      <c r="L959" s="1"/>
      <c r="M959" s="1"/>
      <c r="N959" s="1"/>
      <c r="Q959"/>
    </row>
    <row r="960" spans="1:17" ht="13.15" customHeight="1" x14ac:dyDescent="0.2">
      <c r="A960" s="1" t="s">
        <v>2529</v>
      </c>
      <c r="B960" s="1" t="s">
        <v>2480</v>
      </c>
      <c r="C960" s="580">
        <v>29</v>
      </c>
      <c r="D960" s="1">
        <v>436.44990000000001</v>
      </c>
      <c r="E960" t="s">
        <v>2481</v>
      </c>
      <c r="F960">
        <v>29</v>
      </c>
      <c r="G960" s="580">
        <v>57.860799999999998</v>
      </c>
      <c r="H960" s="1" t="s">
        <v>2530</v>
      </c>
      <c r="I960" s="1"/>
      <c r="J960" s="1"/>
      <c r="K960" s="1"/>
      <c r="L960" s="1"/>
      <c r="M960" s="1"/>
      <c r="N960" s="1"/>
      <c r="Q960"/>
    </row>
    <row r="961" spans="1:17" ht="13.15" customHeight="1" x14ac:dyDescent="0.2">
      <c r="A961" s="1" t="s">
        <v>2531</v>
      </c>
      <c r="B961" s="1" t="s">
        <v>2480</v>
      </c>
      <c r="C961" s="580">
        <v>30</v>
      </c>
      <c r="D961" s="1">
        <v>484.90750000000003</v>
      </c>
      <c r="E961" t="s">
        <v>2481</v>
      </c>
      <c r="F961">
        <v>30</v>
      </c>
      <c r="G961" s="580">
        <v>67.376900000000006</v>
      </c>
      <c r="H961" s="1" t="s">
        <v>2532</v>
      </c>
      <c r="I961" s="1"/>
      <c r="J961" s="1"/>
      <c r="K961" s="1"/>
      <c r="L961" s="1"/>
      <c r="M961" s="1"/>
      <c r="N961" s="1"/>
      <c r="Q961"/>
    </row>
    <row r="962" spans="1:17" ht="13.15" customHeight="1" x14ac:dyDescent="0.2">
      <c r="A962" s="1" t="s">
        <v>2533</v>
      </c>
      <c r="B962" s="1" t="s">
        <v>2480</v>
      </c>
      <c r="C962" s="580">
        <v>31</v>
      </c>
      <c r="D962" s="1">
        <v>496.1893</v>
      </c>
      <c r="E962" t="s">
        <v>2481</v>
      </c>
      <c r="F962">
        <v>31</v>
      </c>
      <c r="G962" s="580">
        <v>73.0501</v>
      </c>
      <c r="H962" s="1" t="s">
        <v>2534</v>
      </c>
      <c r="I962" s="1"/>
      <c r="J962" s="1"/>
      <c r="K962" s="1"/>
      <c r="L962" s="1"/>
      <c r="M962" s="1"/>
      <c r="N962" s="1"/>
      <c r="Q962"/>
    </row>
    <row r="963" spans="1:17" ht="13.15" customHeight="1" x14ac:dyDescent="0.2">
      <c r="A963" s="1" t="s">
        <v>2535</v>
      </c>
      <c r="B963" s="1" t="s">
        <v>2480</v>
      </c>
      <c r="C963" s="580">
        <v>32</v>
      </c>
      <c r="D963" s="1">
        <v>555.65589999999997</v>
      </c>
      <c r="E963" t="s">
        <v>2481</v>
      </c>
      <c r="F963">
        <v>32</v>
      </c>
      <c r="G963" s="580">
        <v>78.412999999999997</v>
      </c>
      <c r="H963" s="1" t="s">
        <v>2536</v>
      </c>
      <c r="I963" s="1"/>
      <c r="J963" s="1"/>
      <c r="K963" s="1"/>
      <c r="L963" s="1"/>
      <c r="M963" s="1"/>
      <c r="N963" s="1"/>
      <c r="Q963"/>
    </row>
    <row r="964" spans="1:17" ht="13.15" customHeight="1" x14ac:dyDescent="0.2">
      <c r="A964" s="1" t="s">
        <v>2537</v>
      </c>
      <c r="B964" s="1" t="s">
        <v>2480</v>
      </c>
      <c r="C964" s="580">
        <v>33</v>
      </c>
      <c r="D964" s="1">
        <v>713.64970000000005</v>
      </c>
      <c r="E964" t="s">
        <v>2481</v>
      </c>
      <c r="F964">
        <v>33</v>
      </c>
      <c r="G964" s="580">
        <v>83.774299999999997</v>
      </c>
      <c r="H964" s="1" t="s">
        <v>2538</v>
      </c>
      <c r="I964" s="1"/>
      <c r="J964" s="1"/>
      <c r="K964" s="1"/>
      <c r="L964" s="1"/>
      <c r="M964" s="1"/>
      <c r="N964" s="1"/>
      <c r="Q964"/>
    </row>
    <row r="965" spans="1:17" ht="13.15" customHeight="1" x14ac:dyDescent="0.2">
      <c r="A965" s="1" t="s">
        <v>2539</v>
      </c>
      <c r="B965" s="1" t="s">
        <v>2480</v>
      </c>
      <c r="C965" s="580">
        <v>34</v>
      </c>
      <c r="D965" s="1">
        <v>722.0883</v>
      </c>
      <c r="E965" t="s">
        <v>2481</v>
      </c>
      <c r="F965">
        <v>34</v>
      </c>
      <c r="G965" s="580">
        <v>89.093000000000004</v>
      </c>
      <c r="H965" s="1" t="s">
        <v>2540</v>
      </c>
      <c r="I965" s="1"/>
      <c r="J965" s="1"/>
      <c r="K965" s="1"/>
      <c r="L965" s="1"/>
      <c r="M965" s="1"/>
      <c r="N965" s="1"/>
      <c r="Q965"/>
    </row>
    <row r="966" spans="1:17" ht="13.15" customHeight="1" x14ac:dyDescent="0.2">
      <c r="A966" s="1" t="s">
        <v>2541</v>
      </c>
      <c r="B966" s="1" t="s">
        <v>2480</v>
      </c>
      <c r="C966" s="580">
        <v>35</v>
      </c>
      <c r="D966" s="1">
        <v>752.87540000000001</v>
      </c>
      <c r="E966" t="s">
        <v>2481</v>
      </c>
      <c r="F966">
        <v>35</v>
      </c>
      <c r="G966" s="580">
        <v>93.649500000000003</v>
      </c>
      <c r="H966" s="1" t="s">
        <v>2542</v>
      </c>
      <c r="I966" s="1"/>
      <c r="J966" s="1"/>
      <c r="K966" s="1"/>
      <c r="L966" s="1"/>
      <c r="M966" s="1"/>
      <c r="N966" s="1"/>
      <c r="Q966"/>
    </row>
    <row r="967" spans="1:17" ht="13.15" customHeight="1" x14ac:dyDescent="0.2">
      <c r="A967" s="1" t="s">
        <v>2543</v>
      </c>
      <c r="B967" s="1" t="s">
        <v>2480</v>
      </c>
      <c r="C967" s="580">
        <v>36</v>
      </c>
      <c r="D967" s="1">
        <v>759.25599999999997</v>
      </c>
      <c r="E967" t="s">
        <v>2481</v>
      </c>
      <c r="F967">
        <v>36</v>
      </c>
      <c r="G967" s="580">
        <v>111.7809</v>
      </c>
      <c r="H967" s="1" t="s">
        <v>2544</v>
      </c>
      <c r="I967" s="1"/>
      <c r="J967" s="1"/>
      <c r="K967" s="1"/>
      <c r="L967" s="1"/>
      <c r="M967" s="1"/>
      <c r="N967" s="1"/>
      <c r="Q967"/>
    </row>
    <row r="968" spans="1:17" ht="13.15" customHeight="1" x14ac:dyDescent="0.2">
      <c r="A968" s="1" t="s">
        <v>2545</v>
      </c>
      <c r="B968" s="1" t="s">
        <v>2480</v>
      </c>
      <c r="C968" s="580">
        <v>37</v>
      </c>
      <c r="D968" s="1">
        <v>819.66480000000001</v>
      </c>
      <c r="E968" t="s">
        <v>2481</v>
      </c>
      <c r="F968">
        <v>37</v>
      </c>
      <c r="G968" s="580">
        <v>118.7597</v>
      </c>
      <c r="H968" s="1" t="s">
        <v>2546</v>
      </c>
      <c r="I968" s="1"/>
      <c r="J968" s="1"/>
      <c r="K968" s="1"/>
      <c r="L968" s="1"/>
      <c r="M968" s="1"/>
      <c r="N968" s="1"/>
      <c r="Q968"/>
    </row>
    <row r="969" spans="1:17" ht="13.15" customHeight="1" x14ac:dyDescent="0.2">
      <c r="A969" s="1" t="s">
        <v>2547</v>
      </c>
      <c r="B969" s="1" t="s">
        <v>2480</v>
      </c>
      <c r="C969" s="580">
        <v>38</v>
      </c>
      <c r="D969" s="1">
        <v>896.06650000000002</v>
      </c>
      <c r="E969" t="s">
        <v>2481</v>
      </c>
      <c r="F969">
        <v>38</v>
      </c>
      <c r="G969" s="580">
        <v>123.36190000000001</v>
      </c>
      <c r="H969" s="1" t="s">
        <v>2548</v>
      </c>
      <c r="I969" s="1"/>
      <c r="J969" s="1"/>
      <c r="K969" s="1"/>
      <c r="L969" s="1"/>
      <c r="M969" s="1"/>
      <c r="N969" s="1"/>
      <c r="Q969"/>
    </row>
    <row r="970" spans="1:17" ht="13.15" customHeight="1" x14ac:dyDescent="0.2">
      <c r="A970" s="1" t="s">
        <v>2549</v>
      </c>
      <c r="B970" s="1" t="s">
        <v>2480</v>
      </c>
      <c r="C970" s="580">
        <v>39</v>
      </c>
      <c r="D970" s="1">
        <v>907.23249999999996</v>
      </c>
      <c r="E970" t="s">
        <v>2481</v>
      </c>
      <c r="F970">
        <v>39</v>
      </c>
      <c r="G970" s="580">
        <v>126.4016</v>
      </c>
      <c r="H970" s="1" t="s">
        <v>2550</v>
      </c>
      <c r="I970" s="1"/>
      <c r="J970" s="1"/>
      <c r="K970" s="1"/>
      <c r="L970" s="1"/>
      <c r="M970" s="1"/>
      <c r="N970" s="1"/>
      <c r="Q970"/>
    </row>
    <row r="971" spans="1:17" ht="13.15" customHeight="1" x14ac:dyDescent="0.2">
      <c r="A971" s="1" t="s">
        <v>2551</v>
      </c>
      <c r="B971" s="1" t="s">
        <v>2480</v>
      </c>
      <c r="C971" s="580">
        <v>40</v>
      </c>
      <c r="D971" s="1">
        <v>983.78290000000004</v>
      </c>
      <c r="E971" t="s">
        <v>2481</v>
      </c>
      <c r="F971">
        <v>40</v>
      </c>
      <c r="G971" s="580">
        <v>138.59690000000001</v>
      </c>
      <c r="H971" s="1" t="s">
        <v>2552</v>
      </c>
      <c r="I971" s="1"/>
      <c r="J971" s="1"/>
      <c r="K971" s="1"/>
      <c r="L971" s="1"/>
      <c r="M971" s="1"/>
      <c r="N971" s="1"/>
      <c r="Q971"/>
    </row>
    <row r="972" spans="1:17" ht="13.15" customHeight="1" x14ac:dyDescent="0.2">
      <c r="A972" s="1" t="s">
        <v>2553</v>
      </c>
      <c r="B972" s="1" t="s">
        <v>2480</v>
      </c>
      <c r="C972" s="580">
        <v>41</v>
      </c>
      <c r="D972" s="1">
        <v>1034.2904000000001</v>
      </c>
      <c r="E972" t="s">
        <v>2481</v>
      </c>
      <c r="F972">
        <v>41</v>
      </c>
      <c r="G972" s="580">
        <v>152.28829999999999</v>
      </c>
      <c r="H972" s="1" t="s">
        <v>2554</v>
      </c>
      <c r="I972" s="1"/>
      <c r="J972" s="1"/>
      <c r="K972" s="1"/>
      <c r="L972" s="1"/>
      <c r="M972" s="1"/>
      <c r="N972" s="1"/>
      <c r="Q972"/>
    </row>
    <row r="973" spans="1:17" ht="13.15" customHeight="1" x14ac:dyDescent="0.2">
      <c r="A973" s="1" t="s">
        <v>2555</v>
      </c>
      <c r="B973" s="1" t="s">
        <v>2480</v>
      </c>
      <c r="C973" s="580">
        <v>42</v>
      </c>
      <c r="D973" s="1">
        <v>1415.9763</v>
      </c>
      <c r="E973" t="s">
        <v>2481</v>
      </c>
      <c r="F973">
        <v>42</v>
      </c>
      <c r="G973" s="580">
        <v>201.41890000000001</v>
      </c>
      <c r="H973" s="1" t="s">
        <v>2556</v>
      </c>
      <c r="I973" s="1"/>
      <c r="J973" s="1"/>
      <c r="K973" s="1"/>
      <c r="L973" s="1"/>
      <c r="M973" s="1"/>
      <c r="N973" s="1"/>
      <c r="Q973"/>
    </row>
    <row r="974" spans="1:17" ht="13.15" customHeight="1" x14ac:dyDescent="0.2">
      <c r="A974" s="1" t="s">
        <v>2557</v>
      </c>
      <c r="B974" s="1" t="s">
        <v>2480</v>
      </c>
      <c r="C974" s="580">
        <v>43</v>
      </c>
      <c r="D974" s="1">
        <v>1436.3661</v>
      </c>
      <c r="E974" t="s">
        <v>2481</v>
      </c>
      <c r="F974">
        <v>43</v>
      </c>
      <c r="G974" s="580">
        <v>211.4863</v>
      </c>
      <c r="H974" s="1" t="s">
        <v>2558</v>
      </c>
      <c r="I974" s="1"/>
      <c r="J974" s="1"/>
      <c r="K974" s="1"/>
      <c r="L974" s="1"/>
      <c r="M974" s="1"/>
      <c r="N974" s="1"/>
      <c r="Q974"/>
    </row>
    <row r="975" spans="1:17" ht="13.15" customHeight="1" x14ac:dyDescent="0.2">
      <c r="A975" s="1" t="s">
        <v>2559</v>
      </c>
      <c r="B975" s="1" t="s">
        <v>2480</v>
      </c>
      <c r="C975" s="580">
        <v>44</v>
      </c>
      <c r="D975" s="1">
        <v>1485.4602</v>
      </c>
      <c r="E975" t="s">
        <v>2481</v>
      </c>
      <c r="F975">
        <v>44</v>
      </c>
      <c r="G975" s="580">
        <v>218.7029</v>
      </c>
      <c r="H975" s="1" t="s">
        <v>2560</v>
      </c>
      <c r="I975" s="1"/>
      <c r="J975" s="1"/>
      <c r="K975" s="1"/>
      <c r="L975" s="1"/>
      <c r="M975" s="1"/>
      <c r="N975" s="1"/>
      <c r="Q975"/>
    </row>
    <row r="976" spans="1:17" ht="13.15" customHeight="1" x14ac:dyDescent="0.2">
      <c r="A976" s="1" t="s">
        <v>2561</v>
      </c>
      <c r="B976" s="1" t="s">
        <v>2480</v>
      </c>
      <c r="C976" s="580">
        <v>45</v>
      </c>
      <c r="D976" s="1">
        <v>1710.7228</v>
      </c>
      <c r="E976" t="s">
        <v>2481</v>
      </c>
      <c r="F976">
        <v>45</v>
      </c>
      <c r="G976" s="580">
        <v>249.93989999999999</v>
      </c>
      <c r="H976" s="1" t="s">
        <v>2562</v>
      </c>
      <c r="I976" s="1"/>
      <c r="J976" s="1"/>
      <c r="K976" s="1"/>
      <c r="L976" s="1"/>
      <c r="M976" s="1"/>
      <c r="N976" s="1"/>
      <c r="Q976"/>
    </row>
    <row r="977" spans="1:17" ht="13.15" customHeight="1" x14ac:dyDescent="0.2">
      <c r="A977" s="1" t="s">
        <v>2563</v>
      </c>
      <c r="B977" s="1" t="s">
        <v>2480</v>
      </c>
      <c r="C977" s="580">
        <v>106</v>
      </c>
      <c r="D977" s="1">
        <v>97.427800000000005</v>
      </c>
      <c r="E977" t="s">
        <v>2481</v>
      </c>
      <c r="F977">
        <v>106</v>
      </c>
      <c r="G977" s="580">
        <v>14.2963</v>
      </c>
      <c r="H977" s="1" t="s">
        <v>2564</v>
      </c>
      <c r="I977" s="1"/>
      <c r="J977" s="1"/>
      <c r="K977" s="1"/>
      <c r="L977" s="1"/>
      <c r="M977" s="1"/>
      <c r="N977" s="1"/>
      <c r="Q977"/>
    </row>
    <row r="978" spans="1:17" ht="13.15" customHeight="1" x14ac:dyDescent="0.2">
      <c r="A978" s="1" t="s">
        <v>2565</v>
      </c>
      <c r="B978" s="1" t="s">
        <v>2480</v>
      </c>
      <c r="C978" s="580">
        <v>107</v>
      </c>
      <c r="D978" s="1">
        <v>103.858</v>
      </c>
      <c r="E978" t="s">
        <v>2481</v>
      </c>
      <c r="F978">
        <v>107</v>
      </c>
      <c r="G978" s="580">
        <v>15.283799999999999</v>
      </c>
      <c r="H978" s="1" t="s">
        <v>2566</v>
      </c>
      <c r="I978" s="1"/>
      <c r="J978" s="1"/>
      <c r="K978" s="1"/>
      <c r="L978" s="1"/>
      <c r="M978" s="1"/>
      <c r="N978" s="1"/>
      <c r="Q978"/>
    </row>
    <row r="979" spans="1:17" ht="13.15" customHeight="1" x14ac:dyDescent="0.2">
      <c r="A979" s="1" t="s">
        <v>2567</v>
      </c>
      <c r="B979" s="1" t="s">
        <v>2480</v>
      </c>
      <c r="C979" s="580">
        <v>108</v>
      </c>
      <c r="D979" s="1">
        <v>103.858</v>
      </c>
      <c r="E979" t="s">
        <v>2481</v>
      </c>
      <c r="F979">
        <v>108</v>
      </c>
      <c r="G979" s="580">
        <v>15.283799999999999</v>
      </c>
      <c r="H979" s="1" t="s">
        <v>2568</v>
      </c>
      <c r="I979" s="1"/>
      <c r="J979" s="1"/>
      <c r="K979" s="1"/>
      <c r="L979" s="1"/>
      <c r="M979" s="1"/>
      <c r="N979" s="1"/>
      <c r="Q979"/>
    </row>
    <row r="980" spans="1:17" ht="13.15" customHeight="1" x14ac:dyDescent="0.2">
      <c r="A980" s="1" t="s">
        <v>2569</v>
      </c>
      <c r="B980" s="1" t="s">
        <v>2480</v>
      </c>
      <c r="C980" s="580">
        <v>109</v>
      </c>
      <c r="D980" s="1">
        <v>109.346</v>
      </c>
      <c r="E980" t="s">
        <v>2481</v>
      </c>
      <c r="F980">
        <v>109</v>
      </c>
      <c r="G980" s="580">
        <v>16.110700000000001</v>
      </c>
      <c r="H980" s="1" t="s">
        <v>2570</v>
      </c>
      <c r="I980" s="1"/>
      <c r="J980" s="1"/>
      <c r="K980" s="1"/>
      <c r="L980" s="1"/>
      <c r="M980" s="1"/>
      <c r="N980" s="1"/>
      <c r="Q980"/>
    </row>
    <row r="981" spans="1:17" ht="13.15" customHeight="1" x14ac:dyDescent="0.2">
      <c r="A981" s="1" t="s">
        <v>2571</v>
      </c>
      <c r="B981" s="1" t="s">
        <v>2480</v>
      </c>
      <c r="C981" s="580">
        <v>110</v>
      </c>
      <c r="D981" s="1">
        <v>120.669</v>
      </c>
      <c r="E981" t="s">
        <v>2481</v>
      </c>
      <c r="F981">
        <v>110</v>
      </c>
      <c r="G981" s="580">
        <v>17.764399999999998</v>
      </c>
      <c r="H981" s="1" t="s">
        <v>2572</v>
      </c>
      <c r="I981" s="1"/>
      <c r="J981" s="1"/>
      <c r="K981" s="1"/>
      <c r="L981" s="1"/>
      <c r="M981" s="1"/>
      <c r="N981" s="1"/>
      <c r="Q981"/>
    </row>
    <row r="982" spans="1:17" ht="13.15" customHeight="1" x14ac:dyDescent="0.2">
      <c r="A982" s="1" t="s">
        <v>2573</v>
      </c>
      <c r="B982" s="1" t="s">
        <v>2480</v>
      </c>
      <c r="C982" s="580">
        <v>111</v>
      </c>
      <c r="D982" s="1">
        <v>138.22389999999999</v>
      </c>
      <c r="E982" t="s">
        <v>2481</v>
      </c>
      <c r="F982">
        <v>111</v>
      </c>
      <c r="G982" s="580">
        <v>20.3443</v>
      </c>
      <c r="H982" s="1" t="s">
        <v>2574</v>
      </c>
      <c r="I982" s="1"/>
      <c r="J982" s="1"/>
      <c r="K982" s="1"/>
      <c r="L982" s="1"/>
      <c r="M982" s="1"/>
      <c r="N982" s="1"/>
      <c r="Q982"/>
    </row>
    <row r="983" spans="1:17" ht="13.15" customHeight="1" x14ac:dyDescent="0.2">
      <c r="A983" s="1" t="s">
        <v>2575</v>
      </c>
      <c r="B983" s="1" t="s">
        <v>2480</v>
      </c>
      <c r="C983" s="580">
        <v>112</v>
      </c>
      <c r="D983" s="1">
        <v>152.3074</v>
      </c>
      <c r="E983" t="s">
        <v>2481</v>
      </c>
      <c r="F983">
        <v>112</v>
      </c>
      <c r="G983" s="580">
        <v>22.421700000000001</v>
      </c>
      <c r="H983" s="1" t="s">
        <v>2576</v>
      </c>
      <c r="I983" s="1"/>
      <c r="J983" s="1"/>
      <c r="K983" s="1"/>
      <c r="L983" s="1"/>
      <c r="M983" s="1"/>
      <c r="N983" s="1"/>
      <c r="Q983"/>
    </row>
    <row r="984" spans="1:17" ht="13.15" customHeight="1" x14ac:dyDescent="0.2">
      <c r="A984" s="1" t="s">
        <v>2577</v>
      </c>
      <c r="B984" s="1" t="s">
        <v>2480</v>
      </c>
      <c r="C984" s="580">
        <v>113</v>
      </c>
      <c r="D984" s="1">
        <v>169.11840000000001</v>
      </c>
      <c r="E984" t="s">
        <v>2481</v>
      </c>
      <c r="F984">
        <v>113</v>
      </c>
      <c r="G984" s="580">
        <v>24.9023</v>
      </c>
      <c r="H984" s="1" t="s">
        <v>2578</v>
      </c>
      <c r="I984" s="1"/>
      <c r="J984" s="1"/>
      <c r="K984" s="1"/>
      <c r="L984" s="1"/>
      <c r="M984" s="1"/>
      <c r="N984" s="1"/>
      <c r="Q984"/>
    </row>
    <row r="985" spans="1:17" ht="13.15" customHeight="1" x14ac:dyDescent="0.2">
      <c r="A985" s="1" t="s">
        <v>2579</v>
      </c>
      <c r="B985" s="1" t="s">
        <v>2480</v>
      </c>
      <c r="C985" s="580">
        <v>114</v>
      </c>
      <c r="D985" s="1">
        <v>184.62360000000001</v>
      </c>
      <c r="E985" t="s">
        <v>2481</v>
      </c>
      <c r="F985">
        <v>114</v>
      </c>
      <c r="G985" s="580">
        <v>27.1798</v>
      </c>
      <c r="H985" s="1" t="s">
        <v>2580</v>
      </c>
      <c r="I985" s="1"/>
      <c r="J985" s="1"/>
      <c r="K985" s="1"/>
      <c r="L985" s="1"/>
      <c r="M985" s="1"/>
      <c r="N985" s="1"/>
      <c r="Q985"/>
    </row>
    <row r="986" spans="1:17" ht="13.15" customHeight="1" x14ac:dyDescent="0.2">
      <c r="A986" s="1" t="s">
        <v>2581</v>
      </c>
      <c r="B986" s="1" t="s">
        <v>2480</v>
      </c>
      <c r="C986" s="580">
        <v>115</v>
      </c>
      <c r="D986" s="1">
        <v>201.43459999999999</v>
      </c>
      <c r="E986" t="s">
        <v>2481</v>
      </c>
      <c r="F986">
        <v>115</v>
      </c>
      <c r="G986" s="580">
        <v>29.658799999999999</v>
      </c>
      <c r="H986" s="1" t="s">
        <v>2582</v>
      </c>
      <c r="I986" s="1"/>
      <c r="J986" s="1"/>
      <c r="K986" s="1"/>
      <c r="L986" s="1"/>
      <c r="M986" s="1"/>
      <c r="N986" s="1"/>
      <c r="Q986"/>
    </row>
    <row r="987" spans="1:17" ht="13.15" customHeight="1" x14ac:dyDescent="0.2">
      <c r="A987" s="1" t="s">
        <v>2583</v>
      </c>
      <c r="B987" s="1" t="s">
        <v>2480</v>
      </c>
      <c r="C987" s="580">
        <v>116</v>
      </c>
      <c r="D987" s="1">
        <v>224.6344</v>
      </c>
      <c r="E987" t="s">
        <v>2481</v>
      </c>
      <c r="F987">
        <v>116</v>
      </c>
      <c r="G987" s="580">
        <v>33.065600000000003</v>
      </c>
      <c r="H987" s="1" t="s">
        <v>2584</v>
      </c>
      <c r="I987" s="1"/>
      <c r="J987" s="1"/>
      <c r="K987" s="1"/>
      <c r="L987" s="1"/>
      <c r="M987" s="1"/>
      <c r="N987" s="1"/>
      <c r="Q987"/>
    </row>
    <row r="988" spans="1:17" ht="13.15" customHeight="1" x14ac:dyDescent="0.2">
      <c r="A988" s="1" t="s">
        <v>2585</v>
      </c>
      <c r="B988" s="1" t="s">
        <v>2480</v>
      </c>
      <c r="C988" s="580">
        <v>117</v>
      </c>
      <c r="D988" s="1">
        <v>246.4127</v>
      </c>
      <c r="E988" t="s">
        <v>2481</v>
      </c>
      <c r="F988">
        <v>117</v>
      </c>
      <c r="G988" s="580">
        <v>36.272300000000001</v>
      </c>
      <c r="H988" s="1" t="s">
        <v>2586</v>
      </c>
      <c r="I988" s="1"/>
      <c r="J988" s="1"/>
      <c r="K988" s="1"/>
      <c r="L988" s="1"/>
      <c r="M988" s="1"/>
      <c r="N988" s="1"/>
      <c r="Q988"/>
    </row>
    <row r="989" spans="1:17" ht="13.15" customHeight="1" x14ac:dyDescent="0.2">
      <c r="A989" s="1" t="s">
        <v>2587</v>
      </c>
      <c r="B989" s="1" t="s">
        <v>2480</v>
      </c>
      <c r="C989" s="580">
        <v>118</v>
      </c>
      <c r="D989" s="1">
        <v>267.33139999999997</v>
      </c>
      <c r="E989" t="s">
        <v>2481</v>
      </c>
      <c r="F989">
        <v>118</v>
      </c>
      <c r="G989" s="580">
        <v>39.357700000000001</v>
      </c>
      <c r="H989" s="1" t="s">
        <v>2588</v>
      </c>
      <c r="I989" s="1"/>
      <c r="J989" s="1"/>
      <c r="K989" s="1"/>
      <c r="L989" s="1"/>
      <c r="M989" s="1"/>
      <c r="N989" s="1"/>
      <c r="Q989"/>
    </row>
    <row r="990" spans="1:17" ht="13.15" customHeight="1" x14ac:dyDescent="0.2">
      <c r="A990" s="1" t="s">
        <v>2589</v>
      </c>
      <c r="B990" s="1" t="s">
        <v>2480</v>
      </c>
      <c r="C990" s="580">
        <v>119</v>
      </c>
      <c r="D990" s="1">
        <v>291.16770000000002</v>
      </c>
      <c r="E990" t="s">
        <v>2481</v>
      </c>
      <c r="F990">
        <v>119</v>
      </c>
      <c r="G990" s="580">
        <v>42.866799999999998</v>
      </c>
      <c r="H990" s="1" t="s">
        <v>2590</v>
      </c>
      <c r="I990" s="1"/>
      <c r="J990" s="1"/>
      <c r="K990" s="1"/>
      <c r="L990" s="1"/>
      <c r="M990" s="1"/>
      <c r="N990" s="1"/>
      <c r="Q990"/>
    </row>
    <row r="991" spans="1:17" ht="13.15" customHeight="1" x14ac:dyDescent="0.2">
      <c r="A991" s="1" t="s">
        <v>2591</v>
      </c>
      <c r="B991" s="1" t="s">
        <v>2480</v>
      </c>
      <c r="C991" s="580">
        <v>120</v>
      </c>
      <c r="D991" s="1">
        <v>303.2346</v>
      </c>
      <c r="E991" t="s">
        <v>2481</v>
      </c>
      <c r="F991">
        <v>120</v>
      </c>
      <c r="G991" s="580">
        <v>44.6402</v>
      </c>
      <c r="H991" s="1" t="s">
        <v>2592</v>
      </c>
      <c r="I991" s="1"/>
      <c r="J991" s="1"/>
      <c r="K991" s="1"/>
      <c r="L991" s="1"/>
      <c r="M991" s="1"/>
      <c r="N991" s="1"/>
      <c r="Q991"/>
    </row>
    <row r="992" spans="1:17" ht="13.15" customHeight="1" x14ac:dyDescent="0.2">
      <c r="A992" s="1" t="s">
        <v>2593</v>
      </c>
      <c r="B992" s="1" t="s">
        <v>2480</v>
      </c>
      <c r="C992" s="580">
        <v>121</v>
      </c>
      <c r="D992" s="1">
        <v>317.83879999999999</v>
      </c>
      <c r="E992" t="s">
        <v>2481</v>
      </c>
      <c r="F992">
        <v>121</v>
      </c>
      <c r="G992" s="580">
        <v>46.796399999999998</v>
      </c>
      <c r="H992" s="1" t="s">
        <v>2594</v>
      </c>
      <c r="I992" s="1"/>
      <c r="J992" s="1"/>
      <c r="K992" s="1"/>
      <c r="L992" s="1"/>
      <c r="M992" s="1"/>
      <c r="N992" s="1"/>
      <c r="Q992"/>
    </row>
    <row r="993" spans="1:17" ht="13.15" customHeight="1" x14ac:dyDescent="0.2">
      <c r="A993" s="1" t="s">
        <v>2595</v>
      </c>
      <c r="B993" s="1" t="s">
        <v>2480</v>
      </c>
      <c r="C993" s="580">
        <v>122</v>
      </c>
      <c r="D993" s="1">
        <v>354.3784</v>
      </c>
      <c r="E993" t="s">
        <v>2481</v>
      </c>
      <c r="F993">
        <v>122</v>
      </c>
      <c r="G993" s="580">
        <v>52.1813</v>
      </c>
      <c r="H993" s="1" t="s">
        <v>2596</v>
      </c>
      <c r="I993" s="1"/>
      <c r="J993" s="1"/>
      <c r="K993" s="1"/>
      <c r="L993" s="1"/>
      <c r="M993" s="1"/>
      <c r="N993" s="1"/>
      <c r="Q993"/>
    </row>
    <row r="994" spans="1:17" ht="13.15" customHeight="1" x14ac:dyDescent="0.2">
      <c r="A994" s="1" t="s">
        <v>2597</v>
      </c>
      <c r="B994" s="1" t="s">
        <v>2480</v>
      </c>
      <c r="C994" s="580">
        <v>123</v>
      </c>
      <c r="D994" s="1">
        <v>383.21499999999997</v>
      </c>
      <c r="E994" t="s">
        <v>2481</v>
      </c>
      <c r="F994">
        <v>123</v>
      </c>
      <c r="G994" s="580">
        <v>56.414900000000003</v>
      </c>
      <c r="H994" s="1" t="s">
        <v>2598</v>
      </c>
      <c r="I994" s="1"/>
      <c r="J994" s="1"/>
      <c r="K994" s="1"/>
      <c r="L994" s="1"/>
      <c r="M994" s="1"/>
      <c r="N994" s="1"/>
      <c r="Q994"/>
    </row>
    <row r="995" spans="1:17" ht="13.15" customHeight="1" x14ac:dyDescent="0.2">
      <c r="A995" s="1" t="s">
        <v>2599</v>
      </c>
      <c r="B995" s="1" t="s">
        <v>2480</v>
      </c>
      <c r="C995" s="580">
        <v>124</v>
      </c>
      <c r="D995" s="1">
        <v>416.16750000000002</v>
      </c>
      <c r="E995" t="s">
        <v>2481</v>
      </c>
      <c r="F995">
        <v>124</v>
      </c>
      <c r="G995" s="580">
        <v>61.273800000000001</v>
      </c>
      <c r="H995" s="1" t="s">
        <v>2600</v>
      </c>
      <c r="I995" s="1"/>
      <c r="J995" s="1"/>
      <c r="K995" s="1"/>
      <c r="L995" s="1"/>
      <c r="M995" s="1"/>
      <c r="N995" s="1"/>
      <c r="Q995"/>
    </row>
    <row r="996" spans="1:17" ht="13.15" customHeight="1" x14ac:dyDescent="0.2">
      <c r="A996" s="1" t="s">
        <v>2601</v>
      </c>
      <c r="B996" s="1" t="s">
        <v>2480</v>
      </c>
      <c r="C996" s="580">
        <v>125</v>
      </c>
      <c r="D996" s="1">
        <v>431.55700000000002</v>
      </c>
      <c r="E996" t="s">
        <v>2481</v>
      </c>
      <c r="F996">
        <v>125</v>
      </c>
      <c r="G996" s="580">
        <v>63.532400000000003</v>
      </c>
      <c r="H996" s="1" t="s">
        <v>2602</v>
      </c>
      <c r="I996" s="1"/>
      <c r="J996" s="1"/>
      <c r="K996" s="1"/>
      <c r="L996" s="1"/>
      <c r="M996" s="1"/>
      <c r="N996" s="1"/>
      <c r="Q996"/>
    </row>
    <row r="997" spans="1:17" ht="13.15" customHeight="1" x14ac:dyDescent="0.2">
      <c r="A997" s="1" t="s">
        <v>2603</v>
      </c>
      <c r="B997" s="1" t="s">
        <v>2480</v>
      </c>
      <c r="C997" s="580">
        <v>126</v>
      </c>
      <c r="D997" s="1">
        <v>468.72469999999998</v>
      </c>
      <c r="E997" t="s">
        <v>2481</v>
      </c>
      <c r="F997">
        <v>126</v>
      </c>
      <c r="G997" s="580">
        <v>69.016499999999994</v>
      </c>
      <c r="H997" s="1" t="s">
        <v>2604</v>
      </c>
      <c r="I997" s="1"/>
      <c r="J997" s="1"/>
      <c r="K997" s="1"/>
      <c r="L997" s="1"/>
      <c r="M997" s="1"/>
      <c r="N997" s="1"/>
      <c r="Q997"/>
    </row>
    <row r="998" spans="1:17" ht="13.15" customHeight="1" x14ac:dyDescent="0.2">
      <c r="A998" s="1" t="s">
        <v>2605</v>
      </c>
      <c r="B998" s="1" t="s">
        <v>2480</v>
      </c>
      <c r="C998" s="580">
        <v>127</v>
      </c>
      <c r="D998" s="1">
        <v>523.34810000000004</v>
      </c>
      <c r="E998" t="s">
        <v>2481</v>
      </c>
      <c r="F998">
        <v>127</v>
      </c>
      <c r="G998" s="580">
        <v>77.063199999999995</v>
      </c>
      <c r="H998" s="1" t="s">
        <v>2606</v>
      </c>
      <c r="I998" s="1"/>
      <c r="J998" s="1"/>
      <c r="K998" s="1"/>
      <c r="L998" s="1"/>
      <c r="M998" s="1"/>
      <c r="N998" s="1"/>
      <c r="Q998"/>
    </row>
    <row r="999" spans="1:17" ht="13.15" customHeight="1" x14ac:dyDescent="0.2">
      <c r="A999" s="1" t="s">
        <v>2607</v>
      </c>
      <c r="B999" s="1" t="s">
        <v>2480</v>
      </c>
      <c r="C999" s="580">
        <v>128</v>
      </c>
      <c r="D999" s="1">
        <v>520.65369999999996</v>
      </c>
      <c r="E999" t="s">
        <v>2481</v>
      </c>
      <c r="F999">
        <v>128</v>
      </c>
      <c r="G999" s="580">
        <v>76.6584</v>
      </c>
      <c r="H999" s="1" t="s">
        <v>2608</v>
      </c>
      <c r="I999" s="1"/>
      <c r="J999" s="1"/>
      <c r="K999" s="1"/>
      <c r="L999" s="1"/>
      <c r="M999" s="1"/>
      <c r="N999" s="1"/>
      <c r="Q999"/>
    </row>
    <row r="1000" spans="1:17" ht="13.15" customHeight="1" x14ac:dyDescent="0.2">
      <c r="A1000" s="1" t="s">
        <v>2609</v>
      </c>
      <c r="B1000" s="1" t="s">
        <v>2480</v>
      </c>
      <c r="C1000" s="580">
        <v>129</v>
      </c>
      <c r="D1000" s="1">
        <v>533.99339999999995</v>
      </c>
      <c r="E1000" t="s">
        <v>2481</v>
      </c>
      <c r="F1000">
        <v>129</v>
      </c>
      <c r="G1000" s="580">
        <v>78.614599999999996</v>
      </c>
      <c r="H1000" s="1" t="s">
        <v>2610</v>
      </c>
      <c r="I1000" s="1"/>
      <c r="J1000" s="1"/>
      <c r="K1000" s="1"/>
      <c r="L1000" s="1"/>
      <c r="M1000" s="1"/>
      <c r="N1000" s="1"/>
      <c r="Q1000"/>
    </row>
    <row r="1001" spans="1:17" ht="13.15" customHeight="1" x14ac:dyDescent="0.2">
      <c r="A1001" s="1" t="s">
        <v>2611</v>
      </c>
      <c r="B1001" s="1" t="s">
        <v>2480</v>
      </c>
      <c r="C1001" s="580">
        <v>130</v>
      </c>
      <c r="D1001" s="1">
        <v>559.24300000000005</v>
      </c>
      <c r="E1001" t="s">
        <v>2481</v>
      </c>
      <c r="F1001">
        <v>130</v>
      </c>
      <c r="G1001" s="580">
        <v>82.344200000000001</v>
      </c>
      <c r="H1001" s="1" t="s">
        <v>2612</v>
      </c>
      <c r="I1001" s="1"/>
      <c r="J1001" s="1"/>
      <c r="K1001" s="1"/>
      <c r="L1001" s="1"/>
      <c r="M1001" s="1"/>
      <c r="N1001" s="1"/>
      <c r="Q1001"/>
    </row>
    <row r="1002" spans="1:17" ht="13.15" customHeight="1" x14ac:dyDescent="0.2">
      <c r="A1002" s="1" t="s">
        <v>2613</v>
      </c>
      <c r="B1002" s="1" t="s">
        <v>2480</v>
      </c>
      <c r="C1002" s="580">
        <v>131</v>
      </c>
      <c r="D1002" s="1">
        <v>589.39369999999997</v>
      </c>
      <c r="E1002" t="s">
        <v>2481</v>
      </c>
      <c r="F1002">
        <v>131</v>
      </c>
      <c r="G1002" s="580">
        <v>86.780900000000003</v>
      </c>
      <c r="H1002" s="1" t="s">
        <v>2614</v>
      </c>
      <c r="I1002" s="1"/>
      <c r="J1002" s="1"/>
      <c r="K1002" s="1"/>
      <c r="L1002" s="1"/>
      <c r="M1002" s="1"/>
      <c r="N1002" s="1"/>
      <c r="Q1002"/>
    </row>
    <row r="1003" spans="1:17" ht="13.15" customHeight="1" x14ac:dyDescent="0.2">
      <c r="A1003" s="1" t="s">
        <v>2615</v>
      </c>
      <c r="B1003" s="1" t="s">
        <v>2480</v>
      </c>
      <c r="C1003" s="580">
        <v>132</v>
      </c>
      <c r="D1003" s="1">
        <v>612.59349999999995</v>
      </c>
      <c r="E1003" t="s">
        <v>2481</v>
      </c>
      <c r="F1003">
        <v>132</v>
      </c>
      <c r="G1003" s="580">
        <v>90.187700000000007</v>
      </c>
      <c r="H1003" s="1" t="s">
        <v>2616</v>
      </c>
      <c r="I1003" s="1"/>
      <c r="J1003" s="1"/>
      <c r="K1003" s="1"/>
      <c r="L1003" s="1"/>
      <c r="M1003" s="1"/>
      <c r="N1003" s="1"/>
      <c r="Q1003"/>
    </row>
    <row r="1004" spans="1:17" ht="13.15" customHeight="1" x14ac:dyDescent="0.2">
      <c r="A1004" s="1" t="s">
        <v>2617</v>
      </c>
      <c r="B1004" s="1" t="s">
        <v>2480</v>
      </c>
      <c r="C1004" s="580">
        <v>133</v>
      </c>
      <c r="D1004" s="1">
        <v>621.70979999999997</v>
      </c>
      <c r="E1004" t="s">
        <v>2481</v>
      </c>
      <c r="F1004">
        <v>133</v>
      </c>
      <c r="G1004" s="580">
        <v>91.539000000000001</v>
      </c>
      <c r="H1004" s="1" t="s">
        <v>2618</v>
      </c>
      <c r="I1004" s="1"/>
      <c r="J1004" s="1"/>
      <c r="K1004" s="1"/>
      <c r="L1004" s="1"/>
      <c r="M1004" s="1"/>
      <c r="N1004" s="1"/>
      <c r="Q1004"/>
    </row>
    <row r="1005" spans="1:17" ht="13.15" customHeight="1" x14ac:dyDescent="0.2">
      <c r="A1005" s="1" t="s">
        <v>2619</v>
      </c>
      <c r="B1005" s="1" t="s">
        <v>2480</v>
      </c>
      <c r="C1005" s="580">
        <v>134</v>
      </c>
      <c r="D1005" s="1">
        <v>643.48810000000003</v>
      </c>
      <c r="E1005" t="s">
        <v>2481</v>
      </c>
      <c r="F1005">
        <v>134</v>
      </c>
      <c r="G1005" s="580">
        <v>94.744100000000003</v>
      </c>
      <c r="H1005" s="1" t="s">
        <v>2620</v>
      </c>
      <c r="I1005" s="1"/>
      <c r="J1005" s="1"/>
      <c r="K1005" s="1"/>
      <c r="L1005" s="1"/>
      <c r="M1005" s="1"/>
      <c r="N1005" s="1"/>
      <c r="Q1005"/>
    </row>
    <row r="1006" spans="1:17" ht="13.15" customHeight="1" x14ac:dyDescent="0.2">
      <c r="A1006" s="1" t="s">
        <v>2621</v>
      </c>
      <c r="B1006" s="1" t="s">
        <v>2480</v>
      </c>
      <c r="C1006" s="580">
        <v>135</v>
      </c>
      <c r="D1006" s="1">
        <v>657.06439999999998</v>
      </c>
      <c r="E1006" t="s">
        <v>2481</v>
      </c>
      <c r="F1006">
        <v>135</v>
      </c>
      <c r="G1006" s="580">
        <v>99.906999999999996</v>
      </c>
      <c r="H1006" s="1" t="s">
        <v>2622</v>
      </c>
      <c r="I1006" s="1"/>
      <c r="J1006" s="1"/>
      <c r="K1006" s="1"/>
      <c r="L1006" s="1"/>
      <c r="M1006" s="1"/>
      <c r="N1006" s="1"/>
      <c r="Q1006"/>
    </row>
    <row r="1007" spans="1:17" ht="13.15" customHeight="1" x14ac:dyDescent="0.2">
      <c r="A1007" s="1" t="s">
        <v>2623</v>
      </c>
      <c r="B1007" s="1" t="s">
        <v>2480</v>
      </c>
      <c r="C1007" s="580">
        <v>136</v>
      </c>
      <c r="D1007" s="1">
        <v>769.18439999999998</v>
      </c>
      <c r="E1007" t="s">
        <v>2481</v>
      </c>
      <c r="F1007">
        <v>136</v>
      </c>
      <c r="G1007" s="580">
        <v>111.6108</v>
      </c>
      <c r="H1007" s="1" t="s">
        <v>2624</v>
      </c>
      <c r="I1007" s="1"/>
      <c r="J1007" s="1"/>
      <c r="K1007" s="1"/>
      <c r="L1007" s="1"/>
      <c r="M1007" s="1"/>
      <c r="N1007" s="1"/>
      <c r="Q1007"/>
    </row>
    <row r="1008" spans="1:17" ht="13.15" customHeight="1" x14ac:dyDescent="0.2">
      <c r="A1008" s="1" t="s">
        <v>2625</v>
      </c>
      <c r="B1008" s="1" t="s">
        <v>2480</v>
      </c>
      <c r="C1008" s="580">
        <v>137</v>
      </c>
      <c r="D1008" s="1">
        <v>777.39649999999995</v>
      </c>
      <c r="E1008" t="s">
        <v>2481</v>
      </c>
      <c r="F1008">
        <v>137</v>
      </c>
      <c r="G1008" s="580">
        <v>115.7216</v>
      </c>
      <c r="H1008" s="1" t="s">
        <v>2626</v>
      </c>
      <c r="I1008" s="1"/>
      <c r="J1008" s="1"/>
      <c r="K1008" s="1"/>
      <c r="L1008" s="1"/>
      <c r="M1008" s="1"/>
      <c r="N1008" s="1"/>
      <c r="Q1008"/>
    </row>
    <row r="1009" spans="1:17" ht="13.15" customHeight="1" x14ac:dyDescent="0.2">
      <c r="A1009" s="1" t="s">
        <v>2627</v>
      </c>
      <c r="B1009" s="1" t="s">
        <v>2480</v>
      </c>
      <c r="C1009" s="580">
        <v>138</v>
      </c>
      <c r="D1009" s="1">
        <v>805.32249999999999</v>
      </c>
      <c r="E1009" t="s">
        <v>2481</v>
      </c>
      <c r="F1009">
        <v>138</v>
      </c>
      <c r="G1009" s="580">
        <v>121.2183</v>
      </c>
      <c r="H1009" s="1" t="s">
        <v>2628</v>
      </c>
      <c r="I1009" s="1"/>
      <c r="J1009" s="1"/>
      <c r="K1009" s="1"/>
      <c r="L1009" s="1"/>
      <c r="M1009" s="1"/>
      <c r="N1009" s="1"/>
      <c r="Q1009"/>
    </row>
    <row r="1010" spans="1:17" ht="13.15" customHeight="1" x14ac:dyDescent="0.2">
      <c r="A1010" s="1" t="s">
        <v>2629</v>
      </c>
      <c r="B1010" s="1" t="s">
        <v>2480</v>
      </c>
      <c r="C1010" s="580">
        <v>139</v>
      </c>
      <c r="D1010" s="1">
        <v>812.63009999999997</v>
      </c>
      <c r="E1010" t="s">
        <v>2481</v>
      </c>
      <c r="F1010">
        <v>139</v>
      </c>
      <c r="G1010" s="580">
        <v>123.55719999999999</v>
      </c>
      <c r="H1010" s="1" t="s">
        <v>2630</v>
      </c>
      <c r="I1010" s="1"/>
      <c r="J1010" s="1"/>
      <c r="K1010" s="1"/>
      <c r="L1010" s="1"/>
      <c r="M1010" s="1"/>
      <c r="N1010" s="1"/>
      <c r="Q1010"/>
    </row>
    <row r="1011" spans="1:17" ht="13.15" customHeight="1" x14ac:dyDescent="0.2">
      <c r="A1011" s="1" t="s">
        <v>2631</v>
      </c>
      <c r="B1011" s="1" t="s">
        <v>2480</v>
      </c>
      <c r="C1011" s="580">
        <v>140</v>
      </c>
      <c r="D1011" s="1">
        <v>822.21889999999996</v>
      </c>
      <c r="E1011" t="s">
        <v>2481</v>
      </c>
      <c r="F1011">
        <v>140</v>
      </c>
      <c r="G1011" s="580">
        <v>125.0093</v>
      </c>
      <c r="H1011" s="1" t="s">
        <v>2632</v>
      </c>
      <c r="I1011" s="1"/>
      <c r="J1011" s="1"/>
      <c r="K1011" s="1"/>
      <c r="L1011" s="1"/>
      <c r="M1011" s="1"/>
      <c r="N1011" s="1"/>
      <c r="Q1011"/>
    </row>
    <row r="1012" spans="1:17" ht="13.15" customHeight="1" x14ac:dyDescent="0.2">
      <c r="A1012" s="1" t="s">
        <v>2633</v>
      </c>
      <c r="B1012" s="1" t="s">
        <v>2480</v>
      </c>
      <c r="C1012" s="580">
        <v>141</v>
      </c>
      <c r="D1012" s="1">
        <v>822.9393</v>
      </c>
      <c r="E1012" t="s">
        <v>2481</v>
      </c>
      <c r="F1012">
        <v>141</v>
      </c>
      <c r="G1012" s="580">
        <v>125.1101</v>
      </c>
      <c r="H1012" s="1" t="s">
        <v>2634</v>
      </c>
      <c r="I1012" s="1"/>
      <c r="J1012" s="1"/>
      <c r="K1012" s="1"/>
      <c r="L1012" s="1"/>
      <c r="M1012" s="1"/>
      <c r="N1012" s="1"/>
      <c r="Q1012"/>
    </row>
    <row r="1013" spans="1:17" ht="13.15" customHeight="1" x14ac:dyDescent="0.2">
      <c r="A1013" s="1" t="s">
        <v>2635</v>
      </c>
      <c r="B1013" s="1" t="s">
        <v>2480</v>
      </c>
      <c r="C1013" s="580">
        <v>142</v>
      </c>
      <c r="D1013" s="1">
        <v>900.28989999999999</v>
      </c>
      <c r="E1013" t="s">
        <v>2481</v>
      </c>
      <c r="F1013">
        <v>142</v>
      </c>
      <c r="G1013" s="580">
        <v>136.3194</v>
      </c>
      <c r="H1013" s="1" t="s">
        <v>2636</v>
      </c>
      <c r="I1013" s="1"/>
      <c r="J1013" s="1"/>
      <c r="K1013" s="1"/>
      <c r="L1013" s="1"/>
      <c r="M1013" s="1"/>
      <c r="N1013" s="1"/>
      <c r="Q1013"/>
    </row>
    <row r="1014" spans="1:17" ht="13.15" customHeight="1" x14ac:dyDescent="0.2">
      <c r="A1014" s="1" t="s">
        <v>2637</v>
      </c>
      <c r="B1014" s="1" t="s">
        <v>2480</v>
      </c>
      <c r="C1014" s="580">
        <v>143</v>
      </c>
      <c r="D1014" s="1">
        <v>935.81970000000001</v>
      </c>
      <c r="E1014" t="s">
        <v>2481</v>
      </c>
      <c r="F1014">
        <v>143</v>
      </c>
      <c r="G1014" s="580">
        <v>141.63499999999999</v>
      </c>
      <c r="H1014" s="1" t="s">
        <v>2638</v>
      </c>
      <c r="I1014" s="1"/>
      <c r="J1014" s="1"/>
      <c r="K1014" s="1"/>
      <c r="L1014" s="1"/>
      <c r="M1014" s="1"/>
      <c r="N1014" s="1"/>
      <c r="Q1014"/>
    </row>
    <row r="1015" spans="1:17" ht="13.15" customHeight="1" x14ac:dyDescent="0.2">
      <c r="A1015" s="1" t="s">
        <v>2639</v>
      </c>
      <c r="B1015" s="1" t="s">
        <v>2480</v>
      </c>
      <c r="C1015" s="580">
        <v>144</v>
      </c>
      <c r="D1015" s="1">
        <v>935.05930000000001</v>
      </c>
      <c r="E1015" t="s">
        <v>2481</v>
      </c>
      <c r="F1015">
        <v>144</v>
      </c>
      <c r="G1015" s="580">
        <v>142.16579999999999</v>
      </c>
      <c r="H1015" s="1" t="s">
        <v>2640</v>
      </c>
      <c r="I1015" s="1"/>
      <c r="J1015" s="1"/>
      <c r="K1015" s="1"/>
      <c r="L1015" s="1"/>
      <c r="M1015" s="1"/>
      <c r="N1015" s="1"/>
      <c r="Q1015"/>
    </row>
    <row r="1016" spans="1:17" ht="13.15" customHeight="1" x14ac:dyDescent="0.2">
      <c r="A1016" s="1" t="s">
        <v>2641</v>
      </c>
      <c r="B1016" s="1" t="s">
        <v>2480</v>
      </c>
      <c r="C1016" s="580">
        <v>145</v>
      </c>
      <c r="D1016" s="1">
        <v>940.51800000000003</v>
      </c>
      <c r="E1016" t="s">
        <v>2481</v>
      </c>
      <c r="F1016">
        <v>145</v>
      </c>
      <c r="G1016" s="580">
        <v>142.99270000000001</v>
      </c>
      <c r="H1016" s="1" t="s">
        <v>2642</v>
      </c>
      <c r="I1016" s="1"/>
      <c r="J1016" s="1"/>
      <c r="K1016" s="1"/>
      <c r="L1016" s="1"/>
      <c r="M1016" s="1"/>
      <c r="N1016" s="1"/>
      <c r="Q1016"/>
    </row>
    <row r="1017" spans="1:17" ht="13.15" customHeight="1" x14ac:dyDescent="0.2">
      <c r="A1017" s="1" t="s">
        <v>2643</v>
      </c>
      <c r="B1017" s="1" t="s">
        <v>2480</v>
      </c>
      <c r="C1017" s="580">
        <v>146</v>
      </c>
      <c r="D1017" s="1">
        <v>964.86620000000005</v>
      </c>
      <c r="E1017" t="s">
        <v>2481</v>
      </c>
      <c r="F1017">
        <v>146</v>
      </c>
      <c r="G1017" s="580">
        <v>146.70339999999999</v>
      </c>
      <c r="H1017" s="1" t="s">
        <v>2644</v>
      </c>
      <c r="I1017" s="1"/>
      <c r="J1017" s="1"/>
      <c r="K1017" s="1"/>
      <c r="L1017" s="1"/>
      <c r="M1017" s="1"/>
      <c r="N1017" s="1"/>
      <c r="Q1017"/>
    </row>
    <row r="1018" spans="1:17" ht="13.15" customHeight="1" x14ac:dyDescent="0.2">
      <c r="A1018" s="1" t="s">
        <v>2645</v>
      </c>
      <c r="B1018" s="1" t="s">
        <v>2480</v>
      </c>
      <c r="C1018" s="580">
        <v>147</v>
      </c>
      <c r="D1018" s="1">
        <v>1077.1303</v>
      </c>
      <c r="E1018" t="s">
        <v>2481</v>
      </c>
      <c r="F1018">
        <v>147</v>
      </c>
      <c r="G1018" s="580">
        <v>163.76060000000001</v>
      </c>
      <c r="H1018" s="1" t="s">
        <v>2646</v>
      </c>
      <c r="I1018" s="1"/>
      <c r="J1018" s="1"/>
      <c r="K1018" s="1"/>
      <c r="L1018" s="1"/>
      <c r="M1018" s="1"/>
      <c r="N1018" s="1"/>
      <c r="Q1018"/>
    </row>
    <row r="1019" spans="1:17" ht="13.15" customHeight="1" x14ac:dyDescent="0.2">
      <c r="A1019" s="1" t="s">
        <v>2647</v>
      </c>
      <c r="B1019" s="1" t="s">
        <v>2480</v>
      </c>
      <c r="C1019" s="580">
        <v>201</v>
      </c>
      <c r="D1019" s="1">
        <v>174.87090000000001</v>
      </c>
      <c r="E1019" t="s">
        <v>2481</v>
      </c>
      <c r="F1019">
        <v>201</v>
      </c>
      <c r="G1019" s="580">
        <v>23.590399999999999</v>
      </c>
      <c r="H1019" s="1" t="s">
        <v>2648</v>
      </c>
      <c r="I1019" s="1"/>
      <c r="J1019" s="1"/>
      <c r="K1019" s="1"/>
      <c r="L1019" s="1"/>
      <c r="M1019" s="1"/>
      <c r="N1019" s="1"/>
      <c r="Q1019"/>
    </row>
    <row r="1020" spans="1:17" ht="13.15" customHeight="1" x14ac:dyDescent="0.2">
      <c r="A1020" s="1" t="s">
        <v>2649</v>
      </c>
      <c r="B1020" s="1" t="s">
        <v>2480</v>
      </c>
      <c r="C1020" s="580">
        <v>202</v>
      </c>
      <c r="D1020" s="1">
        <v>194.11179999999999</v>
      </c>
      <c r="E1020" t="s">
        <v>2481</v>
      </c>
      <c r="F1020">
        <v>202</v>
      </c>
      <c r="G1020" s="580">
        <v>25.825299999999999</v>
      </c>
      <c r="H1020" s="1" t="s">
        <v>2650</v>
      </c>
      <c r="I1020" s="1"/>
      <c r="J1020" s="1"/>
      <c r="K1020" s="1"/>
      <c r="L1020" s="1"/>
      <c r="M1020" s="1"/>
      <c r="N1020" s="1"/>
      <c r="Q1020"/>
    </row>
    <row r="1021" spans="1:17" ht="13.15" customHeight="1" x14ac:dyDescent="0.2">
      <c r="A1021" s="1" t="s">
        <v>2651</v>
      </c>
      <c r="B1021" s="1" t="s">
        <v>2480</v>
      </c>
      <c r="C1021" s="580">
        <v>203</v>
      </c>
      <c r="D1021" s="1">
        <v>203.7157</v>
      </c>
      <c r="E1021" t="s">
        <v>2481</v>
      </c>
      <c r="F1021">
        <v>203</v>
      </c>
      <c r="G1021" s="580">
        <v>28.951699999999999</v>
      </c>
      <c r="H1021" s="1" t="s">
        <v>2652</v>
      </c>
      <c r="I1021" s="1"/>
      <c r="J1021" s="1"/>
      <c r="K1021" s="1"/>
      <c r="L1021" s="1"/>
      <c r="M1021" s="1"/>
      <c r="N1021" s="1"/>
      <c r="Q1021"/>
    </row>
    <row r="1022" spans="1:17" ht="13.15" customHeight="1" x14ac:dyDescent="0.2">
      <c r="A1022" s="1" t="s">
        <v>2653</v>
      </c>
      <c r="B1022" s="1" t="s">
        <v>2480</v>
      </c>
      <c r="C1022" s="580">
        <v>204</v>
      </c>
      <c r="D1022" s="1">
        <v>204.87280000000001</v>
      </c>
      <c r="E1022" t="s">
        <v>2481</v>
      </c>
      <c r="F1022">
        <v>204</v>
      </c>
      <c r="G1022" s="580">
        <v>30.162800000000001</v>
      </c>
      <c r="H1022" s="1" t="s">
        <v>2654</v>
      </c>
      <c r="I1022" s="1"/>
      <c r="J1022" s="1"/>
      <c r="K1022" s="1"/>
      <c r="L1022" s="1"/>
      <c r="M1022" s="1"/>
      <c r="N1022" s="1"/>
      <c r="Q1022"/>
    </row>
    <row r="1023" spans="1:17" ht="13.15" customHeight="1" x14ac:dyDescent="0.2">
      <c r="A1023" s="1" t="s">
        <v>2655</v>
      </c>
      <c r="B1023" s="1" t="s">
        <v>2480</v>
      </c>
      <c r="C1023" s="580">
        <v>205</v>
      </c>
      <c r="D1023" s="1">
        <v>220.411</v>
      </c>
      <c r="E1023" t="s">
        <v>2481</v>
      </c>
      <c r="F1023">
        <v>205</v>
      </c>
      <c r="G1023" s="580">
        <v>32.441899999999997</v>
      </c>
      <c r="H1023" s="1" t="s">
        <v>2656</v>
      </c>
      <c r="I1023" s="1"/>
      <c r="J1023" s="1"/>
      <c r="K1023" s="1"/>
      <c r="L1023" s="1"/>
      <c r="M1023" s="1"/>
      <c r="N1023" s="1"/>
      <c r="Q1023"/>
    </row>
    <row r="1024" spans="1:17" ht="13.15" customHeight="1" x14ac:dyDescent="0.2">
      <c r="A1024" s="1" t="s">
        <v>2657</v>
      </c>
      <c r="B1024" s="1" t="s">
        <v>2480</v>
      </c>
      <c r="C1024" s="580">
        <v>206</v>
      </c>
      <c r="D1024" s="1">
        <v>240.76769999999999</v>
      </c>
      <c r="E1024" t="s">
        <v>2481</v>
      </c>
      <c r="F1024">
        <v>206</v>
      </c>
      <c r="G1024" s="580">
        <v>35.447000000000003</v>
      </c>
      <c r="H1024" s="1" t="s">
        <v>2658</v>
      </c>
      <c r="I1024" s="1"/>
      <c r="J1024" s="1"/>
      <c r="K1024" s="1"/>
      <c r="L1024" s="1"/>
      <c r="M1024" s="1"/>
      <c r="N1024" s="1"/>
      <c r="Q1024"/>
    </row>
    <row r="1025" spans="1:17" ht="13.15" customHeight="1" x14ac:dyDescent="0.2">
      <c r="A1025" s="1" t="s">
        <v>2659</v>
      </c>
      <c r="B1025" s="1" t="s">
        <v>2480</v>
      </c>
      <c r="C1025" s="580">
        <v>207</v>
      </c>
      <c r="D1025" s="1">
        <v>269.49689999999998</v>
      </c>
      <c r="E1025" t="s">
        <v>2481</v>
      </c>
      <c r="F1025">
        <v>207</v>
      </c>
      <c r="G1025" s="580">
        <v>39.680599999999998</v>
      </c>
      <c r="H1025" s="1" t="s">
        <v>2660</v>
      </c>
      <c r="I1025" s="1"/>
      <c r="J1025" s="1"/>
      <c r="K1025" s="1"/>
      <c r="L1025" s="1"/>
      <c r="M1025" s="1"/>
      <c r="N1025" s="1"/>
      <c r="Q1025"/>
    </row>
    <row r="1026" spans="1:17" ht="13.15" customHeight="1" x14ac:dyDescent="0.2">
      <c r="A1026" s="1" t="s">
        <v>2661</v>
      </c>
      <c r="B1026" s="1" t="s">
        <v>2480</v>
      </c>
      <c r="C1026" s="580">
        <v>208</v>
      </c>
      <c r="D1026" s="1">
        <v>291.9529</v>
      </c>
      <c r="E1026" t="s">
        <v>2481</v>
      </c>
      <c r="F1026">
        <v>208</v>
      </c>
      <c r="G1026" s="580">
        <v>42.986499999999999</v>
      </c>
      <c r="H1026" s="1" t="s">
        <v>2662</v>
      </c>
      <c r="I1026" s="1"/>
      <c r="J1026" s="1"/>
      <c r="K1026" s="1"/>
      <c r="L1026" s="1"/>
      <c r="M1026" s="1"/>
      <c r="N1026" s="1"/>
      <c r="Q1026"/>
    </row>
    <row r="1027" spans="1:17" ht="13.15" customHeight="1" x14ac:dyDescent="0.2">
      <c r="A1027" s="1" t="s">
        <v>2663</v>
      </c>
      <c r="B1027" s="1" t="s">
        <v>2480</v>
      </c>
      <c r="C1027" s="580">
        <v>209</v>
      </c>
      <c r="D1027" s="1">
        <v>324.12020000000001</v>
      </c>
      <c r="E1027" t="s">
        <v>2481</v>
      </c>
      <c r="F1027">
        <v>209</v>
      </c>
      <c r="G1027" s="580">
        <v>47.725700000000003</v>
      </c>
      <c r="H1027" s="1" t="s">
        <v>2664</v>
      </c>
      <c r="I1027" s="1"/>
      <c r="J1027" s="1"/>
      <c r="K1027" s="1"/>
      <c r="L1027" s="1"/>
      <c r="M1027" s="1"/>
      <c r="N1027" s="1"/>
      <c r="Q1027"/>
    </row>
    <row r="1028" spans="1:17" ht="13.15" customHeight="1" x14ac:dyDescent="0.2">
      <c r="A1028" s="1" t="s">
        <v>2665</v>
      </c>
      <c r="B1028" s="1" t="s">
        <v>2480</v>
      </c>
      <c r="C1028" s="580">
        <v>210</v>
      </c>
      <c r="D1028" s="1">
        <v>333.98039999999997</v>
      </c>
      <c r="E1028" t="s">
        <v>2481</v>
      </c>
      <c r="F1028">
        <v>210</v>
      </c>
      <c r="G1028" s="580">
        <v>49.176200000000001</v>
      </c>
      <c r="H1028" s="1" t="s">
        <v>2666</v>
      </c>
      <c r="I1028" s="1"/>
      <c r="J1028" s="1"/>
      <c r="K1028" s="1"/>
      <c r="L1028" s="1"/>
      <c r="M1028" s="1"/>
      <c r="N1028" s="1"/>
      <c r="Q1028"/>
    </row>
    <row r="1029" spans="1:17" ht="13.15" customHeight="1" x14ac:dyDescent="0.2">
      <c r="A1029" s="1" t="s">
        <v>2667</v>
      </c>
      <c r="B1029" s="1" t="s">
        <v>2480</v>
      </c>
      <c r="C1029" s="580">
        <v>211</v>
      </c>
      <c r="D1029" s="1">
        <v>353.59320000000002</v>
      </c>
      <c r="E1029" t="s">
        <v>2481</v>
      </c>
      <c r="F1029">
        <v>211</v>
      </c>
      <c r="G1029" s="580">
        <v>52.060099999999998</v>
      </c>
      <c r="H1029" s="1" t="s">
        <v>2668</v>
      </c>
      <c r="I1029" s="1"/>
      <c r="J1029" s="1"/>
      <c r="K1029" s="1"/>
      <c r="L1029" s="1"/>
      <c r="M1029" s="1"/>
      <c r="N1029" s="1"/>
      <c r="Q1029"/>
    </row>
    <row r="1030" spans="1:17" ht="13.15" customHeight="1" x14ac:dyDescent="0.2">
      <c r="A1030" s="1" t="s">
        <v>2669</v>
      </c>
      <c r="B1030" s="1" t="s">
        <v>2480</v>
      </c>
      <c r="C1030" s="580">
        <v>212</v>
      </c>
      <c r="D1030" s="1">
        <v>376.041</v>
      </c>
      <c r="E1030" t="s">
        <v>2481</v>
      </c>
      <c r="F1030">
        <v>212</v>
      </c>
      <c r="G1030" s="580">
        <v>55.366</v>
      </c>
      <c r="H1030" s="1" t="s">
        <v>2670</v>
      </c>
      <c r="I1030" s="1"/>
      <c r="J1030" s="1"/>
      <c r="K1030" s="1"/>
      <c r="L1030" s="1"/>
      <c r="M1030" s="1"/>
      <c r="N1030" s="1"/>
      <c r="Q1030"/>
    </row>
    <row r="1031" spans="1:17" ht="13.15" customHeight="1" x14ac:dyDescent="0.2">
      <c r="A1031" s="1" t="s">
        <v>2671</v>
      </c>
      <c r="B1031" s="1" t="s">
        <v>2480</v>
      </c>
      <c r="C1031" s="580">
        <v>213</v>
      </c>
      <c r="D1031" s="1">
        <v>405.67099999999999</v>
      </c>
      <c r="E1031" t="s">
        <v>2481</v>
      </c>
      <c r="F1031">
        <v>213</v>
      </c>
      <c r="G1031" s="580">
        <v>59.7209</v>
      </c>
      <c r="H1031" s="1" t="s">
        <v>2672</v>
      </c>
      <c r="I1031" s="1"/>
      <c r="J1031" s="1"/>
      <c r="K1031" s="1"/>
      <c r="L1031" s="1"/>
      <c r="M1031" s="1"/>
      <c r="N1031" s="1"/>
      <c r="Q1031"/>
    </row>
    <row r="1032" spans="1:17" ht="13.15" customHeight="1" x14ac:dyDescent="0.2">
      <c r="A1032" s="1" t="s">
        <v>2673</v>
      </c>
      <c r="B1032" s="1" t="s">
        <v>2480</v>
      </c>
      <c r="C1032" s="580">
        <v>214</v>
      </c>
      <c r="D1032" s="1">
        <v>422.44069999999999</v>
      </c>
      <c r="E1032" t="s">
        <v>2481</v>
      </c>
      <c r="F1032">
        <v>214</v>
      </c>
      <c r="G1032" s="580">
        <v>62.201500000000003</v>
      </c>
      <c r="H1032" s="1" t="s">
        <v>2674</v>
      </c>
      <c r="I1032" s="1"/>
      <c r="J1032" s="1"/>
      <c r="K1032" s="1"/>
      <c r="L1032" s="1"/>
      <c r="M1032" s="1"/>
      <c r="N1032" s="1"/>
      <c r="Q1032"/>
    </row>
    <row r="1033" spans="1:17" ht="13.15" customHeight="1" x14ac:dyDescent="0.2">
      <c r="A1033" s="1" t="s">
        <v>2675</v>
      </c>
      <c r="B1033" s="1" t="s">
        <v>2480</v>
      </c>
      <c r="C1033" s="580">
        <v>215</v>
      </c>
      <c r="D1033" s="1">
        <v>449.7482</v>
      </c>
      <c r="E1033" t="s">
        <v>2481</v>
      </c>
      <c r="F1033">
        <v>215</v>
      </c>
      <c r="G1033" s="580">
        <v>66.212999999999994</v>
      </c>
      <c r="H1033" s="1" t="s">
        <v>2676</v>
      </c>
      <c r="I1033" s="1"/>
      <c r="J1033" s="1"/>
      <c r="K1033" s="1"/>
      <c r="L1033" s="1"/>
      <c r="M1033" s="1"/>
      <c r="N1033" s="1"/>
      <c r="Q1033"/>
    </row>
    <row r="1034" spans="1:17" ht="13.15" customHeight="1" x14ac:dyDescent="0.2">
      <c r="A1034" s="1" t="s">
        <v>2677</v>
      </c>
      <c r="B1034" s="1" t="s">
        <v>2480</v>
      </c>
      <c r="C1034" s="580">
        <v>216</v>
      </c>
      <c r="D1034" s="1">
        <v>477.84100000000001</v>
      </c>
      <c r="E1034" t="s">
        <v>2481</v>
      </c>
      <c r="F1034">
        <v>216</v>
      </c>
      <c r="G1034" s="580">
        <v>70.347399999999993</v>
      </c>
      <c r="H1034" s="1" t="s">
        <v>2678</v>
      </c>
      <c r="I1034" s="1"/>
      <c r="J1034" s="1"/>
      <c r="K1034" s="1"/>
      <c r="L1034" s="1"/>
      <c r="M1034" s="1"/>
      <c r="N1034" s="1"/>
      <c r="Q1034"/>
    </row>
    <row r="1035" spans="1:17" ht="13.15" customHeight="1" x14ac:dyDescent="0.2">
      <c r="A1035" s="1" t="s">
        <v>2679</v>
      </c>
      <c r="B1035" s="1" t="s">
        <v>2480</v>
      </c>
      <c r="C1035" s="580">
        <v>217</v>
      </c>
      <c r="D1035" s="1">
        <v>501.82600000000002</v>
      </c>
      <c r="E1035" t="s">
        <v>2481</v>
      </c>
      <c r="F1035">
        <v>217</v>
      </c>
      <c r="G1035" s="580">
        <v>73.875399999999999</v>
      </c>
      <c r="H1035" s="1" t="s">
        <v>2680</v>
      </c>
      <c r="I1035" s="1"/>
      <c r="J1035" s="1"/>
      <c r="K1035" s="1"/>
      <c r="L1035" s="1"/>
      <c r="M1035" s="1"/>
      <c r="N1035" s="1"/>
      <c r="Q1035"/>
    </row>
    <row r="1036" spans="1:17" ht="13.15" customHeight="1" x14ac:dyDescent="0.2">
      <c r="A1036" s="1" t="s">
        <v>2681</v>
      </c>
      <c r="B1036" s="1" t="s">
        <v>2480</v>
      </c>
      <c r="C1036" s="580">
        <v>218</v>
      </c>
      <c r="D1036" s="1">
        <v>529.77</v>
      </c>
      <c r="E1036" t="s">
        <v>2481</v>
      </c>
      <c r="F1036">
        <v>218</v>
      </c>
      <c r="G1036" s="580">
        <v>78.009799999999998</v>
      </c>
      <c r="H1036" s="1" t="s">
        <v>2682</v>
      </c>
      <c r="I1036" s="1"/>
      <c r="J1036" s="1"/>
      <c r="K1036" s="1"/>
      <c r="L1036" s="1"/>
      <c r="M1036" s="1"/>
      <c r="N1036" s="1"/>
      <c r="Q1036"/>
    </row>
    <row r="1037" spans="1:17" ht="13.15" customHeight="1" x14ac:dyDescent="0.2">
      <c r="A1037" s="1" t="s">
        <v>2683</v>
      </c>
      <c r="B1037" s="1" t="s">
        <v>2480</v>
      </c>
      <c r="C1037" s="580">
        <v>219</v>
      </c>
      <c r="D1037" s="1">
        <v>599.25379999999996</v>
      </c>
      <c r="E1037" t="s">
        <v>2481</v>
      </c>
      <c r="F1037">
        <v>219</v>
      </c>
      <c r="G1037" s="580">
        <v>88.231499999999997</v>
      </c>
      <c r="H1037" s="1" t="s">
        <v>2684</v>
      </c>
      <c r="I1037" s="1"/>
      <c r="J1037" s="1"/>
      <c r="K1037" s="1"/>
      <c r="L1037" s="1"/>
      <c r="M1037" s="1"/>
      <c r="N1037" s="1"/>
      <c r="Q1037"/>
    </row>
    <row r="1038" spans="1:17" ht="13.15" customHeight="1" x14ac:dyDescent="0.2">
      <c r="A1038" s="1" t="s">
        <v>2685</v>
      </c>
      <c r="B1038" s="1" t="s">
        <v>2480</v>
      </c>
      <c r="C1038" s="580">
        <v>220</v>
      </c>
      <c r="D1038" s="1">
        <v>624.51170000000002</v>
      </c>
      <c r="E1038" t="s">
        <v>2481</v>
      </c>
      <c r="F1038">
        <v>220</v>
      </c>
      <c r="G1038" s="580">
        <v>91.940600000000003</v>
      </c>
      <c r="H1038" s="1" t="s">
        <v>2686</v>
      </c>
      <c r="I1038" s="1"/>
      <c r="J1038" s="1"/>
      <c r="K1038" s="1"/>
      <c r="L1038" s="1"/>
      <c r="M1038" s="1"/>
      <c r="N1038" s="1"/>
      <c r="Q1038"/>
    </row>
    <row r="1039" spans="1:17" ht="13.15" customHeight="1" x14ac:dyDescent="0.2">
      <c r="A1039" s="1" t="s">
        <v>2687</v>
      </c>
      <c r="B1039" s="1" t="s">
        <v>2480</v>
      </c>
      <c r="C1039" s="580">
        <v>221</v>
      </c>
      <c r="D1039" s="1">
        <v>640.68629999999996</v>
      </c>
      <c r="E1039" t="s">
        <v>2481</v>
      </c>
      <c r="F1039">
        <v>221</v>
      </c>
      <c r="G1039" s="580">
        <v>94.320499999999996</v>
      </c>
      <c r="H1039" s="1" t="s">
        <v>2688</v>
      </c>
      <c r="I1039" s="1"/>
      <c r="J1039" s="1"/>
      <c r="K1039" s="1"/>
      <c r="L1039" s="1"/>
      <c r="M1039" s="1"/>
      <c r="N1039" s="1"/>
      <c r="Q1039"/>
    </row>
    <row r="1040" spans="1:17" ht="13.15" customHeight="1" x14ac:dyDescent="0.2">
      <c r="A1040" s="1" t="s">
        <v>2689</v>
      </c>
      <c r="B1040" s="1" t="s">
        <v>2480</v>
      </c>
      <c r="C1040" s="580">
        <v>222</v>
      </c>
      <c r="D1040" s="1">
        <v>665.30769999999995</v>
      </c>
      <c r="E1040" t="s">
        <v>2481</v>
      </c>
      <c r="F1040">
        <v>222</v>
      </c>
      <c r="G1040" s="580">
        <v>97.949299999999994</v>
      </c>
      <c r="H1040" s="1" t="s">
        <v>2690</v>
      </c>
      <c r="I1040" s="1"/>
      <c r="J1040" s="1"/>
      <c r="K1040" s="1"/>
      <c r="L1040" s="1"/>
      <c r="M1040" s="1"/>
      <c r="N1040" s="1"/>
      <c r="Q1040"/>
    </row>
    <row r="1041" spans="1:17" ht="13.15" customHeight="1" x14ac:dyDescent="0.2">
      <c r="A1041" s="1" t="s">
        <v>2691</v>
      </c>
      <c r="B1041" s="1" t="s">
        <v>2480</v>
      </c>
      <c r="C1041" s="580">
        <v>223</v>
      </c>
      <c r="D1041" s="1">
        <v>740.95730000000003</v>
      </c>
      <c r="E1041" t="s">
        <v>2481</v>
      </c>
      <c r="F1041">
        <v>223</v>
      </c>
      <c r="G1041" s="580">
        <v>109.1003</v>
      </c>
      <c r="H1041" s="1" t="s">
        <v>2692</v>
      </c>
      <c r="I1041" s="1"/>
      <c r="J1041" s="1"/>
      <c r="K1041" s="1"/>
      <c r="L1041" s="1"/>
      <c r="M1041" s="1"/>
      <c r="N1041" s="1"/>
      <c r="Q1041"/>
    </row>
    <row r="1042" spans="1:17" ht="13.15" customHeight="1" x14ac:dyDescent="0.2">
      <c r="A1042" s="1" t="s">
        <v>2693</v>
      </c>
      <c r="B1042" s="1" t="s">
        <v>2480</v>
      </c>
      <c r="C1042" s="580">
        <v>224</v>
      </c>
      <c r="D1042" s="1">
        <v>784.51379999999995</v>
      </c>
      <c r="E1042" t="s">
        <v>2481</v>
      </c>
      <c r="F1042">
        <v>224</v>
      </c>
      <c r="G1042" s="580">
        <v>115.5121</v>
      </c>
      <c r="H1042" s="1" t="s">
        <v>2694</v>
      </c>
      <c r="I1042" s="1"/>
      <c r="J1042" s="1"/>
      <c r="K1042" s="1"/>
      <c r="L1042" s="1"/>
      <c r="M1042" s="1"/>
      <c r="N1042" s="1"/>
      <c r="Q1042"/>
    </row>
    <row r="1043" spans="1:17" ht="13.15" customHeight="1" x14ac:dyDescent="0.2">
      <c r="A1043" s="1" t="s">
        <v>2695</v>
      </c>
      <c r="B1043" s="1" t="s">
        <v>2480</v>
      </c>
      <c r="C1043" s="580">
        <v>225</v>
      </c>
      <c r="D1043" s="1">
        <v>915.67939999999999</v>
      </c>
      <c r="E1043" t="s">
        <v>2481</v>
      </c>
      <c r="F1043">
        <v>225</v>
      </c>
      <c r="G1043" s="580">
        <v>132.47640000000001</v>
      </c>
      <c r="H1043" s="1" t="s">
        <v>2696</v>
      </c>
      <c r="I1043" s="1"/>
      <c r="J1043" s="1"/>
      <c r="K1043" s="1"/>
      <c r="L1043" s="1"/>
      <c r="M1043" s="1"/>
      <c r="N1043" s="1"/>
      <c r="Q1043"/>
    </row>
    <row r="1044" spans="1:17" ht="13.15" customHeight="1" x14ac:dyDescent="0.2">
      <c r="A1044" s="1" t="s">
        <v>2697</v>
      </c>
      <c r="B1044" s="1" t="s">
        <v>2480</v>
      </c>
      <c r="C1044" s="580">
        <v>226</v>
      </c>
      <c r="D1044" s="1">
        <v>940.9289</v>
      </c>
      <c r="E1044" t="s">
        <v>2481</v>
      </c>
      <c r="F1044">
        <v>226</v>
      </c>
      <c r="G1044" s="580">
        <v>138.1968</v>
      </c>
      <c r="H1044" s="1" t="s">
        <v>2698</v>
      </c>
      <c r="I1044" s="1"/>
      <c r="J1044" s="1"/>
      <c r="K1044" s="1"/>
      <c r="L1044" s="1"/>
      <c r="M1044" s="1"/>
      <c r="N1044" s="1"/>
      <c r="Q1044"/>
    </row>
    <row r="1045" spans="1:17" ht="13.15" customHeight="1" x14ac:dyDescent="0.2">
      <c r="A1045" s="1" t="s">
        <v>2699</v>
      </c>
      <c r="B1045" s="1" t="s">
        <v>2480</v>
      </c>
      <c r="C1045" s="580">
        <v>227</v>
      </c>
      <c r="D1045" s="1">
        <v>964.0213</v>
      </c>
      <c r="E1045" t="s">
        <v>2481</v>
      </c>
      <c r="F1045">
        <v>227</v>
      </c>
      <c r="G1045" s="580">
        <v>141.9453</v>
      </c>
      <c r="H1045" s="1" t="s">
        <v>2700</v>
      </c>
      <c r="I1045" s="1"/>
      <c r="J1045" s="1"/>
      <c r="K1045" s="1"/>
      <c r="L1045" s="1"/>
      <c r="M1045" s="1"/>
      <c r="N1045" s="1"/>
      <c r="Q1045"/>
    </row>
    <row r="1046" spans="1:17" ht="13.15" customHeight="1" x14ac:dyDescent="0.2">
      <c r="A1046" s="1" t="s">
        <v>2701</v>
      </c>
      <c r="B1046" s="1" t="s">
        <v>2480</v>
      </c>
      <c r="C1046" s="580">
        <v>228</v>
      </c>
      <c r="D1046" s="1">
        <v>1077.1031</v>
      </c>
      <c r="E1046" t="s">
        <v>2481</v>
      </c>
      <c r="F1046">
        <v>228</v>
      </c>
      <c r="G1046" s="580">
        <v>158.5805</v>
      </c>
      <c r="H1046" s="1" t="s">
        <v>2702</v>
      </c>
      <c r="I1046" s="1"/>
      <c r="J1046" s="1"/>
      <c r="K1046" s="1"/>
      <c r="L1046" s="1"/>
      <c r="M1046" s="1"/>
      <c r="N1046" s="1"/>
      <c r="Q1046"/>
    </row>
    <row r="1047" spans="1:17" ht="13.15" customHeight="1" x14ac:dyDescent="0.2">
      <c r="A1047" s="1" t="s">
        <v>2703</v>
      </c>
      <c r="B1047" s="1" t="s">
        <v>2480</v>
      </c>
      <c r="C1047" s="580">
        <v>229</v>
      </c>
      <c r="D1047" s="1">
        <v>1111.4689000000001</v>
      </c>
      <c r="E1047" t="s">
        <v>2481</v>
      </c>
      <c r="F1047">
        <v>229</v>
      </c>
      <c r="G1047" s="580">
        <v>163.63939999999999</v>
      </c>
      <c r="H1047" s="1" t="s">
        <v>2704</v>
      </c>
      <c r="I1047" s="1"/>
      <c r="J1047" s="1"/>
      <c r="K1047" s="1"/>
      <c r="L1047" s="1"/>
      <c r="M1047" s="1"/>
      <c r="N1047" s="1"/>
      <c r="Q1047"/>
    </row>
    <row r="1048" spans="1:17" ht="13.15" customHeight="1" x14ac:dyDescent="0.2">
      <c r="A1048" s="1" t="s">
        <v>2705</v>
      </c>
      <c r="B1048" s="1" t="s">
        <v>2480</v>
      </c>
      <c r="C1048" s="580">
        <v>230</v>
      </c>
      <c r="D1048" s="1">
        <v>1188.0193999999999</v>
      </c>
      <c r="E1048" t="s">
        <v>2481</v>
      </c>
      <c r="F1048">
        <v>230</v>
      </c>
      <c r="G1048" s="580">
        <v>174.91159999999999</v>
      </c>
      <c r="H1048" s="1" t="s">
        <v>2706</v>
      </c>
      <c r="I1048" s="1"/>
      <c r="J1048" s="1"/>
      <c r="K1048" s="1"/>
      <c r="L1048" s="1"/>
      <c r="M1048" s="1"/>
      <c r="N1048" s="1"/>
      <c r="Q1048"/>
    </row>
    <row r="1049" spans="1:17" ht="13.15" customHeight="1" x14ac:dyDescent="0.2">
      <c r="A1049" s="1" t="s">
        <v>2707</v>
      </c>
      <c r="B1049" s="1" t="s">
        <v>2480</v>
      </c>
      <c r="C1049" s="580">
        <v>231</v>
      </c>
      <c r="D1049" s="1">
        <v>1225.9721999999999</v>
      </c>
      <c r="E1049" t="s">
        <v>2481</v>
      </c>
      <c r="F1049">
        <v>231</v>
      </c>
      <c r="G1049" s="580">
        <v>180.4966</v>
      </c>
      <c r="H1049" s="1" t="s">
        <v>2708</v>
      </c>
      <c r="I1049" s="1"/>
      <c r="J1049" s="1"/>
      <c r="K1049" s="1"/>
      <c r="L1049" s="1"/>
      <c r="M1049" s="1"/>
      <c r="N1049" s="1"/>
      <c r="Q1049"/>
    </row>
    <row r="1050" spans="1:17" ht="13.15" customHeight="1" x14ac:dyDescent="0.2">
      <c r="A1050" s="1" t="s">
        <v>2709</v>
      </c>
      <c r="B1050" s="1" t="s">
        <v>2480</v>
      </c>
      <c r="C1050" s="580">
        <v>232</v>
      </c>
      <c r="D1050" s="1">
        <v>1264.4128000000001</v>
      </c>
      <c r="E1050" t="s">
        <v>2481</v>
      </c>
      <c r="F1050">
        <v>232</v>
      </c>
      <c r="G1050" s="580">
        <v>186.1619</v>
      </c>
      <c r="H1050" s="1" t="s">
        <v>2710</v>
      </c>
      <c r="I1050" s="1"/>
      <c r="J1050" s="1"/>
      <c r="K1050" s="1"/>
      <c r="L1050" s="1"/>
      <c r="M1050" s="1"/>
      <c r="N1050" s="1"/>
      <c r="Q1050"/>
    </row>
    <row r="1051" spans="1:17" ht="13.15" customHeight="1" x14ac:dyDescent="0.2">
      <c r="A1051" s="1" t="s">
        <v>2711</v>
      </c>
      <c r="B1051" s="1" t="s">
        <v>2480</v>
      </c>
      <c r="C1051" s="580">
        <v>233</v>
      </c>
      <c r="D1051" s="1">
        <v>1471.4840999999999</v>
      </c>
      <c r="E1051" t="s">
        <v>2481</v>
      </c>
      <c r="F1051">
        <v>233</v>
      </c>
      <c r="G1051" s="580">
        <v>213.2141</v>
      </c>
      <c r="H1051" s="1" t="s">
        <v>2712</v>
      </c>
      <c r="I1051" s="1"/>
      <c r="J1051" s="1"/>
      <c r="K1051" s="1"/>
      <c r="L1051" s="1"/>
      <c r="M1051" s="1"/>
      <c r="N1051" s="1"/>
      <c r="Q1051"/>
    </row>
    <row r="1052" spans="1:17" ht="13.15" customHeight="1" x14ac:dyDescent="0.2">
      <c r="A1052" s="1" t="s">
        <v>2713</v>
      </c>
      <c r="B1052" s="1" t="s">
        <v>2480</v>
      </c>
      <c r="C1052" s="580">
        <v>234</v>
      </c>
      <c r="D1052" s="1">
        <v>1721.2606000000001</v>
      </c>
      <c r="E1052" t="s">
        <v>2481</v>
      </c>
      <c r="F1052">
        <v>234</v>
      </c>
      <c r="G1052" s="580">
        <v>237.56360000000001</v>
      </c>
      <c r="H1052" s="1" t="s">
        <v>2714</v>
      </c>
      <c r="I1052" s="1"/>
      <c r="J1052" s="1"/>
      <c r="K1052" s="1"/>
      <c r="L1052" s="1"/>
      <c r="M1052" s="1"/>
      <c r="N1052" s="1"/>
      <c r="Q1052"/>
    </row>
    <row r="1053" spans="1:17" ht="13.15" customHeight="1" x14ac:dyDescent="0.2">
      <c r="A1053" s="1" t="s">
        <v>2715</v>
      </c>
      <c r="B1053" s="1" t="s">
        <v>2480</v>
      </c>
      <c r="C1053" s="580">
        <v>235</v>
      </c>
      <c r="D1053" s="1">
        <v>1738.2846999999999</v>
      </c>
      <c r="E1053" t="s">
        <v>2481</v>
      </c>
      <c r="F1053">
        <v>235</v>
      </c>
      <c r="G1053" s="580">
        <v>254.5421</v>
      </c>
      <c r="H1053" s="1" t="s">
        <v>2716</v>
      </c>
      <c r="I1053" s="1"/>
      <c r="J1053" s="1"/>
      <c r="K1053" s="1"/>
      <c r="L1053" s="1"/>
      <c r="M1053" s="1"/>
      <c r="N1053" s="1"/>
      <c r="Q1053"/>
    </row>
    <row r="1054" spans="1:17" ht="13.15" customHeight="1" x14ac:dyDescent="0.2">
      <c r="A1054" s="1" t="s">
        <v>2717</v>
      </c>
      <c r="B1054" s="1" t="s">
        <v>2480</v>
      </c>
      <c r="C1054" s="580">
        <v>236</v>
      </c>
      <c r="D1054" s="1">
        <v>1869.3902</v>
      </c>
      <c r="E1054" t="s">
        <v>2481</v>
      </c>
      <c r="F1054">
        <v>236</v>
      </c>
      <c r="G1054" s="580">
        <v>260.48450000000003</v>
      </c>
      <c r="H1054" s="1" t="s">
        <v>2718</v>
      </c>
      <c r="I1054" s="1"/>
      <c r="J1054" s="1"/>
      <c r="K1054" s="1"/>
      <c r="L1054" s="1"/>
      <c r="M1054" s="1"/>
      <c r="N1054" s="1"/>
      <c r="Q1054"/>
    </row>
    <row r="1055" spans="1:17" ht="13.15" customHeight="1" x14ac:dyDescent="0.2">
      <c r="A1055" s="1" t="s">
        <v>2719</v>
      </c>
      <c r="B1055" s="1" t="s">
        <v>2480</v>
      </c>
      <c r="C1055" s="580">
        <v>237</v>
      </c>
      <c r="D1055" s="1">
        <v>1965.9905000000001</v>
      </c>
      <c r="E1055" t="s">
        <v>2481</v>
      </c>
      <c r="F1055">
        <v>237</v>
      </c>
      <c r="G1055" s="580">
        <v>266.51679999999999</v>
      </c>
      <c r="H1055" s="1" t="s">
        <v>2720</v>
      </c>
      <c r="I1055" s="1"/>
      <c r="J1055" s="1"/>
      <c r="K1055" s="1"/>
      <c r="L1055" s="1"/>
      <c r="M1055" s="1"/>
      <c r="N1055" s="1"/>
      <c r="Q1055"/>
    </row>
    <row r="1056" spans="1:17" ht="13.15" customHeight="1" x14ac:dyDescent="0.2">
      <c r="A1056" s="1" t="s">
        <v>2721</v>
      </c>
      <c r="B1056" s="1" t="s">
        <v>2480</v>
      </c>
      <c r="C1056" s="580">
        <v>238</v>
      </c>
      <c r="D1056" s="1">
        <v>2073.2921000000001</v>
      </c>
      <c r="E1056" t="s">
        <v>2481</v>
      </c>
      <c r="F1056">
        <v>238</v>
      </c>
      <c r="G1056" s="580">
        <v>278.84899999999999</v>
      </c>
      <c r="H1056" s="1" t="s">
        <v>2722</v>
      </c>
      <c r="I1056" s="1"/>
      <c r="J1056" s="1"/>
      <c r="K1056" s="1"/>
      <c r="L1056" s="1"/>
      <c r="M1056" s="1"/>
      <c r="N1056" s="1"/>
      <c r="Q1056"/>
    </row>
    <row r="1057" spans="1:17" ht="13.15" customHeight="1" x14ac:dyDescent="0.2">
      <c r="A1057" s="1" t="s">
        <v>2723</v>
      </c>
      <c r="B1057" s="1" t="s">
        <v>2480</v>
      </c>
      <c r="C1057" s="580">
        <v>239</v>
      </c>
      <c r="D1057" s="1">
        <v>2194.2006000000001</v>
      </c>
      <c r="E1057" t="s">
        <v>2481</v>
      </c>
      <c r="F1057">
        <v>239</v>
      </c>
      <c r="G1057" s="580">
        <v>290.1087</v>
      </c>
      <c r="H1057" s="1" t="s">
        <v>2724</v>
      </c>
      <c r="I1057" s="1"/>
      <c r="J1057" s="1"/>
      <c r="K1057" s="1"/>
      <c r="L1057" s="1"/>
      <c r="M1057" s="1"/>
      <c r="N1057" s="1"/>
      <c r="Q1057"/>
    </row>
    <row r="1058" spans="1:17" ht="13.15" customHeight="1" x14ac:dyDescent="0.2">
      <c r="A1058" s="1" t="s">
        <v>2725</v>
      </c>
      <c r="B1058" s="1" t="s">
        <v>2480</v>
      </c>
      <c r="C1058" s="580">
        <v>240</v>
      </c>
      <c r="D1058" s="1">
        <v>2216.5556999999999</v>
      </c>
      <c r="E1058" t="s">
        <v>2481</v>
      </c>
      <c r="F1058">
        <v>240</v>
      </c>
      <c r="G1058" s="580">
        <v>308.38189999999997</v>
      </c>
      <c r="H1058" s="1" t="s">
        <v>2726</v>
      </c>
      <c r="I1058" s="1"/>
      <c r="J1058" s="1"/>
      <c r="K1058" s="1"/>
      <c r="L1058" s="1"/>
      <c r="M1058" s="1"/>
      <c r="N1058" s="1"/>
      <c r="Q1058"/>
    </row>
    <row r="1059" spans="1:17" ht="13.15" customHeight="1" x14ac:dyDescent="0.2">
      <c r="A1059" s="1" t="s">
        <v>2727</v>
      </c>
      <c r="B1059" s="1" t="s">
        <v>2480</v>
      </c>
      <c r="C1059" s="580">
        <v>309</v>
      </c>
      <c r="D1059" s="1">
        <v>437.83010000000002</v>
      </c>
      <c r="E1059" t="s">
        <v>2481</v>
      </c>
      <c r="F1059">
        <v>309</v>
      </c>
      <c r="G1059" s="580">
        <v>64.459999999999994</v>
      </c>
      <c r="H1059" s="1" t="s">
        <v>2728</v>
      </c>
      <c r="I1059" s="1"/>
      <c r="J1059" s="1"/>
      <c r="K1059" s="1"/>
      <c r="L1059" s="1"/>
      <c r="M1059" s="1"/>
      <c r="N1059" s="1"/>
      <c r="Q1059"/>
    </row>
    <row r="1060" spans="1:17" ht="13.15" customHeight="1" x14ac:dyDescent="0.2">
      <c r="A1060" s="1" t="s">
        <v>2729</v>
      </c>
      <c r="B1060" s="1" t="s">
        <v>2480</v>
      </c>
      <c r="C1060" s="580">
        <v>310</v>
      </c>
      <c r="D1060" s="1">
        <v>479.26260000000002</v>
      </c>
      <c r="E1060" t="s">
        <v>2481</v>
      </c>
      <c r="F1060">
        <v>310</v>
      </c>
      <c r="G1060" s="580">
        <v>70.569500000000005</v>
      </c>
      <c r="H1060" s="1" t="s">
        <v>2730</v>
      </c>
      <c r="I1060" s="1"/>
      <c r="J1060" s="1"/>
      <c r="K1060" s="1"/>
      <c r="L1060" s="1"/>
      <c r="M1060" s="1"/>
      <c r="N1060" s="1"/>
      <c r="Q1060"/>
    </row>
    <row r="1061" spans="1:17" ht="13.15" customHeight="1" x14ac:dyDescent="0.2">
      <c r="A1061" s="1" t="s">
        <v>2731</v>
      </c>
      <c r="B1061" s="1" t="s">
        <v>2480</v>
      </c>
      <c r="C1061" s="580">
        <v>311</v>
      </c>
      <c r="D1061" s="1">
        <v>524.91840000000002</v>
      </c>
      <c r="E1061" t="s">
        <v>2481</v>
      </c>
      <c r="F1061">
        <v>311</v>
      </c>
      <c r="G1061" s="580">
        <v>77.283699999999996</v>
      </c>
      <c r="H1061" s="1" t="s">
        <v>2732</v>
      </c>
      <c r="I1061" s="1"/>
      <c r="J1061" s="1"/>
      <c r="K1061" s="1"/>
      <c r="L1061" s="1"/>
      <c r="M1061" s="1"/>
      <c r="N1061" s="1"/>
      <c r="Q1061"/>
    </row>
    <row r="1062" spans="1:17" ht="13.15" customHeight="1" x14ac:dyDescent="0.2">
      <c r="A1062" s="1" t="s">
        <v>2733</v>
      </c>
      <c r="B1062" s="1" t="s">
        <v>2480</v>
      </c>
      <c r="C1062" s="580">
        <v>312</v>
      </c>
      <c r="D1062" s="1">
        <v>563.5077</v>
      </c>
      <c r="E1062" t="s">
        <v>2481</v>
      </c>
      <c r="F1062">
        <v>312</v>
      </c>
      <c r="G1062" s="580">
        <v>82.969399999999993</v>
      </c>
      <c r="H1062" s="1" t="s">
        <v>2734</v>
      </c>
      <c r="I1062" s="1"/>
      <c r="J1062" s="1"/>
      <c r="K1062" s="1"/>
      <c r="L1062" s="1"/>
      <c r="M1062" s="1"/>
      <c r="N1062" s="1"/>
      <c r="Q1062"/>
    </row>
    <row r="1063" spans="1:17" ht="13.15" customHeight="1" x14ac:dyDescent="0.2">
      <c r="A1063" s="1" t="s">
        <v>2735</v>
      </c>
      <c r="B1063" s="1" t="s">
        <v>2480</v>
      </c>
      <c r="C1063" s="580">
        <v>313</v>
      </c>
      <c r="D1063" s="1">
        <v>613.22990000000004</v>
      </c>
      <c r="E1063" t="s">
        <v>2481</v>
      </c>
      <c r="F1063">
        <v>313</v>
      </c>
      <c r="G1063" s="580">
        <v>90.288499999999999</v>
      </c>
      <c r="H1063" s="1" t="s">
        <v>2736</v>
      </c>
      <c r="I1063" s="1"/>
      <c r="J1063" s="1"/>
      <c r="K1063" s="1"/>
      <c r="L1063" s="1"/>
      <c r="M1063" s="1"/>
      <c r="N1063" s="1"/>
      <c r="Q1063"/>
    </row>
    <row r="1064" spans="1:17" ht="13.15" customHeight="1" x14ac:dyDescent="0.2">
      <c r="A1064" s="1" t="s">
        <v>2737</v>
      </c>
      <c r="B1064" s="1" t="s">
        <v>2480</v>
      </c>
      <c r="C1064" s="580">
        <v>314</v>
      </c>
      <c r="D1064" s="1">
        <v>655.40620000000001</v>
      </c>
      <c r="E1064" t="s">
        <v>2481</v>
      </c>
      <c r="F1064">
        <v>314</v>
      </c>
      <c r="G1064" s="580">
        <v>96.498699999999999</v>
      </c>
      <c r="H1064" s="1" t="s">
        <v>2738</v>
      </c>
      <c r="I1064" s="1"/>
      <c r="J1064" s="1"/>
      <c r="K1064" s="1"/>
      <c r="L1064" s="1"/>
      <c r="M1064" s="1"/>
      <c r="N1064" s="1"/>
      <c r="Q1064"/>
    </row>
    <row r="1065" spans="1:17" ht="13.15" customHeight="1" x14ac:dyDescent="0.2">
      <c r="A1065" s="1" t="s">
        <v>2739</v>
      </c>
      <c r="B1065" s="1" t="s">
        <v>2480</v>
      </c>
      <c r="C1065" s="580">
        <v>315</v>
      </c>
      <c r="D1065" s="1">
        <v>684.1354</v>
      </c>
      <c r="E1065" t="s">
        <v>2481</v>
      </c>
      <c r="F1065">
        <v>315</v>
      </c>
      <c r="G1065" s="580">
        <v>100.7323</v>
      </c>
      <c r="H1065" s="1" t="s">
        <v>2740</v>
      </c>
      <c r="I1065" s="1"/>
      <c r="J1065" s="1"/>
      <c r="K1065" s="1"/>
      <c r="L1065" s="1"/>
      <c r="M1065" s="1"/>
      <c r="N1065" s="1"/>
      <c r="Q1065"/>
    </row>
    <row r="1066" spans="1:17" ht="13.15" customHeight="1" x14ac:dyDescent="0.2">
      <c r="A1066" s="1" t="s">
        <v>2741</v>
      </c>
      <c r="B1066" s="1" t="s">
        <v>2480</v>
      </c>
      <c r="C1066" s="580">
        <v>316</v>
      </c>
      <c r="D1066" s="1">
        <v>757.87570000000005</v>
      </c>
      <c r="E1066" t="s">
        <v>2481</v>
      </c>
      <c r="F1066">
        <v>316</v>
      </c>
      <c r="G1066" s="580">
        <v>111.5793</v>
      </c>
      <c r="H1066" s="1" t="s">
        <v>2742</v>
      </c>
      <c r="I1066" s="1"/>
      <c r="J1066" s="1"/>
      <c r="K1066" s="1"/>
      <c r="L1066" s="1"/>
      <c r="M1066" s="1"/>
      <c r="N1066" s="1"/>
      <c r="Q1066"/>
    </row>
    <row r="1067" spans="1:17" ht="13.15" customHeight="1" x14ac:dyDescent="0.2">
      <c r="A1067" s="1" t="s">
        <v>2743</v>
      </c>
      <c r="B1067" s="1" t="s">
        <v>2480</v>
      </c>
      <c r="C1067" s="580">
        <v>317</v>
      </c>
      <c r="D1067" s="1">
        <v>812.60649999999998</v>
      </c>
      <c r="E1067" t="s">
        <v>2481</v>
      </c>
      <c r="F1067">
        <v>317</v>
      </c>
      <c r="G1067" s="580">
        <v>119.6465</v>
      </c>
      <c r="H1067" s="1" t="s">
        <v>2744</v>
      </c>
      <c r="I1067" s="1"/>
      <c r="J1067" s="1"/>
      <c r="K1067" s="1"/>
      <c r="L1067" s="1"/>
      <c r="M1067" s="1"/>
      <c r="N1067" s="1"/>
      <c r="Q1067"/>
    </row>
    <row r="1068" spans="1:17" ht="13.15" customHeight="1" x14ac:dyDescent="0.2">
      <c r="A1068" s="1" t="s">
        <v>2745</v>
      </c>
      <c r="B1068" s="1" t="s">
        <v>2480</v>
      </c>
      <c r="C1068" s="580">
        <v>318</v>
      </c>
      <c r="D1068" s="1">
        <v>892.62829999999997</v>
      </c>
      <c r="E1068" t="s">
        <v>2481</v>
      </c>
      <c r="F1068">
        <v>318</v>
      </c>
      <c r="G1068" s="580">
        <v>131.4196</v>
      </c>
      <c r="H1068" s="1" t="s">
        <v>2746</v>
      </c>
      <c r="I1068" s="1"/>
      <c r="J1068" s="1"/>
      <c r="K1068" s="1"/>
      <c r="L1068" s="1"/>
      <c r="M1068" s="1"/>
      <c r="N1068" s="1"/>
      <c r="Q1068"/>
    </row>
    <row r="1069" spans="1:17" ht="13.15" customHeight="1" x14ac:dyDescent="0.2">
      <c r="A1069" s="1" t="s">
        <v>2747</v>
      </c>
      <c r="B1069" s="1" t="s">
        <v>2480</v>
      </c>
      <c r="C1069" s="580">
        <v>319</v>
      </c>
      <c r="D1069" s="1">
        <v>931.85400000000004</v>
      </c>
      <c r="E1069" t="s">
        <v>2481</v>
      </c>
      <c r="F1069">
        <v>319</v>
      </c>
      <c r="G1069" s="580">
        <v>137.20609999999999</v>
      </c>
      <c r="H1069" s="1" t="s">
        <v>2748</v>
      </c>
      <c r="I1069" s="1"/>
      <c r="J1069" s="1"/>
      <c r="K1069" s="1"/>
      <c r="L1069" s="1"/>
      <c r="M1069" s="1"/>
      <c r="N1069" s="1"/>
      <c r="Q1069"/>
    </row>
    <row r="1070" spans="1:17" ht="13.15" customHeight="1" x14ac:dyDescent="0.2">
      <c r="A1070" s="1" t="s">
        <v>2749</v>
      </c>
      <c r="B1070" s="1" t="s">
        <v>2480</v>
      </c>
      <c r="C1070" s="580">
        <v>320</v>
      </c>
      <c r="D1070" s="1">
        <v>990.79989999999998</v>
      </c>
      <c r="E1070" t="s">
        <v>2481</v>
      </c>
      <c r="F1070">
        <v>320</v>
      </c>
      <c r="G1070" s="580">
        <v>145.87649999999999</v>
      </c>
      <c r="H1070" s="1" t="s">
        <v>2750</v>
      </c>
      <c r="I1070" s="1"/>
      <c r="J1070" s="1"/>
      <c r="K1070" s="1"/>
      <c r="L1070" s="1"/>
      <c r="M1070" s="1"/>
      <c r="N1070" s="1"/>
      <c r="Q1070"/>
    </row>
    <row r="1071" spans="1:17" ht="13.15" customHeight="1" x14ac:dyDescent="0.2">
      <c r="A1071" s="1" t="s">
        <v>2751</v>
      </c>
      <c r="B1071" s="1" t="s">
        <v>2480</v>
      </c>
      <c r="C1071" s="580">
        <v>321</v>
      </c>
      <c r="D1071" s="1">
        <v>1041.3487</v>
      </c>
      <c r="E1071" t="s">
        <v>2481</v>
      </c>
      <c r="F1071">
        <v>321</v>
      </c>
      <c r="G1071" s="580">
        <v>153.3168</v>
      </c>
      <c r="H1071" s="1" t="s">
        <v>2752</v>
      </c>
      <c r="I1071" s="1"/>
      <c r="J1071" s="1"/>
      <c r="K1071" s="1"/>
      <c r="L1071" s="1"/>
      <c r="M1071" s="1"/>
      <c r="N1071" s="1"/>
      <c r="Q1071"/>
    </row>
    <row r="1072" spans="1:17" ht="13.15" customHeight="1" x14ac:dyDescent="0.2">
      <c r="A1072" s="1" t="s">
        <v>2753</v>
      </c>
      <c r="B1072" s="1" t="s">
        <v>2480</v>
      </c>
      <c r="C1072" s="580">
        <v>322</v>
      </c>
      <c r="D1072" s="1">
        <v>1058.9034999999999</v>
      </c>
      <c r="E1072" t="s">
        <v>2481</v>
      </c>
      <c r="F1072">
        <v>322</v>
      </c>
      <c r="G1072" s="580">
        <v>155.89670000000001</v>
      </c>
      <c r="H1072" s="1" t="s">
        <v>2754</v>
      </c>
      <c r="I1072" s="1"/>
      <c r="J1072" s="1"/>
      <c r="K1072" s="1"/>
      <c r="L1072" s="1"/>
      <c r="M1072" s="1"/>
      <c r="N1072" s="1"/>
      <c r="Q1072"/>
    </row>
    <row r="1073" spans="1:17" ht="13.15" customHeight="1" x14ac:dyDescent="0.2">
      <c r="A1073" s="1" t="s">
        <v>2755</v>
      </c>
      <c r="B1073" s="1" t="s">
        <v>2480</v>
      </c>
      <c r="C1073" s="580">
        <v>323</v>
      </c>
      <c r="D1073" s="1">
        <v>1126.222</v>
      </c>
      <c r="E1073" t="s">
        <v>2481</v>
      </c>
      <c r="F1073">
        <v>323</v>
      </c>
      <c r="G1073" s="580">
        <v>165.816</v>
      </c>
      <c r="H1073" s="1" t="s">
        <v>2756</v>
      </c>
      <c r="I1073" s="1"/>
      <c r="J1073" s="1"/>
      <c r="K1073" s="1"/>
      <c r="L1073" s="1"/>
      <c r="M1073" s="1"/>
      <c r="N1073" s="1"/>
      <c r="Q1073"/>
    </row>
    <row r="1074" spans="1:17" ht="13.15" customHeight="1" x14ac:dyDescent="0.2">
      <c r="A1074" s="1" t="s">
        <v>2757</v>
      </c>
      <c r="B1074" s="1" t="s">
        <v>2480</v>
      </c>
      <c r="C1074" s="580">
        <v>324</v>
      </c>
      <c r="D1074" s="1">
        <v>1179.5311999999999</v>
      </c>
      <c r="E1074" t="s">
        <v>2481</v>
      </c>
      <c r="F1074">
        <v>324</v>
      </c>
      <c r="G1074" s="580">
        <v>173.65950000000001</v>
      </c>
      <c r="H1074" s="1" t="s">
        <v>2758</v>
      </c>
      <c r="I1074" s="1"/>
      <c r="J1074" s="1"/>
      <c r="K1074" s="1"/>
      <c r="L1074" s="1"/>
      <c r="M1074" s="1"/>
      <c r="N1074" s="1"/>
      <c r="Q1074"/>
    </row>
    <row r="1075" spans="1:17" ht="13.15" customHeight="1" x14ac:dyDescent="0.2">
      <c r="A1075" s="1" t="s">
        <v>2759</v>
      </c>
      <c r="B1075" s="1" t="s">
        <v>2480</v>
      </c>
      <c r="C1075" s="580">
        <v>325</v>
      </c>
      <c r="D1075" s="1">
        <v>1244.7999</v>
      </c>
      <c r="E1075" t="s">
        <v>2481</v>
      </c>
      <c r="F1075">
        <v>325</v>
      </c>
      <c r="G1075" s="580">
        <v>183.27799999999999</v>
      </c>
      <c r="H1075" s="1" t="s">
        <v>2760</v>
      </c>
      <c r="I1075" s="1"/>
      <c r="J1075" s="1"/>
      <c r="K1075" s="1"/>
      <c r="L1075" s="1"/>
      <c r="M1075" s="1"/>
      <c r="N1075" s="1"/>
      <c r="Q1075"/>
    </row>
    <row r="1076" spans="1:17" ht="13.15" customHeight="1" x14ac:dyDescent="0.2">
      <c r="A1076" s="1" t="s">
        <v>2761</v>
      </c>
      <c r="B1076" s="1" t="s">
        <v>2480</v>
      </c>
      <c r="C1076" s="580">
        <v>326</v>
      </c>
      <c r="D1076" s="1">
        <v>1350.0712000000001</v>
      </c>
      <c r="E1076" t="s">
        <v>2481</v>
      </c>
      <c r="F1076">
        <v>326</v>
      </c>
      <c r="G1076" s="580">
        <v>198.78389999999999</v>
      </c>
      <c r="H1076" s="1" t="s">
        <v>2762</v>
      </c>
      <c r="I1076" s="1"/>
      <c r="J1076" s="1"/>
      <c r="K1076" s="1"/>
      <c r="L1076" s="1"/>
      <c r="M1076" s="1"/>
      <c r="N1076" s="1"/>
      <c r="Q1076"/>
    </row>
    <row r="1077" spans="1:17" ht="13.15" customHeight="1" x14ac:dyDescent="0.2">
      <c r="A1077" s="1" t="s">
        <v>2763</v>
      </c>
      <c r="B1077" s="1" t="s">
        <v>2480</v>
      </c>
      <c r="C1077" s="580">
        <v>327</v>
      </c>
      <c r="D1077" s="1">
        <v>1473.5420999999999</v>
      </c>
      <c r="E1077" t="s">
        <v>2481</v>
      </c>
      <c r="F1077">
        <v>327</v>
      </c>
      <c r="G1077" s="580">
        <v>216.95</v>
      </c>
      <c r="H1077" s="1" t="s">
        <v>2764</v>
      </c>
      <c r="I1077" s="1"/>
      <c r="J1077" s="1"/>
      <c r="K1077" s="1"/>
      <c r="L1077" s="1"/>
      <c r="M1077" s="1"/>
      <c r="N1077" s="1"/>
      <c r="Q1077"/>
    </row>
    <row r="1078" spans="1:17" ht="13.15" customHeight="1" x14ac:dyDescent="0.2">
      <c r="A1078" s="1" t="s">
        <v>2765</v>
      </c>
      <c r="B1078" s="1" t="s">
        <v>2480</v>
      </c>
      <c r="C1078" s="580">
        <v>328</v>
      </c>
      <c r="D1078" s="1">
        <v>1583.7806</v>
      </c>
      <c r="E1078" t="s">
        <v>2481</v>
      </c>
      <c r="F1078">
        <v>328</v>
      </c>
      <c r="G1078" s="580">
        <v>233.18029999999999</v>
      </c>
      <c r="H1078" s="1" t="s">
        <v>2766</v>
      </c>
      <c r="I1078" s="1"/>
      <c r="J1078" s="1"/>
      <c r="K1078" s="1"/>
      <c r="L1078" s="1"/>
      <c r="M1078" s="1"/>
      <c r="N1078" s="1"/>
      <c r="Q1078"/>
    </row>
    <row r="1079" spans="1:17" ht="13.15" customHeight="1" x14ac:dyDescent="0.2">
      <c r="A1079" s="1" t="s">
        <v>2767</v>
      </c>
      <c r="B1079" s="1" t="s">
        <v>2480</v>
      </c>
      <c r="C1079" s="580">
        <v>329</v>
      </c>
      <c r="D1079" s="1">
        <v>1750.7336</v>
      </c>
      <c r="E1079" t="s">
        <v>2481</v>
      </c>
      <c r="F1079">
        <v>329</v>
      </c>
      <c r="G1079" s="580">
        <v>257.75979999999998</v>
      </c>
      <c r="H1079" s="1" t="s">
        <v>2768</v>
      </c>
      <c r="I1079" s="1"/>
      <c r="J1079" s="1"/>
      <c r="K1079" s="1"/>
      <c r="L1079" s="1"/>
      <c r="M1079" s="1"/>
      <c r="N1079" s="1"/>
      <c r="Q1079"/>
    </row>
    <row r="1080" spans="1:17" ht="13.15" customHeight="1" x14ac:dyDescent="0.2">
      <c r="A1080" s="1" t="s">
        <v>2769</v>
      </c>
      <c r="B1080" s="1" t="s">
        <v>2480</v>
      </c>
      <c r="C1080" s="580">
        <v>330</v>
      </c>
      <c r="D1080" s="1">
        <v>1847.5333000000001</v>
      </c>
      <c r="E1080" t="s">
        <v>2481</v>
      </c>
      <c r="F1080">
        <v>330</v>
      </c>
      <c r="G1080" s="580">
        <v>272.01350000000002</v>
      </c>
      <c r="H1080" s="1" t="s">
        <v>2770</v>
      </c>
      <c r="I1080" s="1"/>
      <c r="J1080" s="1"/>
      <c r="K1080" s="1"/>
      <c r="L1080" s="1"/>
      <c r="M1080" s="1"/>
      <c r="N1080" s="1"/>
      <c r="Q1080"/>
    </row>
    <row r="1081" spans="1:17" ht="13.15" customHeight="1" x14ac:dyDescent="0.2">
      <c r="A1081" s="1" t="s">
        <v>2771</v>
      </c>
      <c r="B1081" s="1" t="s">
        <v>2480</v>
      </c>
      <c r="C1081" s="580">
        <v>331</v>
      </c>
      <c r="D1081" s="1">
        <v>2050.3811999999998</v>
      </c>
      <c r="E1081" t="s">
        <v>2481</v>
      </c>
      <c r="F1081">
        <v>331</v>
      </c>
      <c r="G1081" s="580">
        <v>301.87549999999999</v>
      </c>
      <c r="H1081" s="1" t="s">
        <v>2772</v>
      </c>
      <c r="I1081" s="1"/>
      <c r="J1081" s="1"/>
      <c r="K1081" s="1"/>
      <c r="L1081" s="1"/>
      <c r="M1081" s="1"/>
      <c r="N1081" s="1"/>
      <c r="Q1081"/>
    </row>
    <row r="1082" spans="1:17" ht="13.15" customHeight="1" x14ac:dyDescent="0.2">
      <c r="A1082" s="1" t="s">
        <v>2773</v>
      </c>
      <c r="B1082" s="1" t="s">
        <v>2480</v>
      </c>
      <c r="C1082" s="580">
        <v>400</v>
      </c>
      <c r="D1082" s="1">
        <v>2196.7199999999998</v>
      </c>
      <c r="E1082" t="s">
        <v>2481</v>
      </c>
      <c r="F1082">
        <v>400</v>
      </c>
      <c r="G1082" s="580">
        <v>514.52850000000001</v>
      </c>
      <c r="H1082" s="1" t="s">
        <v>2774</v>
      </c>
      <c r="I1082" s="1"/>
      <c r="J1082" s="1"/>
      <c r="K1082" s="1"/>
      <c r="L1082" s="1"/>
      <c r="M1082" s="1"/>
      <c r="N1082" s="1"/>
      <c r="Q1082"/>
    </row>
    <row r="1083" spans="1:17" ht="13.15" customHeight="1" x14ac:dyDescent="0.2">
      <c r="A1083" s="1" t="s">
        <v>2775</v>
      </c>
      <c r="B1083" s="1" t="s">
        <v>2480</v>
      </c>
      <c r="C1083" s="580">
        <v>401</v>
      </c>
      <c r="D1083" s="1">
        <v>2684.88</v>
      </c>
      <c r="E1083" t="s">
        <v>2481</v>
      </c>
      <c r="F1083">
        <v>401</v>
      </c>
      <c r="G1083" s="580">
        <v>556.22249999999997</v>
      </c>
      <c r="H1083" s="1" t="s">
        <v>2776</v>
      </c>
      <c r="I1083" s="1"/>
      <c r="J1083" s="1"/>
      <c r="K1083" s="1"/>
      <c r="L1083" s="1"/>
      <c r="M1083" s="1"/>
      <c r="N1083" s="1"/>
      <c r="Q1083"/>
    </row>
    <row r="1084" spans="1:17" ht="13.15" customHeight="1" x14ac:dyDescent="0.2">
      <c r="A1084" s="1" t="s">
        <v>2777</v>
      </c>
      <c r="B1084" s="1" t="s">
        <v>2480</v>
      </c>
      <c r="C1084" s="580">
        <v>402</v>
      </c>
      <c r="D1084" s="1">
        <v>4474.8</v>
      </c>
      <c r="E1084" t="s">
        <v>2481</v>
      </c>
      <c r="F1084">
        <v>402</v>
      </c>
      <c r="G1084" s="580">
        <v>612.11099999999999</v>
      </c>
      <c r="H1084" s="1" t="s">
        <v>2778</v>
      </c>
      <c r="I1084" s="1"/>
      <c r="J1084" s="1"/>
      <c r="K1084" s="1"/>
      <c r="L1084" s="1"/>
      <c r="M1084" s="1"/>
      <c r="N1084" s="1"/>
      <c r="Q1084"/>
    </row>
    <row r="1085" spans="1:17" ht="13.15" customHeight="1" x14ac:dyDescent="0.2">
      <c r="A1085" s="1" t="s">
        <v>2779</v>
      </c>
      <c r="B1085" s="1" t="s">
        <v>2780</v>
      </c>
      <c r="C1085" s="580" t="s">
        <v>2781</v>
      </c>
      <c r="D1085" s="1">
        <v>1861.56</v>
      </c>
      <c r="E1085" t="s">
        <v>2780</v>
      </c>
      <c r="F1085" t="s">
        <v>2781</v>
      </c>
      <c r="G1085" s="580">
        <v>162</v>
      </c>
      <c r="H1085" s="1" t="s">
        <v>2781</v>
      </c>
      <c r="I1085" s="1"/>
      <c r="J1085" s="1"/>
      <c r="K1085" s="1"/>
      <c r="L1085" s="1"/>
      <c r="M1085" s="1"/>
      <c r="N1085" s="1"/>
      <c r="Q1085"/>
    </row>
    <row r="1086" spans="1:17" ht="13.15" customHeight="1" x14ac:dyDescent="0.2">
      <c r="A1086" s="1" t="s">
        <v>2782</v>
      </c>
      <c r="B1086" s="1" t="s">
        <v>2780</v>
      </c>
      <c r="C1086" s="580" t="s">
        <v>2783</v>
      </c>
      <c r="D1086" s="1">
        <v>1861.56</v>
      </c>
      <c r="E1086" t="s">
        <v>2780</v>
      </c>
      <c r="F1086" t="s">
        <v>2783</v>
      </c>
      <c r="G1086" s="580">
        <v>180</v>
      </c>
      <c r="H1086" s="1" t="s">
        <v>2783</v>
      </c>
      <c r="I1086" s="1"/>
      <c r="J1086" s="1"/>
      <c r="K1086" s="1"/>
      <c r="L1086" s="1"/>
      <c r="M1086" s="1"/>
      <c r="N1086" s="1"/>
      <c r="Q1086"/>
    </row>
    <row r="1087" spans="1:17" ht="13.15" customHeight="1" x14ac:dyDescent="0.2">
      <c r="A1087" s="1" t="s">
        <v>2784</v>
      </c>
      <c r="B1087" s="1" t="s">
        <v>2780</v>
      </c>
      <c r="C1087" s="580" t="s">
        <v>2785</v>
      </c>
      <c r="D1087" s="1">
        <v>1861.56</v>
      </c>
      <c r="E1087" t="s">
        <v>2780</v>
      </c>
      <c r="F1087" t="s">
        <v>2785</v>
      </c>
      <c r="G1087" s="580">
        <v>200</v>
      </c>
      <c r="H1087" s="1" t="s">
        <v>2785</v>
      </c>
      <c r="I1087" s="1"/>
      <c r="J1087" s="1"/>
      <c r="K1087" s="1"/>
      <c r="L1087" s="1"/>
      <c r="M1087" s="1"/>
      <c r="N1087" s="1"/>
      <c r="Q1087"/>
    </row>
    <row r="1088" spans="1:17" ht="13.15" customHeight="1" x14ac:dyDescent="0.2">
      <c r="A1088" s="1" t="s">
        <v>2786</v>
      </c>
      <c r="B1088" s="1" t="s">
        <v>2780</v>
      </c>
      <c r="C1088" s="580" t="s">
        <v>2787</v>
      </c>
      <c r="D1088" s="1">
        <v>1861.56</v>
      </c>
      <c r="E1088" t="s">
        <v>2780</v>
      </c>
      <c r="F1088" t="s">
        <v>2787</v>
      </c>
      <c r="G1088" s="580">
        <v>220</v>
      </c>
      <c r="H1088" s="1" t="s">
        <v>2787</v>
      </c>
      <c r="I1088" s="1"/>
      <c r="J1088" s="1"/>
      <c r="K1088" s="1"/>
      <c r="L1088" s="1"/>
      <c r="M1088" s="1"/>
      <c r="N1088" s="1"/>
      <c r="Q1088"/>
    </row>
    <row r="1089" spans="1:17" ht="13.15" customHeight="1" x14ac:dyDescent="0.2">
      <c r="A1089" s="1" t="s">
        <v>2788</v>
      </c>
      <c r="B1089" s="1" t="s">
        <v>2780</v>
      </c>
      <c r="C1089" s="580" t="s">
        <v>2789</v>
      </c>
      <c r="D1089" s="1">
        <v>1861.56</v>
      </c>
      <c r="E1089" t="s">
        <v>2780</v>
      </c>
      <c r="F1089" t="s">
        <v>2789</v>
      </c>
      <c r="G1089" s="580">
        <v>242</v>
      </c>
      <c r="H1089" s="1" t="s">
        <v>2789</v>
      </c>
      <c r="I1089" s="1"/>
      <c r="J1089" s="1"/>
      <c r="K1089" s="1"/>
      <c r="L1089" s="1"/>
      <c r="M1089" s="1"/>
      <c r="N1089" s="1"/>
      <c r="Q1089"/>
    </row>
    <row r="1090" spans="1:17" ht="13.15" customHeight="1" x14ac:dyDescent="0.2">
      <c r="A1090" s="1" t="s">
        <v>2790</v>
      </c>
      <c r="B1090" s="1" t="s">
        <v>2780</v>
      </c>
      <c r="C1090" s="580" t="s">
        <v>2791</v>
      </c>
      <c r="D1090" s="1">
        <v>1861.56</v>
      </c>
      <c r="E1090" t="s">
        <v>2780</v>
      </c>
      <c r="F1090" t="s">
        <v>2791</v>
      </c>
      <c r="G1090" s="580">
        <v>255</v>
      </c>
      <c r="H1090" s="1" t="s">
        <v>2791</v>
      </c>
      <c r="I1090" s="1"/>
      <c r="J1090" s="1"/>
      <c r="K1090" s="1"/>
      <c r="L1090" s="1"/>
      <c r="M1090" s="1"/>
      <c r="N1090" s="1"/>
      <c r="Q1090"/>
    </row>
    <row r="1091" spans="1:17" ht="13.15" customHeight="1" x14ac:dyDescent="0.2">
      <c r="A1091" s="1" t="s">
        <v>2792</v>
      </c>
      <c r="B1091" s="1" t="s">
        <v>2780</v>
      </c>
      <c r="C1091" s="580" t="s">
        <v>2793</v>
      </c>
      <c r="D1091" s="1">
        <v>1861.56</v>
      </c>
      <c r="E1091" t="s">
        <v>2780</v>
      </c>
      <c r="F1091" t="s">
        <v>2793</v>
      </c>
      <c r="G1091" s="580">
        <v>280.5</v>
      </c>
      <c r="H1091" s="1" t="s">
        <v>2793</v>
      </c>
      <c r="I1091" s="1"/>
      <c r="J1091" s="1"/>
      <c r="K1091" s="1"/>
      <c r="L1091" s="1"/>
      <c r="M1091" s="1"/>
      <c r="N1091" s="1"/>
      <c r="Q1091"/>
    </row>
    <row r="1092" spans="1:17" ht="13.15" customHeight="1" x14ac:dyDescent="0.2">
      <c r="A1092" s="1" t="s">
        <v>2794</v>
      </c>
      <c r="B1092" s="1" t="s">
        <v>2780</v>
      </c>
      <c r="C1092" s="580" t="s">
        <v>2795</v>
      </c>
      <c r="D1092" s="1">
        <v>1861.56</v>
      </c>
      <c r="E1092" t="s">
        <v>2780</v>
      </c>
      <c r="F1092" t="s">
        <v>2795</v>
      </c>
      <c r="G1092" s="580">
        <v>308.55</v>
      </c>
      <c r="H1092" s="1" t="s">
        <v>2795</v>
      </c>
      <c r="I1092" s="1"/>
      <c r="J1092" s="1"/>
      <c r="K1092" s="1"/>
      <c r="L1092" s="1"/>
      <c r="M1092" s="1"/>
      <c r="N1092" s="1"/>
      <c r="Q1092"/>
    </row>
    <row r="1093" spans="1:17" ht="13.15" customHeight="1" x14ac:dyDescent="0.2">
      <c r="A1093" s="1" t="s">
        <v>2796</v>
      </c>
      <c r="B1093" s="1" t="s">
        <v>2780</v>
      </c>
      <c r="C1093" s="580" t="s">
        <v>2797</v>
      </c>
      <c r="D1093" s="1">
        <v>1861.56</v>
      </c>
      <c r="E1093" t="s">
        <v>2780</v>
      </c>
      <c r="F1093" t="s">
        <v>2797</v>
      </c>
      <c r="G1093" s="580">
        <v>339.40499999999997</v>
      </c>
      <c r="H1093" s="1" t="s">
        <v>2797</v>
      </c>
      <c r="I1093" s="1"/>
      <c r="J1093" s="1"/>
      <c r="K1093" s="1"/>
      <c r="L1093" s="1"/>
      <c r="M1093" s="1"/>
      <c r="N1093" s="1"/>
      <c r="Q1093"/>
    </row>
    <row r="1094" spans="1:17" ht="13.15" customHeight="1" x14ac:dyDescent="0.2">
      <c r="A1094" s="1" t="s">
        <v>2798</v>
      </c>
      <c r="B1094" s="1" t="s">
        <v>2780</v>
      </c>
      <c r="C1094" s="580" t="s">
        <v>2799</v>
      </c>
      <c r="D1094" s="1">
        <v>1861.56</v>
      </c>
      <c r="E1094" t="s">
        <v>2780</v>
      </c>
      <c r="F1094" t="s">
        <v>2799</v>
      </c>
      <c r="G1094" s="580">
        <v>307</v>
      </c>
      <c r="H1094" s="1" t="s">
        <v>2799</v>
      </c>
      <c r="I1094" s="1"/>
      <c r="J1094" s="1"/>
      <c r="K1094" s="1"/>
      <c r="L1094" s="1"/>
      <c r="M1094" s="1"/>
      <c r="N1094" s="1"/>
      <c r="Q1094"/>
    </row>
    <row r="1095" spans="1:17" ht="13.15" customHeight="1" x14ac:dyDescent="0.2">
      <c r="A1095" s="1" t="s">
        <v>2800</v>
      </c>
      <c r="B1095" s="1" t="s">
        <v>2780</v>
      </c>
      <c r="C1095" s="580" t="s">
        <v>2801</v>
      </c>
      <c r="D1095" s="1">
        <v>2349.1999999999998</v>
      </c>
      <c r="E1095" t="s">
        <v>2780</v>
      </c>
      <c r="F1095" t="s">
        <v>2801</v>
      </c>
      <c r="G1095" s="580">
        <v>337.7</v>
      </c>
      <c r="H1095" s="1" t="s">
        <v>2801</v>
      </c>
      <c r="I1095" s="1"/>
      <c r="J1095" s="1"/>
      <c r="K1095" s="1"/>
      <c r="L1095" s="1"/>
      <c r="M1095" s="1"/>
      <c r="N1095" s="1"/>
      <c r="Q1095"/>
    </row>
    <row r="1096" spans="1:17" ht="13.15" customHeight="1" x14ac:dyDescent="0.2">
      <c r="A1096" s="1" t="s">
        <v>2802</v>
      </c>
      <c r="B1096" s="1" t="s">
        <v>2780</v>
      </c>
      <c r="C1096" s="580" t="s">
        <v>2803</v>
      </c>
      <c r="D1096" s="1">
        <v>2455.2399999999998</v>
      </c>
      <c r="E1096" t="s">
        <v>2780</v>
      </c>
      <c r="F1096" t="s">
        <v>2803</v>
      </c>
      <c r="G1096" s="580">
        <v>506</v>
      </c>
      <c r="H1096" s="1" t="s">
        <v>2803</v>
      </c>
      <c r="I1096" s="1"/>
      <c r="J1096" s="1"/>
      <c r="K1096" s="1"/>
      <c r="L1096" s="1"/>
      <c r="M1096" s="1"/>
      <c r="N1096" s="1"/>
      <c r="Q1096"/>
    </row>
    <row r="1097" spans="1:17" ht="13.15" customHeight="1" x14ac:dyDescent="0.2">
      <c r="A1097" s="1" t="s">
        <v>2804</v>
      </c>
      <c r="B1097" s="1" t="s">
        <v>2780</v>
      </c>
      <c r="C1097" s="580" t="s">
        <v>2805</v>
      </c>
      <c r="D1097" s="1">
        <v>2455.2399999999998</v>
      </c>
      <c r="E1097" t="s">
        <v>2780</v>
      </c>
      <c r="F1097" t="s">
        <v>2805</v>
      </c>
      <c r="G1097" s="580">
        <v>506</v>
      </c>
      <c r="H1097" s="1" t="s">
        <v>2805</v>
      </c>
      <c r="I1097" s="1"/>
      <c r="J1097" s="1"/>
      <c r="K1097" s="1"/>
      <c r="L1097" s="1"/>
      <c r="M1097" s="1"/>
      <c r="N1097" s="1"/>
      <c r="Q1097"/>
    </row>
    <row r="1098" spans="1:17" ht="13.15" customHeight="1" x14ac:dyDescent="0.2">
      <c r="A1098" s="1" t="s">
        <v>2806</v>
      </c>
      <c r="B1098" s="1" t="s">
        <v>2780</v>
      </c>
      <c r="C1098" s="580" t="s">
        <v>2807</v>
      </c>
      <c r="D1098" s="1">
        <v>2455.2399999999998</v>
      </c>
      <c r="E1098" t="s">
        <v>2780</v>
      </c>
      <c r="F1098" t="s">
        <v>2807</v>
      </c>
      <c r="G1098" s="580">
        <v>556.6</v>
      </c>
      <c r="H1098" s="1" t="s">
        <v>2807</v>
      </c>
      <c r="I1098" s="1"/>
      <c r="J1098" s="1"/>
      <c r="K1098" s="1"/>
      <c r="L1098" s="1"/>
      <c r="M1098" s="1"/>
      <c r="N1098" s="1"/>
      <c r="Q1098"/>
    </row>
    <row r="1099" spans="1:17" ht="13.15" customHeight="1" x14ac:dyDescent="0.2">
      <c r="A1099" s="1" t="s">
        <v>2808</v>
      </c>
      <c r="B1099" s="1" t="s">
        <v>2780</v>
      </c>
      <c r="C1099" s="580" t="s">
        <v>2809</v>
      </c>
      <c r="D1099" s="1">
        <v>1861.56</v>
      </c>
      <c r="E1099" t="s">
        <v>2780</v>
      </c>
      <c r="F1099" t="s">
        <v>2809</v>
      </c>
      <c r="G1099" s="580">
        <v>147.99940000000001</v>
      </c>
      <c r="H1099" s="1" t="s">
        <v>2809</v>
      </c>
      <c r="I1099" s="1"/>
      <c r="J1099" s="1"/>
      <c r="K1099" s="1"/>
      <c r="L1099" s="1"/>
      <c r="M1099" s="1"/>
      <c r="N1099" s="1"/>
      <c r="Q1099"/>
    </row>
    <row r="1100" spans="1:17" ht="13.15" customHeight="1" x14ac:dyDescent="0.2">
      <c r="A1100" s="1" t="s">
        <v>2810</v>
      </c>
      <c r="B1100" s="1" t="s">
        <v>2780</v>
      </c>
      <c r="C1100" s="580" t="s">
        <v>2811</v>
      </c>
      <c r="D1100" s="1">
        <v>1861.56</v>
      </c>
      <c r="E1100" t="s">
        <v>2780</v>
      </c>
      <c r="F1100" t="s">
        <v>2811</v>
      </c>
      <c r="G1100" s="580">
        <v>147.99940000000001</v>
      </c>
      <c r="H1100" s="1" t="s">
        <v>2811</v>
      </c>
      <c r="I1100" s="1"/>
      <c r="J1100" s="1"/>
      <c r="K1100" s="1"/>
      <c r="L1100" s="1"/>
      <c r="M1100" s="1"/>
      <c r="N1100" s="1"/>
      <c r="Q1100"/>
    </row>
    <row r="1101" spans="1:17" ht="13.15" customHeight="1" x14ac:dyDescent="0.2">
      <c r="A1101" s="1" t="s">
        <v>2812</v>
      </c>
      <c r="B1101" s="1" t="s">
        <v>2780</v>
      </c>
      <c r="C1101" s="580" t="s">
        <v>2813</v>
      </c>
      <c r="D1101" s="1">
        <v>1861.56</v>
      </c>
      <c r="E1101" t="s">
        <v>2780</v>
      </c>
      <c r="F1101" t="s">
        <v>2813</v>
      </c>
      <c r="G1101" s="580">
        <v>147.99940000000001</v>
      </c>
      <c r="H1101" s="1" t="s">
        <v>2813</v>
      </c>
      <c r="I1101" s="1"/>
      <c r="J1101" s="1"/>
      <c r="K1101" s="1"/>
      <c r="L1101" s="1"/>
      <c r="M1101" s="1"/>
      <c r="N1101" s="1"/>
      <c r="Q1101"/>
    </row>
    <row r="1102" spans="1:17" ht="13.15" customHeight="1" x14ac:dyDescent="0.2">
      <c r="A1102" s="1" t="s">
        <v>2814</v>
      </c>
      <c r="B1102" s="1" t="s">
        <v>2780</v>
      </c>
      <c r="C1102" s="580" t="s">
        <v>2815</v>
      </c>
      <c r="D1102" s="1">
        <v>1957.68</v>
      </c>
      <c r="E1102" t="s">
        <v>2780</v>
      </c>
      <c r="F1102" t="s">
        <v>2815</v>
      </c>
      <c r="G1102" s="580">
        <v>147.99940000000001</v>
      </c>
      <c r="H1102" s="1" t="s">
        <v>2815</v>
      </c>
      <c r="I1102" s="1"/>
      <c r="J1102" s="1"/>
      <c r="K1102" s="1"/>
      <c r="L1102" s="1"/>
      <c r="M1102" s="1"/>
      <c r="N1102" s="1"/>
      <c r="Q1102"/>
    </row>
    <row r="1103" spans="1:17" ht="13.15" customHeight="1" x14ac:dyDescent="0.2">
      <c r="A1103" s="1" t="s">
        <v>2816</v>
      </c>
      <c r="B1103" s="1" t="s">
        <v>2780</v>
      </c>
      <c r="C1103" s="580" t="s">
        <v>2817</v>
      </c>
      <c r="D1103" s="1">
        <v>1861.56</v>
      </c>
      <c r="E1103" t="s">
        <v>2780</v>
      </c>
      <c r="F1103" t="s">
        <v>2817</v>
      </c>
      <c r="G1103" s="580">
        <v>147.99940000000001</v>
      </c>
      <c r="H1103" s="1" t="s">
        <v>2817</v>
      </c>
      <c r="I1103" s="1"/>
      <c r="J1103" s="1"/>
      <c r="K1103" s="1"/>
      <c r="L1103" s="1"/>
      <c r="M1103" s="1"/>
      <c r="N1103" s="1"/>
      <c r="Q1103"/>
    </row>
    <row r="1104" spans="1:17" ht="13.15" customHeight="1" x14ac:dyDescent="0.2">
      <c r="A1104" s="1" t="s">
        <v>2818</v>
      </c>
      <c r="B1104" s="1" t="s">
        <v>2780</v>
      </c>
      <c r="C1104" s="580" t="s">
        <v>2819</v>
      </c>
      <c r="D1104" s="1">
        <v>3911.64</v>
      </c>
      <c r="E1104" t="s">
        <v>2780</v>
      </c>
      <c r="F1104" t="s">
        <v>2819</v>
      </c>
      <c r="G1104" s="580">
        <v>785.8</v>
      </c>
      <c r="H1104" s="1" t="s">
        <v>2819</v>
      </c>
      <c r="I1104" s="1"/>
      <c r="J1104" s="1"/>
      <c r="K1104" s="1"/>
      <c r="L1104" s="1"/>
      <c r="M1104" s="1"/>
      <c r="N1104" s="1"/>
      <c r="Q1104"/>
    </row>
    <row r="1105" spans="1:17" ht="13.15" customHeight="1" x14ac:dyDescent="0.2">
      <c r="A1105" s="1" t="s">
        <v>2820</v>
      </c>
      <c r="B1105" s="1" t="s">
        <v>2780</v>
      </c>
      <c r="C1105" s="580" t="s">
        <v>2821</v>
      </c>
      <c r="D1105" s="1">
        <v>1151.68</v>
      </c>
      <c r="E1105" t="s">
        <v>2780</v>
      </c>
      <c r="F1105" t="s">
        <v>2821</v>
      </c>
      <c r="G1105" s="580">
        <v>215.78399999999999</v>
      </c>
      <c r="H1105" s="1" t="s">
        <v>2821</v>
      </c>
      <c r="I1105" s="1"/>
      <c r="J1105" s="1"/>
      <c r="K1105" s="1"/>
      <c r="L1105" s="1"/>
      <c r="M1105" s="1"/>
      <c r="N1105" s="1"/>
      <c r="Q1105"/>
    </row>
    <row r="1106" spans="1:17" ht="13.15" customHeight="1" x14ac:dyDescent="0.2">
      <c r="A1106" s="1" t="s">
        <v>2822</v>
      </c>
      <c r="B1106" s="1" t="s">
        <v>2780</v>
      </c>
      <c r="C1106" s="580" t="s">
        <v>2823</v>
      </c>
      <c r="D1106" s="1">
        <v>1305.48</v>
      </c>
      <c r="E1106" t="s">
        <v>2780</v>
      </c>
      <c r="F1106" t="s">
        <v>2823</v>
      </c>
      <c r="G1106" s="580">
        <v>239.76</v>
      </c>
      <c r="H1106" s="1" t="s">
        <v>2823</v>
      </c>
      <c r="I1106" s="1"/>
      <c r="J1106" s="1"/>
      <c r="K1106" s="1"/>
      <c r="L1106" s="1"/>
      <c r="M1106" s="1"/>
      <c r="N1106" s="1"/>
      <c r="Q1106"/>
    </row>
    <row r="1107" spans="1:17" ht="13.15" customHeight="1" x14ac:dyDescent="0.2">
      <c r="A1107" s="1" t="s">
        <v>2824</v>
      </c>
      <c r="B1107" s="1" t="s">
        <v>2780</v>
      </c>
      <c r="C1107" s="580" t="s">
        <v>2825</v>
      </c>
      <c r="D1107" s="1">
        <v>1458.92</v>
      </c>
      <c r="E1107" t="s">
        <v>2780</v>
      </c>
      <c r="F1107" t="s">
        <v>2825</v>
      </c>
      <c r="G1107" s="580">
        <v>266.39999999999998</v>
      </c>
      <c r="H1107" s="1" t="s">
        <v>2825</v>
      </c>
      <c r="I1107" s="1"/>
      <c r="J1107" s="1"/>
      <c r="K1107" s="1"/>
      <c r="L1107" s="1"/>
      <c r="M1107" s="1"/>
      <c r="N1107" s="1"/>
      <c r="Q1107"/>
    </row>
    <row r="1108" spans="1:17" ht="13.15" customHeight="1" x14ac:dyDescent="0.2">
      <c r="A1108" s="1" t="s">
        <v>2826</v>
      </c>
      <c r="B1108" s="1" t="s">
        <v>2780</v>
      </c>
      <c r="C1108" s="580" t="s">
        <v>2827</v>
      </c>
      <c r="D1108" s="1">
        <v>1612.72</v>
      </c>
      <c r="E1108" t="s">
        <v>2780</v>
      </c>
      <c r="F1108" t="s">
        <v>2827</v>
      </c>
      <c r="G1108" s="580">
        <v>296</v>
      </c>
      <c r="H1108" s="1" t="s">
        <v>2827</v>
      </c>
      <c r="I1108" s="1"/>
      <c r="J1108" s="1"/>
      <c r="K1108" s="1"/>
      <c r="L1108" s="1"/>
      <c r="M1108" s="1"/>
      <c r="N1108" s="1"/>
      <c r="Q1108"/>
    </row>
    <row r="1109" spans="1:17" ht="13.15" customHeight="1" x14ac:dyDescent="0.2">
      <c r="A1109" s="1" t="s">
        <v>2828</v>
      </c>
      <c r="B1109" s="1" t="s">
        <v>2780</v>
      </c>
      <c r="C1109" s="580" t="s">
        <v>2829</v>
      </c>
      <c r="D1109" s="1">
        <v>1612.72</v>
      </c>
      <c r="E1109" t="s">
        <v>2780</v>
      </c>
      <c r="F1109" t="s">
        <v>2829</v>
      </c>
      <c r="G1109" s="580">
        <v>293.39999999999998</v>
      </c>
      <c r="H1109" s="1" t="s">
        <v>2829</v>
      </c>
      <c r="I1109" s="1"/>
      <c r="J1109" s="1"/>
      <c r="K1109" s="1"/>
      <c r="L1109" s="1"/>
      <c r="M1109" s="1"/>
      <c r="N1109" s="1"/>
      <c r="Q1109"/>
    </row>
    <row r="1110" spans="1:17" ht="13.15" customHeight="1" x14ac:dyDescent="0.2">
      <c r="A1110" s="1" t="s">
        <v>2830</v>
      </c>
      <c r="B1110" s="1" t="s">
        <v>2780</v>
      </c>
      <c r="C1110" s="580" t="s">
        <v>2831</v>
      </c>
      <c r="D1110" s="1">
        <v>1689.24</v>
      </c>
      <c r="E1110" t="s">
        <v>2780</v>
      </c>
      <c r="F1110" t="s">
        <v>2831</v>
      </c>
      <c r="G1110" s="580">
        <v>326</v>
      </c>
      <c r="H1110" s="1" t="s">
        <v>2831</v>
      </c>
      <c r="I1110" s="1"/>
      <c r="J1110" s="1"/>
      <c r="K1110" s="1"/>
      <c r="L1110" s="1"/>
      <c r="M1110" s="1"/>
      <c r="N1110" s="1"/>
      <c r="Q1110"/>
    </row>
    <row r="1111" spans="1:17" ht="13.15" customHeight="1" x14ac:dyDescent="0.2">
      <c r="A1111" s="1" t="s">
        <v>2832</v>
      </c>
      <c r="B1111" s="1" t="s">
        <v>2833</v>
      </c>
      <c r="C1111" s="580">
        <v>1</v>
      </c>
      <c r="D1111" s="1">
        <v>7980</v>
      </c>
      <c r="E1111" t="s">
        <v>2834</v>
      </c>
      <c r="F1111">
        <v>4000</v>
      </c>
      <c r="G1111" s="580">
        <v>261.9896</v>
      </c>
      <c r="H1111" s="1" t="s">
        <v>2835</v>
      </c>
      <c r="I1111" s="1"/>
      <c r="J1111" s="1"/>
      <c r="K1111" s="1"/>
      <c r="L1111" s="1"/>
      <c r="M1111" s="1"/>
      <c r="N1111" s="1"/>
      <c r="Q1111"/>
    </row>
    <row r="1112" spans="1:17" ht="13.15" customHeight="1" x14ac:dyDescent="0.2">
      <c r="A1112" s="1" t="s">
        <v>2836</v>
      </c>
      <c r="B1112" s="1" t="s">
        <v>2833</v>
      </c>
      <c r="C1112" s="580">
        <v>2</v>
      </c>
      <c r="D1112" s="1">
        <v>7820</v>
      </c>
      <c r="E1112" t="s">
        <v>2834</v>
      </c>
      <c r="F1112">
        <v>4001</v>
      </c>
      <c r="G1112" s="580">
        <v>249.51390000000001</v>
      </c>
      <c r="H1112" s="1" t="s">
        <v>2837</v>
      </c>
      <c r="I1112" s="1"/>
      <c r="J1112" s="1"/>
      <c r="K1112" s="1"/>
      <c r="L1112" s="1"/>
      <c r="M1112" s="1"/>
      <c r="N1112" s="1"/>
      <c r="Q1112"/>
    </row>
    <row r="1113" spans="1:17" ht="13.15" customHeight="1" x14ac:dyDescent="0.2">
      <c r="A1113" s="1" t="s">
        <v>2838</v>
      </c>
      <c r="B1113" s="1" t="s">
        <v>2833</v>
      </c>
      <c r="C1113" s="580">
        <v>3</v>
      </c>
      <c r="D1113" s="1">
        <v>7980</v>
      </c>
      <c r="E1113" t="s">
        <v>2834</v>
      </c>
      <c r="F1113">
        <v>4003</v>
      </c>
      <c r="G1113" s="580">
        <v>249.51390000000001</v>
      </c>
      <c r="H1113" s="1" t="s">
        <v>2839</v>
      </c>
      <c r="I1113" s="1"/>
      <c r="J1113" s="1"/>
      <c r="K1113" s="1"/>
      <c r="L1113" s="1"/>
      <c r="M1113" s="1"/>
      <c r="N1113" s="1"/>
      <c r="Q1113"/>
    </row>
    <row r="1114" spans="1:17" ht="13.15" customHeight="1" x14ac:dyDescent="0.2">
      <c r="A1114" s="1" t="s">
        <v>2840</v>
      </c>
      <c r="B1114" s="1" t="s">
        <v>2833</v>
      </c>
      <c r="C1114" s="580">
        <v>4</v>
      </c>
      <c r="D1114" s="1">
        <v>7980</v>
      </c>
      <c r="E1114" t="s">
        <v>2834</v>
      </c>
      <c r="F1114">
        <v>4006</v>
      </c>
      <c r="G1114" s="580">
        <v>270.30669999999998</v>
      </c>
      <c r="H1114" s="1" t="s">
        <v>2841</v>
      </c>
      <c r="I1114" s="1"/>
      <c r="J1114" s="1"/>
      <c r="K1114" s="1"/>
      <c r="L1114" s="1"/>
      <c r="M1114" s="1"/>
      <c r="N1114" s="1"/>
      <c r="Q1114"/>
    </row>
    <row r="1115" spans="1:17" ht="13.15" customHeight="1" x14ac:dyDescent="0.2">
      <c r="A1115" s="1" t="s">
        <v>2842</v>
      </c>
      <c r="B1115" s="1" t="s">
        <v>2833</v>
      </c>
      <c r="C1115" s="580">
        <v>5</v>
      </c>
      <c r="D1115" s="1">
        <v>4485.4399999999996</v>
      </c>
      <c r="E1115" t="s">
        <v>2834</v>
      </c>
      <c r="F1115">
        <v>4010</v>
      </c>
      <c r="G1115" s="580">
        <v>391.1191</v>
      </c>
      <c r="H1115" s="1" t="s">
        <v>2843</v>
      </c>
      <c r="I1115" s="1"/>
      <c r="J1115" s="1"/>
      <c r="K1115" s="1"/>
      <c r="L1115" s="1"/>
      <c r="M1115" s="1"/>
      <c r="N1115" s="1"/>
      <c r="Q1115"/>
    </row>
    <row r="1116" spans="1:17" ht="13.15" customHeight="1" x14ac:dyDescent="0.2">
      <c r="A1116" s="1" t="s">
        <v>2844</v>
      </c>
      <c r="B1116" s="1" t="s">
        <v>2833</v>
      </c>
      <c r="C1116" s="580">
        <v>7</v>
      </c>
      <c r="D1116" s="1">
        <v>11130</v>
      </c>
      <c r="E1116" t="s">
        <v>2834</v>
      </c>
      <c r="F1116">
        <v>4013</v>
      </c>
      <c r="G1116" s="580">
        <v>312.05869999999999</v>
      </c>
      <c r="H1116" s="1" t="s">
        <v>2845</v>
      </c>
      <c r="I1116" s="1"/>
      <c r="J1116" s="1"/>
      <c r="K1116" s="1"/>
      <c r="L1116" s="1"/>
      <c r="M1116" s="1"/>
      <c r="N1116" s="1"/>
      <c r="Q1116"/>
    </row>
    <row r="1117" spans="1:17" ht="13.15" customHeight="1" x14ac:dyDescent="0.2">
      <c r="A1117" s="1" t="s">
        <v>2846</v>
      </c>
      <c r="B1117" s="1" t="s">
        <v>2833</v>
      </c>
      <c r="C1117" s="580">
        <v>8</v>
      </c>
      <c r="D1117" s="1">
        <v>8235</v>
      </c>
      <c r="E1117" t="s">
        <v>2834</v>
      </c>
      <c r="F1117">
        <v>4014</v>
      </c>
      <c r="G1117" s="580">
        <v>302.74349999999998</v>
      </c>
      <c r="H1117" s="1" t="s">
        <v>2847</v>
      </c>
      <c r="I1117" s="1"/>
      <c r="J1117" s="1"/>
      <c r="K1117" s="1"/>
      <c r="L1117" s="1"/>
      <c r="M1117" s="1"/>
      <c r="N1117" s="1"/>
      <c r="Q1117"/>
    </row>
    <row r="1118" spans="1:17" ht="13.15" customHeight="1" x14ac:dyDescent="0.2">
      <c r="A1118" s="1" t="s">
        <v>2848</v>
      </c>
      <c r="B1118" s="1" t="s">
        <v>2833</v>
      </c>
      <c r="C1118" s="580">
        <v>9</v>
      </c>
      <c r="D1118" s="1">
        <v>8742</v>
      </c>
      <c r="E1118" t="s">
        <v>2834</v>
      </c>
      <c r="F1118">
        <v>4043</v>
      </c>
      <c r="G1118" s="580">
        <v>326.03149999999999</v>
      </c>
      <c r="H1118" s="1" t="s">
        <v>2849</v>
      </c>
      <c r="I1118" s="1"/>
      <c r="J1118" s="1"/>
      <c r="K1118" s="1"/>
      <c r="L1118" s="1"/>
      <c r="M1118" s="1"/>
      <c r="N1118" s="1"/>
      <c r="Q1118"/>
    </row>
    <row r="1119" spans="1:17" ht="13.15" customHeight="1" x14ac:dyDescent="0.2">
      <c r="A1119" s="1" t="s">
        <v>2850</v>
      </c>
      <c r="B1119" s="1" t="s">
        <v>2833</v>
      </c>
      <c r="C1119" s="580">
        <v>12</v>
      </c>
      <c r="D1119" s="1">
        <v>12000</v>
      </c>
      <c r="E1119" t="s">
        <v>2834</v>
      </c>
      <c r="F1119">
        <v>4025</v>
      </c>
      <c r="G1119" s="580">
        <v>2106.9409000000001</v>
      </c>
      <c r="H1119" s="1" t="s">
        <v>2851</v>
      </c>
      <c r="I1119" s="1"/>
      <c r="J1119" s="1"/>
      <c r="K1119" s="1"/>
      <c r="L1119" s="1"/>
      <c r="M1119" s="1"/>
      <c r="N1119" s="1"/>
      <c r="Q1119"/>
    </row>
    <row r="1120" spans="1:17" ht="13.15" customHeight="1" x14ac:dyDescent="0.2">
      <c r="A1120" s="1" t="s">
        <v>2852</v>
      </c>
      <c r="B1120" s="1" t="s">
        <v>2833</v>
      </c>
      <c r="C1120" s="580">
        <v>13</v>
      </c>
      <c r="D1120" s="1">
        <v>12000</v>
      </c>
      <c r="E1120" t="s">
        <v>2834</v>
      </c>
      <c r="F1120">
        <v>4026</v>
      </c>
      <c r="G1120" s="580">
        <v>2106.9409000000001</v>
      </c>
      <c r="H1120" s="1" t="s">
        <v>2853</v>
      </c>
      <c r="I1120" s="1"/>
      <c r="J1120" s="1"/>
      <c r="K1120" s="1"/>
      <c r="L1120" s="1"/>
      <c r="M1120" s="1"/>
      <c r="N1120" s="1"/>
      <c r="Q1120"/>
    </row>
    <row r="1121" spans="1:17" ht="13.15" customHeight="1" x14ac:dyDescent="0.2">
      <c r="A1121" s="1" t="s">
        <v>2854</v>
      </c>
      <c r="B1121" s="1" t="s">
        <v>2833</v>
      </c>
      <c r="C1121" s="580">
        <v>14</v>
      </c>
      <c r="D1121" s="1">
        <v>12000</v>
      </c>
      <c r="E1121" t="s">
        <v>2834</v>
      </c>
      <c r="F1121">
        <v>4027</v>
      </c>
      <c r="G1121" s="580">
        <v>2106.9409000000001</v>
      </c>
      <c r="H1121" s="1" t="s">
        <v>2855</v>
      </c>
      <c r="I1121" s="1"/>
      <c r="J1121" s="1"/>
      <c r="K1121" s="1"/>
      <c r="L1121" s="1"/>
      <c r="M1121" s="1"/>
      <c r="N1121" s="1"/>
      <c r="Q1121"/>
    </row>
    <row r="1122" spans="1:17" ht="13.15" customHeight="1" x14ac:dyDescent="0.2">
      <c r="A1122" s="1" t="s">
        <v>2856</v>
      </c>
      <c r="B1122" s="1" t="s">
        <v>2833</v>
      </c>
      <c r="C1122" s="580">
        <v>15</v>
      </c>
      <c r="D1122" s="1">
        <v>12000</v>
      </c>
      <c r="E1122" t="s">
        <v>2834</v>
      </c>
      <c r="F1122">
        <v>4028</v>
      </c>
      <c r="G1122" s="580">
        <v>2106.9409000000001</v>
      </c>
      <c r="H1122" s="1" t="s">
        <v>2857</v>
      </c>
      <c r="I1122" s="1"/>
      <c r="J1122" s="1"/>
      <c r="K1122" s="1"/>
      <c r="L1122" s="1"/>
      <c r="M1122" s="1"/>
      <c r="N1122" s="1"/>
      <c r="Q1122"/>
    </row>
    <row r="1123" spans="1:17" ht="13.15" customHeight="1" x14ac:dyDescent="0.2">
      <c r="A1123" s="1" t="s">
        <v>2858</v>
      </c>
      <c r="B1123" s="1" t="s">
        <v>2833</v>
      </c>
      <c r="C1123" s="580">
        <v>16</v>
      </c>
      <c r="D1123" s="1">
        <v>12000</v>
      </c>
      <c r="E1123" t="s">
        <v>2834</v>
      </c>
      <c r="F1123">
        <v>4029</v>
      </c>
      <c r="G1123" s="580">
        <v>2106.9409000000001</v>
      </c>
      <c r="H1123" s="1" t="s">
        <v>2859</v>
      </c>
      <c r="I1123" s="1"/>
      <c r="J1123" s="1"/>
      <c r="K1123" s="1"/>
      <c r="L1123" s="1"/>
      <c r="M1123" s="1"/>
      <c r="N1123" s="1"/>
      <c r="Q1123"/>
    </row>
    <row r="1124" spans="1:17" ht="13.15" customHeight="1" x14ac:dyDescent="0.2">
      <c r="A1124" s="1" t="s">
        <v>2860</v>
      </c>
      <c r="B1124" s="1" t="s">
        <v>2833</v>
      </c>
      <c r="C1124" s="580">
        <v>17</v>
      </c>
      <c r="D1124" s="1">
        <v>10354</v>
      </c>
      <c r="E1124" t="s">
        <v>2834</v>
      </c>
      <c r="F1124">
        <v>4106</v>
      </c>
      <c r="G1124" s="580">
        <v>475.45080000000002</v>
      </c>
      <c r="H1124" s="1" t="s">
        <v>2861</v>
      </c>
      <c r="I1124" s="1"/>
      <c r="J1124" s="1"/>
      <c r="K1124" s="1"/>
      <c r="L1124" s="1"/>
      <c r="M1124" s="1"/>
      <c r="N1124" s="1"/>
      <c r="Q1124"/>
    </row>
    <row r="1125" spans="1:17" ht="13.15" customHeight="1" x14ac:dyDescent="0.2">
      <c r="A1125" s="1" t="s">
        <v>2862</v>
      </c>
      <c r="B1125" s="1" t="s">
        <v>2833</v>
      </c>
      <c r="C1125" s="580">
        <v>18</v>
      </c>
      <c r="D1125" s="1">
        <v>14520</v>
      </c>
      <c r="E1125" t="s">
        <v>2834</v>
      </c>
      <c r="F1125">
        <v>4005</v>
      </c>
      <c r="G1125" s="580">
        <v>2151.2975000000001</v>
      </c>
      <c r="H1125" s="1" t="s">
        <v>2863</v>
      </c>
      <c r="I1125" s="1"/>
      <c r="J1125" s="1"/>
      <c r="K1125" s="1"/>
      <c r="L1125" s="1"/>
      <c r="M1125" s="1"/>
      <c r="N1125" s="1"/>
      <c r="Q1125"/>
    </row>
    <row r="1126" spans="1:17" ht="13.15" customHeight="1" x14ac:dyDescent="0.2">
      <c r="A1126" s="1" t="s">
        <v>2864</v>
      </c>
      <c r="B1126" s="1" t="s">
        <v>2833</v>
      </c>
      <c r="C1126" s="580">
        <v>19</v>
      </c>
      <c r="D1126" s="1">
        <v>1731.04</v>
      </c>
      <c r="E1126" t="s">
        <v>2834</v>
      </c>
      <c r="F1126">
        <v>4051</v>
      </c>
      <c r="G1126" s="580">
        <v>178.35290000000001</v>
      </c>
      <c r="H1126" s="1" t="s">
        <v>2865</v>
      </c>
      <c r="I1126" s="1"/>
      <c r="J1126" s="1"/>
      <c r="K1126" s="1"/>
      <c r="L1126" s="1"/>
      <c r="M1126" s="1"/>
      <c r="N1126" s="1"/>
      <c r="Q1126"/>
    </row>
    <row r="1127" spans="1:17" ht="13.15" customHeight="1" x14ac:dyDescent="0.2">
      <c r="A1127" s="1" t="s">
        <v>2866</v>
      </c>
      <c r="B1127" s="1" t="s">
        <v>2833</v>
      </c>
      <c r="C1127" s="580">
        <v>20</v>
      </c>
      <c r="D1127" s="1">
        <v>1846.4</v>
      </c>
      <c r="E1127" t="s">
        <v>2834</v>
      </c>
      <c r="F1127">
        <v>4052</v>
      </c>
      <c r="G1127" s="580">
        <v>194.5668</v>
      </c>
      <c r="H1127" s="1" t="s">
        <v>2867</v>
      </c>
      <c r="I1127" s="1"/>
      <c r="J1127" s="1"/>
      <c r="K1127" s="1"/>
      <c r="L1127" s="1"/>
      <c r="M1127" s="1"/>
      <c r="N1127" s="1"/>
      <c r="Q1127"/>
    </row>
    <row r="1128" spans="1:17" ht="13.15" customHeight="1" x14ac:dyDescent="0.2">
      <c r="A1128" s="1" t="s">
        <v>2868</v>
      </c>
      <c r="B1128" s="1" t="s">
        <v>2833</v>
      </c>
      <c r="C1128" s="580">
        <v>21</v>
      </c>
      <c r="D1128" s="1">
        <v>2019.4</v>
      </c>
      <c r="E1128" t="s">
        <v>2834</v>
      </c>
      <c r="F1128">
        <v>4053</v>
      </c>
      <c r="G1128" s="580">
        <v>210.7807</v>
      </c>
      <c r="H1128" s="1" t="s">
        <v>2869</v>
      </c>
      <c r="I1128" s="1"/>
      <c r="J1128" s="1"/>
      <c r="K1128" s="1"/>
      <c r="L1128" s="1"/>
      <c r="M1128" s="1"/>
      <c r="N1128" s="1"/>
      <c r="Q1128"/>
    </row>
    <row r="1129" spans="1:17" ht="13.15" customHeight="1" x14ac:dyDescent="0.2">
      <c r="A1129" s="1" t="s">
        <v>2870</v>
      </c>
      <c r="B1129" s="1" t="s">
        <v>2833</v>
      </c>
      <c r="C1129" s="580">
        <v>22</v>
      </c>
      <c r="D1129" s="1">
        <v>2308.16</v>
      </c>
      <c r="E1129" t="s">
        <v>2834</v>
      </c>
      <c r="F1129">
        <v>4054</v>
      </c>
      <c r="G1129" s="580">
        <v>226.99459999999999</v>
      </c>
      <c r="H1129" s="1" t="s">
        <v>2871</v>
      </c>
      <c r="I1129" s="1"/>
      <c r="J1129" s="1"/>
      <c r="K1129" s="1"/>
      <c r="L1129" s="1"/>
      <c r="M1129" s="1"/>
      <c r="N1129" s="1"/>
      <c r="Q1129"/>
    </row>
    <row r="1130" spans="1:17" ht="13.15" customHeight="1" x14ac:dyDescent="0.2">
      <c r="A1130" s="1" t="s">
        <v>2872</v>
      </c>
      <c r="B1130" s="1" t="s">
        <v>2833</v>
      </c>
      <c r="C1130" s="580">
        <v>23</v>
      </c>
      <c r="D1130" s="1">
        <v>3057.96</v>
      </c>
      <c r="E1130" t="s">
        <v>2834</v>
      </c>
      <c r="F1130">
        <v>4055</v>
      </c>
      <c r="G1130" s="580">
        <v>254.04040000000001</v>
      </c>
      <c r="H1130" s="1" t="s">
        <v>2873</v>
      </c>
      <c r="I1130" s="1"/>
      <c r="J1130" s="1"/>
      <c r="K1130" s="1"/>
      <c r="L1130" s="1"/>
      <c r="M1130" s="1"/>
      <c r="N1130" s="1"/>
      <c r="Q1130"/>
    </row>
    <row r="1131" spans="1:17" ht="13.15" customHeight="1" x14ac:dyDescent="0.2">
      <c r="A1131" s="1" t="s">
        <v>2874</v>
      </c>
      <c r="B1131" s="1" t="s">
        <v>2833</v>
      </c>
      <c r="C1131" s="580">
        <v>24</v>
      </c>
      <c r="D1131" s="1">
        <v>3231.36</v>
      </c>
      <c r="E1131" t="s">
        <v>2834</v>
      </c>
      <c r="F1131">
        <v>4056</v>
      </c>
      <c r="G1131" s="580">
        <v>268.42009999999999</v>
      </c>
      <c r="H1131" s="1" t="s">
        <v>2875</v>
      </c>
      <c r="I1131" s="1"/>
      <c r="J1131" s="1"/>
      <c r="K1131" s="1"/>
      <c r="L1131" s="1"/>
      <c r="M1131" s="1"/>
      <c r="N1131" s="1"/>
      <c r="Q1131"/>
    </row>
    <row r="1132" spans="1:17" ht="13.15" customHeight="1" x14ac:dyDescent="0.2">
      <c r="A1132" s="1" t="s">
        <v>2876</v>
      </c>
      <c r="B1132" s="1" t="s">
        <v>2833</v>
      </c>
      <c r="C1132" s="580">
        <v>25</v>
      </c>
      <c r="D1132" s="1">
        <v>3462.04</v>
      </c>
      <c r="E1132" t="s">
        <v>2834</v>
      </c>
      <c r="F1132">
        <v>4057</v>
      </c>
      <c r="G1132" s="580">
        <v>287.59289999999999</v>
      </c>
      <c r="H1132" s="1" t="s">
        <v>2877</v>
      </c>
      <c r="I1132" s="1"/>
      <c r="J1132" s="1"/>
      <c r="K1132" s="1"/>
      <c r="L1132" s="1"/>
      <c r="M1132" s="1"/>
      <c r="N1132" s="1"/>
      <c r="Q1132"/>
    </row>
    <row r="1133" spans="1:17" ht="13.15" customHeight="1" x14ac:dyDescent="0.2">
      <c r="A1133" s="1" t="s">
        <v>2878</v>
      </c>
      <c r="B1133" s="1" t="s">
        <v>2833</v>
      </c>
      <c r="C1133" s="580">
        <v>26</v>
      </c>
      <c r="D1133" s="1">
        <v>3520.84</v>
      </c>
      <c r="E1133" t="s">
        <v>2834</v>
      </c>
      <c r="F1133">
        <v>4058</v>
      </c>
      <c r="G1133" s="580">
        <v>306.76580000000001</v>
      </c>
      <c r="H1133" s="1" t="s">
        <v>2879</v>
      </c>
      <c r="I1133" s="1"/>
      <c r="J1133" s="1"/>
      <c r="K1133" s="1"/>
      <c r="L1133" s="1"/>
      <c r="M1133" s="1"/>
      <c r="N1133" s="1"/>
      <c r="Q1133"/>
    </row>
    <row r="1134" spans="1:17" ht="13.15" customHeight="1" x14ac:dyDescent="0.2">
      <c r="A1134" s="1" t="s">
        <v>2880</v>
      </c>
      <c r="B1134" s="1" t="s">
        <v>2833</v>
      </c>
      <c r="C1134" s="580">
        <v>27</v>
      </c>
      <c r="D1134" s="1">
        <v>3890.2</v>
      </c>
      <c r="E1134" t="s">
        <v>2834</v>
      </c>
      <c r="F1134">
        <v>4059</v>
      </c>
      <c r="G1134" s="580">
        <v>335.52510000000001</v>
      </c>
      <c r="H1134" s="1" t="s">
        <v>2881</v>
      </c>
      <c r="I1134" s="1"/>
      <c r="J1134" s="1"/>
      <c r="K1134" s="1"/>
      <c r="L1134" s="1"/>
      <c r="M1134" s="1"/>
      <c r="N1134" s="1"/>
      <c r="Q1134"/>
    </row>
    <row r="1135" spans="1:17" ht="13.15" customHeight="1" x14ac:dyDescent="0.2">
      <c r="A1135" s="1" t="s">
        <v>2882</v>
      </c>
      <c r="B1135" s="1" t="s">
        <v>2833</v>
      </c>
      <c r="C1135" s="580">
        <v>28</v>
      </c>
      <c r="D1135" s="1">
        <v>5118.04</v>
      </c>
      <c r="E1135" t="s">
        <v>2834</v>
      </c>
      <c r="F1135">
        <v>4305</v>
      </c>
      <c r="G1135" s="580">
        <v>708</v>
      </c>
      <c r="H1135" s="1" t="s">
        <v>2883</v>
      </c>
      <c r="I1135" s="1"/>
      <c r="J1135" s="1"/>
      <c r="K1135" s="1"/>
      <c r="L1135" s="1"/>
      <c r="M1135" s="1"/>
      <c r="N1135" s="1"/>
      <c r="Q1135"/>
    </row>
    <row r="1136" spans="1:17" ht="13.15" customHeight="1" x14ac:dyDescent="0.2">
      <c r="A1136" s="1" t="s">
        <v>2884</v>
      </c>
      <c r="B1136" s="1" t="s">
        <v>2833</v>
      </c>
      <c r="C1136" s="580">
        <v>29</v>
      </c>
      <c r="D1136" s="1">
        <v>5971.36</v>
      </c>
      <c r="E1136" t="s">
        <v>2834</v>
      </c>
      <c r="F1136">
        <v>4306</v>
      </c>
      <c r="G1136" s="580">
        <v>708</v>
      </c>
      <c r="H1136" s="1" t="s">
        <v>2885</v>
      </c>
      <c r="I1136" s="1"/>
      <c r="J1136" s="1"/>
      <c r="K1136" s="1"/>
      <c r="L1136" s="1"/>
      <c r="M1136" s="1"/>
      <c r="N1136" s="1"/>
      <c r="Q1136"/>
    </row>
    <row r="1137" spans="1:17" ht="13.15" customHeight="1" x14ac:dyDescent="0.2">
      <c r="A1137" s="1" t="s">
        <v>2886</v>
      </c>
      <c r="B1137" s="1" t="s">
        <v>2833</v>
      </c>
      <c r="C1137" s="580">
        <v>36</v>
      </c>
      <c r="D1137" s="1">
        <v>7230</v>
      </c>
      <c r="E1137" t="s">
        <v>2834</v>
      </c>
      <c r="F1137">
        <v>4321</v>
      </c>
      <c r="G1137" s="580">
        <v>542.42150000000004</v>
      </c>
      <c r="H1137" s="1" t="s">
        <v>2887</v>
      </c>
      <c r="I1137" s="1"/>
      <c r="J1137" s="1"/>
      <c r="K1137" s="1"/>
      <c r="L1137" s="1"/>
      <c r="M1137" s="1"/>
      <c r="N1137" s="1"/>
      <c r="Q1137"/>
    </row>
    <row r="1138" spans="1:17" ht="13.15" customHeight="1" x14ac:dyDescent="0.2">
      <c r="A1138" s="1" t="s">
        <v>2888</v>
      </c>
      <c r="B1138" s="1" t="s">
        <v>2833</v>
      </c>
      <c r="C1138" s="580">
        <v>37</v>
      </c>
      <c r="D1138" s="1">
        <v>7830</v>
      </c>
      <c r="E1138" t="s">
        <v>2834</v>
      </c>
      <c r="F1138">
        <v>4326</v>
      </c>
      <c r="G1138" s="580">
        <v>543.38580000000002</v>
      </c>
      <c r="H1138" s="1" t="s">
        <v>2889</v>
      </c>
      <c r="I1138" s="1"/>
      <c r="J1138" s="1"/>
      <c r="K1138" s="1"/>
      <c r="L1138" s="1"/>
      <c r="M1138" s="1"/>
      <c r="N1138" s="1"/>
      <c r="Q1138"/>
    </row>
    <row r="1139" spans="1:17" ht="13.15" customHeight="1" x14ac:dyDescent="0.2">
      <c r="A1139" s="1" t="s">
        <v>2890</v>
      </c>
      <c r="B1139" s="1" t="s">
        <v>2833</v>
      </c>
      <c r="C1139" s="580">
        <v>38</v>
      </c>
      <c r="D1139" s="1">
        <v>6200</v>
      </c>
      <c r="E1139" t="s">
        <v>2834</v>
      </c>
      <c r="F1139">
        <v>4007</v>
      </c>
      <c r="G1139" s="580">
        <v>249.51390000000001</v>
      </c>
      <c r="H1139" s="1" t="s">
        <v>2891</v>
      </c>
      <c r="I1139" s="1"/>
      <c r="J1139" s="1"/>
      <c r="K1139" s="1"/>
      <c r="L1139" s="1"/>
      <c r="M1139" s="1"/>
      <c r="N1139" s="1"/>
      <c r="Q1139"/>
    </row>
    <row r="1140" spans="1:17" ht="13.15" customHeight="1" x14ac:dyDescent="0.2">
      <c r="A1140" s="1" t="s">
        <v>2892</v>
      </c>
      <c r="B1140" s="1" t="s">
        <v>2833</v>
      </c>
      <c r="C1140" s="580">
        <v>39</v>
      </c>
      <c r="D1140" s="1">
        <v>6500</v>
      </c>
      <c r="E1140" t="s">
        <v>2834</v>
      </c>
      <c r="F1140">
        <v>4004</v>
      </c>
      <c r="G1140" s="580">
        <v>249.51390000000001</v>
      </c>
      <c r="H1140" s="1" t="s">
        <v>2893</v>
      </c>
      <c r="I1140" s="1"/>
      <c r="J1140" s="1"/>
      <c r="K1140" s="1"/>
      <c r="L1140" s="1"/>
      <c r="M1140" s="1"/>
      <c r="N1140" s="1"/>
      <c r="Q1140"/>
    </row>
    <row r="1141" spans="1:17" ht="13.15" customHeight="1" x14ac:dyDescent="0.2">
      <c r="A1141" s="1" t="s">
        <v>2894</v>
      </c>
      <c r="B1141" s="1" t="s">
        <v>2833</v>
      </c>
      <c r="C1141" s="580">
        <v>40</v>
      </c>
      <c r="D1141" s="1">
        <v>6500</v>
      </c>
      <c r="E1141" t="s">
        <v>2834</v>
      </c>
      <c r="F1141">
        <v>4041</v>
      </c>
      <c r="G1141" s="580">
        <v>268.52350000000001</v>
      </c>
      <c r="H1141" s="1" t="s">
        <v>2895</v>
      </c>
      <c r="I1141" s="1"/>
      <c r="J1141" s="1"/>
      <c r="K1141" s="1"/>
      <c r="L1141" s="1"/>
      <c r="M1141" s="1"/>
      <c r="N1141" s="1"/>
      <c r="Q1141"/>
    </row>
    <row r="1142" spans="1:17" ht="13.15" customHeight="1" x14ac:dyDescent="0.2">
      <c r="A1142" s="1" t="s">
        <v>2896</v>
      </c>
      <c r="B1142" s="1" t="s">
        <v>2833</v>
      </c>
      <c r="C1142" s="580">
        <v>41</v>
      </c>
      <c r="D1142" s="1">
        <v>7300</v>
      </c>
      <c r="E1142" t="s">
        <v>2834</v>
      </c>
      <c r="F1142">
        <v>4009</v>
      </c>
      <c r="G1142" s="580">
        <v>279.45549999999997</v>
      </c>
      <c r="H1142" s="1" t="s">
        <v>2897</v>
      </c>
      <c r="I1142" s="1"/>
      <c r="J1142" s="1"/>
      <c r="K1142" s="1"/>
      <c r="L1142" s="1"/>
      <c r="M1142" s="1"/>
      <c r="N1142" s="1"/>
      <c r="Q1142"/>
    </row>
    <row r="1143" spans="1:17" ht="13.15" customHeight="1" x14ac:dyDescent="0.2">
      <c r="A1143" s="1" t="s">
        <v>2898</v>
      </c>
      <c r="B1143" s="1" t="s">
        <v>2833</v>
      </c>
      <c r="C1143" s="580">
        <v>42</v>
      </c>
      <c r="D1143" s="1">
        <v>7300</v>
      </c>
      <c r="E1143" t="s">
        <v>2834</v>
      </c>
      <c r="F1143">
        <v>4012</v>
      </c>
      <c r="G1143" s="580">
        <v>302.74349999999998</v>
      </c>
      <c r="H1143" s="1" t="s">
        <v>2899</v>
      </c>
      <c r="I1143" s="1"/>
      <c r="J1143" s="1"/>
      <c r="K1143" s="1"/>
      <c r="L1143" s="1"/>
      <c r="M1143" s="1"/>
      <c r="N1143" s="1"/>
      <c r="Q1143"/>
    </row>
    <row r="1144" spans="1:17" ht="13.15" customHeight="1" x14ac:dyDescent="0.2">
      <c r="A1144" s="1" t="s">
        <v>2900</v>
      </c>
      <c r="B1144" s="1" t="s">
        <v>2833</v>
      </c>
      <c r="C1144" s="580">
        <v>43</v>
      </c>
      <c r="D1144" s="1">
        <v>7500</v>
      </c>
      <c r="E1144" t="s">
        <v>2834</v>
      </c>
      <c r="F1144">
        <v>4334</v>
      </c>
      <c r="G1144" s="580">
        <v>372.60739999999998</v>
      </c>
      <c r="H1144" s="1" t="s">
        <v>2901</v>
      </c>
      <c r="I1144" s="1"/>
      <c r="J1144" s="1"/>
      <c r="K1144" s="1"/>
      <c r="L1144" s="1"/>
      <c r="M1144" s="1"/>
      <c r="N1144" s="1"/>
      <c r="Q1144"/>
    </row>
    <row r="1145" spans="1:17" ht="13.15" customHeight="1" x14ac:dyDescent="0.2">
      <c r="A1145" s="1" t="s">
        <v>2902</v>
      </c>
      <c r="B1145" s="1" t="s">
        <v>2833</v>
      </c>
      <c r="C1145" s="580">
        <v>44</v>
      </c>
      <c r="D1145" s="1">
        <v>7700</v>
      </c>
      <c r="E1145" t="s">
        <v>2834</v>
      </c>
      <c r="F1145">
        <v>4045</v>
      </c>
      <c r="G1145" s="580">
        <v>372.60739999999998</v>
      </c>
      <c r="H1145" s="1" t="s">
        <v>2903</v>
      </c>
      <c r="I1145" s="1"/>
      <c r="J1145" s="1"/>
      <c r="K1145" s="1"/>
      <c r="L1145" s="1"/>
      <c r="M1145" s="1"/>
      <c r="N1145" s="1"/>
      <c r="Q1145"/>
    </row>
    <row r="1146" spans="1:17" ht="13.15" customHeight="1" x14ac:dyDescent="0.2">
      <c r="A1146" s="1" t="s">
        <v>2904</v>
      </c>
      <c r="B1146" s="1" t="s">
        <v>2833</v>
      </c>
      <c r="C1146" s="580">
        <v>45</v>
      </c>
      <c r="D1146" s="1">
        <v>7700</v>
      </c>
      <c r="E1146" t="s">
        <v>2834</v>
      </c>
      <c r="F1146">
        <v>4343</v>
      </c>
      <c r="G1146" s="580">
        <v>438.5899</v>
      </c>
      <c r="H1146" s="1" t="s">
        <v>2905</v>
      </c>
      <c r="I1146" s="1"/>
      <c r="J1146" s="1"/>
      <c r="K1146" s="1"/>
      <c r="L1146" s="1"/>
      <c r="M1146" s="1"/>
      <c r="N1146" s="1"/>
      <c r="Q1146"/>
    </row>
    <row r="1147" spans="1:17" ht="13.15" customHeight="1" x14ac:dyDescent="0.2">
      <c r="A1147" s="1" t="s">
        <v>2906</v>
      </c>
      <c r="B1147" s="1" t="s">
        <v>2833</v>
      </c>
      <c r="C1147" s="580">
        <v>46</v>
      </c>
      <c r="D1147" s="1">
        <v>8900</v>
      </c>
      <c r="E1147" t="s">
        <v>2834</v>
      </c>
      <c r="F1147">
        <v>4044</v>
      </c>
      <c r="G1147" s="580">
        <v>395.89530000000002</v>
      </c>
      <c r="H1147" s="1" t="s">
        <v>2907</v>
      </c>
      <c r="I1147" s="1"/>
      <c r="J1147" s="1"/>
      <c r="K1147" s="1"/>
      <c r="L1147" s="1"/>
      <c r="M1147" s="1"/>
      <c r="N1147" s="1"/>
      <c r="Q1147"/>
    </row>
    <row r="1148" spans="1:17" ht="13.15" customHeight="1" x14ac:dyDescent="0.2">
      <c r="A1148" s="1" t="s">
        <v>2908</v>
      </c>
      <c r="B1148" s="1" t="s">
        <v>2833</v>
      </c>
      <c r="C1148" s="580">
        <v>47</v>
      </c>
      <c r="D1148" s="1">
        <v>8900</v>
      </c>
      <c r="E1148" t="s">
        <v>2834</v>
      </c>
      <c r="F1148">
        <v>4016</v>
      </c>
      <c r="G1148" s="580">
        <v>419.18329999999997</v>
      </c>
      <c r="H1148" s="1" t="s">
        <v>2909</v>
      </c>
      <c r="I1148" s="1"/>
      <c r="J1148" s="1"/>
      <c r="K1148" s="1"/>
      <c r="L1148" s="1"/>
      <c r="M1148" s="1"/>
      <c r="N1148" s="1"/>
      <c r="Q1148"/>
    </row>
    <row r="1149" spans="1:17" ht="13.15" customHeight="1" x14ac:dyDescent="0.2">
      <c r="A1149" s="1" t="s">
        <v>2910</v>
      </c>
      <c r="B1149" s="1" t="s">
        <v>2833</v>
      </c>
      <c r="C1149" s="580">
        <v>48</v>
      </c>
      <c r="D1149" s="1">
        <v>9100</v>
      </c>
      <c r="E1149" t="s">
        <v>2834</v>
      </c>
      <c r="F1149">
        <v>4017</v>
      </c>
      <c r="G1149" s="580">
        <v>428.49849999999998</v>
      </c>
      <c r="H1149" s="1" t="s">
        <v>2911</v>
      </c>
      <c r="I1149" s="1"/>
      <c r="J1149" s="1"/>
      <c r="K1149" s="1"/>
      <c r="L1149" s="1"/>
      <c r="M1149" s="1"/>
      <c r="N1149" s="1"/>
      <c r="Q1149"/>
    </row>
    <row r="1150" spans="1:17" ht="13.15" customHeight="1" x14ac:dyDescent="0.2">
      <c r="A1150" s="1" t="s">
        <v>2912</v>
      </c>
      <c r="B1150" s="1" t="s">
        <v>2833</v>
      </c>
      <c r="C1150" s="580">
        <v>49</v>
      </c>
      <c r="D1150" s="1">
        <v>9200</v>
      </c>
      <c r="E1150" t="s">
        <v>2834</v>
      </c>
      <c r="F1150">
        <v>4353</v>
      </c>
      <c r="G1150" s="580">
        <v>591.90239999999994</v>
      </c>
      <c r="H1150" s="1" t="s">
        <v>2913</v>
      </c>
      <c r="I1150" s="1"/>
      <c r="J1150" s="1"/>
      <c r="K1150" s="1"/>
      <c r="L1150" s="1"/>
      <c r="M1150" s="1"/>
      <c r="N1150" s="1"/>
      <c r="Q1150"/>
    </row>
    <row r="1151" spans="1:17" ht="13.15" customHeight="1" x14ac:dyDescent="0.2">
      <c r="A1151" s="1" t="s">
        <v>2914</v>
      </c>
      <c r="B1151" s="1" t="s">
        <v>2833</v>
      </c>
      <c r="C1151" s="580">
        <v>50</v>
      </c>
      <c r="D1151" s="1">
        <v>4605.24</v>
      </c>
      <c r="E1151" t="s">
        <v>2834</v>
      </c>
      <c r="F1151">
        <v>4020</v>
      </c>
      <c r="G1151" s="580">
        <v>466.47120000000001</v>
      </c>
      <c r="H1151" s="1" t="s">
        <v>2915</v>
      </c>
      <c r="I1151" s="1"/>
      <c r="J1151" s="1"/>
      <c r="K1151" s="1"/>
      <c r="L1151" s="1"/>
      <c r="M1151" s="1"/>
      <c r="N1151" s="1"/>
      <c r="Q1151"/>
    </row>
    <row r="1152" spans="1:17" ht="13.15" customHeight="1" x14ac:dyDescent="0.2">
      <c r="A1152" s="1" t="s">
        <v>2916</v>
      </c>
      <c r="B1152" s="1" t="s">
        <v>2833</v>
      </c>
      <c r="C1152" s="580">
        <v>51</v>
      </c>
      <c r="D1152" s="1">
        <v>4629.6400000000003</v>
      </c>
      <c r="E1152" t="s">
        <v>2834</v>
      </c>
      <c r="F1152">
        <v>4019</v>
      </c>
      <c r="G1152" s="580">
        <v>473.59109999999998</v>
      </c>
      <c r="H1152" s="1" t="s">
        <v>2917</v>
      </c>
      <c r="I1152" s="1"/>
      <c r="J1152" s="1"/>
      <c r="K1152" s="1"/>
      <c r="L1152" s="1"/>
      <c r="M1152" s="1"/>
      <c r="N1152" s="1"/>
      <c r="Q1152"/>
    </row>
    <row r="1153" spans="1:17" ht="13.15" customHeight="1" x14ac:dyDescent="0.2">
      <c r="A1153" s="1" t="s">
        <v>2918</v>
      </c>
      <c r="B1153" s="1" t="s">
        <v>2833</v>
      </c>
      <c r="C1153" s="580">
        <v>52</v>
      </c>
      <c r="D1153" s="1">
        <v>4726.5200000000004</v>
      </c>
      <c r="E1153" t="s">
        <v>2834</v>
      </c>
      <c r="F1153">
        <v>4023</v>
      </c>
      <c r="G1153" s="580">
        <v>492.55110000000002</v>
      </c>
      <c r="H1153" s="1" t="s">
        <v>2919</v>
      </c>
      <c r="I1153" s="1"/>
      <c r="J1153" s="1"/>
      <c r="K1153" s="1"/>
      <c r="L1153" s="1"/>
      <c r="M1153" s="1"/>
      <c r="N1153" s="1"/>
      <c r="Q1153"/>
    </row>
    <row r="1154" spans="1:17" ht="13.15" customHeight="1" x14ac:dyDescent="0.2">
      <c r="A1154" s="1" t="s">
        <v>2920</v>
      </c>
      <c r="B1154" s="1" t="s">
        <v>2833</v>
      </c>
      <c r="C1154" s="580">
        <v>53</v>
      </c>
      <c r="D1154" s="1">
        <v>12000</v>
      </c>
      <c r="E1154" t="s">
        <v>2834</v>
      </c>
      <c r="F1154">
        <v>4309</v>
      </c>
      <c r="G1154" s="580">
        <v>1948.7538999999999</v>
      </c>
      <c r="H1154" s="1" t="s">
        <v>2921</v>
      </c>
      <c r="I1154" s="1"/>
      <c r="J1154" s="1"/>
      <c r="K1154" s="1"/>
      <c r="L1154" s="1"/>
      <c r="M1154" s="1"/>
      <c r="N1154" s="1"/>
      <c r="Q1154"/>
    </row>
    <row r="1155" spans="1:17" ht="13.15" customHeight="1" x14ac:dyDescent="0.2">
      <c r="A1155" s="1" t="s">
        <v>2922</v>
      </c>
      <c r="B1155" s="1" t="s">
        <v>2833</v>
      </c>
      <c r="C1155" s="580">
        <v>54</v>
      </c>
      <c r="D1155" s="1">
        <v>12000</v>
      </c>
      <c r="E1155" t="s">
        <v>2834</v>
      </c>
      <c r="F1155">
        <v>4310</v>
      </c>
      <c r="G1155" s="580">
        <v>1948.7538999999999</v>
      </c>
      <c r="H1155" s="1" t="s">
        <v>2853</v>
      </c>
      <c r="I1155" s="1"/>
      <c r="J1155" s="1"/>
      <c r="K1155" s="1"/>
      <c r="L1155" s="1"/>
      <c r="M1155" s="1"/>
      <c r="N1155" s="1"/>
      <c r="Q1155"/>
    </row>
    <row r="1156" spans="1:17" ht="13.15" customHeight="1" x14ac:dyDescent="0.2">
      <c r="A1156" s="1" t="s">
        <v>2923</v>
      </c>
      <c r="B1156" s="1" t="s">
        <v>2833</v>
      </c>
      <c r="C1156" s="580">
        <v>55</v>
      </c>
      <c r="D1156" s="1">
        <v>12000</v>
      </c>
      <c r="E1156" t="s">
        <v>2834</v>
      </c>
      <c r="F1156">
        <v>4311</v>
      </c>
      <c r="G1156" s="580">
        <v>1948.7538999999999</v>
      </c>
      <c r="H1156" s="1" t="s">
        <v>2855</v>
      </c>
      <c r="I1156" s="1"/>
      <c r="J1156" s="1"/>
      <c r="K1156" s="1"/>
      <c r="L1156" s="1"/>
      <c r="M1156" s="1"/>
      <c r="N1156" s="1"/>
      <c r="Q1156"/>
    </row>
    <row r="1157" spans="1:17" ht="13.15" customHeight="1" x14ac:dyDescent="0.2">
      <c r="A1157" s="1" t="s">
        <v>2924</v>
      </c>
      <c r="B1157" s="1" t="s">
        <v>2833</v>
      </c>
      <c r="C1157" s="580">
        <v>56</v>
      </c>
      <c r="D1157" s="1">
        <v>12000</v>
      </c>
      <c r="E1157" t="s">
        <v>2834</v>
      </c>
      <c r="F1157">
        <v>4312</v>
      </c>
      <c r="G1157" s="580">
        <v>1948.7538999999999</v>
      </c>
      <c r="H1157" s="1" t="s">
        <v>2857</v>
      </c>
      <c r="I1157" s="1"/>
      <c r="J1157" s="1"/>
      <c r="K1157" s="1"/>
      <c r="L1157" s="1"/>
      <c r="M1157" s="1"/>
      <c r="N1157" s="1"/>
      <c r="Q1157"/>
    </row>
    <row r="1158" spans="1:17" ht="13.15" customHeight="1" x14ac:dyDescent="0.2">
      <c r="A1158" s="1" t="s">
        <v>2925</v>
      </c>
      <c r="B1158" s="1" t="s">
        <v>2833</v>
      </c>
      <c r="C1158" s="580">
        <v>57</v>
      </c>
      <c r="D1158" s="1">
        <v>12000</v>
      </c>
      <c r="E1158" t="s">
        <v>2834</v>
      </c>
      <c r="F1158">
        <v>4313</v>
      </c>
      <c r="G1158" s="580">
        <v>1948.7538999999999</v>
      </c>
      <c r="H1158" s="1" t="s">
        <v>2859</v>
      </c>
      <c r="I1158" s="1"/>
      <c r="J1158" s="1"/>
      <c r="K1158" s="1"/>
      <c r="L1158" s="1"/>
      <c r="M1158" s="1"/>
      <c r="N1158" s="1"/>
      <c r="Q1158"/>
    </row>
    <row r="1159" spans="1:17" ht="13.15" customHeight="1" x14ac:dyDescent="0.2">
      <c r="A1159" s="1" t="s">
        <v>2926</v>
      </c>
      <c r="B1159" s="1" t="s">
        <v>2833</v>
      </c>
      <c r="C1159" s="580">
        <v>58</v>
      </c>
      <c r="D1159" s="1">
        <v>6900</v>
      </c>
      <c r="E1159" t="s">
        <v>2834</v>
      </c>
      <c r="F1159">
        <v>4034</v>
      </c>
      <c r="G1159" s="580">
        <v>0</v>
      </c>
      <c r="H1159" s="1" t="s">
        <v>2927</v>
      </c>
      <c r="I1159" s="1"/>
      <c r="J1159" s="1"/>
      <c r="K1159" s="1"/>
      <c r="L1159" s="1"/>
      <c r="M1159" s="1"/>
      <c r="N1159" s="1"/>
      <c r="Q1159"/>
    </row>
    <row r="1160" spans="1:17" ht="13.15" customHeight="1" x14ac:dyDescent="0.2">
      <c r="A1160" s="1" t="s">
        <v>2928</v>
      </c>
      <c r="B1160" s="1" t="s">
        <v>2833</v>
      </c>
      <c r="C1160" s="580">
        <v>59</v>
      </c>
      <c r="D1160" s="1">
        <v>7000</v>
      </c>
      <c r="E1160" t="s">
        <v>2834</v>
      </c>
      <c r="F1160">
        <v>4035</v>
      </c>
      <c r="G1160" s="580">
        <v>0</v>
      </c>
      <c r="H1160" s="1" t="s">
        <v>2929</v>
      </c>
      <c r="I1160" s="1"/>
      <c r="J1160" s="1"/>
      <c r="K1160" s="1"/>
      <c r="L1160" s="1"/>
      <c r="M1160" s="1"/>
      <c r="N1160" s="1"/>
      <c r="Q1160"/>
    </row>
    <row r="1161" spans="1:17" ht="13.15" customHeight="1" x14ac:dyDescent="0.2">
      <c r="A1161" s="1" t="s">
        <v>2930</v>
      </c>
      <c r="B1161" s="1" t="s">
        <v>2833</v>
      </c>
      <c r="C1161" s="580">
        <v>60</v>
      </c>
      <c r="D1161" s="1">
        <v>7000</v>
      </c>
      <c r="E1161" t="s">
        <v>2834</v>
      </c>
      <c r="F1161">
        <v>4086</v>
      </c>
      <c r="G1161" s="580">
        <v>214.404</v>
      </c>
      <c r="H1161" s="1" t="s">
        <v>2931</v>
      </c>
      <c r="I1161" s="1"/>
      <c r="J1161" s="1"/>
      <c r="K1161" s="1"/>
      <c r="L1161" s="1"/>
      <c r="M1161" s="1"/>
      <c r="N1161" s="1"/>
      <c r="Q1161"/>
    </row>
    <row r="1162" spans="1:17" ht="13.15" customHeight="1" x14ac:dyDescent="0.2">
      <c r="A1162" s="1" t="s">
        <v>2932</v>
      </c>
      <c r="B1162" s="1" t="s">
        <v>2833</v>
      </c>
      <c r="C1162" s="580">
        <v>61</v>
      </c>
      <c r="D1162" s="1">
        <v>7300</v>
      </c>
      <c r="E1162" t="s">
        <v>2834</v>
      </c>
      <c r="F1162">
        <v>4085</v>
      </c>
      <c r="G1162" s="580">
        <v>214.404</v>
      </c>
      <c r="H1162" s="1" t="s">
        <v>2933</v>
      </c>
      <c r="I1162" s="1"/>
      <c r="J1162" s="1"/>
      <c r="K1162" s="1"/>
      <c r="L1162" s="1"/>
      <c r="M1162" s="1"/>
      <c r="N1162" s="1"/>
      <c r="Q1162"/>
    </row>
    <row r="1163" spans="1:17" ht="13.15" customHeight="1" x14ac:dyDescent="0.2">
      <c r="A1163" s="1" t="s">
        <v>2934</v>
      </c>
      <c r="B1163" s="1" t="s">
        <v>2833</v>
      </c>
      <c r="C1163" s="580">
        <v>62</v>
      </c>
      <c r="D1163" s="1">
        <v>7300</v>
      </c>
      <c r="E1163" t="s">
        <v>2834</v>
      </c>
      <c r="F1163">
        <v>4084</v>
      </c>
      <c r="G1163" s="580">
        <v>214.404</v>
      </c>
      <c r="H1163" s="1" t="s">
        <v>2935</v>
      </c>
      <c r="I1163" s="1"/>
      <c r="J1163" s="1"/>
      <c r="K1163" s="1"/>
      <c r="L1163" s="1"/>
      <c r="M1163" s="1"/>
      <c r="N1163" s="1"/>
      <c r="Q1163"/>
    </row>
    <row r="1164" spans="1:17" ht="13.15" customHeight="1" x14ac:dyDescent="0.2">
      <c r="A1164" s="1" t="s">
        <v>2936</v>
      </c>
      <c r="B1164" s="1" t="s">
        <v>2833</v>
      </c>
      <c r="C1164" s="580">
        <v>63</v>
      </c>
      <c r="D1164" s="1">
        <v>7300</v>
      </c>
      <c r="E1164" t="s">
        <v>2834</v>
      </c>
      <c r="F1164">
        <v>4082</v>
      </c>
      <c r="G1164" s="580">
        <v>232.27099999999999</v>
      </c>
      <c r="H1164" s="1" t="s">
        <v>2937</v>
      </c>
      <c r="I1164" s="1"/>
      <c r="J1164" s="1"/>
      <c r="K1164" s="1"/>
      <c r="L1164" s="1"/>
      <c r="M1164" s="1"/>
      <c r="N1164" s="1"/>
      <c r="Q1164"/>
    </row>
    <row r="1165" spans="1:17" ht="13.15" customHeight="1" x14ac:dyDescent="0.2">
      <c r="A1165" s="1" t="s">
        <v>2938</v>
      </c>
      <c r="B1165" s="1" t="s">
        <v>2833</v>
      </c>
      <c r="C1165" s="580">
        <v>64</v>
      </c>
      <c r="D1165" s="1">
        <v>7300</v>
      </c>
      <c r="E1165" t="s">
        <v>2834</v>
      </c>
      <c r="F1165">
        <v>4081</v>
      </c>
      <c r="G1165" s="580">
        <v>232.27099999999999</v>
      </c>
      <c r="H1165" s="1" t="s">
        <v>2939</v>
      </c>
      <c r="I1165" s="1"/>
      <c r="J1165" s="1"/>
      <c r="K1165" s="1"/>
      <c r="L1165" s="1"/>
      <c r="M1165" s="1"/>
      <c r="N1165" s="1"/>
      <c r="Q1165"/>
    </row>
    <row r="1166" spans="1:17" ht="13.15" customHeight="1" x14ac:dyDescent="0.2">
      <c r="A1166" s="1" t="s">
        <v>2940</v>
      </c>
      <c r="B1166" s="1" t="s">
        <v>2833</v>
      </c>
      <c r="C1166" s="580">
        <v>65</v>
      </c>
      <c r="D1166" s="1">
        <v>7300</v>
      </c>
      <c r="E1166" t="s">
        <v>2834</v>
      </c>
      <c r="F1166">
        <v>4080</v>
      </c>
      <c r="G1166" s="580">
        <v>232.27099999999999</v>
      </c>
      <c r="H1166" s="1" t="s">
        <v>2941</v>
      </c>
      <c r="I1166" s="1"/>
      <c r="J1166" s="1"/>
      <c r="K1166" s="1"/>
      <c r="L1166" s="1"/>
      <c r="M1166" s="1"/>
      <c r="N1166" s="1"/>
      <c r="Q1166"/>
    </row>
    <row r="1167" spans="1:17" ht="13.15" customHeight="1" x14ac:dyDescent="0.2">
      <c r="A1167" s="1" t="s">
        <v>2942</v>
      </c>
      <c r="B1167" s="1" t="s">
        <v>2833</v>
      </c>
      <c r="C1167" s="580">
        <v>66</v>
      </c>
      <c r="D1167" s="1">
        <v>7300</v>
      </c>
      <c r="E1167" t="s">
        <v>2834</v>
      </c>
      <c r="F1167">
        <v>4079</v>
      </c>
      <c r="G1167" s="580">
        <v>232.27099999999999</v>
      </c>
      <c r="H1167" s="1" t="s">
        <v>2943</v>
      </c>
      <c r="I1167" s="1"/>
      <c r="J1167" s="1"/>
      <c r="K1167" s="1"/>
      <c r="L1167" s="1"/>
      <c r="M1167" s="1"/>
      <c r="N1167" s="1"/>
      <c r="Q1167"/>
    </row>
    <row r="1168" spans="1:17" ht="13.15" customHeight="1" x14ac:dyDescent="0.2">
      <c r="A1168" s="1" t="s">
        <v>2944</v>
      </c>
      <c r="B1168" s="1" t="s">
        <v>2833</v>
      </c>
      <c r="C1168" s="580">
        <v>67</v>
      </c>
      <c r="D1168" s="1">
        <v>7700</v>
      </c>
      <c r="E1168" t="s">
        <v>2834</v>
      </c>
      <c r="F1168">
        <v>4093</v>
      </c>
      <c r="G1168" s="580">
        <v>232.27099999999999</v>
      </c>
      <c r="H1168" s="1" t="s">
        <v>2945</v>
      </c>
      <c r="I1168" s="1"/>
      <c r="J1168" s="1"/>
      <c r="K1168" s="1"/>
      <c r="L1168" s="1"/>
      <c r="M1168" s="1"/>
      <c r="N1168" s="1"/>
      <c r="Q1168"/>
    </row>
    <row r="1169" spans="1:17" ht="13.15" customHeight="1" x14ac:dyDescent="0.2">
      <c r="A1169" s="1" t="s">
        <v>2946</v>
      </c>
      <c r="B1169" s="1" t="s">
        <v>2833</v>
      </c>
      <c r="C1169" s="580">
        <v>68</v>
      </c>
      <c r="D1169" s="1">
        <v>8900</v>
      </c>
      <c r="E1169" t="s">
        <v>2834</v>
      </c>
      <c r="F1169">
        <v>4092</v>
      </c>
      <c r="G1169" s="580">
        <v>232.27099999999999</v>
      </c>
      <c r="H1169" s="1" t="s">
        <v>2947</v>
      </c>
      <c r="I1169" s="1"/>
      <c r="J1169" s="1"/>
      <c r="K1169" s="1"/>
      <c r="L1169" s="1"/>
      <c r="M1169" s="1"/>
      <c r="N1169" s="1"/>
      <c r="Q1169"/>
    </row>
    <row r="1170" spans="1:17" ht="13.15" customHeight="1" x14ac:dyDescent="0.2">
      <c r="A1170" s="1" t="s">
        <v>2948</v>
      </c>
      <c r="B1170" s="1" t="s">
        <v>2833</v>
      </c>
      <c r="C1170" s="580">
        <v>69</v>
      </c>
      <c r="D1170" s="1">
        <v>8900</v>
      </c>
      <c r="E1170" t="s">
        <v>2834</v>
      </c>
      <c r="F1170">
        <v>4098</v>
      </c>
      <c r="G1170" s="580">
        <v>239.4178</v>
      </c>
      <c r="H1170" s="1" t="s">
        <v>2949</v>
      </c>
      <c r="I1170" s="1"/>
      <c r="J1170" s="1"/>
      <c r="K1170" s="1"/>
      <c r="L1170" s="1"/>
      <c r="M1170" s="1"/>
      <c r="N1170" s="1"/>
      <c r="Q1170"/>
    </row>
    <row r="1171" spans="1:17" ht="13.15" customHeight="1" x14ac:dyDescent="0.2">
      <c r="A1171" s="1" t="s">
        <v>2950</v>
      </c>
      <c r="B1171" s="1" t="s">
        <v>2833</v>
      </c>
      <c r="C1171" s="580">
        <v>70</v>
      </c>
      <c r="D1171" s="1">
        <v>8900</v>
      </c>
      <c r="E1171" t="s">
        <v>2834</v>
      </c>
      <c r="F1171">
        <v>4097</v>
      </c>
      <c r="G1171" s="580">
        <v>239.4178</v>
      </c>
      <c r="H1171" s="1" t="s">
        <v>2951</v>
      </c>
      <c r="I1171" s="1"/>
      <c r="J1171" s="1"/>
      <c r="K1171" s="1"/>
      <c r="L1171" s="1"/>
      <c r="M1171" s="1"/>
      <c r="N1171" s="1"/>
      <c r="Q1171"/>
    </row>
    <row r="1172" spans="1:17" ht="13.15" customHeight="1" x14ac:dyDescent="0.2">
      <c r="A1172" s="1" t="s">
        <v>2952</v>
      </c>
      <c r="B1172" s="1" t="s">
        <v>2833</v>
      </c>
      <c r="C1172" s="580">
        <v>71</v>
      </c>
      <c r="D1172" s="1">
        <v>7450</v>
      </c>
      <c r="E1172" t="s">
        <v>2834</v>
      </c>
      <c r="F1172">
        <v>4063</v>
      </c>
      <c r="G1172" s="580">
        <v>335.52510000000001</v>
      </c>
      <c r="H1172" s="1" t="s">
        <v>2953</v>
      </c>
      <c r="I1172" s="1"/>
      <c r="J1172" s="1"/>
      <c r="K1172" s="1"/>
      <c r="L1172" s="1"/>
      <c r="M1172" s="1"/>
      <c r="N1172" s="1"/>
      <c r="Q1172"/>
    </row>
    <row r="1173" spans="1:17" ht="13.15" customHeight="1" x14ac:dyDescent="0.2">
      <c r="A1173" s="1" t="s">
        <v>2954</v>
      </c>
      <c r="B1173" s="1" t="s">
        <v>2833</v>
      </c>
      <c r="C1173" s="580">
        <v>72</v>
      </c>
      <c r="D1173" s="1">
        <v>7450</v>
      </c>
      <c r="E1173" t="s">
        <v>2834</v>
      </c>
      <c r="F1173">
        <v>4064</v>
      </c>
      <c r="G1173" s="580">
        <v>395.44029999999998</v>
      </c>
      <c r="H1173" s="1" t="s">
        <v>2955</v>
      </c>
      <c r="I1173" s="1"/>
      <c r="J1173" s="1"/>
      <c r="K1173" s="1"/>
      <c r="L1173" s="1"/>
      <c r="M1173" s="1"/>
      <c r="N1173" s="1"/>
      <c r="Q1173"/>
    </row>
    <row r="1174" spans="1:17" ht="13.15" customHeight="1" x14ac:dyDescent="0.2">
      <c r="A1174" s="1" t="s">
        <v>2956</v>
      </c>
      <c r="B1174" s="1" t="s">
        <v>2833</v>
      </c>
      <c r="C1174" s="580">
        <v>73</v>
      </c>
      <c r="D1174" s="1">
        <v>7450</v>
      </c>
      <c r="E1174" t="s">
        <v>2834</v>
      </c>
      <c r="F1174">
        <v>4816</v>
      </c>
      <c r="G1174" s="580">
        <v>714.35500000000002</v>
      </c>
      <c r="H1174" s="1" t="s">
        <v>2957</v>
      </c>
      <c r="I1174" s="1"/>
      <c r="J1174" s="1"/>
      <c r="K1174" s="1"/>
      <c r="L1174" s="1"/>
      <c r="M1174" s="1"/>
      <c r="N1174" s="1"/>
      <c r="Q1174"/>
    </row>
    <row r="1175" spans="1:17" ht="13.15" customHeight="1" x14ac:dyDescent="0.2">
      <c r="A1175" s="1" t="s">
        <v>2958</v>
      </c>
      <c r="B1175" s="1" t="s">
        <v>2833</v>
      </c>
      <c r="C1175" s="580">
        <v>74</v>
      </c>
      <c r="D1175" s="1">
        <v>7450</v>
      </c>
      <c r="E1175" t="s">
        <v>2834</v>
      </c>
      <c r="F1175">
        <v>4815</v>
      </c>
      <c r="G1175" s="580">
        <v>714.35500000000002</v>
      </c>
      <c r="H1175" s="1" t="s">
        <v>2959</v>
      </c>
      <c r="I1175" s="1"/>
      <c r="J1175" s="1"/>
      <c r="K1175" s="1"/>
      <c r="L1175" s="1"/>
      <c r="M1175" s="1"/>
      <c r="N1175" s="1"/>
      <c r="Q1175"/>
    </row>
    <row r="1176" spans="1:17" ht="13.15" customHeight="1" x14ac:dyDescent="0.2">
      <c r="A1176" s="1" t="s">
        <v>2960</v>
      </c>
      <c r="B1176" s="1" t="s">
        <v>2833</v>
      </c>
      <c r="C1176" s="580">
        <v>75</v>
      </c>
      <c r="D1176" s="1">
        <v>12000</v>
      </c>
      <c r="E1176" t="s">
        <v>2834</v>
      </c>
      <c r="F1176">
        <v>75</v>
      </c>
      <c r="G1176" s="580">
        <v>2106.9409000000001</v>
      </c>
      <c r="H1176" s="1" t="s">
        <v>2961</v>
      </c>
      <c r="I1176" s="1"/>
      <c r="J1176" s="1"/>
      <c r="K1176" s="1"/>
      <c r="L1176" s="1"/>
      <c r="M1176" s="1"/>
      <c r="N1176" s="1"/>
      <c r="Q1176"/>
    </row>
    <row r="1177" spans="1:17" ht="13.15" customHeight="1" x14ac:dyDescent="0.2">
      <c r="A1177" s="1" t="s">
        <v>2962</v>
      </c>
      <c r="B1177" s="1" t="s">
        <v>2833</v>
      </c>
      <c r="C1177" s="580">
        <v>76</v>
      </c>
      <c r="D1177" s="1">
        <v>12000</v>
      </c>
      <c r="E1177" t="s">
        <v>2834</v>
      </c>
      <c r="F1177">
        <v>76</v>
      </c>
      <c r="G1177" s="580">
        <v>2106.9409000000001</v>
      </c>
      <c r="H1177" s="1" t="s">
        <v>2963</v>
      </c>
      <c r="I1177" s="1"/>
      <c r="J1177" s="1"/>
      <c r="K1177" s="1"/>
      <c r="L1177" s="1"/>
      <c r="M1177" s="1"/>
      <c r="N1177" s="1"/>
      <c r="Q1177"/>
    </row>
    <row r="1178" spans="1:17" ht="13.15" customHeight="1" x14ac:dyDescent="0.2">
      <c r="A1178" s="1" t="s">
        <v>2964</v>
      </c>
      <c r="B1178" s="1" t="s">
        <v>2833</v>
      </c>
      <c r="C1178" s="580">
        <v>77</v>
      </c>
      <c r="D1178" s="1">
        <v>7450</v>
      </c>
      <c r="E1178" t="s">
        <v>2834</v>
      </c>
      <c r="F1178">
        <v>4123</v>
      </c>
      <c r="G1178" s="580">
        <v>512.33519999999999</v>
      </c>
      <c r="H1178" s="1" t="s">
        <v>2965</v>
      </c>
      <c r="I1178" s="1"/>
      <c r="J1178" s="1"/>
      <c r="K1178" s="1"/>
      <c r="L1178" s="1"/>
      <c r="M1178" s="1"/>
      <c r="N1178" s="1"/>
      <c r="Q1178"/>
    </row>
    <row r="1179" spans="1:17" ht="13.15" customHeight="1" x14ac:dyDescent="0.2">
      <c r="A1179" s="1" t="s">
        <v>2966</v>
      </c>
      <c r="B1179" s="1" t="s">
        <v>2967</v>
      </c>
      <c r="C1179" s="580">
        <v>1</v>
      </c>
      <c r="D1179" s="1">
        <v>1003.68</v>
      </c>
      <c r="E1179" t="s">
        <v>2968</v>
      </c>
      <c r="F1179">
        <v>2030</v>
      </c>
      <c r="G1179" s="580">
        <v>55.910400000000003</v>
      </c>
      <c r="H1179" s="1" t="s">
        <v>2969</v>
      </c>
      <c r="I1179" s="1"/>
      <c r="J1179" s="1"/>
      <c r="K1179" s="1"/>
      <c r="L1179" s="1"/>
      <c r="M1179" s="1"/>
      <c r="N1179" s="1"/>
      <c r="Q1179"/>
    </row>
    <row r="1180" spans="1:17" ht="13.15" customHeight="1" x14ac:dyDescent="0.2">
      <c r="A1180" s="1" t="s">
        <v>2970</v>
      </c>
      <c r="B1180" s="1" t="s">
        <v>2967</v>
      </c>
      <c r="C1180" s="580">
        <v>2</v>
      </c>
      <c r="D1180" s="1">
        <v>1003.68</v>
      </c>
      <c r="E1180" t="s">
        <v>2968</v>
      </c>
      <c r="F1180">
        <v>2031</v>
      </c>
      <c r="G1180" s="580">
        <v>55.910400000000003</v>
      </c>
      <c r="H1180" s="1" t="s">
        <v>2969</v>
      </c>
      <c r="I1180" s="1"/>
      <c r="J1180" s="1"/>
      <c r="K1180" s="1"/>
      <c r="L1180" s="1"/>
      <c r="M1180" s="1"/>
      <c r="N1180" s="1"/>
      <c r="Q1180"/>
    </row>
    <row r="1181" spans="1:17" ht="13.15" customHeight="1" x14ac:dyDescent="0.2">
      <c r="A1181" s="1" t="s">
        <v>2971</v>
      </c>
      <c r="B1181" s="1" t="s">
        <v>2967</v>
      </c>
      <c r="C1181" s="580">
        <v>3</v>
      </c>
      <c r="D1181" s="1">
        <v>1893.12</v>
      </c>
      <c r="E1181" t="s">
        <v>2968</v>
      </c>
      <c r="F1181">
        <v>2058</v>
      </c>
      <c r="G1181" s="580">
        <v>105.456</v>
      </c>
      <c r="H1181" s="1" t="s">
        <v>2972</v>
      </c>
      <c r="I1181" s="1"/>
      <c r="J1181" s="1"/>
      <c r="K1181" s="1"/>
      <c r="L1181" s="1"/>
      <c r="M1181" s="1"/>
      <c r="N1181" s="1"/>
      <c r="Q1181"/>
    </row>
    <row r="1182" spans="1:17" ht="13.15" customHeight="1" x14ac:dyDescent="0.2">
      <c r="A1182" s="1" t="s">
        <v>2973</v>
      </c>
      <c r="B1182" s="1" t="s">
        <v>2967</v>
      </c>
      <c r="C1182" s="580">
        <v>4</v>
      </c>
      <c r="D1182" s="1">
        <v>957.96</v>
      </c>
      <c r="E1182" t="s">
        <v>2968</v>
      </c>
      <c r="F1182" t="s">
        <v>2974</v>
      </c>
      <c r="G1182" s="580">
        <v>0</v>
      </c>
      <c r="H1182" s="1" t="s">
        <v>2975</v>
      </c>
      <c r="I1182" s="1"/>
      <c r="J1182" s="1"/>
      <c r="K1182" s="1"/>
      <c r="L1182" s="1"/>
      <c r="M1182" s="1"/>
      <c r="N1182" s="1"/>
      <c r="Q1182"/>
    </row>
    <row r="1183" spans="1:17" ht="13.15" customHeight="1" x14ac:dyDescent="0.2">
      <c r="A1183" s="1" t="s">
        <v>2976</v>
      </c>
      <c r="B1183" s="1" t="s">
        <v>2967</v>
      </c>
      <c r="C1183" s="580">
        <v>5</v>
      </c>
      <c r="D1183" s="1">
        <v>957.96</v>
      </c>
      <c r="E1183" t="s">
        <v>2968</v>
      </c>
      <c r="F1183" t="s">
        <v>2977</v>
      </c>
      <c r="G1183" s="580">
        <v>0</v>
      </c>
      <c r="H1183" s="1" t="s">
        <v>2978</v>
      </c>
      <c r="I1183" s="1"/>
      <c r="J1183" s="1"/>
      <c r="K1183" s="1"/>
      <c r="L1183" s="1"/>
      <c r="M1183" s="1"/>
      <c r="N1183" s="1"/>
      <c r="Q1183"/>
    </row>
    <row r="1184" spans="1:17" ht="13.15" customHeight="1" x14ac:dyDescent="0.2">
      <c r="A1184" s="1" t="s">
        <v>2979</v>
      </c>
      <c r="B1184" s="1" t="s">
        <v>2967</v>
      </c>
      <c r="C1184" s="580">
        <v>6</v>
      </c>
      <c r="D1184" s="1">
        <v>1160.04</v>
      </c>
      <c r="E1184" t="s">
        <v>2968</v>
      </c>
      <c r="F1184" t="s">
        <v>2980</v>
      </c>
      <c r="G1184" s="580">
        <v>0</v>
      </c>
      <c r="H1184" s="1" t="s">
        <v>2981</v>
      </c>
      <c r="I1184" s="1"/>
      <c r="J1184" s="1"/>
      <c r="K1184" s="1"/>
      <c r="L1184" s="1"/>
      <c r="M1184" s="1"/>
      <c r="N1184" s="1"/>
      <c r="Q1184"/>
    </row>
    <row r="1185" spans="1:17" ht="13.15" customHeight="1" x14ac:dyDescent="0.2">
      <c r="A1185" s="1" t="s">
        <v>2982</v>
      </c>
      <c r="B1185" s="1" t="s">
        <v>2967</v>
      </c>
      <c r="C1185" s="580">
        <v>7</v>
      </c>
      <c r="D1185" s="1">
        <v>1182.96</v>
      </c>
      <c r="E1185" t="s">
        <v>2968</v>
      </c>
      <c r="F1185">
        <v>2104</v>
      </c>
      <c r="G1185" s="580">
        <v>0</v>
      </c>
      <c r="H1185" s="1" t="s">
        <v>2983</v>
      </c>
      <c r="I1185" s="1"/>
      <c r="J1185" s="1"/>
      <c r="K1185" s="1"/>
      <c r="L1185" s="1"/>
      <c r="M1185" s="1"/>
      <c r="N1185" s="1"/>
      <c r="Q1185"/>
    </row>
    <row r="1186" spans="1:17" ht="13.15" customHeight="1" x14ac:dyDescent="0.2">
      <c r="A1186" s="1" t="s">
        <v>2984</v>
      </c>
      <c r="B1186" s="1" t="s">
        <v>2967</v>
      </c>
      <c r="C1186" s="580">
        <v>8</v>
      </c>
      <c r="D1186" s="1">
        <v>4234.4399999999996</v>
      </c>
      <c r="E1186" t="s">
        <v>2968</v>
      </c>
      <c r="F1186">
        <v>2106</v>
      </c>
      <c r="G1186" s="580">
        <v>0</v>
      </c>
      <c r="H1186" s="1" t="s">
        <v>2985</v>
      </c>
      <c r="I1186" s="1"/>
      <c r="J1186" s="1"/>
      <c r="K1186" s="1"/>
      <c r="L1186" s="1"/>
      <c r="M1186" s="1"/>
      <c r="N1186" s="1"/>
      <c r="Q1186"/>
    </row>
    <row r="1187" spans="1:17" ht="13.15" customHeight="1" x14ac:dyDescent="0.2">
      <c r="A1187" s="1" t="s">
        <v>2986</v>
      </c>
      <c r="B1187" s="1" t="s">
        <v>2967</v>
      </c>
      <c r="C1187" s="580">
        <v>9</v>
      </c>
      <c r="D1187" s="1">
        <v>1182.96</v>
      </c>
      <c r="E1187" t="s">
        <v>2968</v>
      </c>
      <c r="F1187">
        <v>2108</v>
      </c>
      <c r="G1187" s="580">
        <v>0</v>
      </c>
      <c r="H1187" s="1" t="s">
        <v>2987</v>
      </c>
      <c r="I1187" s="1"/>
      <c r="J1187" s="1"/>
      <c r="K1187" s="1"/>
      <c r="L1187" s="1"/>
      <c r="M1187" s="1"/>
      <c r="N1187" s="1"/>
      <c r="Q1187"/>
    </row>
    <row r="1188" spans="1:17" ht="13.15" customHeight="1" x14ac:dyDescent="0.2">
      <c r="A1188" s="1" t="s">
        <v>2988</v>
      </c>
      <c r="B1188" s="1" t="s">
        <v>2967</v>
      </c>
      <c r="C1188" s="580">
        <v>10</v>
      </c>
      <c r="D1188" s="1">
        <v>3405.48</v>
      </c>
      <c r="E1188" t="s">
        <v>2968</v>
      </c>
      <c r="F1188">
        <v>2150</v>
      </c>
      <c r="G1188" s="580">
        <v>189.696</v>
      </c>
      <c r="H1188" s="1" t="s">
        <v>2989</v>
      </c>
      <c r="I1188" s="1"/>
      <c r="J1188" s="1"/>
      <c r="K1188" s="1"/>
      <c r="L1188" s="1"/>
      <c r="M1188" s="1"/>
      <c r="N1188" s="1"/>
      <c r="Q1188"/>
    </row>
    <row r="1189" spans="1:17" ht="13.15" customHeight="1" x14ac:dyDescent="0.2">
      <c r="A1189" s="1" t="s">
        <v>2990</v>
      </c>
      <c r="B1189" s="1" t="s">
        <v>2967</v>
      </c>
      <c r="C1189" s="580">
        <v>11</v>
      </c>
      <c r="D1189" s="1">
        <v>1254.5999999999999</v>
      </c>
      <c r="E1189" t="s">
        <v>2968</v>
      </c>
      <c r="F1189">
        <v>6104</v>
      </c>
      <c r="G1189" s="580">
        <v>69.888000000000005</v>
      </c>
      <c r="H1189" s="1" t="s">
        <v>2991</v>
      </c>
      <c r="I1189" s="1"/>
      <c r="J1189" s="1"/>
      <c r="K1189" s="1"/>
      <c r="L1189" s="1"/>
      <c r="M1189" s="1"/>
      <c r="N1189" s="1"/>
      <c r="Q1189"/>
    </row>
    <row r="1190" spans="1:17" ht="13.15" customHeight="1" x14ac:dyDescent="0.2">
      <c r="A1190" s="1" t="s">
        <v>2992</v>
      </c>
      <c r="B1190" s="1" t="s">
        <v>2967</v>
      </c>
      <c r="C1190" s="580">
        <v>12</v>
      </c>
      <c r="D1190" s="1">
        <v>932.04</v>
      </c>
      <c r="E1190" t="s">
        <v>2968</v>
      </c>
      <c r="F1190">
        <v>3061</v>
      </c>
      <c r="G1190" s="580">
        <v>51.916800000000002</v>
      </c>
      <c r="H1190" s="1" t="s">
        <v>2993</v>
      </c>
      <c r="I1190" s="1"/>
      <c r="J1190" s="1"/>
      <c r="K1190" s="1"/>
      <c r="L1190" s="1"/>
      <c r="M1190" s="1"/>
      <c r="N1190" s="1"/>
      <c r="Q1190"/>
    </row>
    <row r="1191" spans="1:17" ht="13.15" customHeight="1" x14ac:dyDescent="0.2">
      <c r="A1191" s="1" t="s">
        <v>2994</v>
      </c>
      <c r="B1191" s="1" t="s">
        <v>2967</v>
      </c>
      <c r="C1191" s="580">
        <v>13</v>
      </c>
      <c r="D1191" s="1">
        <v>2116.92</v>
      </c>
      <c r="E1191" t="s">
        <v>2968</v>
      </c>
      <c r="F1191">
        <v>3235</v>
      </c>
      <c r="G1191" s="580">
        <v>111.696</v>
      </c>
      <c r="H1191" s="1" t="s">
        <v>2995</v>
      </c>
      <c r="I1191" s="1"/>
      <c r="J1191" s="1"/>
      <c r="K1191" s="1"/>
      <c r="L1191" s="1"/>
      <c r="M1191" s="1"/>
      <c r="N1191" s="1"/>
      <c r="Q1191"/>
    </row>
    <row r="1192" spans="1:17" ht="13.15" customHeight="1" x14ac:dyDescent="0.2">
      <c r="A1192" s="1" t="s">
        <v>2996</v>
      </c>
      <c r="B1192" s="1" t="s">
        <v>2967</v>
      </c>
      <c r="C1192" s="580">
        <v>14</v>
      </c>
      <c r="D1192" s="1">
        <v>1763.4</v>
      </c>
      <c r="E1192" t="s">
        <v>2968</v>
      </c>
      <c r="F1192">
        <v>3142</v>
      </c>
      <c r="G1192" s="580">
        <v>92.352000000000004</v>
      </c>
      <c r="H1192" s="1" t="s">
        <v>2997</v>
      </c>
      <c r="I1192" s="1"/>
      <c r="J1192" s="1"/>
      <c r="K1192" s="1"/>
      <c r="L1192" s="1"/>
      <c r="M1192" s="1"/>
      <c r="N1192" s="1"/>
      <c r="Q1192"/>
    </row>
    <row r="1193" spans="1:17" ht="13.15" customHeight="1" x14ac:dyDescent="0.2">
      <c r="A1193" s="1" t="s">
        <v>2998</v>
      </c>
      <c r="B1193" s="1" t="s">
        <v>2967</v>
      </c>
      <c r="C1193" s="580">
        <v>15</v>
      </c>
      <c r="D1193" s="1">
        <v>2139.6</v>
      </c>
      <c r="E1193" t="s">
        <v>2968</v>
      </c>
      <c r="F1193">
        <v>4215</v>
      </c>
      <c r="G1193" s="580">
        <v>0</v>
      </c>
      <c r="H1193" s="1" t="s">
        <v>2999</v>
      </c>
      <c r="I1193" s="1"/>
      <c r="J1193" s="1"/>
      <c r="K1193" s="1"/>
      <c r="L1193" s="1"/>
      <c r="M1193" s="1"/>
      <c r="N1193" s="1"/>
      <c r="Q1193"/>
    </row>
    <row r="1194" spans="1:17" ht="13.15" customHeight="1" x14ac:dyDescent="0.2">
      <c r="A1194" s="1" t="s">
        <v>3000</v>
      </c>
      <c r="B1194" s="1" t="s">
        <v>2967</v>
      </c>
      <c r="C1194" s="580">
        <v>16</v>
      </c>
      <c r="D1194" s="1">
        <v>1334.52</v>
      </c>
      <c r="E1194" t="s">
        <v>2968</v>
      </c>
      <c r="F1194">
        <v>4220</v>
      </c>
      <c r="G1194" s="580">
        <v>72.384</v>
      </c>
      <c r="H1194" s="1" t="s">
        <v>3001</v>
      </c>
      <c r="I1194" s="1"/>
      <c r="J1194" s="1"/>
      <c r="K1194" s="1"/>
      <c r="L1194" s="1"/>
      <c r="M1194" s="1"/>
      <c r="N1194" s="1"/>
      <c r="Q1194"/>
    </row>
    <row r="1195" spans="1:17" ht="13.15" customHeight="1" x14ac:dyDescent="0.2">
      <c r="A1195" s="1" t="s">
        <v>3002</v>
      </c>
      <c r="B1195" s="1" t="s">
        <v>2967</v>
      </c>
      <c r="C1195" s="580">
        <v>17</v>
      </c>
      <c r="D1195" s="1">
        <v>1254.5999999999999</v>
      </c>
      <c r="E1195" t="s">
        <v>2968</v>
      </c>
      <c r="F1195">
        <v>4223</v>
      </c>
      <c r="G1195" s="580">
        <v>0</v>
      </c>
      <c r="H1195" s="1" t="s">
        <v>3003</v>
      </c>
      <c r="I1195" s="1"/>
      <c r="J1195" s="1"/>
      <c r="K1195" s="1"/>
      <c r="L1195" s="1"/>
      <c r="M1195" s="1"/>
      <c r="N1195" s="1"/>
      <c r="Q1195"/>
    </row>
    <row r="1196" spans="1:17" ht="13.15" customHeight="1" x14ac:dyDescent="0.2">
      <c r="A1196" s="1" t="s">
        <v>3004</v>
      </c>
      <c r="B1196" s="1" t="s">
        <v>2967</v>
      </c>
      <c r="C1196" s="580">
        <v>18</v>
      </c>
      <c r="D1196" s="1">
        <v>5018.6400000000003</v>
      </c>
      <c r="E1196" t="s">
        <v>2968</v>
      </c>
      <c r="F1196">
        <v>4263</v>
      </c>
      <c r="G1196" s="580">
        <v>279.55200000000002</v>
      </c>
      <c r="H1196" s="1" t="s">
        <v>3005</v>
      </c>
      <c r="I1196" s="1"/>
      <c r="J1196" s="1"/>
      <c r="K1196" s="1"/>
      <c r="L1196" s="1"/>
      <c r="M1196" s="1"/>
      <c r="N1196" s="1"/>
      <c r="Q1196"/>
    </row>
    <row r="1197" spans="1:17" ht="13.15" customHeight="1" x14ac:dyDescent="0.2">
      <c r="A1197" s="1" t="s">
        <v>3006</v>
      </c>
      <c r="B1197" s="1" t="s">
        <v>2967</v>
      </c>
      <c r="C1197" s="580">
        <v>19</v>
      </c>
      <c r="D1197" s="1">
        <v>3566.76</v>
      </c>
      <c r="E1197" t="s">
        <v>2968</v>
      </c>
      <c r="F1197">
        <v>4264</v>
      </c>
      <c r="G1197" s="580">
        <v>0</v>
      </c>
      <c r="H1197" s="1" t="s">
        <v>3007</v>
      </c>
      <c r="I1197" s="1"/>
      <c r="J1197" s="1"/>
      <c r="K1197" s="1"/>
      <c r="L1197" s="1"/>
      <c r="M1197" s="1"/>
      <c r="N1197" s="1"/>
      <c r="Q1197"/>
    </row>
    <row r="1198" spans="1:17" ht="13.15" customHeight="1" x14ac:dyDescent="0.2">
      <c r="A1198" s="1" t="s">
        <v>3008</v>
      </c>
      <c r="B1198" s="1" t="s">
        <v>2967</v>
      </c>
      <c r="C1198" s="580">
        <v>20</v>
      </c>
      <c r="D1198" s="1">
        <v>3226.2</v>
      </c>
      <c r="E1198" t="s">
        <v>2968</v>
      </c>
      <c r="F1198">
        <v>4267</v>
      </c>
      <c r="G1198" s="580">
        <v>179.71199999999999</v>
      </c>
      <c r="H1198" s="1" t="s">
        <v>3009</v>
      </c>
      <c r="I1198" s="1"/>
      <c r="J1198" s="1"/>
      <c r="K1198" s="1"/>
      <c r="L1198" s="1"/>
      <c r="M1198" s="1"/>
      <c r="N1198" s="1"/>
      <c r="Q1198"/>
    </row>
    <row r="1199" spans="1:17" ht="13.15" customHeight="1" x14ac:dyDescent="0.2">
      <c r="A1199" s="1" t="s">
        <v>3010</v>
      </c>
      <c r="B1199" s="1" t="s">
        <v>2967</v>
      </c>
      <c r="C1199" s="580">
        <v>21</v>
      </c>
      <c r="D1199" s="1">
        <v>2473.44</v>
      </c>
      <c r="E1199" t="s">
        <v>2968</v>
      </c>
      <c r="F1199">
        <v>4269</v>
      </c>
      <c r="G1199" s="580">
        <v>137.7792</v>
      </c>
      <c r="H1199" s="1" t="s">
        <v>3011</v>
      </c>
      <c r="I1199" s="1"/>
      <c r="J1199" s="1"/>
      <c r="K1199" s="1"/>
      <c r="L1199" s="1"/>
      <c r="M1199" s="1"/>
      <c r="N1199" s="1"/>
      <c r="Q1199"/>
    </row>
    <row r="1200" spans="1:17" ht="13.15" customHeight="1" x14ac:dyDescent="0.2">
      <c r="A1200" s="1" t="s">
        <v>3012</v>
      </c>
      <c r="B1200" s="1" t="s">
        <v>2967</v>
      </c>
      <c r="C1200" s="580">
        <v>22</v>
      </c>
      <c r="D1200" s="1">
        <v>2831.88</v>
      </c>
      <c r="E1200" t="s">
        <v>2968</v>
      </c>
      <c r="F1200">
        <v>4282</v>
      </c>
      <c r="G1200" s="580">
        <v>157.74719999999999</v>
      </c>
      <c r="H1200" s="1" t="s">
        <v>3013</v>
      </c>
      <c r="I1200" s="1"/>
      <c r="J1200" s="1"/>
      <c r="K1200" s="1"/>
      <c r="L1200" s="1"/>
      <c r="M1200" s="1"/>
      <c r="N1200" s="1"/>
      <c r="Q1200"/>
    </row>
    <row r="1201" spans="1:17" ht="13.15" customHeight="1" x14ac:dyDescent="0.2">
      <c r="A1201" s="1" t="s">
        <v>3014</v>
      </c>
      <c r="B1201" s="1" t="s">
        <v>2967</v>
      </c>
      <c r="C1201" s="580">
        <v>23</v>
      </c>
      <c r="D1201" s="1">
        <v>4683.6000000000004</v>
      </c>
      <c r="E1201" t="s">
        <v>2968</v>
      </c>
      <c r="F1201">
        <v>4284</v>
      </c>
      <c r="G1201" s="580">
        <v>202.8</v>
      </c>
      <c r="H1201" s="1" t="s">
        <v>3015</v>
      </c>
      <c r="I1201" s="1"/>
      <c r="J1201" s="1"/>
      <c r="K1201" s="1"/>
      <c r="L1201" s="1"/>
      <c r="M1201" s="1"/>
      <c r="N1201" s="1"/>
      <c r="Q1201"/>
    </row>
    <row r="1202" spans="1:17" ht="13.15" customHeight="1" x14ac:dyDescent="0.2">
      <c r="A1202" s="1" t="s">
        <v>3016</v>
      </c>
      <c r="B1202" s="1" t="s">
        <v>2967</v>
      </c>
      <c r="C1202" s="580">
        <v>24</v>
      </c>
      <c r="D1202" s="1">
        <v>2473.44</v>
      </c>
      <c r="E1202" t="s">
        <v>2968</v>
      </c>
      <c r="F1202">
        <v>5122</v>
      </c>
      <c r="G1202" s="580">
        <v>137.7792</v>
      </c>
      <c r="H1202" s="1" t="s">
        <v>3017</v>
      </c>
      <c r="I1202" s="1"/>
      <c r="J1202" s="1"/>
      <c r="K1202" s="1"/>
      <c r="L1202" s="1"/>
      <c r="M1202" s="1"/>
      <c r="N1202" s="1"/>
      <c r="Q1202"/>
    </row>
    <row r="1203" spans="1:17" ht="13.15" customHeight="1" x14ac:dyDescent="0.2">
      <c r="A1203" s="1" t="s">
        <v>3018</v>
      </c>
      <c r="B1203" s="1" t="s">
        <v>2967</v>
      </c>
      <c r="C1203" s="580">
        <v>25</v>
      </c>
      <c r="D1203" s="1">
        <v>2002.32</v>
      </c>
      <c r="E1203" t="s">
        <v>2968</v>
      </c>
      <c r="F1203" t="s">
        <v>3019</v>
      </c>
      <c r="G1203" s="580">
        <v>0</v>
      </c>
      <c r="H1203" s="1" t="s">
        <v>3017</v>
      </c>
      <c r="I1203" s="1"/>
      <c r="J1203" s="1"/>
      <c r="K1203" s="1"/>
      <c r="L1203" s="1"/>
      <c r="M1203" s="1"/>
      <c r="N1203" s="1"/>
      <c r="Q1203"/>
    </row>
    <row r="1204" spans="1:17" ht="13.15" customHeight="1" x14ac:dyDescent="0.2">
      <c r="A1204" s="1" t="s">
        <v>3020</v>
      </c>
      <c r="B1204" s="1" t="s">
        <v>2967</v>
      </c>
      <c r="C1204" s="580">
        <v>26</v>
      </c>
      <c r="D1204" s="1">
        <v>2002.32</v>
      </c>
      <c r="E1204" t="s">
        <v>2968</v>
      </c>
      <c r="F1204">
        <v>5126</v>
      </c>
      <c r="G1204" s="580">
        <v>0</v>
      </c>
      <c r="H1204" s="1" t="s">
        <v>3021</v>
      </c>
      <c r="I1204" s="1"/>
      <c r="J1204" s="1"/>
      <c r="K1204" s="1"/>
      <c r="L1204" s="1"/>
      <c r="M1204" s="1"/>
      <c r="N1204" s="1"/>
      <c r="Q1204"/>
    </row>
    <row r="1205" spans="1:17" ht="13.15" customHeight="1" x14ac:dyDescent="0.2">
      <c r="A1205" s="1" t="s">
        <v>3022</v>
      </c>
      <c r="B1205" s="1" t="s">
        <v>2967</v>
      </c>
      <c r="C1205" s="580">
        <v>27</v>
      </c>
      <c r="D1205" s="1">
        <v>2031.12</v>
      </c>
      <c r="E1205" t="s">
        <v>2968</v>
      </c>
      <c r="F1205">
        <v>0</v>
      </c>
      <c r="G1205" s="580">
        <v>0</v>
      </c>
      <c r="H1205" s="1" t="s">
        <v>3023</v>
      </c>
      <c r="I1205" s="1"/>
      <c r="J1205" s="1"/>
      <c r="K1205" s="1"/>
      <c r="L1205" s="1"/>
      <c r="M1205" s="1"/>
      <c r="N1205" s="1"/>
      <c r="Q1205"/>
    </row>
    <row r="1206" spans="1:17" ht="13.15" customHeight="1" x14ac:dyDescent="0.2">
      <c r="A1206" s="1" t="s">
        <v>3024</v>
      </c>
      <c r="B1206" s="1" t="s">
        <v>2967</v>
      </c>
      <c r="C1206" s="580">
        <v>28</v>
      </c>
      <c r="D1206" s="1">
        <v>2292.48</v>
      </c>
      <c r="E1206" t="s">
        <v>2968</v>
      </c>
      <c r="F1206">
        <v>5168</v>
      </c>
      <c r="G1206" s="580">
        <v>0</v>
      </c>
      <c r="H1206" s="1" t="s">
        <v>3025</v>
      </c>
      <c r="I1206" s="1"/>
      <c r="J1206" s="1"/>
      <c r="K1206" s="1"/>
      <c r="L1206" s="1"/>
      <c r="M1206" s="1"/>
      <c r="N1206" s="1"/>
      <c r="Q1206"/>
    </row>
    <row r="1207" spans="1:17" ht="13.15" customHeight="1" x14ac:dyDescent="0.2">
      <c r="A1207" s="1" t="s">
        <v>3026</v>
      </c>
      <c r="B1207" s="1" t="s">
        <v>2967</v>
      </c>
      <c r="C1207" s="580">
        <v>29</v>
      </c>
      <c r="D1207" s="1">
        <v>3166.68</v>
      </c>
      <c r="E1207" t="s">
        <v>2968</v>
      </c>
      <c r="F1207">
        <v>5169</v>
      </c>
      <c r="G1207" s="580">
        <v>167.232</v>
      </c>
      <c r="H1207" s="1" t="s">
        <v>3027</v>
      </c>
      <c r="I1207" s="1"/>
      <c r="J1207" s="1"/>
      <c r="K1207" s="1"/>
      <c r="L1207" s="1"/>
      <c r="M1207" s="1"/>
      <c r="N1207" s="1"/>
      <c r="Q1207"/>
    </row>
    <row r="1208" spans="1:17" ht="13.15" customHeight="1" x14ac:dyDescent="0.2">
      <c r="A1208" s="1" t="s">
        <v>3028</v>
      </c>
      <c r="B1208" s="1" t="s">
        <v>2967</v>
      </c>
      <c r="C1208" s="580">
        <v>30</v>
      </c>
      <c r="D1208" s="1">
        <v>2400</v>
      </c>
      <c r="E1208" t="s">
        <v>2968</v>
      </c>
      <c r="F1208">
        <v>0</v>
      </c>
      <c r="G1208" s="580">
        <v>0</v>
      </c>
      <c r="H1208" s="1" t="s">
        <v>3029</v>
      </c>
      <c r="I1208" s="1"/>
      <c r="J1208" s="1"/>
      <c r="K1208" s="1"/>
      <c r="L1208" s="1"/>
      <c r="M1208" s="1"/>
      <c r="N1208" s="1"/>
      <c r="Q1208"/>
    </row>
    <row r="1209" spans="1:17" ht="13.15" customHeight="1" x14ac:dyDescent="0.2">
      <c r="A1209" s="1" t="s">
        <v>3030</v>
      </c>
      <c r="B1209" s="1" t="s">
        <v>2967</v>
      </c>
      <c r="C1209" s="580">
        <v>31</v>
      </c>
      <c r="D1209" s="1">
        <v>3569.04</v>
      </c>
      <c r="E1209" t="s">
        <v>2968</v>
      </c>
      <c r="F1209">
        <v>0</v>
      </c>
      <c r="G1209" s="580">
        <v>0</v>
      </c>
      <c r="H1209" s="1" t="s">
        <v>3031</v>
      </c>
      <c r="I1209" s="1"/>
      <c r="J1209" s="1"/>
      <c r="K1209" s="1"/>
      <c r="L1209" s="1"/>
      <c r="M1209" s="1"/>
      <c r="N1209" s="1"/>
      <c r="Q1209"/>
    </row>
    <row r="1210" spans="1:17" ht="13.15" customHeight="1" x14ac:dyDescent="0.2">
      <c r="A1210" s="1" t="s">
        <v>3032</v>
      </c>
      <c r="B1210" s="1" t="s">
        <v>2967</v>
      </c>
      <c r="C1210" s="580">
        <v>32</v>
      </c>
      <c r="D1210" s="1">
        <v>1904.4</v>
      </c>
      <c r="E1210" t="s">
        <v>2968</v>
      </c>
      <c r="F1210">
        <v>0</v>
      </c>
      <c r="G1210" s="580">
        <v>0</v>
      </c>
      <c r="H1210" s="1" t="s">
        <v>3033</v>
      </c>
      <c r="I1210" s="1"/>
      <c r="J1210" s="1"/>
      <c r="K1210" s="1"/>
      <c r="L1210" s="1"/>
      <c r="M1210" s="1"/>
      <c r="N1210" s="1"/>
      <c r="Q1210"/>
    </row>
    <row r="1211" spans="1:17" ht="13.15" customHeight="1" x14ac:dyDescent="0.2">
      <c r="A1211" s="1" t="s">
        <v>3034</v>
      </c>
      <c r="B1211" s="1" t="s">
        <v>2967</v>
      </c>
      <c r="C1211" s="580">
        <v>33</v>
      </c>
      <c r="D1211" s="1">
        <v>2486.88</v>
      </c>
      <c r="E1211" t="s">
        <v>2968</v>
      </c>
      <c r="F1211">
        <v>0</v>
      </c>
      <c r="G1211" s="580">
        <v>0</v>
      </c>
      <c r="H1211" s="1" t="s">
        <v>3035</v>
      </c>
      <c r="I1211" s="1"/>
      <c r="J1211" s="1"/>
      <c r="K1211" s="1"/>
      <c r="L1211" s="1"/>
      <c r="M1211" s="1"/>
      <c r="N1211" s="1"/>
      <c r="Q1211"/>
    </row>
    <row r="1212" spans="1:17" ht="13.15" customHeight="1" x14ac:dyDescent="0.2">
      <c r="A1212" s="1" t="s">
        <v>3036</v>
      </c>
      <c r="B1212" s="1" t="s">
        <v>2967</v>
      </c>
      <c r="C1212" s="580">
        <v>34</v>
      </c>
      <c r="D1212" s="1">
        <v>3405.48</v>
      </c>
      <c r="E1212" t="s">
        <v>2968</v>
      </c>
      <c r="F1212">
        <v>6108</v>
      </c>
      <c r="G1212" s="580">
        <v>0</v>
      </c>
      <c r="H1212" s="1" t="s">
        <v>3037</v>
      </c>
      <c r="I1212" s="1"/>
      <c r="J1212" s="1"/>
      <c r="K1212" s="1"/>
      <c r="L1212" s="1"/>
      <c r="M1212" s="1"/>
      <c r="N1212" s="1"/>
      <c r="Q1212"/>
    </row>
    <row r="1213" spans="1:17" ht="13.15" customHeight="1" x14ac:dyDescent="0.2">
      <c r="A1213" s="1" t="s">
        <v>3038</v>
      </c>
      <c r="B1213" s="1" t="s">
        <v>2967</v>
      </c>
      <c r="C1213" s="580">
        <v>35</v>
      </c>
      <c r="D1213" s="1">
        <v>2509.3200000000002</v>
      </c>
      <c r="E1213" t="s">
        <v>2968</v>
      </c>
      <c r="F1213">
        <v>6109</v>
      </c>
      <c r="G1213" s="580">
        <v>139.77600000000001</v>
      </c>
      <c r="H1213" s="1" t="s">
        <v>3039</v>
      </c>
      <c r="I1213" s="1"/>
      <c r="J1213" s="1"/>
      <c r="K1213" s="1"/>
      <c r="L1213" s="1"/>
      <c r="M1213" s="1"/>
      <c r="N1213" s="1"/>
      <c r="Q1213"/>
    </row>
    <row r="1214" spans="1:17" ht="13.15" customHeight="1" x14ac:dyDescent="0.2">
      <c r="A1214" s="1" t="s">
        <v>3040</v>
      </c>
      <c r="B1214" s="1" t="s">
        <v>2967</v>
      </c>
      <c r="C1214" s="580">
        <v>36</v>
      </c>
      <c r="D1214" s="1">
        <v>3943.2</v>
      </c>
      <c r="E1214" t="s">
        <v>2968</v>
      </c>
      <c r="F1214">
        <v>6110</v>
      </c>
      <c r="G1214" s="580">
        <v>219.648</v>
      </c>
      <c r="H1214" s="1" t="s">
        <v>3041</v>
      </c>
      <c r="I1214" s="1"/>
      <c r="J1214" s="1"/>
      <c r="K1214" s="1"/>
      <c r="L1214" s="1"/>
      <c r="M1214" s="1"/>
      <c r="N1214" s="1"/>
      <c r="Q1214"/>
    </row>
    <row r="1215" spans="1:17" ht="13.15" customHeight="1" x14ac:dyDescent="0.2">
      <c r="A1215" s="1" t="s">
        <v>3042</v>
      </c>
      <c r="B1215" s="1" t="s">
        <v>2967</v>
      </c>
      <c r="C1215" s="580">
        <v>37</v>
      </c>
      <c r="D1215" s="1">
        <v>1541.4</v>
      </c>
      <c r="E1215" t="s">
        <v>2968</v>
      </c>
      <c r="F1215">
        <v>6111</v>
      </c>
      <c r="G1215" s="580">
        <v>0</v>
      </c>
      <c r="H1215" s="1" t="s">
        <v>3043</v>
      </c>
      <c r="I1215" s="1"/>
      <c r="J1215" s="1"/>
      <c r="K1215" s="1"/>
      <c r="L1215" s="1"/>
      <c r="M1215" s="1"/>
      <c r="N1215" s="1"/>
      <c r="Q1215"/>
    </row>
    <row r="1216" spans="1:17" ht="13.15" customHeight="1" x14ac:dyDescent="0.2">
      <c r="A1216" s="1" t="s">
        <v>3044</v>
      </c>
      <c r="B1216" s="1" t="s">
        <v>2967</v>
      </c>
      <c r="C1216" s="580">
        <v>38</v>
      </c>
      <c r="D1216" s="1">
        <v>1003.68</v>
      </c>
      <c r="E1216" t="s">
        <v>2968</v>
      </c>
      <c r="F1216">
        <v>6112</v>
      </c>
      <c r="G1216" s="580">
        <v>55.910400000000003</v>
      </c>
      <c r="H1216" s="1" t="s">
        <v>3045</v>
      </c>
      <c r="I1216" s="1"/>
      <c r="J1216" s="1"/>
      <c r="K1216" s="1"/>
      <c r="L1216" s="1"/>
      <c r="M1216" s="1"/>
      <c r="N1216" s="1"/>
      <c r="Q1216"/>
    </row>
    <row r="1217" spans="1:17" ht="13.15" customHeight="1" x14ac:dyDescent="0.2">
      <c r="A1217" s="1" t="s">
        <v>3046</v>
      </c>
      <c r="B1217" s="1" t="s">
        <v>2967</v>
      </c>
      <c r="C1217" s="580">
        <v>39</v>
      </c>
      <c r="D1217" s="1">
        <v>870.12</v>
      </c>
      <c r="E1217" t="s">
        <v>2968</v>
      </c>
      <c r="F1217" t="s">
        <v>3047</v>
      </c>
      <c r="G1217" s="580">
        <v>0</v>
      </c>
      <c r="H1217" s="1" t="s">
        <v>3048</v>
      </c>
      <c r="I1217" s="1"/>
      <c r="J1217" s="1"/>
      <c r="K1217" s="1"/>
      <c r="L1217" s="1"/>
      <c r="M1217" s="1"/>
      <c r="N1217" s="1"/>
      <c r="Q1217"/>
    </row>
    <row r="1218" spans="1:17" ht="13.15" customHeight="1" x14ac:dyDescent="0.2">
      <c r="A1218" s="1" t="s">
        <v>3049</v>
      </c>
      <c r="B1218" s="1" t="s">
        <v>2967</v>
      </c>
      <c r="C1218" s="580">
        <v>40</v>
      </c>
      <c r="D1218" s="1">
        <v>752.76</v>
      </c>
      <c r="E1218" t="s">
        <v>2968</v>
      </c>
      <c r="F1218">
        <v>6515</v>
      </c>
      <c r="G1218" s="580">
        <v>0</v>
      </c>
      <c r="H1218" s="1" t="s">
        <v>3050</v>
      </c>
      <c r="I1218" s="1"/>
      <c r="J1218" s="1"/>
      <c r="K1218" s="1"/>
      <c r="L1218" s="1"/>
      <c r="M1218" s="1"/>
      <c r="N1218" s="1"/>
      <c r="Q1218"/>
    </row>
    <row r="1219" spans="1:17" ht="13.15" customHeight="1" x14ac:dyDescent="0.2">
      <c r="A1219" s="1" t="s">
        <v>3051</v>
      </c>
      <c r="B1219" s="1" t="s">
        <v>2967</v>
      </c>
      <c r="C1219" s="580">
        <v>41</v>
      </c>
      <c r="D1219" s="1">
        <v>1505.64</v>
      </c>
      <c r="E1219" t="s">
        <v>2968</v>
      </c>
      <c r="F1219">
        <v>6517</v>
      </c>
      <c r="G1219" s="580">
        <v>0</v>
      </c>
      <c r="H1219" s="1" t="s">
        <v>3052</v>
      </c>
      <c r="I1219" s="1"/>
      <c r="J1219" s="1"/>
      <c r="K1219" s="1"/>
      <c r="L1219" s="1"/>
      <c r="M1219" s="1"/>
      <c r="N1219" s="1"/>
      <c r="Q1219"/>
    </row>
    <row r="1220" spans="1:17" ht="13.15" customHeight="1" x14ac:dyDescent="0.2">
      <c r="A1220" s="1" t="s">
        <v>3053</v>
      </c>
      <c r="B1220" s="1" t="s">
        <v>2967</v>
      </c>
      <c r="C1220" s="580">
        <v>42</v>
      </c>
      <c r="D1220" s="1">
        <v>1433.88</v>
      </c>
      <c r="E1220" t="s">
        <v>2968</v>
      </c>
      <c r="F1220">
        <v>6518</v>
      </c>
      <c r="G1220" s="580">
        <v>79.872</v>
      </c>
      <c r="H1220" s="1" t="s">
        <v>3054</v>
      </c>
      <c r="I1220" s="1"/>
      <c r="J1220" s="1"/>
      <c r="K1220" s="1"/>
      <c r="L1220" s="1"/>
      <c r="M1220" s="1"/>
      <c r="N1220" s="1"/>
      <c r="Q1220"/>
    </row>
    <row r="1221" spans="1:17" ht="13.15" customHeight="1" x14ac:dyDescent="0.2">
      <c r="A1221" s="1" t="s">
        <v>3055</v>
      </c>
      <c r="B1221" s="1" t="s">
        <v>2967</v>
      </c>
      <c r="C1221" s="580">
        <v>43</v>
      </c>
      <c r="D1221" s="1">
        <v>2161.3200000000002</v>
      </c>
      <c r="E1221" t="s">
        <v>2968</v>
      </c>
      <c r="F1221">
        <v>6519</v>
      </c>
      <c r="G1221" s="580">
        <v>0</v>
      </c>
      <c r="H1221" s="1" t="s">
        <v>3056</v>
      </c>
      <c r="I1221" s="1"/>
      <c r="J1221" s="1"/>
      <c r="K1221" s="1"/>
      <c r="L1221" s="1"/>
      <c r="M1221" s="1"/>
      <c r="N1221" s="1"/>
      <c r="Q1221"/>
    </row>
    <row r="1222" spans="1:17" ht="13.15" customHeight="1" x14ac:dyDescent="0.2">
      <c r="A1222" s="1" t="s">
        <v>3057</v>
      </c>
      <c r="B1222" s="1" t="s">
        <v>2967</v>
      </c>
      <c r="C1222" s="580">
        <v>44</v>
      </c>
      <c r="D1222" s="1">
        <v>870.12</v>
      </c>
      <c r="E1222" t="s">
        <v>2968</v>
      </c>
      <c r="F1222">
        <v>6520</v>
      </c>
      <c r="G1222" s="580">
        <v>0</v>
      </c>
      <c r="H1222" s="1" t="s">
        <v>3058</v>
      </c>
      <c r="I1222" s="1"/>
      <c r="J1222" s="1"/>
      <c r="K1222" s="1"/>
      <c r="L1222" s="1"/>
      <c r="M1222" s="1"/>
      <c r="N1222" s="1"/>
      <c r="Q1222"/>
    </row>
    <row r="1223" spans="1:17" ht="13.15" customHeight="1" x14ac:dyDescent="0.2">
      <c r="A1223" s="1" t="s">
        <v>3059</v>
      </c>
      <c r="B1223" s="1" t="s">
        <v>2967</v>
      </c>
      <c r="C1223" s="580">
        <v>45</v>
      </c>
      <c r="D1223" s="1">
        <v>573.6</v>
      </c>
      <c r="E1223" t="s">
        <v>2968</v>
      </c>
      <c r="F1223">
        <v>6538</v>
      </c>
      <c r="G1223" s="580">
        <v>31.948799999999999</v>
      </c>
      <c r="H1223" s="1" t="s">
        <v>3060</v>
      </c>
      <c r="I1223" s="1"/>
      <c r="J1223" s="1"/>
      <c r="K1223" s="1"/>
      <c r="L1223" s="1"/>
      <c r="M1223" s="1"/>
      <c r="N1223" s="1"/>
      <c r="Q1223"/>
    </row>
    <row r="1224" spans="1:17" ht="13.15" customHeight="1" x14ac:dyDescent="0.2">
      <c r="A1224" s="1" t="s">
        <v>3061</v>
      </c>
      <c r="B1224" s="1" t="s">
        <v>2967</v>
      </c>
      <c r="C1224" s="580">
        <v>46</v>
      </c>
      <c r="D1224" s="1">
        <v>573.6</v>
      </c>
      <c r="E1224" t="s">
        <v>2968</v>
      </c>
      <c r="F1224">
        <v>6559</v>
      </c>
      <c r="G1224" s="580">
        <v>0</v>
      </c>
      <c r="H1224" s="1" t="s">
        <v>3062</v>
      </c>
      <c r="I1224" s="1"/>
      <c r="J1224" s="1"/>
      <c r="K1224" s="1"/>
      <c r="L1224" s="1"/>
      <c r="M1224" s="1"/>
      <c r="N1224" s="1"/>
      <c r="Q1224"/>
    </row>
    <row r="1225" spans="1:17" ht="13.15" customHeight="1" x14ac:dyDescent="0.2">
      <c r="A1225" s="1" t="s">
        <v>3063</v>
      </c>
      <c r="B1225" s="1" t="s">
        <v>2967</v>
      </c>
      <c r="C1225" s="580">
        <v>47</v>
      </c>
      <c r="D1225" s="1">
        <v>3284.64</v>
      </c>
      <c r="E1225" t="s">
        <v>2968</v>
      </c>
      <c r="F1225">
        <v>6591</v>
      </c>
      <c r="G1225" s="580">
        <v>0</v>
      </c>
      <c r="H1225" s="1" t="s">
        <v>3064</v>
      </c>
      <c r="I1225" s="1"/>
      <c r="J1225" s="1"/>
      <c r="K1225" s="1"/>
      <c r="L1225" s="1"/>
      <c r="M1225" s="1"/>
      <c r="N1225" s="1"/>
      <c r="Q1225"/>
    </row>
    <row r="1226" spans="1:17" ht="13.15" customHeight="1" x14ac:dyDescent="0.2">
      <c r="A1226" s="1" t="s">
        <v>3065</v>
      </c>
      <c r="B1226" s="1" t="s">
        <v>2967</v>
      </c>
      <c r="C1226" s="580">
        <v>48</v>
      </c>
      <c r="D1226" s="1">
        <v>1595.52</v>
      </c>
      <c r="E1226" t="s">
        <v>2968</v>
      </c>
      <c r="F1226">
        <v>6700</v>
      </c>
      <c r="G1226" s="580">
        <v>0</v>
      </c>
      <c r="H1226" s="1" t="s">
        <v>3066</v>
      </c>
      <c r="I1226" s="1"/>
      <c r="J1226" s="1"/>
      <c r="K1226" s="1"/>
      <c r="L1226" s="1"/>
      <c r="M1226" s="1"/>
      <c r="N1226" s="1"/>
      <c r="Q1226"/>
    </row>
    <row r="1227" spans="1:17" ht="13.15" customHeight="1" x14ac:dyDescent="0.2">
      <c r="A1227" s="1" t="s">
        <v>3067</v>
      </c>
      <c r="B1227" s="1" t="s">
        <v>2967</v>
      </c>
      <c r="C1227" s="580">
        <v>49</v>
      </c>
      <c r="D1227" s="1">
        <v>3405.48</v>
      </c>
      <c r="E1227" t="s">
        <v>2968</v>
      </c>
      <c r="F1227">
        <v>6705</v>
      </c>
      <c r="G1227" s="580">
        <v>189.696</v>
      </c>
      <c r="H1227" s="1" t="s">
        <v>3068</v>
      </c>
      <c r="I1227" s="1"/>
      <c r="J1227" s="1"/>
      <c r="K1227" s="1"/>
      <c r="L1227" s="1"/>
      <c r="M1227" s="1"/>
      <c r="N1227" s="1"/>
      <c r="Q1227"/>
    </row>
    <row r="1228" spans="1:17" ht="13.15" customHeight="1" x14ac:dyDescent="0.2">
      <c r="A1228" s="1" t="s">
        <v>3069</v>
      </c>
      <c r="B1228" s="1" t="s">
        <v>2967</v>
      </c>
      <c r="C1228" s="580">
        <v>50</v>
      </c>
      <c r="D1228" s="1">
        <v>3763.92</v>
      </c>
      <c r="E1228" t="s">
        <v>2968</v>
      </c>
      <c r="F1228">
        <v>6709</v>
      </c>
      <c r="G1228" s="580">
        <v>209.66399999999999</v>
      </c>
      <c r="H1228" s="1" t="s">
        <v>3070</v>
      </c>
      <c r="I1228" s="1"/>
      <c r="J1228" s="1"/>
      <c r="K1228" s="1"/>
      <c r="L1228" s="1"/>
      <c r="M1228" s="1"/>
      <c r="N1228" s="1"/>
      <c r="Q1228"/>
    </row>
    <row r="1229" spans="1:17" ht="13.15" customHeight="1" x14ac:dyDescent="0.2">
      <c r="A1229" s="1" t="s">
        <v>3071</v>
      </c>
      <c r="B1229" s="1" t="s">
        <v>2967</v>
      </c>
      <c r="C1229" s="580">
        <v>51</v>
      </c>
      <c r="D1229" s="1">
        <v>1433.88</v>
      </c>
      <c r="E1229" t="s">
        <v>2968</v>
      </c>
      <c r="F1229">
        <v>4061</v>
      </c>
      <c r="G1229" s="580">
        <v>0</v>
      </c>
      <c r="H1229" s="1" t="s">
        <v>3072</v>
      </c>
      <c r="I1229" s="1"/>
      <c r="J1229" s="1"/>
      <c r="K1229" s="1"/>
      <c r="L1229" s="1"/>
      <c r="M1229" s="1"/>
      <c r="N1229" s="1"/>
      <c r="Q1229"/>
    </row>
    <row r="1230" spans="1:17" ht="13.15" customHeight="1" x14ac:dyDescent="0.2">
      <c r="A1230" s="1" t="s">
        <v>3073</v>
      </c>
      <c r="B1230" s="1" t="s">
        <v>2967</v>
      </c>
      <c r="C1230" s="580">
        <v>52</v>
      </c>
      <c r="D1230" s="1">
        <v>2330.04</v>
      </c>
      <c r="E1230" t="s">
        <v>2968</v>
      </c>
      <c r="F1230">
        <v>4066</v>
      </c>
      <c r="G1230" s="580">
        <v>0</v>
      </c>
      <c r="H1230" s="1" t="s">
        <v>3072</v>
      </c>
      <c r="I1230" s="1"/>
      <c r="J1230" s="1"/>
      <c r="K1230" s="1"/>
      <c r="L1230" s="1"/>
      <c r="M1230" s="1"/>
      <c r="N1230" s="1"/>
      <c r="Q1230"/>
    </row>
    <row r="1231" spans="1:17" ht="13.15" customHeight="1" x14ac:dyDescent="0.2">
      <c r="A1231" s="1" t="s">
        <v>3074</v>
      </c>
      <c r="B1231" s="1" t="s">
        <v>2967</v>
      </c>
      <c r="C1231" s="580">
        <v>53</v>
      </c>
      <c r="D1231" s="1">
        <v>1111.32</v>
      </c>
      <c r="E1231" t="s">
        <v>2968</v>
      </c>
      <c r="F1231">
        <v>4069</v>
      </c>
      <c r="G1231" s="580">
        <v>0</v>
      </c>
      <c r="H1231" s="1" t="s">
        <v>3072</v>
      </c>
      <c r="I1231" s="1"/>
      <c r="J1231" s="1"/>
      <c r="K1231" s="1"/>
      <c r="L1231" s="1"/>
      <c r="M1231" s="1"/>
      <c r="N1231" s="1"/>
      <c r="Q1231"/>
    </row>
    <row r="1232" spans="1:17" ht="13.15" customHeight="1" x14ac:dyDescent="0.2">
      <c r="A1232" s="1" t="s">
        <v>3075</v>
      </c>
      <c r="B1232" s="1" t="s">
        <v>2967</v>
      </c>
      <c r="C1232" s="580">
        <v>54</v>
      </c>
      <c r="D1232" s="1">
        <v>1305.72</v>
      </c>
      <c r="E1232" t="s">
        <v>2968</v>
      </c>
      <c r="F1232" t="s">
        <v>3076</v>
      </c>
      <c r="G1232" s="580">
        <v>0</v>
      </c>
      <c r="H1232" s="1" t="s">
        <v>3072</v>
      </c>
      <c r="I1232" s="1"/>
      <c r="J1232" s="1"/>
      <c r="K1232" s="1"/>
      <c r="L1232" s="1"/>
      <c r="M1232" s="1"/>
      <c r="N1232" s="1"/>
      <c r="Q1232"/>
    </row>
    <row r="1233" spans="1:17" ht="13.15" customHeight="1" x14ac:dyDescent="0.2">
      <c r="A1233" s="1" t="s">
        <v>3077</v>
      </c>
      <c r="B1233" s="1" t="s">
        <v>2967</v>
      </c>
      <c r="C1233" s="580">
        <v>55</v>
      </c>
      <c r="D1233" s="1">
        <v>1433.88</v>
      </c>
      <c r="E1233" t="s">
        <v>2968</v>
      </c>
      <c r="F1233">
        <v>4085</v>
      </c>
      <c r="G1233" s="580">
        <v>79.872</v>
      </c>
      <c r="H1233" s="1" t="s">
        <v>3072</v>
      </c>
      <c r="I1233" s="1"/>
      <c r="J1233" s="1"/>
      <c r="K1233" s="1"/>
      <c r="L1233" s="1"/>
      <c r="M1233" s="1"/>
      <c r="N1233" s="1"/>
      <c r="Q1233"/>
    </row>
    <row r="1234" spans="1:17" ht="13.15" customHeight="1" x14ac:dyDescent="0.2">
      <c r="A1234" s="1" t="s">
        <v>3078</v>
      </c>
      <c r="B1234" s="1" t="s">
        <v>2967</v>
      </c>
      <c r="C1234" s="580">
        <v>56</v>
      </c>
      <c r="D1234" s="1">
        <v>1160.04</v>
      </c>
      <c r="E1234" t="s">
        <v>2968</v>
      </c>
      <c r="F1234">
        <v>4111</v>
      </c>
      <c r="G1234" s="580">
        <v>59.904000000000003</v>
      </c>
      <c r="H1234" s="1" t="s">
        <v>3072</v>
      </c>
      <c r="I1234" s="1"/>
      <c r="J1234" s="1"/>
      <c r="K1234" s="1"/>
      <c r="L1234" s="1"/>
      <c r="M1234" s="1"/>
      <c r="N1234" s="1"/>
      <c r="Q1234"/>
    </row>
    <row r="1235" spans="1:17" ht="13.15" customHeight="1" x14ac:dyDescent="0.2">
      <c r="A1235" s="1" t="s">
        <v>3079</v>
      </c>
      <c r="B1235" s="1" t="s">
        <v>2967</v>
      </c>
      <c r="C1235" s="580">
        <v>57</v>
      </c>
      <c r="D1235" s="1">
        <v>1160.04</v>
      </c>
      <c r="E1235" t="s">
        <v>2968</v>
      </c>
      <c r="F1235">
        <v>5051</v>
      </c>
      <c r="G1235" s="580">
        <v>55.536000000000001</v>
      </c>
      <c r="H1235" s="1" t="s">
        <v>3072</v>
      </c>
      <c r="I1235" s="1"/>
      <c r="J1235" s="1"/>
      <c r="K1235" s="1"/>
      <c r="L1235" s="1"/>
      <c r="M1235" s="1"/>
      <c r="N1235" s="1"/>
      <c r="Q1235"/>
    </row>
    <row r="1236" spans="1:17" ht="13.15" customHeight="1" x14ac:dyDescent="0.2">
      <c r="A1236" s="1" t="s">
        <v>3080</v>
      </c>
      <c r="B1236" s="1" t="s">
        <v>2967</v>
      </c>
      <c r="C1236" s="580">
        <v>58</v>
      </c>
      <c r="D1236" s="1">
        <v>957.96</v>
      </c>
      <c r="E1236" t="s">
        <v>2968</v>
      </c>
      <c r="F1236">
        <v>5055</v>
      </c>
      <c r="G1236" s="580">
        <v>0</v>
      </c>
      <c r="H1236" s="1" t="s">
        <v>3072</v>
      </c>
      <c r="I1236" s="1"/>
      <c r="J1236" s="1"/>
      <c r="K1236" s="1"/>
      <c r="L1236" s="1"/>
      <c r="M1236" s="1"/>
      <c r="N1236" s="1"/>
      <c r="Q1236"/>
    </row>
    <row r="1237" spans="1:17" ht="13.15" customHeight="1" x14ac:dyDescent="0.2">
      <c r="A1237" s="1" t="s">
        <v>3081</v>
      </c>
      <c r="B1237" s="1" t="s">
        <v>2967</v>
      </c>
      <c r="C1237" s="580">
        <v>59</v>
      </c>
      <c r="D1237" s="1">
        <v>1160.04</v>
      </c>
      <c r="E1237" t="s">
        <v>2968</v>
      </c>
      <c r="F1237">
        <v>5058</v>
      </c>
      <c r="G1237" s="580">
        <v>55.536000000000001</v>
      </c>
      <c r="H1237" s="1" t="s">
        <v>3072</v>
      </c>
      <c r="I1237" s="1"/>
      <c r="J1237" s="1"/>
      <c r="K1237" s="1"/>
      <c r="L1237" s="1"/>
      <c r="M1237" s="1"/>
      <c r="N1237" s="1"/>
      <c r="Q1237"/>
    </row>
    <row r="1238" spans="1:17" ht="13.15" customHeight="1" x14ac:dyDescent="0.2">
      <c r="A1238" s="1" t="s">
        <v>3082</v>
      </c>
      <c r="B1238" s="1" t="s">
        <v>2967</v>
      </c>
      <c r="C1238" s="580">
        <v>60</v>
      </c>
      <c r="D1238" s="1">
        <v>1160.04</v>
      </c>
      <c r="E1238" t="s">
        <v>2968</v>
      </c>
      <c r="F1238">
        <v>5061</v>
      </c>
      <c r="G1238" s="580">
        <v>55.536000000000001</v>
      </c>
      <c r="H1238" s="1" t="s">
        <v>3072</v>
      </c>
      <c r="I1238" s="1"/>
      <c r="J1238" s="1"/>
      <c r="K1238" s="1"/>
      <c r="L1238" s="1"/>
      <c r="M1238" s="1"/>
      <c r="N1238" s="1"/>
      <c r="Q1238"/>
    </row>
    <row r="1239" spans="1:17" ht="13.15" customHeight="1" x14ac:dyDescent="0.2">
      <c r="A1239" s="1" t="s">
        <v>3083</v>
      </c>
      <c r="B1239" s="1" t="s">
        <v>2967</v>
      </c>
      <c r="C1239" s="580">
        <v>61</v>
      </c>
      <c r="D1239" s="1">
        <v>1160.04</v>
      </c>
      <c r="E1239" t="s">
        <v>2968</v>
      </c>
      <c r="F1239" t="s">
        <v>3084</v>
      </c>
      <c r="G1239" s="580">
        <v>0</v>
      </c>
      <c r="H1239" s="1" t="s">
        <v>3072</v>
      </c>
      <c r="I1239" s="1"/>
      <c r="J1239" s="1"/>
      <c r="K1239" s="1"/>
      <c r="L1239" s="1"/>
      <c r="M1239" s="1"/>
      <c r="N1239" s="1"/>
      <c r="Q1239"/>
    </row>
    <row r="1240" spans="1:17" ht="13.15" customHeight="1" x14ac:dyDescent="0.2">
      <c r="A1240" s="1" t="s">
        <v>3085</v>
      </c>
      <c r="B1240" s="1" t="s">
        <v>2967</v>
      </c>
      <c r="C1240" s="580">
        <v>62</v>
      </c>
      <c r="D1240" s="1">
        <v>1160.04</v>
      </c>
      <c r="E1240" t="s">
        <v>2968</v>
      </c>
      <c r="F1240" t="s">
        <v>3086</v>
      </c>
      <c r="G1240" s="580">
        <v>0</v>
      </c>
      <c r="H1240" s="1" t="s">
        <v>3072</v>
      </c>
      <c r="I1240" s="1"/>
      <c r="J1240" s="1"/>
      <c r="K1240" s="1"/>
      <c r="L1240" s="1"/>
      <c r="M1240" s="1"/>
      <c r="N1240" s="1"/>
      <c r="Q1240"/>
    </row>
    <row r="1241" spans="1:17" ht="13.15" customHeight="1" x14ac:dyDescent="0.2">
      <c r="A1241" s="1" t="s">
        <v>3087</v>
      </c>
      <c r="B1241" s="1" t="s">
        <v>2967</v>
      </c>
      <c r="C1241" s="580">
        <v>63</v>
      </c>
      <c r="D1241" s="1">
        <v>1885.68</v>
      </c>
      <c r="E1241" t="s">
        <v>2968</v>
      </c>
      <c r="F1241">
        <v>5102</v>
      </c>
      <c r="G1241" s="580">
        <v>0</v>
      </c>
      <c r="H1241" s="1" t="s">
        <v>3072</v>
      </c>
      <c r="I1241" s="1"/>
      <c r="J1241" s="1"/>
      <c r="K1241" s="1"/>
      <c r="L1241" s="1"/>
      <c r="M1241" s="1"/>
      <c r="N1241" s="1"/>
      <c r="Q1241"/>
    </row>
    <row r="1242" spans="1:17" ht="13.15" customHeight="1" x14ac:dyDescent="0.2">
      <c r="A1242" s="1" t="s">
        <v>3088</v>
      </c>
      <c r="B1242" s="1" t="s">
        <v>2967</v>
      </c>
      <c r="C1242" s="580">
        <v>64</v>
      </c>
      <c r="D1242" s="1">
        <v>1433.88</v>
      </c>
      <c r="E1242" t="s">
        <v>2968</v>
      </c>
      <c r="F1242">
        <v>6005</v>
      </c>
      <c r="G1242" s="580">
        <v>0</v>
      </c>
      <c r="H1242" s="1" t="s">
        <v>3072</v>
      </c>
      <c r="I1242" s="1"/>
      <c r="J1242" s="1"/>
      <c r="K1242" s="1"/>
      <c r="L1242" s="1"/>
      <c r="M1242" s="1"/>
      <c r="N1242" s="1"/>
      <c r="Q1242"/>
    </row>
    <row r="1243" spans="1:17" ht="13.15" customHeight="1" x14ac:dyDescent="0.2">
      <c r="A1243" s="1" t="s">
        <v>3089</v>
      </c>
      <c r="B1243" s="1" t="s">
        <v>2967</v>
      </c>
      <c r="C1243" s="580">
        <v>65</v>
      </c>
      <c r="D1243" s="1">
        <v>1305.72</v>
      </c>
      <c r="E1243" t="s">
        <v>2968</v>
      </c>
      <c r="F1243">
        <v>6019</v>
      </c>
      <c r="G1243" s="580">
        <v>0</v>
      </c>
      <c r="H1243" s="1" t="s">
        <v>3072</v>
      </c>
      <c r="I1243" s="1"/>
      <c r="J1243" s="1"/>
      <c r="K1243" s="1"/>
      <c r="L1243" s="1"/>
      <c r="M1243" s="1"/>
      <c r="N1243" s="1"/>
      <c r="Q1243"/>
    </row>
    <row r="1244" spans="1:17" ht="13.15" customHeight="1" x14ac:dyDescent="0.2">
      <c r="A1244" s="1" t="s">
        <v>3090</v>
      </c>
      <c r="B1244" s="1" t="s">
        <v>2967</v>
      </c>
      <c r="C1244" s="580">
        <v>66</v>
      </c>
      <c r="D1244" s="1">
        <v>2294.16</v>
      </c>
      <c r="E1244" t="s">
        <v>2968</v>
      </c>
      <c r="F1244">
        <v>6107</v>
      </c>
      <c r="G1244" s="580">
        <v>127.79519999999999</v>
      </c>
      <c r="H1244" s="1" t="s">
        <v>3091</v>
      </c>
      <c r="I1244" s="1"/>
      <c r="J1244" s="1"/>
      <c r="K1244" s="1"/>
      <c r="L1244" s="1"/>
      <c r="M1244" s="1"/>
      <c r="N1244" s="1"/>
      <c r="Q1244"/>
    </row>
    <row r="1245" spans="1:17" ht="13.15" customHeight="1" x14ac:dyDescent="0.2">
      <c r="A1245" s="1" t="s">
        <v>3092</v>
      </c>
      <c r="B1245" s="1" t="s">
        <v>3093</v>
      </c>
      <c r="C1245" s="580">
        <v>2</v>
      </c>
      <c r="D1245" s="1">
        <v>752.45</v>
      </c>
      <c r="E1245" t="s">
        <v>3094</v>
      </c>
      <c r="F1245">
        <v>0</v>
      </c>
      <c r="G1245" s="580">
        <v>0</v>
      </c>
      <c r="H1245" s="1">
        <v>0</v>
      </c>
      <c r="I1245" s="1"/>
      <c r="J1245" s="1"/>
      <c r="K1245" s="1"/>
      <c r="L1245" s="1"/>
      <c r="M1245" s="1"/>
      <c r="N1245" s="1"/>
      <c r="Q1245"/>
    </row>
    <row r="1246" spans="1:17" ht="13.15" customHeight="1" x14ac:dyDescent="0.2">
      <c r="A1246" s="1" t="s">
        <v>3095</v>
      </c>
      <c r="B1246" s="1" t="s">
        <v>3093</v>
      </c>
      <c r="C1246" s="580">
        <v>3</v>
      </c>
      <c r="D1246" s="1">
        <v>950</v>
      </c>
      <c r="E1246" t="s">
        <v>3094</v>
      </c>
      <c r="F1246">
        <v>0</v>
      </c>
      <c r="G1246" s="580">
        <v>0</v>
      </c>
      <c r="H1246" s="1">
        <v>0</v>
      </c>
      <c r="I1246" s="1"/>
      <c r="J1246" s="1"/>
      <c r="K1246" s="1"/>
      <c r="L1246" s="1"/>
      <c r="M1246" s="1"/>
      <c r="N1246" s="1"/>
      <c r="Q1246"/>
    </row>
    <row r="1247" spans="1:17" ht="13.15" customHeight="1" x14ac:dyDescent="0.2">
      <c r="A1247" s="1" t="s">
        <v>3096</v>
      </c>
      <c r="B1247" s="1" t="s">
        <v>3093</v>
      </c>
      <c r="C1247" s="580">
        <v>4</v>
      </c>
      <c r="D1247" s="1">
        <v>1320.1</v>
      </c>
      <c r="E1247" t="s">
        <v>3094</v>
      </c>
      <c r="F1247">
        <v>0</v>
      </c>
      <c r="G1247" s="580">
        <v>0</v>
      </c>
      <c r="H1247" s="1">
        <v>0</v>
      </c>
      <c r="I1247" s="1"/>
      <c r="J1247" s="1"/>
      <c r="K1247" s="1"/>
      <c r="L1247" s="1"/>
      <c r="M1247" s="1"/>
      <c r="N1247" s="1"/>
      <c r="Q1247"/>
    </row>
    <row r="1248" spans="1:17" ht="13.15" customHeight="1" x14ac:dyDescent="0.2">
      <c r="A1248" s="1" t="s">
        <v>3097</v>
      </c>
      <c r="B1248" s="1" t="s">
        <v>3093</v>
      </c>
      <c r="C1248" s="580">
        <v>5</v>
      </c>
      <c r="D1248" s="1">
        <v>1889.06</v>
      </c>
      <c r="E1248" t="s">
        <v>3094</v>
      </c>
      <c r="F1248">
        <v>0</v>
      </c>
      <c r="G1248" s="580">
        <v>0</v>
      </c>
      <c r="H1248" s="1">
        <v>0</v>
      </c>
      <c r="I1248" s="1"/>
      <c r="J1248" s="1"/>
      <c r="K1248" s="1"/>
      <c r="L1248" s="1"/>
      <c r="M1248" s="1"/>
      <c r="N1248" s="1"/>
      <c r="Q1248"/>
    </row>
    <row r="1249" spans="1:17" ht="13.15" customHeight="1" x14ac:dyDescent="0.2">
      <c r="A1249" s="1" t="s">
        <v>3098</v>
      </c>
      <c r="B1249" s="1" t="s">
        <v>3093</v>
      </c>
      <c r="C1249" s="580">
        <v>7</v>
      </c>
      <c r="D1249" s="1">
        <v>1988.5</v>
      </c>
      <c r="E1249" t="s">
        <v>3094</v>
      </c>
      <c r="F1249">
        <v>3065</v>
      </c>
      <c r="G1249" s="580">
        <v>0</v>
      </c>
      <c r="H1249" s="1" t="s">
        <v>3099</v>
      </c>
      <c r="I1249" s="1"/>
      <c r="J1249" s="1"/>
      <c r="K1249" s="1"/>
      <c r="L1249" s="1"/>
      <c r="M1249" s="1"/>
      <c r="N1249" s="1"/>
      <c r="Q1249"/>
    </row>
    <row r="1250" spans="1:17" ht="13.15" customHeight="1" x14ac:dyDescent="0.2">
      <c r="A1250" s="1" t="s">
        <v>3100</v>
      </c>
      <c r="B1250" s="1" t="s">
        <v>3093</v>
      </c>
      <c r="C1250" s="580">
        <v>8</v>
      </c>
      <c r="D1250" s="1">
        <v>1390.2</v>
      </c>
      <c r="E1250" t="s">
        <v>3094</v>
      </c>
      <c r="F1250">
        <v>3062</v>
      </c>
      <c r="G1250" s="580">
        <v>0</v>
      </c>
      <c r="H1250" s="1" t="s">
        <v>3101</v>
      </c>
      <c r="I1250" s="1"/>
      <c r="J1250" s="1"/>
      <c r="K1250" s="1"/>
      <c r="L1250" s="1"/>
      <c r="M1250" s="1"/>
      <c r="N1250" s="1"/>
      <c r="Q1250"/>
    </row>
    <row r="1251" spans="1:17" ht="13.15" customHeight="1" x14ac:dyDescent="0.2">
      <c r="A1251" s="1" t="s">
        <v>3102</v>
      </c>
      <c r="B1251" s="1" t="s">
        <v>3093</v>
      </c>
      <c r="C1251" s="580">
        <v>9</v>
      </c>
      <c r="D1251" s="1">
        <v>1390.2</v>
      </c>
      <c r="E1251" t="s">
        <v>3094</v>
      </c>
      <c r="F1251">
        <v>3063</v>
      </c>
      <c r="G1251" s="580">
        <v>0</v>
      </c>
      <c r="H1251" s="1" t="s">
        <v>3103</v>
      </c>
      <c r="I1251" s="1"/>
      <c r="J1251" s="1"/>
      <c r="K1251" s="1"/>
      <c r="L1251" s="1"/>
      <c r="M1251" s="1"/>
      <c r="N1251" s="1"/>
      <c r="Q1251"/>
    </row>
    <row r="1252" spans="1:17" ht="13.15" customHeight="1" x14ac:dyDescent="0.2">
      <c r="A1252" s="1" t="s">
        <v>3104</v>
      </c>
      <c r="B1252" s="1" t="s">
        <v>3093</v>
      </c>
      <c r="C1252" s="580">
        <v>10</v>
      </c>
      <c r="D1252" s="1">
        <v>1549.45</v>
      </c>
      <c r="E1252" t="s">
        <v>3094</v>
      </c>
      <c r="F1252">
        <v>3061</v>
      </c>
      <c r="G1252" s="580">
        <v>0</v>
      </c>
      <c r="H1252" s="1" t="s">
        <v>3105</v>
      </c>
      <c r="I1252" s="1"/>
      <c r="J1252" s="1"/>
      <c r="K1252" s="1"/>
      <c r="L1252" s="1"/>
      <c r="M1252" s="1"/>
      <c r="N1252" s="1"/>
      <c r="Q1252"/>
    </row>
    <row r="1253" spans="1:17" ht="13.15" customHeight="1" x14ac:dyDescent="0.2">
      <c r="A1253" s="1" t="s">
        <v>3106</v>
      </c>
      <c r="B1253" s="1" t="s">
        <v>3093</v>
      </c>
      <c r="C1253" s="580">
        <v>11</v>
      </c>
      <c r="D1253" s="1">
        <v>1750.45</v>
      </c>
      <c r="E1253" t="s">
        <v>3094</v>
      </c>
      <c r="F1253">
        <v>3046</v>
      </c>
      <c r="G1253" s="580">
        <v>93.897499999999994</v>
      </c>
      <c r="H1253" s="1" t="s">
        <v>3107</v>
      </c>
      <c r="I1253" s="1"/>
      <c r="J1253" s="1"/>
      <c r="K1253" s="1"/>
      <c r="L1253" s="1"/>
      <c r="M1253" s="1"/>
      <c r="N1253" s="1"/>
      <c r="Q1253"/>
    </row>
    <row r="1254" spans="1:17" ht="13.15" customHeight="1" x14ac:dyDescent="0.2">
      <c r="A1254" s="1" t="s">
        <v>3108</v>
      </c>
      <c r="B1254" s="1" t="s">
        <v>3093</v>
      </c>
      <c r="C1254" s="580">
        <v>12</v>
      </c>
      <c r="D1254" s="1">
        <v>942</v>
      </c>
      <c r="E1254" t="s">
        <v>3094</v>
      </c>
      <c r="F1254">
        <v>0</v>
      </c>
      <c r="G1254" s="580">
        <v>0</v>
      </c>
      <c r="H1254" s="1">
        <v>0</v>
      </c>
      <c r="I1254" s="1"/>
      <c r="J1254" s="1"/>
      <c r="K1254" s="1"/>
      <c r="L1254" s="1"/>
      <c r="M1254" s="1"/>
      <c r="N1254" s="1"/>
      <c r="Q1254"/>
    </row>
    <row r="1255" spans="1:17" ht="13.15" customHeight="1" x14ac:dyDescent="0.2">
      <c r="A1255" s="1" t="s">
        <v>3109</v>
      </c>
      <c r="B1255" s="1" t="s">
        <v>3093</v>
      </c>
      <c r="C1255" s="580">
        <v>13</v>
      </c>
      <c r="D1255" s="1">
        <v>1819.48</v>
      </c>
      <c r="E1255" t="s">
        <v>3094</v>
      </c>
      <c r="F1255">
        <v>3015</v>
      </c>
      <c r="G1255" s="580">
        <v>181.1825</v>
      </c>
      <c r="H1255" s="1" t="s">
        <v>3110</v>
      </c>
      <c r="I1255" s="1"/>
      <c r="J1255" s="1"/>
      <c r="K1255" s="1"/>
      <c r="L1255" s="1"/>
      <c r="M1255" s="1"/>
      <c r="N1255" s="1"/>
      <c r="Q1255"/>
    </row>
    <row r="1256" spans="1:17" ht="13.15" customHeight="1" x14ac:dyDescent="0.2">
      <c r="A1256" s="1" t="s">
        <v>3111</v>
      </c>
      <c r="B1256" s="1" t="s">
        <v>3093</v>
      </c>
      <c r="C1256" s="580">
        <v>14</v>
      </c>
      <c r="D1256" s="1">
        <v>1849.32</v>
      </c>
      <c r="E1256" t="s">
        <v>3094</v>
      </c>
      <c r="F1256">
        <v>3035</v>
      </c>
      <c r="G1256" s="580">
        <v>181.1825</v>
      </c>
      <c r="H1256" s="1" t="s">
        <v>3112</v>
      </c>
      <c r="I1256" s="1"/>
      <c r="J1256" s="1"/>
      <c r="K1256" s="1"/>
      <c r="L1256" s="1"/>
      <c r="M1256" s="1"/>
      <c r="N1256" s="1"/>
      <c r="Q1256"/>
    </row>
    <row r="1257" spans="1:17" ht="13.15" customHeight="1" x14ac:dyDescent="0.2">
      <c r="A1257" s="1" t="s">
        <v>3113</v>
      </c>
      <c r="B1257" s="1" t="s">
        <v>3093</v>
      </c>
      <c r="C1257" s="580">
        <v>15</v>
      </c>
      <c r="D1257" s="1">
        <v>1951.09</v>
      </c>
      <c r="E1257" t="s">
        <v>3094</v>
      </c>
      <c r="F1257">
        <v>3010</v>
      </c>
      <c r="G1257" s="580">
        <v>194.4075</v>
      </c>
      <c r="H1257" s="1" t="s">
        <v>3114</v>
      </c>
      <c r="I1257" s="1"/>
      <c r="J1257" s="1"/>
      <c r="K1257" s="1"/>
      <c r="L1257" s="1"/>
      <c r="M1257" s="1"/>
      <c r="N1257" s="1"/>
      <c r="Q1257"/>
    </row>
    <row r="1258" spans="1:17" ht="13.15" customHeight="1" x14ac:dyDescent="0.2">
      <c r="A1258" s="1" t="s">
        <v>3115</v>
      </c>
      <c r="B1258" s="1" t="s">
        <v>3093</v>
      </c>
      <c r="C1258" s="580">
        <v>17</v>
      </c>
      <c r="D1258" s="1">
        <v>1849.32</v>
      </c>
      <c r="E1258" t="s">
        <v>3094</v>
      </c>
      <c r="F1258">
        <v>3034</v>
      </c>
      <c r="G1258" s="580">
        <v>181.1825</v>
      </c>
      <c r="H1258" s="1" t="s">
        <v>3116</v>
      </c>
      <c r="I1258" s="1"/>
      <c r="J1258" s="1"/>
      <c r="K1258" s="1"/>
      <c r="L1258" s="1"/>
      <c r="M1258" s="1"/>
      <c r="N1258" s="1"/>
      <c r="Q1258"/>
    </row>
    <row r="1259" spans="1:17" ht="13.15" customHeight="1" x14ac:dyDescent="0.2">
      <c r="A1259" s="1" t="s">
        <v>3117</v>
      </c>
      <c r="B1259" s="1" t="s">
        <v>3093</v>
      </c>
      <c r="C1259" s="580">
        <v>18</v>
      </c>
      <c r="D1259" s="1">
        <v>1995.87</v>
      </c>
      <c r="E1259" t="s">
        <v>3094</v>
      </c>
      <c r="F1259">
        <v>3002</v>
      </c>
      <c r="G1259" s="580">
        <v>194.4075</v>
      </c>
      <c r="H1259" s="1" t="s">
        <v>3118</v>
      </c>
      <c r="I1259" s="1"/>
      <c r="J1259" s="1"/>
      <c r="K1259" s="1"/>
      <c r="L1259" s="1"/>
      <c r="M1259" s="1"/>
      <c r="N1259" s="1"/>
      <c r="Q1259"/>
    </row>
    <row r="1260" spans="1:17" ht="13.15" customHeight="1" x14ac:dyDescent="0.2">
      <c r="A1260" s="1" t="s">
        <v>3119</v>
      </c>
      <c r="B1260" s="1" t="s">
        <v>3093</v>
      </c>
      <c r="C1260" s="580">
        <v>19</v>
      </c>
      <c r="D1260" s="1">
        <v>1819.48</v>
      </c>
      <c r="E1260" t="s">
        <v>3094</v>
      </c>
      <c r="F1260">
        <v>3016</v>
      </c>
      <c r="G1260" s="580">
        <v>181.1825</v>
      </c>
      <c r="H1260" s="1" t="s">
        <v>3110</v>
      </c>
      <c r="I1260" s="1"/>
      <c r="J1260" s="1"/>
      <c r="K1260" s="1"/>
      <c r="L1260" s="1"/>
      <c r="M1260" s="1"/>
      <c r="N1260" s="1"/>
      <c r="Q1260"/>
    </row>
    <row r="1261" spans="1:17" ht="13.15" customHeight="1" x14ac:dyDescent="0.2">
      <c r="A1261" s="1" t="s">
        <v>3120</v>
      </c>
      <c r="B1261" s="1" t="s">
        <v>3093</v>
      </c>
      <c r="C1261" s="580">
        <v>20</v>
      </c>
      <c r="D1261" s="1">
        <v>2860.32</v>
      </c>
      <c r="E1261" t="s">
        <v>3094</v>
      </c>
      <c r="F1261">
        <v>3067</v>
      </c>
      <c r="G1261" s="580">
        <v>0</v>
      </c>
      <c r="H1261" s="1" t="s">
        <v>3121</v>
      </c>
      <c r="I1261" s="1"/>
      <c r="J1261" s="1"/>
      <c r="K1261" s="1"/>
      <c r="L1261" s="1"/>
      <c r="M1261" s="1"/>
      <c r="N1261" s="1"/>
      <c r="Q1261"/>
    </row>
    <row r="1262" spans="1:17" ht="13.15" customHeight="1" x14ac:dyDescent="0.2">
      <c r="A1262" s="1" t="s">
        <v>3122</v>
      </c>
      <c r="B1262" s="1" t="s">
        <v>3093</v>
      </c>
      <c r="C1262" s="580">
        <v>21</v>
      </c>
      <c r="D1262" s="1">
        <v>2860.32</v>
      </c>
      <c r="E1262" t="s">
        <v>3094</v>
      </c>
      <c r="F1262">
        <v>3069</v>
      </c>
      <c r="G1262" s="580">
        <v>0</v>
      </c>
      <c r="H1262" s="1" t="s">
        <v>3123</v>
      </c>
      <c r="I1262" s="1"/>
      <c r="J1262" s="1"/>
      <c r="K1262" s="1"/>
      <c r="L1262" s="1"/>
      <c r="M1262" s="1"/>
      <c r="N1262" s="1"/>
      <c r="Q1262"/>
    </row>
    <row r="1263" spans="1:17" ht="13.15" customHeight="1" x14ac:dyDescent="0.2">
      <c r="A1263" s="1" t="s">
        <v>3124</v>
      </c>
      <c r="B1263" s="1" t="s">
        <v>3093</v>
      </c>
      <c r="C1263" s="580">
        <v>30</v>
      </c>
      <c r="D1263" s="1">
        <v>1646.5</v>
      </c>
      <c r="E1263" t="s">
        <v>3094</v>
      </c>
      <c r="F1263">
        <v>3003</v>
      </c>
      <c r="G1263" s="580">
        <v>181.1825</v>
      </c>
      <c r="H1263" s="1" t="s">
        <v>3125</v>
      </c>
      <c r="I1263" s="1"/>
      <c r="J1263" s="1"/>
      <c r="K1263" s="1"/>
      <c r="L1263" s="1"/>
      <c r="M1263" s="1"/>
      <c r="N1263" s="1"/>
      <c r="Q1263"/>
    </row>
    <row r="1264" spans="1:17" ht="13.15" customHeight="1" x14ac:dyDescent="0.2">
      <c r="A1264" s="1" t="s">
        <v>3126</v>
      </c>
      <c r="B1264" s="1" t="s">
        <v>3093</v>
      </c>
      <c r="C1264" s="580">
        <v>31</v>
      </c>
      <c r="D1264" s="1">
        <v>1646.5</v>
      </c>
      <c r="E1264" t="s">
        <v>3094</v>
      </c>
      <c r="F1264">
        <v>3004</v>
      </c>
      <c r="G1264" s="580">
        <v>181.1825</v>
      </c>
      <c r="H1264" s="1" t="s">
        <v>3127</v>
      </c>
      <c r="I1264" s="1"/>
      <c r="J1264" s="1"/>
      <c r="K1264" s="1"/>
      <c r="L1264" s="1"/>
      <c r="M1264" s="1"/>
      <c r="N1264" s="1"/>
      <c r="Q1264"/>
    </row>
    <row r="1265" spans="1:17" ht="13.15" customHeight="1" x14ac:dyDescent="0.2">
      <c r="A1265" s="1" t="s">
        <v>3128</v>
      </c>
      <c r="B1265" s="1" t="s">
        <v>3093</v>
      </c>
      <c r="C1265" s="580">
        <v>32</v>
      </c>
      <c r="D1265" s="1">
        <v>1646.5</v>
      </c>
      <c r="E1265" t="s">
        <v>3094</v>
      </c>
      <c r="F1265">
        <v>3005</v>
      </c>
      <c r="G1265" s="580">
        <v>181.1825</v>
      </c>
      <c r="H1265" s="1" t="s">
        <v>3129</v>
      </c>
      <c r="I1265" s="1"/>
      <c r="J1265" s="1"/>
      <c r="K1265" s="1"/>
      <c r="L1265" s="1"/>
      <c r="M1265" s="1"/>
      <c r="N1265" s="1"/>
      <c r="Q1265"/>
    </row>
    <row r="1266" spans="1:17" ht="13.15" customHeight="1" x14ac:dyDescent="0.2">
      <c r="A1266" s="1" t="s">
        <v>3130</v>
      </c>
      <c r="B1266" s="1" t="s">
        <v>3093</v>
      </c>
      <c r="C1266" s="580">
        <v>37</v>
      </c>
      <c r="D1266" s="1">
        <v>1988.5</v>
      </c>
      <c r="E1266" t="s">
        <v>3094</v>
      </c>
      <c r="F1266">
        <v>3042</v>
      </c>
      <c r="G1266" s="580">
        <v>0</v>
      </c>
      <c r="H1266" s="1" t="s">
        <v>3131</v>
      </c>
      <c r="I1266" s="1"/>
      <c r="J1266" s="1"/>
      <c r="K1266" s="1"/>
      <c r="L1266" s="1"/>
      <c r="M1266" s="1"/>
      <c r="N1266" s="1"/>
      <c r="Q1266"/>
    </row>
    <row r="1267" spans="1:17" ht="13.15" customHeight="1" x14ac:dyDescent="0.2">
      <c r="A1267" s="1" t="s">
        <v>3132</v>
      </c>
      <c r="B1267" s="1" t="s">
        <v>3093</v>
      </c>
      <c r="C1267" s="580">
        <v>40</v>
      </c>
      <c r="D1267" s="1">
        <v>1646.5</v>
      </c>
      <c r="E1267" t="s">
        <v>3094</v>
      </c>
      <c r="F1267">
        <v>3011</v>
      </c>
      <c r="G1267" s="580">
        <v>181.1825</v>
      </c>
      <c r="H1267" s="1" t="s">
        <v>3133</v>
      </c>
      <c r="I1267" s="1"/>
      <c r="J1267" s="1"/>
      <c r="K1267" s="1"/>
      <c r="L1267" s="1"/>
      <c r="M1267" s="1"/>
      <c r="N1267" s="1"/>
      <c r="Q1267"/>
    </row>
    <row r="1268" spans="1:17" ht="13.15" customHeight="1" x14ac:dyDescent="0.2">
      <c r="A1268" s="1" t="s">
        <v>3134</v>
      </c>
      <c r="B1268" s="1" t="s">
        <v>3093</v>
      </c>
      <c r="C1268" s="580">
        <v>41</v>
      </c>
      <c r="D1268" s="1">
        <v>1646.5</v>
      </c>
      <c r="E1268" t="s">
        <v>3094</v>
      </c>
      <c r="F1268">
        <v>3012</v>
      </c>
      <c r="G1268" s="580">
        <v>181.1825</v>
      </c>
      <c r="H1268" s="1" t="s">
        <v>3135</v>
      </c>
      <c r="I1268" s="1"/>
      <c r="J1268" s="1"/>
      <c r="K1268" s="1"/>
      <c r="L1268" s="1"/>
      <c r="M1268" s="1"/>
      <c r="N1268" s="1"/>
      <c r="Q1268"/>
    </row>
    <row r="1269" spans="1:17" ht="13.15" customHeight="1" x14ac:dyDescent="0.2">
      <c r="A1269" s="1" t="s">
        <v>3136</v>
      </c>
      <c r="B1269" s="1" t="s">
        <v>3093</v>
      </c>
      <c r="C1269" s="580">
        <v>43</v>
      </c>
      <c r="D1269" s="1">
        <v>1789.65</v>
      </c>
      <c r="E1269" t="s">
        <v>3094</v>
      </c>
      <c r="F1269">
        <v>3017</v>
      </c>
      <c r="G1269" s="580">
        <v>181.1825</v>
      </c>
      <c r="H1269" s="1" t="s">
        <v>3137</v>
      </c>
      <c r="I1269" s="1"/>
      <c r="J1269" s="1"/>
      <c r="K1269" s="1"/>
      <c r="L1269" s="1"/>
      <c r="M1269" s="1"/>
      <c r="N1269" s="1"/>
      <c r="Q1269"/>
    </row>
    <row r="1270" spans="1:17" ht="13.15" customHeight="1" x14ac:dyDescent="0.2">
      <c r="A1270" s="1" t="s">
        <v>3138</v>
      </c>
      <c r="B1270" s="1" t="s">
        <v>3093</v>
      </c>
      <c r="C1270" s="580">
        <v>47</v>
      </c>
      <c r="D1270" s="1">
        <v>1988.5</v>
      </c>
      <c r="E1270" t="s">
        <v>3094</v>
      </c>
      <c r="F1270">
        <v>3051</v>
      </c>
      <c r="G1270" s="580">
        <v>0</v>
      </c>
      <c r="H1270" s="1" t="s">
        <v>3139</v>
      </c>
      <c r="I1270" s="1"/>
      <c r="J1270" s="1"/>
      <c r="K1270" s="1"/>
      <c r="L1270" s="1"/>
      <c r="M1270" s="1"/>
      <c r="N1270" s="1"/>
      <c r="Q1270"/>
    </row>
    <row r="1271" spans="1:17" ht="13.15" customHeight="1" x14ac:dyDescent="0.2">
      <c r="A1271" s="1" t="s">
        <v>3140</v>
      </c>
      <c r="B1271" s="1" t="s">
        <v>3093</v>
      </c>
      <c r="C1271" s="580">
        <v>49</v>
      </c>
      <c r="D1271" s="1">
        <v>3877.64</v>
      </c>
      <c r="E1271" t="s">
        <v>3094</v>
      </c>
      <c r="F1271">
        <v>3056</v>
      </c>
      <c r="G1271" s="580">
        <v>0</v>
      </c>
      <c r="H1271" s="1" t="s">
        <v>3141</v>
      </c>
      <c r="I1271" s="1"/>
      <c r="J1271" s="1"/>
      <c r="K1271" s="1"/>
      <c r="L1271" s="1"/>
      <c r="M1271" s="1"/>
      <c r="N1271" s="1"/>
      <c r="Q1271"/>
    </row>
    <row r="1272" spans="1:17" ht="13.15" customHeight="1" x14ac:dyDescent="0.2">
      <c r="A1272" s="1" t="s">
        <v>3142</v>
      </c>
      <c r="B1272" s="1" t="s">
        <v>3093</v>
      </c>
      <c r="C1272" s="580">
        <v>53</v>
      </c>
      <c r="D1272" s="1">
        <v>2636.12</v>
      </c>
      <c r="E1272" t="s">
        <v>3094</v>
      </c>
      <c r="F1272">
        <v>0</v>
      </c>
      <c r="G1272" s="580">
        <v>0</v>
      </c>
      <c r="H1272" s="1">
        <v>0</v>
      </c>
      <c r="I1272" s="1"/>
      <c r="J1272" s="1"/>
      <c r="K1272" s="1"/>
      <c r="L1272" s="1"/>
      <c r="M1272" s="1"/>
      <c r="N1272" s="1"/>
      <c r="Q1272"/>
    </row>
    <row r="1273" spans="1:17" ht="13.15" customHeight="1" x14ac:dyDescent="0.2">
      <c r="A1273" s="1" t="s">
        <v>3143</v>
      </c>
      <c r="B1273" s="1" t="s">
        <v>3093</v>
      </c>
      <c r="C1273" s="580">
        <v>54</v>
      </c>
      <c r="D1273" s="1">
        <v>2636.12</v>
      </c>
      <c r="E1273" t="s">
        <v>3094</v>
      </c>
      <c r="F1273">
        <v>0</v>
      </c>
      <c r="G1273" s="580">
        <v>0</v>
      </c>
      <c r="H1273" s="1">
        <v>0</v>
      </c>
      <c r="I1273" s="1"/>
      <c r="J1273" s="1"/>
      <c r="K1273" s="1"/>
      <c r="L1273" s="1"/>
      <c r="M1273" s="1"/>
      <c r="N1273" s="1"/>
      <c r="Q1273"/>
    </row>
    <row r="1274" spans="1:17" ht="13.15" customHeight="1" x14ac:dyDescent="0.2">
      <c r="A1274" s="1" t="s">
        <v>3144</v>
      </c>
      <c r="B1274" s="1" t="s">
        <v>3093</v>
      </c>
      <c r="C1274" s="580">
        <v>55</v>
      </c>
      <c r="D1274" s="1">
        <v>2636.12</v>
      </c>
      <c r="E1274" t="s">
        <v>3094</v>
      </c>
      <c r="F1274">
        <v>0</v>
      </c>
      <c r="G1274" s="580">
        <v>0</v>
      </c>
      <c r="H1274" s="1">
        <v>0</v>
      </c>
      <c r="I1274" s="1"/>
      <c r="J1274" s="1"/>
      <c r="K1274" s="1"/>
      <c r="L1274" s="1"/>
      <c r="M1274" s="1"/>
      <c r="N1274" s="1"/>
      <c r="Q1274"/>
    </row>
    <row r="1275" spans="1:17" ht="13.15" customHeight="1" x14ac:dyDescent="0.2">
      <c r="A1275" s="1" t="s">
        <v>3145</v>
      </c>
      <c r="B1275" s="1" t="s">
        <v>3093</v>
      </c>
      <c r="C1275" s="580">
        <v>56</v>
      </c>
      <c r="D1275" s="1">
        <v>2636.12</v>
      </c>
      <c r="E1275" t="s">
        <v>3094</v>
      </c>
      <c r="F1275">
        <v>0</v>
      </c>
      <c r="G1275" s="580">
        <v>0</v>
      </c>
      <c r="H1275" s="1">
        <v>0</v>
      </c>
      <c r="I1275" s="1"/>
      <c r="J1275" s="1"/>
      <c r="K1275" s="1"/>
      <c r="L1275" s="1"/>
      <c r="M1275" s="1"/>
      <c r="N1275" s="1"/>
      <c r="Q1275"/>
    </row>
    <row r="1276" spans="1:17" ht="13.15" customHeight="1" x14ac:dyDescent="0.2">
      <c r="A1276" s="1" t="s">
        <v>3146</v>
      </c>
      <c r="B1276" s="1" t="s">
        <v>3093</v>
      </c>
      <c r="C1276" s="580">
        <v>57</v>
      </c>
      <c r="D1276" s="1">
        <v>2636.12</v>
      </c>
      <c r="E1276" t="s">
        <v>3147</v>
      </c>
      <c r="F1276" t="s">
        <v>3148</v>
      </c>
      <c r="G1276" s="580">
        <v>579.91989999999998</v>
      </c>
      <c r="H1276" s="1" t="s">
        <v>3149</v>
      </c>
      <c r="I1276" s="1"/>
      <c r="J1276" s="1"/>
      <c r="K1276" s="1"/>
      <c r="L1276" s="1"/>
      <c r="M1276" s="1"/>
      <c r="N1276" s="1"/>
      <c r="Q1276"/>
    </row>
    <row r="1277" spans="1:17" ht="13.15" customHeight="1" x14ac:dyDescent="0.2">
      <c r="A1277" s="1" t="s">
        <v>3150</v>
      </c>
      <c r="B1277" s="1" t="s">
        <v>3093</v>
      </c>
      <c r="C1277" s="580">
        <v>58</v>
      </c>
      <c r="D1277" s="1">
        <v>2636.12</v>
      </c>
      <c r="E1277" t="s">
        <v>3147</v>
      </c>
      <c r="F1277" t="s">
        <v>3151</v>
      </c>
      <c r="G1277" s="580">
        <v>579.91989999999998</v>
      </c>
      <c r="H1277" s="1" t="s">
        <v>3152</v>
      </c>
      <c r="I1277" s="1"/>
      <c r="J1277" s="1"/>
      <c r="K1277" s="1"/>
      <c r="L1277" s="1"/>
      <c r="M1277" s="1"/>
      <c r="N1277" s="1"/>
      <c r="Q1277"/>
    </row>
    <row r="1278" spans="1:17" ht="13.15" customHeight="1" x14ac:dyDescent="0.2">
      <c r="A1278" s="1" t="s">
        <v>3153</v>
      </c>
      <c r="B1278" s="1" t="s">
        <v>3093</v>
      </c>
      <c r="C1278" s="580">
        <v>59</v>
      </c>
      <c r="D1278" s="1">
        <v>2636.12</v>
      </c>
      <c r="E1278" t="s">
        <v>3147</v>
      </c>
      <c r="F1278" t="s">
        <v>3154</v>
      </c>
      <c r="G1278" s="580">
        <v>497.15190000000001</v>
      </c>
      <c r="H1278" s="1" t="s">
        <v>3155</v>
      </c>
      <c r="I1278" s="1"/>
      <c r="J1278" s="1"/>
      <c r="K1278" s="1"/>
      <c r="L1278" s="1"/>
      <c r="M1278" s="1"/>
      <c r="N1278" s="1"/>
      <c r="Q1278"/>
    </row>
    <row r="1279" spans="1:17" ht="13.15" customHeight="1" x14ac:dyDescent="0.2">
      <c r="A1279" s="1" t="s">
        <v>3156</v>
      </c>
      <c r="B1279" s="1" t="s">
        <v>3093</v>
      </c>
      <c r="C1279" s="580">
        <v>70</v>
      </c>
      <c r="D1279" s="1">
        <v>1380</v>
      </c>
      <c r="E1279" t="s">
        <v>3147</v>
      </c>
      <c r="F1279">
        <v>0</v>
      </c>
      <c r="G1279" s="580">
        <v>0</v>
      </c>
      <c r="H1279" s="1">
        <v>0</v>
      </c>
      <c r="I1279" s="1"/>
      <c r="J1279" s="1"/>
      <c r="K1279" s="1"/>
      <c r="L1279" s="1"/>
      <c r="M1279" s="1"/>
      <c r="N1279" s="1"/>
      <c r="Q1279"/>
    </row>
    <row r="1280" spans="1:17" ht="13.15" customHeight="1" x14ac:dyDescent="0.2">
      <c r="A1280" s="1" t="s">
        <v>3157</v>
      </c>
      <c r="B1280" s="1" t="s">
        <v>3093</v>
      </c>
      <c r="C1280" s="580">
        <v>71</v>
      </c>
      <c r="D1280" s="1">
        <v>1420</v>
      </c>
      <c r="E1280" t="s">
        <v>3147</v>
      </c>
      <c r="F1280">
        <v>0</v>
      </c>
      <c r="G1280" s="580">
        <v>0</v>
      </c>
      <c r="H1280" s="1">
        <v>0</v>
      </c>
      <c r="I1280" s="1"/>
      <c r="J1280" s="1"/>
      <c r="K1280" s="1"/>
      <c r="L1280" s="1"/>
      <c r="M1280" s="1"/>
      <c r="N1280" s="1"/>
      <c r="Q1280"/>
    </row>
    <row r="1281" spans="1:17" ht="13.15" customHeight="1" x14ac:dyDescent="0.2">
      <c r="A1281" s="1" t="s">
        <v>3158</v>
      </c>
      <c r="B1281" s="1" t="s">
        <v>3093</v>
      </c>
      <c r="C1281" s="580">
        <v>72</v>
      </c>
      <c r="D1281" s="1">
        <v>1580</v>
      </c>
      <c r="E1281" t="s">
        <v>3147</v>
      </c>
      <c r="F1281">
        <v>0</v>
      </c>
      <c r="G1281" s="580">
        <v>0</v>
      </c>
      <c r="H1281" s="1">
        <v>0</v>
      </c>
      <c r="I1281" s="1"/>
      <c r="J1281" s="1"/>
      <c r="K1281" s="1"/>
      <c r="L1281" s="1"/>
      <c r="M1281" s="1"/>
      <c r="N1281" s="1"/>
      <c r="Q1281"/>
    </row>
    <row r="1282" spans="1:17" ht="13.15" customHeight="1" x14ac:dyDescent="0.2">
      <c r="A1282" s="1" t="s">
        <v>3159</v>
      </c>
      <c r="B1282" s="1" t="s">
        <v>3093</v>
      </c>
      <c r="C1282" s="580">
        <v>78</v>
      </c>
      <c r="D1282" s="1">
        <v>1420</v>
      </c>
      <c r="E1282" t="s">
        <v>3147</v>
      </c>
      <c r="F1282">
        <v>0</v>
      </c>
      <c r="G1282" s="580">
        <v>0</v>
      </c>
      <c r="H1282" s="1">
        <v>0</v>
      </c>
      <c r="I1282" s="1"/>
      <c r="J1282" s="1"/>
      <c r="K1282" s="1"/>
      <c r="L1282" s="1"/>
      <c r="M1282" s="1"/>
      <c r="N1282" s="1"/>
      <c r="Q1282"/>
    </row>
    <row r="1283" spans="1:17" ht="13.15" customHeight="1" x14ac:dyDescent="0.2">
      <c r="A1283" s="1" t="s">
        <v>3160</v>
      </c>
      <c r="B1283" s="1" t="s">
        <v>3093</v>
      </c>
      <c r="C1283" s="580">
        <v>79</v>
      </c>
      <c r="D1283" s="1">
        <v>1600</v>
      </c>
      <c r="E1283" t="s">
        <v>3094</v>
      </c>
      <c r="F1283">
        <v>0</v>
      </c>
      <c r="G1283" s="580">
        <v>0</v>
      </c>
      <c r="H1283" s="1">
        <v>0</v>
      </c>
      <c r="I1283" s="1"/>
      <c r="J1283" s="1"/>
      <c r="K1283" s="1"/>
      <c r="L1283" s="1"/>
      <c r="M1283" s="1"/>
      <c r="N1283" s="1"/>
      <c r="Q1283"/>
    </row>
    <row r="1284" spans="1:17" ht="13.15" customHeight="1" x14ac:dyDescent="0.2">
      <c r="A1284" s="1" t="s">
        <v>3161</v>
      </c>
      <c r="B1284" s="1" t="s">
        <v>3093</v>
      </c>
      <c r="C1284" s="580">
        <v>80</v>
      </c>
      <c r="D1284" s="1">
        <v>1650</v>
      </c>
      <c r="E1284" t="s">
        <v>3094</v>
      </c>
      <c r="F1284">
        <v>0</v>
      </c>
      <c r="G1284" s="580">
        <v>0</v>
      </c>
      <c r="H1284" s="1">
        <v>0</v>
      </c>
      <c r="I1284" s="1"/>
      <c r="J1284" s="1"/>
      <c r="K1284" s="1"/>
      <c r="L1284" s="1"/>
      <c r="M1284" s="1"/>
      <c r="N1284" s="1"/>
      <c r="Q1284"/>
    </row>
    <row r="1285" spans="1:17" ht="13.15" customHeight="1" x14ac:dyDescent="0.2">
      <c r="A1285" s="1" t="s">
        <v>3162</v>
      </c>
      <c r="B1285" s="1" t="s">
        <v>3093</v>
      </c>
      <c r="C1285" s="580">
        <v>90</v>
      </c>
      <c r="D1285" s="1">
        <v>563.04</v>
      </c>
      <c r="E1285" t="s">
        <v>3094</v>
      </c>
      <c r="F1285">
        <v>3019</v>
      </c>
      <c r="G1285" s="580">
        <v>136</v>
      </c>
      <c r="H1285" s="1" t="s">
        <v>3163</v>
      </c>
      <c r="I1285" s="1"/>
      <c r="J1285" s="1"/>
      <c r="K1285" s="1"/>
      <c r="L1285" s="1"/>
      <c r="M1285" s="1"/>
      <c r="N1285" s="1"/>
      <c r="Q1285"/>
    </row>
    <row r="1286" spans="1:17" ht="13.15" customHeight="1" x14ac:dyDescent="0.2">
      <c r="A1286" s="1" t="s">
        <v>3164</v>
      </c>
      <c r="B1286" s="1" t="s">
        <v>3093</v>
      </c>
      <c r="C1286" s="580">
        <v>91</v>
      </c>
      <c r="D1286" s="1">
        <v>496.8</v>
      </c>
      <c r="E1286" t="s">
        <v>3094</v>
      </c>
      <c r="F1286">
        <v>3021</v>
      </c>
      <c r="G1286" s="580">
        <v>120</v>
      </c>
      <c r="H1286" s="1" t="s">
        <v>3165</v>
      </c>
      <c r="I1286" s="1"/>
      <c r="J1286" s="1"/>
      <c r="K1286" s="1"/>
      <c r="L1286" s="1"/>
      <c r="M1286" s="1"/>
      <c r="N1286" s="1"/>
      <c r="Q1286"/>
    </row>
    <row r="1287" spans="1:17" ht="13.15" customHeight="1" x14ac:dyDescent="0.2">
      <c r="A1287" s="1" t="s">
        <v>3166</v>
      </c>
      <c r="B1287" s="1" t="s">
        <v>3093</v>
      </c>
      <c r="C1287" s="580">
        <v>92</v>
      </c>
      <c r="D1287" s="1">
        <v>476.1</v>
      </c>
      <c r="E1287" t="s">
        <v>3094</v>
      </c>
      <c r="F1287">
        <v>3039</v>
      </c>
      <c r="G1287" s="580">
        <v>115</v>
      </c>
      <c r="H1287" s="1" t="s">
        <v>3167</v>
      </c>
      <c r="I1287" s="1"/>
      <c r="J1287" s="1"/>
      <c r="K1287" s="1"/>
      <c r="L1287" s="1"/>
      <c r="M1287" s="1"/>
      <c r="N1287" s="1"/>
      <c r="Q1287"/>
    </row>
    <row r="1288" spans="1:17" ht="13.15" customHeight="1" x14ac:dyDescent="0.2">
      <c r="A1288" s="1" t="s">
        <v>3168</v>
      </c>
      <c r="B1288" s="1" t="s">
        <v>3093</v>
      </c>
      <c r="C1288" s="580">
        <v>93</v>
      </c>
      <c r="D1288" s="1">
        <v>517.5</v>
      </c>
      <c r="E1288" t="s">
        <v>3094</v>
      </c>
      <c r="F1288">
        <v>3014</v>
      </c>
      <c r="G1288" s="580">
        <v>125</v>
      </c>
      <c r="H1288" s="1" t="s">
        <v>3169</v>
      </c>
      <c r="I1288" s="1"/>
      <c r="J1288" s="1"/>
      <c r="K1288" s="1"/>
      <c r="L1288" s="1"/>
      <c r="M1288" s="1"/>
      <c r="N1288" s="1"/>
      <c r="Q1288"/>
    </row>
    <row r="1289" spans="1:17" ht="13.15" customHeight="1" x14ac:dyDescent="0.2">
      <c r="A1289" s="1" t="s">
        <v>3170</v>
      </c>
      <c r="B1289" s="1" t="s">
        <v>3093</v>
      </c>
      <c r="C1289" s="580">
        <v>94</v>
      </c>
      <c r="D1289" s="1">
        <v>529.91999999999996</v>
      </c>
      <c r="E1289" t="s">
        <v>3094</v>
      </c>
      <c r="F1289">
        <v>3013</v>
      </c>
      <c r="G1289" s="580">
        <v>128</v>
      </c>
      <c r="H1289" s="1" t="s">
        <v>3171</v>
      </c>
      <c r="I1289" s="1"/>
      <c r="J1289" s="1"/>
      <c r="K1289" s="1"/>
      <c r="L1289" s="1"/>
      <c r="M1289" s="1"/>
      <c r="N1289" s="1"/>
      <c r="Q1289"/>
    </row>
    <row r="1290" spans="1:17" ht="13.15" customHeight="1" x14ac:dyDescent="0.2">
      <c r="A1290" s="1" t="s">
        <v>3172</v>
      </c>
      <c r="B1290" s="1" t="s">
        <v>3093</v>
      </c>
      <c r="C1290" s="580">
        <v>95</v>
      </c>
      <c r="D1290" s="1">
        <v>2484</v>
      </c>
      <c r="E1290" t="s">
        <v>3094</v>
      </c>
      <c r="F1290">
        <v>3125</v>
      </c>
      <c r="G1290" s="580">
        <v>600</v>
      </c>
      <c r="H1290" s="1" t="s">
        <v>3173</v>
      </c>
      <c r="I1290" s="1"/>
      <c r="J1290" s="1"/>
      <c r="K1290" s="1"/>
      <c r="L1290" s="1"/>
      <c r="M1290" s="1"/>
      <c r="N1290" s="1"/>
      <c r="Q1290"/>
    </row>
    <row r="1291" spans="1:17" ht="13.15" customHeight="1" x14ac:dyDescent="0.2">
      <c r="A1291" s="1" t="s">
        <v>3174</v>
      </c>
      <c r="B1291" s="1" t="s">
        <v>3175</v>
      </c>
      <c r="C1291" s="580">
        <v>2</v>
      </c>
      <c r="D1291" s="1">
        <v>988.02</v>
      </c>
      <c r="E1291" t="s">
        <v>3176</v>
      </c>
      <c r="F1291" t="s">
        <v>3177</v>
      </c>
      <c r="G1291" s="580">
        <v>276</v>
      </c>
      <c r="H1291" s="1" t="s">
        <v>3178</v>
      </c>
      <c r="I1291" s="1"/>
      <c r="J1291" s="1"/>
      <c r="K1291" s="1"/>
      <c r="L1291" s="1"/>
      <c r="M1291" s="1"/>
      <c r="N1291" s="1"/>
      <c r="Q1291"/>
    </row>
    <row r="1292" spans="1:17" ht="13.15" customHeight="1" x14ac:dyDescent="0.2">
      <c r="A1292" s="1" t="s">
        <v>3179</v>
      </c>
      <c r="B1292" s="1" t="s">
        <v>3175</v>
      </c>
      <c r="C1292" s="580">
        <v>3</v>
      </c>
      <c r="D1292" s="1">
        <v>988.02</v>
      </c>
      <c r="E1292" t="s">
        <v>3176</v>
      </c>
      <c r="F1292" t="s">
        <v>3180</v>
      </c>
      <c r="G1292" s="580">
        <v>276</v>
      </c>
      <c r="H1292" s="1" t="s">
        <v>3181</v>
      </c>
      <c r="I1292" s="1"/>
      <c r="J1292" s="1"/>
      <c r="K1292" s="1"/>
      <c r="L1292" s="1"/>
      <c r="M1292" s="1"/>
      <c r="N1292" s="1"/>
      <c r="Q1292"/>
    </row>
    <row r="1293" spans="1:17" ht="13.15" customHeight="1" x14ac:dyDescent="0.2">
      <c r="A1293" s="1" t="s">
        <v>3182</v>
      </c>
      <c r="B1293" s="1" t="s">
        <v>3175</v>
      </c>
      <c r="C1293" s="580">
        <v>5</v>
      </c>
      <c r="D1293" s="1">
        <v>988.02</v>
      </c>
      <c r="E1293" t="s">
        <v>3176</v>
      </c>
      <c r="F1293" t="s">
        <v>3183</v>
      </c>
      <c r="G1293" s="580">
        <v>276</v>
      </c>
      <c r="H1293" s="1" t="s">
        <v>3184</v>
      </c>
      <c r="I1293" s="1"/>
      <c r="J1293" s="1"/>
      <c r="K1293" s="1"/>
      <c r="L1293" s="1"/>
      <c r="M1293" s="1"/>
      <c r="N1293" s="1"/>
      <c r="Q1293"/>
    </row>
    <row r="1294" spans="1:17" ht="13.15" customHeight="1" x14ac:dyDescent="0.2">
      <c r="A1294" s="1" t="s">
        <v>3185</v>
      </c>
      <c r="B1294" s="1" t="s">
        <v>3175</v>
      </c>
      <c r="C1294" s="580">
        <v>6</v>
      </c>
      <c r="D1294" s="1">
        <v>988.02</v>
      </c>
      <c r="E1294" t="s">
        <v>3176</v>
      </c>
      <c r="F1294" t="s">
        <v>3186</v>
      </c>
      <c r="G1294" s="580">
        <v>276</v>
      </c>
      <c r="H1294" s="1" t="s">
        <v>3187</v>
      </c>
      <c r="I1294" s="1"/>
      <c r="J1294" s="1"/>
      <c r="K1294" s="1"/>
      <c r="L1294" s="1"/>
      <c r="M1294" s="1"/>
      <c r="N1294" s="1"/>
      <c r="Q1294"/>
    </row>
    <row r="1295" spans="1:17" ht="13.15" customHeight="1" x14ac:dyDescent="0.2">
      <c r="A1295" s="1" t="s">
        <v>3188</v>
      </c>
      <c r="B1295" s="1" t="s">
        <v>3175</v>
      </c>
      <c r="C1295" s="580">
        <v>7</v>
      </c>
      <c r="D1295" s="1">
        <v>1324.92</v>
      </c>
      <c r="E1295" t="s">
        <v>3176</v>
      </c>
      <c r="F1295" t="s">
        <v>3189</v>
      </c>
      <c r="G1295" s="580">
        <v>232</v>
      </c>
      <c r="H1295" s="1" t="s">
        <v>3190</v>
      </c>
      <c r="I1295" s="1"/>
      <c r="J1295" s="1"/>
      <c r="K1295" s="1"/>
      <c r="L1295" s="1"/>
      <c r="M1295" s="1"/>
      <c r="N1295" s="1"/>
      <c r="Q1295"/>
    </row>
    <row r="1296" spans="1:17" ht="13.15" customHeight="1" x14ac:dyDescent="0.2">
      <c r="A1296" s="1" t="s">
        <v>3191</v>
      </c>
      <c r="B1296" s="1" t="s">
        <v>3175</v>
      </c>
      <c r="C1296" s="580">
        <v>8</v>
      </c>
      <c r="D1296" s="1">
        <v>1324.92</v>
      </c>
      <c r="E1296" t="s">
        <v>3176</v>
      </c>
      <c r="F1296" t="s">
        <v>3192</v>
      </c>
      <c r="G1296" s="580">
        <v>232</v>
      </c>
      <c r="H1296" s="1" t="s">
        <v>3193</v>
      </c>
      <c r="I1296" s="1"/>
      <c r="J1296" s="1"/>
      <c r="K1296" s="1"/>
      <c r="L1296" s="1"/>
      <c r="M1296" s="1"/>
      <c r="N1296" s="1"/>
      <c r="Q1296"/>
    </row>
    <row r="1297" spans="1:17" ht="13.15" customHeight="1" x14ac:dyDescent="0.2">
      <c r="A1297" s="1" t="s">
        <v>3194</v>
      </c>
      <c r="B1297" s="1" t="s">
        <v>3175</v>
      </c>
      <c r="C1297" s="580" t="s">
        <v>3195</v>
      </c>
      <c r="D1297" s="1">
        <v>443.52</v>
      </c>
      <c r="E1297" t="s">
        <v>3176</v>
      </c>
      <c r="F1297" t="s">
        <v>3196</v>
      </c>
      <c r="G1297" s="580">
        <v>145</v>
      </c>
      <c r="H1297" s="1" t="s">
        <v>3197</v>
      </c>
      <c r="I1297" s="1"/>
      <c r="J1297" s="1"/>
      <c r="K1297" s="1"/>
      <c r="L1297" s="1"/>
      <c r="M1297" s="1"/>
      <c r="N1297" s="1"/>
      <c r="Q1297"/>
    </row>
    <row r="1298" spans="1:17" ht="13.15" customHeight="1" x14ac:dyDescent="0.2">
      <c r="A1298" s="1" t="s">
        <v>3198</v>
      </c>
      <c r="B1298" s="1" t="s">
        <v>3175</v>
      </c>
      <c r="C1298" s="580" t="s">
        <v>3199</v>
      </c>
      <c r="D1298" s="1">
        <v>443.52</v>
      </c>
      <c r="E1298" t="s">
        <v>3176</v>
      </c>
      <c r="F1298" t="s">
        <v>3200</v>
      </c>
      <c r="G1298" s="580">
        <v>145</v>
      </c>
      <c r="H1298" s="1" t="s">
        <v>3201</v>
      </c>
      <c r="I1298" s="1"/>
      <c r="J1298" s="1"/>
      <c r="K1298" s="1"/>
      <c r="L1298" s="1"/>
      <c r="M1298" s="1"/>
      <c r="N1298" s="1"/>
      <c r="Q1298"/>
    </row>
    <row r="1299" spans="1:17" ht="13.15" customHeight="1" x14ac:dyDescent="0.2">
      <c r="A1299" s="1" t="s">
        <v>3202</v>
      </c>
      <c r="B1299" s="1" t="s">
        <v>3175</v>
      </c>
      <c r="C1299" s="580">
        <v>9</v>
      </c>
      <c r="D1299" s="1">
        <v>616.03</v>
      </c>
      <c r="E1299" t="s">
        <v>3176</v>
      </c>
      <c r="F1299" t="s">
        <v>3203</v>
      </c>
      <c r="G1299" s="580">
        <v>189</v>
      </c>
      <c r="H1299" s="1" t="s">
        <v>3204</v>
      </c>
      <c r="I1299" s="1"/>
      <c r="J1299" s="1"/>
      <c r="K1299" s="1"/>
      <c r="L1299" s="1"/>
      <c r="M1299" s="1"/>
      <c r="N1299" s="1"/>
      <c r="Q1299"/>
    </row>
    <row r="1300" spans="1:17" ht="13.15" customHeight="1" x14ac:dyDescent="0.2">
      <c r="A1300" s="1" t="s">
        <v>3205</v>
      </c>
      <c r="B1300" s="1" t="s">
        <v>3175</v>
      </c>
      <c r="C1300" s="580">
        <v>10</v>
      </c>
      <c r="D1300" s="1">
        <v>616.03</v>
      </c>
      <c r="E1300" t="s">
        <v>3176</v>
      </c>
      <c r="F1300" t="s">
        <v>3206</v>
      </c>
      <c r="G1300" s="580">
        <v>189</v>
      </c>
      <c r="H1300" s="1" t="s">
        <v>3207</v>
      </c>
      <c r="I1300" s="1"/>
      <c r="J1300" s="1"/>
      <c r="K1300" s="1"/>
      <c r="L1300" s="1"/>
      <c r="M1300" s="1"/>
      <c r="N1300" s="1"/>
      <c r="Q1300"/>
    </row>
    <row r="1301" spans="1:17" ht="13.15" customHeight="1" x14ac:dyDescent="0.2">
      <c r="A1301" s="1" t="s">
        <v>3208</v>
      </c>
      <c r="B1301" s="1" t="s">
        <v>3175</v>
      </c>
      <c r="C1301" s="580">
        <v>12</v>
      </c>
      <c r="D1301" s="1">
        <v>723.45</v>
      </c>
      <c r="E1301" t="s">
        <v>3176</v>
      </c>
      <c r="F1301" t="s">
        <v>3209</v>
      </c>
      <c r="G1301" s="580">
        <v>203</v>
      </c>
      <c r="H1301" s="1" t="s">
        <v>3210</v>
      </c>
      <c r="I1301" s="1"/>
      <c r="J1301" s="1"/>
      <c r="K1301" s="1"/>
      <c r="L1301" s="1"/>
      <c r="M1301" s="1"/>
      <c r="N1301" s="1"/>
      <c r="Q1301"/>
    </row>
    <row r="1302" spans="1:17" ht="13.15" customHeight="1" x14ac:dyDescent="0.2">
      <c r="A1302" s="1" t="s">
        <v>3211</v>
      </c>
      <c r="B1302" s="1" t="s">
        <v>3175</v>
      </c>
      <c r="C1302" s="580">
        <v>13</v>
      </c>
      <c r="D1302" s="1">
        <v>723.45</v>
      </c>
      <c r="E1302" t="s">
        <v>3176</v>
      </c>
      <c r="F1302" t="s">
        <v>3212</v>
      </c>
      <c r="G1302" s="580">
        <v>203</v>
      </c>
      <c r="H1302" s="1" t="s">
        <v>3213</v>
      </c>
      <c r="I1302" s="1"/>
      <c r="J1302" s="1"/>
      <c r="K1302" s="1"/>
      <c r="L1302" s="1"/>
      <c r="M1302" s="1"/>
      <c r="N1302" s="1"/>
      <c r="Q1302"/>
    </row>
    <row r="1303" spans="1:17" ht="13.15" customHeight="1" x14ac:dyDescent="0.2">
      <c r="A1303" s="1" t="s">
        <v>3214</v>
      </c>
      <c r="B1303" s="1" t="s">
        <v>3175</v>
      </c>
      <c r="C1303" s="580">
        <v>14</v>
      </c>
      <c r="D1303" s="1">
        <v>320.95</v>
      </c>
      <c r="E1303" t="s">
        <v>3176</v>
      </c>
      <c r="F1303" t="s">
        <v>3215</v>
      </c>
      <c r="G1303" s="580">
        <v>117</v>
      </c>
      <c r="H1303" s="1" t="s">
        <v>3216</v>
      </c>
      <c r="I1303" s="1"/>
      <c r="J1303" s="1"/>
      <c r="K1303" s="1"/>
      <c r="L1303" s="1"/>
      <c r="M1303" s="1"/>
      <c r="N1303" s="1"/>
      <c r="Q1303"/>
    </row>
    <row r="1304" spans="1:17" ht="13.15" customHeight="1" x14ac:dyDescent="0.2">
      <c r="A1304" s="1" t="s">
        <v>3217</v>
      </c>
      <c r="B1304" s="1" t="s">
        <v>3175</v>
      </c>
      <c r="C1304" s="580">
        <v>15</v>
      </c>
      <c r="D1304" s="1">
        <v>351.9</v>
      </c>
      <c r="E1304" t="s">
        <v>3176</v>
      </c>
      <c r="F1304" t="s">
        <v>3218</v>
      </c>
      <c r="G1304" s="580">
        <v>131</v>
      </c>
      <c r="H1304" s="1" t="s">
        <v>3219</v>
      </c>
      <c r="I1304" s="1"/>
      <c r="J1304" s="1"/>
      <c r="K1304" s="1"/>
      <c r="L1304" s="1"/>
      <c r="M1304" s="1"/>
      <c r="N1304" s="1"/>
      <c r="Q1304"/>
    </row>
    <row r="1305" spans="1:17" ht="13.15" customHeight="1" x14ac:dyDescent="0.2">
      <c r="A1305" s="1" t="s">
        <v>3220</v>
      </c>
      <c r="B1305" s="1" t="s">
        <v>3175</v>
      </c>
      <c r="C1305" s="580">
        <v>16</v>
      </c>
      <c r="D1305" s="1">
        <v>320.95</v>
      </c>
      <c r="E1305" t="s">
        <v>3176</v>
      </c>
      <c r="F1305" t="s">
        <v>3221</v>
      </c>
      <c r="G1305" s="580">
        <v>117</v>
      </c>
      <c r="H1305" s="1" t="s">
        <v>3222</v>
      </c>
      <c r="I1305" s="1"/>
      <c r="J1305" s="1"/>
      <c r="K1305" s="1"/>
      <c r="L1305" s="1"/>
      <c r="M1305" s="1"/>
      <c r="N1305" s="1"/>
      <c r="Q1305"/>
    </row>
    <row r="1306" spans="1:17" ht="13.15" customHeight="1" x14ac:dyDescent="0.2">
      <c r="A1306" s="1" t="s">
        <v>3223</v>
      </c>
      <c r="B1306" s="1" t="s">
        <v>3175</v>
      </c>
      <c r="C1306" s="580">
        <v>17</v>
      </c>
      <c r="D1306" s="1">
        <v>351.9</v>
      </c>
      <c r="E1306" t="s">
        <v>3176</v>
      </c>
      <c r="F1306" t="s">
        <v>3224</v>
      </c>
      <c r="G1306" s="580">
        <v>131</v>
      </c>
      <c r="H1306" s="1" t="s">
        <v>3225</v>
      </c>
      <c r="I1306" s="1"/>
      <c r="J1306" s="1"/>
      <c r="K1306" s="1"/>
      <c r="L1306" s="1"/>
      <c r="M1306" s="1"/>
      <c r="N1306" s="1"/>
      <c r="Q1306"/>
    </row>
    <row r="1307" spans="1:17" ht="13.15" customHeight="1" x14ac:dyDescent="0.2">
      <c r="A1307" s="1" t="s">
        <v>3226</v>
      </c>
      <c r="B1307" s="1" t="s">
        <v>3175</v>
      </c>
      <c r="C1307" s="580">
        <v>18</v>
      </c>
      <c r="D1307" s="1">
        <v>320.95</v>
      </c>
      <c r="E1307" t="s">
        <v>3176</v>
      </c>
      <c r="F1307" t="s">
        <v>3227</v>
      </c>
      <c r="G1307" s="580">
        <v>117</v>
      </c>
      <c r="H1307" s="1" t="s">
        <v>3228</v>
      </c>
      <c r="I1307" s="1"/>
      <c r="J1307" s="1"/>
      <c r="K1307" s="1"/>
      <c r="L1307" s="1"/>
      <c r="M1307" s="1"/>
      <c r="N1307" s="1"/>
      <c r="Q1307"/>
    </row>
    <row r="1308" spans="1:17" ht="13.15" customHeight="1" x14ac:dyDescent="0.2">
      <c r="A1308" s="1" t="s">
        <v>3229</v>
      </c>
      <c r="B1308" s="1" t="s">
        <v>3175</v>
      </c>
      <c r="C1308" s="580">
        <v>19</v>
      </c>
      <c r="D1308" s="1">
        <v>170</v>
      </c>
      <c r="E1308" t="s">
        <v>3176</v>
      </c>
      <c r="F1308">
        <v>0</v>
      </c>
      <c r="G1308" s="580">
        <v>0</v>
      </c>
      <c r="H1308" s="1" t="s">
        <v>3230</v>
      </c>
      <c r="I1308" s="1"/>
      <c r="J1308" s="1"/>
      <c r="K1308" s="1"/>
      <c r="L1308" s="1"/>
      <c r="M1308" s="1"/>
      <c r="N1308" s="1"/>
      <c r="Q1308"/>
    </row>
    <row r="1309" spans="1:17" ht="13.15" customHeight="1" x14ac:dyDescent="0.2">
      <c r="A1309" s="1" t="s">
        <v>3231</v>
      </c>
      <c r="B1309" s="1" t="s">
        <v>3175</v>
      </c>
      <c r="C1309" s="580">
        <v>20</v>
      </c>
      <c r="D1309" s="1">
        <v>160</v>
      </c>
      <c r="E1309" t="s">
        <v>3176</v>
      </c>
      <c r="F1309">
        <v>0</v>
      </c>
      <c r="G1309" s="580">
        <v>0</v>
      </c>
      <c r="H1309" s="1" t="s">
        <v>3232</v>
      </c>
      <c r="I1309" s="1"/>
      <c r="J1309" s="1"/>
      <c r="K1309" s="1"/>
      <c r="L1309" s="1"/>
      <c r="M1309" s="1"/>
      <c r="N1309" s="1"/>
      <c r="Q1309"/>
    </row>
    <row r="1310" spans="1:17" ht="13.15" customHeight="1" x14ac:dyDescent="0.2">
      <c r="A1310" s="1" t="s">
        <v>3233</v>
      </c>
      <c r="B1310" s="1" t="s">
        <v>3175</v>
      </c>
      <c r="C1310" s="580">
        <v>21</v>
      </c>
      <c r="D1310" s="1">
        <v>365.39</v>
      </c>
      <c r="E1310" t="s">
        <v>3176</v>
      </c>
      <c r="F1310" t="s">
        <v>3234</v>
      </c>
      <c r="G1310" s="580">
        <v>131</v>
      </c>
      <c r="H1310" s="1" t="s">
        <v>3235</v>
      </c>
      <c r="I1310" s="1"/>
      <c r="J1310" s="1"/>
      <c r="K1310" s="1"/>
      <c r="L1310" s="1"/>
      <c r="M1310" s="1"/>
      <c r="N1310" s="1"/>
      <c r="Q1310"/>
    </row>
    <row r="1311" spans="1:17" ht="13.15" customHeight="1" x14ac:dyDescent="0.2">
      <c r="A1311" s="1" t="s">
        <v>3236</v>
      </c>
      <c r="B1311" s="1" t="s">
        <v>3175</v>
      </c>
      <c r="C1311" s="580">
        <v>22</v>
      </c>
      <c r="D1311" s="1">
        <v>320.23</v>
      </c>
      <c r="E1311" t="s">
        <v>3176</v>
      </c>
      <c r="F1311" t="s">
        <v>3237</v>
      </c>
      <c r="G1311" s="580">
        <v>117</v>
      </c>
      <c r="H1311" s="1" t="s">
        <v>3238</v>
      </c>
      <c r="I1311" s="1"/>
      <c r="J1311" s="1"/>
      <c r="K1311" s="1"/>
      <c r="L1311" s="1"/>
      <c r="M1311" s="1"/>
      <c r="N1311" s="1"/>
      <c r="Q1311"/>
    </row>
    <row r="1312" spans="1:17" ht="13.15" customHeight="1" x14ac:dyDescent="0.2">
      <c r="A1312" s="1" t="s">
        <v>3239</v>
      </c>
      <c r="B1312" s="1" t="s">
        <v>3175</v>
      </c>
      <c r="C1312" s="580">
        <v>24</v>
      </c>
      <c r="D1312" s="1">
        <v>320.23</v>
      </c>
      <c r="E1312" t="s">
        <v>3176</v>
      </c>
      <c r="F1312" t="s">
        <v>3240</v>
      </c>
      <c r="G1312" s="580">
        <v>117</v>
      </c>
      <c r="H1312" s="1" t="s">
        <v>3241</v>
      </c>
      <c r="I1312" s="1"/>
      <c r="J1312" s="1"/>
      <c r="K1312" s="1"/>
      <c r="L1312" s="1"/>
      <c r="M1312" s="1"/>
      <c r="N1312" s="1"/>
      <c r="Q1312"/>
    </row>
    <row r="1313" spans="1:17" ht="13.15" customHeight="1" x14ac:dyDescent="0.2">
      <c r="A1313" s="1" t="s">
        <v>3242</v>
      </c>
      <c r="B1313" s="1" t="s">
        <v>3175</v>
      </c>
      <c r="C1313" s="580">
        <v>25</v>
      </c>
      <c r="D1313" s="1">
        <v>355.15</v>
      </c>
      <c r="E1313" t="s">
        <v>3176</v>
      </c>
      <c r="F1313" t="s">
        <v>3243</v>
      </c>
      <c r="G1313" s="580">
        <v>131</v>
      </c>
      <c r="H1313" s="1" t="s">
        <v>3244</v>
      </c>
      <c r="I1313" s="1"/>
      <c r="J1313" s="1"/>
      <c r="K1313" s="1"/>
      <c r="L1313" s="1"/>
      <c r="M1313" s="1"/>
      <c r="N1313" s="1"/>
      <c r="Q1313"/>
    </row>
    <row r="1314" spans="1:17" ht="13.15" customHeight="1" x14ac:dyDescent="0.2">
      <c r="A1314" s="1" t="s">
        <v>3245</v>
      </c>
      <c r="B1314" s="1" t="s">
        <v>3175</v>
      </c>
      <c r="C1314" s="580">
        <v>26</v>
      </c>
      <c r="D1314" s="1">
        <v>355.15</v>
      </c>
      <c r="E1314" t="s">
        <v>3176</v>
      </c>
      <c r="F1314" t="s">
        <v>3246</v>
      </c>
      <c r="G1314" s="580">
        <v>131</v>
      </c>
      <c r="H1314" s="1" t="s">
        <v>3247</v>
      </c>
      <c r="I1314" s="1"/>
      <c r="J1314" s="1"/>
      <c r="K1314" s="1"/>
      <c r="L1314" s="1"/>
      <c r="M1314" s="1"/>
      <c r="N1314" s="1"/>
      <c r="Q1314"/>
    </row>
    <row r="1315" spans="1:17" ht="13.15" customHeight="1" x14ac:dyDescent="0.2">
      <c r="A1315" s="1" t="s">
        <v>3248</v>
      </c>
      <c r="B1315" s="1" t="s">
        <v>3175</v>
      </c>
      <c r="C1315" s="580">
        <v>28</v>
      </c>
      <c r="D1315" s="1">
        <v>370.21</v>
      </c>
      <c r="E1315" t="s">
        <v>3176</v>
      </c>
      <c r="F1315" t="s">
        <v>3249</v>
      </c>
      <c r="G1315" s="580">
        <v>131</v>
      </c>
      <c r="H1315" s="1" t="s">
        <v>3250</v>
      </c>
      <c r="I1315" s="1"/>
      <c r="J1315" s="1"/>
      <c r="K1315" s="1"/>
      <c r="L1315" s="1"/>
      <c r="M1315" s="1"/>
      <c r="N1315" s="1"/>
      <c r="Q1315"/>
    </row>
    <row r="1316" spans="1:17" ht="13.15" customHeight="1" x14ac:dyDescent="0.2">
      <c r="A1316" s="1" t="s">
        <v>3251</v>
      </c>
      <c r="B1316" s="1" t="s">
        <v>3175</v>
      </c>
      <c r="C1316" s="580">
        <v>32</v>
      </c>
      <c r="D1316" s="1">
        <v>295.95999999999998</v>
      </c>
      <c r="E1316" t="s">
        <v>3176</v>
      </c>
      <c r="F1316" t="s">
        <v>3252</v>
      </c>
      <c r="G1316" s="580">
        <v>117</v>
      </c>
      <c r="H1316" s="1" t="s">
        <v>3252</v>
      </c>
      <c r="I1316" s="1"/>
      <c r="J1316" s="1"/>
      <c r="K1316" s="1"/>
      <c r="L1316" s="1"/>
      <c r="M1316" s="1"/>
      <c r="N1316" s="1"/>
      <c r="Q1316"/>
    </row>
    <row r="1317" spans="1:17" ht="13.15" customHeight="1" x14ac:dyDescent="0.2">
      <c r="A1317" s="1" t="s">
        <v>3253</v>
      </c>
      <c r="B1317" s="1" t="s">
        <v>3175</v>
      </c>
      <c r="C1317" s="580">
        <v>33</v>
      </c>
      <c r="D1317" s="1">
        <v>295.95999999999998</v>
      </c>
      <c r="E1317" t="s">
        <v>3176</v>
      </c>
      <c r="F1317" t="s">
        <v>3254</v>
      </c>
      <c r="G1317" s="580">
        <v>117</v>
      </c>
      <c r="H1317" s="1" t="s">
        <v>3254</v>
      </c>
      <c r="I1317" s="1"/>
      <c r="J1317" s="1"/>
      <c r="K1317" s="1"/>
      <c r="L1317" s="1"/>
      <c r="M1317" s="1"/>
      <c r="N1317" s="1"/>
      <c r="Q1317"/>
    </row>
    <row r="1318" spans="1:17" ht="13.15" customHeight="1" x14ac:dyDescent="0.2">
      <c r="A1318" s="1" t="s">
        <v>3255</v>
      </c>
      <c r="B1318" s="1" t="s">
        <v>3175</v>
      </c>
      <c r="C1318" s="580">
        <v>34</v>
      </c>
      <c r="D1318" s="1">
        <v>280.61</v>
      </c>
      <c r="E1318" t="s">
        <v>3176</v>
      </c>
      <c r="F1318" t="s">
        <v>3256</v>
      </c>
      <c r="G1318" s="580">
        <v>117</v>
      </c>
      <c r="H1318" s="1" t="s">
        <v>3256</v>
      </c>
      <c r="I1318" s="1"/>
      <c r="J1318" s="1"/>
      <c r="K1318" s="1"/>
      <c r="L1318" s="1"/>
      <c r="M1318" s="1"/>
      <c r="N1318" s="1"/>
      <c r="Q1318"/>
    </row>
    <row r="1319" spans="1:17" ht="13.15" customHeight="1" x14ac:dyDescent="0.2">
      <c r="A1319" s="1" t="s">
        <v>3257</v>
      </c>
      <c r="B1319" s="1" t="s">
        <v>3175</v>
      </c>
      <c r="C1319" s="580">
        <v>35</v>
      </c>
      <c r="D1319" s="1">
        <v>155.9</v>
      </c>
      <c r="E1319" t="s">
        <v>3176</v>
      </c>
      <c r="F1319" t="s">
        <v>3258</v>
      </c>
      <c r="G1319" s="580">
        <v>0</v>
      </c>
      <c r="H1319" s="1" t="s">
        <v>3258</v>
      </c>
      <c r="I1319" s="1"/>
      <c r="J1319" s="1"/>
      <c r="K1319" s="1"/>
      <c r="L1319" s="1"/>
      <c r="M1319" s="1"/>
      <c r="N1319" s="1"/>
      <c r="Q1319"/>
    </row>
    <row r="1320" spans="1:17" ht="13.15" customHeight="1" x14ac:dyDescent="0.2">
      <c r="A1320" s="1" t="s">
        <v>3259</v>
      </c>
      <c r="B1320" s="1" t="s">
        <v>3175</v>
      </c>
      <c r="C1320" s="580">
        <v>36</v>
      </c>
      <c r="D1320" s="1">
        <v>276.37</v>
      </c>
      <c r="E1320" t="s">
        <v>3176</v>
      </c>
      <c r="F1320" t="s">
        <v>3260</v>
      </c>
      <c r="G1320" s="580">
        <v>117</v>
      </c>
      <c r="H1320" s="1" t="s">
        <v>3260</v>
      </c>
      <c r="I1320" s="1"/>
      <c r="J1320" s="1"/>
      <c r="K1320" s="1"/>
      <c r="L1320" s="1"/>
      <c r="M1320" s="1"/>
      <c r="N1320" s="1"/>
      <c r="Q1320"/>
    </row>
    <row r="1321" spans="1:17" ht="13.15" customHeight="1" x14ac:dyDescent="0.2">
      <c r="A1321" s="1" t="s">
        <v>3261</v>
      </c>
      <c r="B1321" s="1" t="s">
        <v>3175</v>
      </c>
      <c r="C1321" s="580">
        <v>42</v>
      </c>
      <c r="D1321" s="1">
        <v>342.22</v>
      </c>
      <c r="E1321" t="s">
        <v>3176</v>
      </c>
      <c r="F1321" t="s">
        <v>3262</v>
      </c>
      <c r="G1321" s="580">
        <v>145</v>
      </c>
      <c r="H1321" s="1" t="s">
        <v>3263</v>
      </c>
      <c r="I1321" s="1"/>
      <c r="J1321" s="1"/>
      <c r="K1321" s="1"/>
      <c r="L1321" s="1"/>
      <c r="M1321" s="1"/>
      <c r="N1321" s="1"/>
      <c r="Q1321"/>
    </row>
    <row r="1322" spans="1:17" ht="13.15" customHeight="1" x14ac:dyDescent="0.2">
      <c r="A1322" s="1" t="s">
        <v>3264</v>
      </c>
      <c r="B1322" s="1" t="s">
        <v>3175</v>
      </c>
      <c r="C1322" s="580">
        <v>43</v>
      </c>
      <c r="D1322" s="1">
        <v>342.22</v>
      </c>
      <c r="E1322" t="s">
        <v>3176</v>
      </c>
      <c r="F1322" t="s">
        <v>3265</v>
      </c>
      <c r="G1322" s="580">
        <v>145</v>
      </c>
      <c r="H1322" s="1" t="s">
        <v>3266</v>
      </c>
      <c r="I1322" s="1"/>
      <c r="J1322" s="1"/>
      <c r="K1322" s="1"/>
      <c r="L1322" s="1"/>
      <c r="M1322" s="1"/>
      <c r="N1322" s="1"/>
      <c r="Q1322"/>
    </row>
    <row r="1323" spans="1:17" ht="13.15" customHeight="1" x14ac:dyDescent="0.2">
      <c r="A1323" s="1" t="s">
        <v>3267</v>
      </c>
      <c r="B1323" s="1" t="s">
        <v>3175</v>
      </c>
      <c r="C1323" s="580">
        <v>44</v>
      </c>
      <c r="D1323" s="1">
        <v>374.4</v>
      </c>
      <c r="E1323" t="s">
        <v>3176</v>
      </c>
      <c r="F1323" t="s">
        <v>3268</v>
      </c>
      <c r="G1323" s="580">
        <v>159</v>
      </c>
      <c r="H1323" s="1" t="s">
        <v>3269</v>
      </c>
      <c r="I1323" s="1"/>
      <c r="J1323" s="1"/>
      <c r="K1323" s="1"/>
      <c r="L1323" s="1"/>
      <c r="M1323" s="1"/>
      <c r="N1323" s="1"/>
      <c r="Q1323"/>
    </row>
    <row r="1324" spans="1:17" ht="13.15" customHeight="1" x14ac:dyDescent="0.2">
      <c r="A1324" s="1" t="s">
        <v>3270</v>
      </c>
      <c r="B1324" s="1" t="s">
        <v>3175</v>
      </c>
      <c r="C1324" s="580">
        <v>45</v>
      </c>
      <c r="D1324" s="1">
        <v>374.4</v>
      </c>
      <c r="E1324" t="s">
        <v>3176</v>
      </c>
      <c r="F1324" t="s">
        <v>3271</v>
      </c>
      <c r="G1324" s="580">
        <v>159</v>
      </c>
      <c r="H1324" s="1" t="s">
        <v>3272</v>
      </c>
      <c r="I1324" s="1"/>
      <c r="J1324" s="1"/>
      <c r="K1324" s="1"/>
      <c r="L1324" s="1"/>
      <c r="M1324" s="1"/>
      <c r="N1324" s="1"/>
      <c r="Q1324"/>
    </row>
    <row r="1325" spans="1:17" ht="13.15" customHeight="1" x14ac:dyDescent="0.2">
      <c r="A1325" s="1" t="s">
        <v>3273</v>
      </c>
      <c r="B1325" s="1" t="s">
        <v>3175</v>
      </c>
      <c r="C1325" s="580">
        <v>46</v>
      </c>
      <c r="D1325" s="1">
        <v>430.66</v>
      </c>
      <c r="E1325" t="s">
        <v>3176</v>
      </c>
      <c r="F1325" t="s">
        <v>3274</v>
      </c>
      <c r="G1325" s="580">
        <v>174</v>
      </c>
      <c r="H1325" s="1" t="s">
        <v>3275</v>
      </c>
      <c r="I1325" s="1"/>
      <c r="J1325" s="1"/>
      <c r="K1325" s="1"/>
      <c r="L1325" s="1"/>
      <c r="M1325" s="1"/>
      <c r="N1325" s="1"/>
      <c r="Q1325"/>
    </row>
    <row r="1326" spans="1:17" ht="13.15" customHeight="1" x14ac:dyDescent="0.2">
      <c r="A1326" s="1" t="s">
        <v>3276</v>
      </c>
      <c r="B1326" s="1" t="s">
        <v>3175</v>
      </c>
      <c r="C1326" s="580">
        <v>47</v>
      </c>
      <c r="D1326" s="1">
        <v>430.66</v>
      </c>
      <c r="E1326" t="s">
        <v>3176</v>
      </c>
      <c r="F1326" t="s">
        <v>3277</v>
      </c>
      <c r="G1326" s="580">
        <v>174</v>
      </c>
      <c r="H1326" s="1" t="s">
        <v>3278</v>
      </c>
      <c r="I1326" s="1"/>
      <c r="J1326" s="1"/>
      <c r="K1326" s="1"/>
      <c r="L1326" s="1"/>
      <c r="M1326" s="1"/>
      <c r="N1326" s="1"/>
      <c r="Q1326"/>
    </row>
    <row r="1327" spans="1:17" ht="13.15" customHeight="1" x14ac:dyDescent="0.2">
      <c r="A1327" s="1" t="s">
        <v>3279</v>
      </c>
      <c r="B1327" s="1" t="s">
        <v>3280</v>
      </c>
      <c r="C1327" s="580" t="s">
        <v>3281</v>
      </c>
      <c r="D1327" s="1">
        <v>1036.5119999999999</v>
      </c>
      <c r="E1327" t="s">
        <v>3282</v>
      </c>
      <c r="F1327" t="s">
        <v>3282</v>
      </c>
      <c r="G1327" s="580">
        <v>0</v>
      </c>
      <c r="H1327" s="1">
        <v>0</v>
      </c>
      <c r="I1327" s="1"/>
      <c r="J1327" s="1"/>
      <c r="K1327" s="1"/>
      <c r="L1327" s="1"/>
      <c r="M1327" s="1"/>
      <c r="N1327" s="1"/>
      <c r="Q1327"/>
    </row>
    <row r="1328" spans="1:17" ht="13.15" customHeight="1" x14ac:dyDescent="0.2">
      <c r="A1328" s="1" t="s">
        <v>3283</v>
      </c>
      <c r="B1328" s="1" t="s">
        <v>3280</v>
      </c>
      <c r="C1328" s="580" t="s">
        <v>3284</v>
      </c>
      <c r="D1328" s="1">
        <v>1658.7360000000001</v>
      </c>
      <c r="E1328" t="s">
        <v>3282</v>
      </c>
      <c r="F1328" t="s">
        <v>3285</v>
      </c>
      <c r="G1328" s="580">
        <v>0</v>
      </c>
      <c r="H1328" s="1">
        <v>0</v>
      </c>
      <c r="I1328" s="1"/>
      <c r="J1328" s="1"/>
      <c r="K1328" s="1"/>
      <c r="L1328" s="1"/>
      <c r="M1328" s="1"/>
      <c r="N1328" s="1"/>
      <c r="Q1328"/>
    </row>
    <row r="1329" spans="1:17" ht="13.15" customHeight="1" x14ac:dyDescent="0.2">
      <c r="A1329" s="1" t="s">
        <v>3286</v>
      </c>
      <c r="B1329" s="1" t="s">
        <v>3280</v>
      </c>
      <c r="C1329" s="580" t="s">
        <v>3287</v>
      </c>
      <c r="D1329" s="1">
        <v>1174.932</v>
      </c>
      <c r="E1329" t="s">
        <v>3282</v>
      </c>
      <c r="F1329">
        <v>0</v>
      </c>
      <c r="G1329" s="580">
        <v>0</v>
      </c>
      <c r="H1329" s="1">
        <v>0</v>
      </c>
      <c r="I1329" s="1"/>
      <c r="J1329" s="1"/>
      <c r="K1329" s="1"/>
      <c r="L1329" s="1"/>
      <c r="M1329" s="1"/>
      <c r="N1329" s="1"/>
      <c r="Q1329"/>
    </row>
    <row r="1330" spans="1:17" ht="13.15" customHeight="1" x14ac:dyDescent="0.2">
      <c r="A1330" s="1" t="s">
        <v>3288</v>
      </c>
      <c r="B1330" s="1" t="s">
        <v>3280</v>
      </c>
      <c r="C1330" s="580" t="s">
        <v>3289</v>
      </c>
      <c r="D1330" s="1">
        <v>1796.8320000000001</v>
      </c>
      <c r="E1330" t="s">
        <v>3282</v>
      </c>
      <c r="F1330">
        <v>0</v>
      </c>
      <c r="G1330" s="580">
        <v>0</v>
      </c>
      <c r="H1330" s="1">
        <v>0</v>
      </c>
      <c r="I1330" s="1"/>
      <c r="J1330" s="1"/>
      <c r="K1330" s="1"/>
      <c r="L1330" s="1"/>
      <c r="M1330" s="1"/>
      <c r="N1330" s="1"/>
      <c r="Q1330"/>
    </row>
    <row r="1331" spans="1:17" ht="13.15" customHeight="1" x14ac:dyDescent="0.2">
      <c r="A1331" s="1" t="s">
        <v>3290</v>
      </c>
      <c r="B1331" s="1" t="s">
        <v>3280</v>
      </c>
      <c r="C1331" s="580" t="s">
        <v>3291</v>
      </c>
      <c r="D1331" s="1">
        <v>2280.672</v>
      </c>
      <c r="E1331" t="s">
        <v>3282</v>
      </c>
      <c r="F1331">
        <v>0</v>
      </c>
      <c r="G1331" s="580">
        <v>0</v>
      </c>
      <c r="H1331" s="1">
        <v>0</v>
      </c>
      <c r="I1331" s="1"/>
      <c r="J1331" s="1"/>
      <c r="K1331" s="1"/>
      <c r="L1331" s="1"/>
      <c r="M1331" s="1"/>
      <c r="N1331" s="1"/>
      <c r="Q1331"/>
    </row>
    <row r="1332" spans="1:17" ht="13.15" customHeight="1" x14ac:dyDescent="0.2">
      <c r="A1332" s="1" t="s">
        <v>3292</v>
      </c>
      <c r="B1332" s="1" t="s">
        <v>3280</v>
      </c>
      <c r="C1332" s="580" t="s">
        <v>3293</v>
      </c>
      <c r="D1332" s="1">
        <v>1313.028</v>
      </c>
      <c r="E1332" t="s">
        <v>3282</v>
      </c>
      <c r="F1332">
        <v>0</v>
      </c>
      <c r="G1332" s="580">
        <v>0</v>
      </c>
      <c r="H1332" s="1">
        <v>0</v>
      </c>
      <c r="I1332" s="1"/>
      <c r="J1332" s="1"/>
      <c r="K1332" s="1"/>
      <c r="L1332" s="1"/>
      <c r="M1332" s="1"/>
      <c r="N1332" s="1"/>
      <c r="Q1332"/>
    </row>
    <row r="1333" spans="1:17" ht="13.15" customHeight="1" x14ac:dyDescent="0.2">
      <c r="A1333" s="1" t="s">
        <v>3294</v>
      </c>
      <c r="B1333" s="1" t="s">
        <v>3280</v>
      </c>
      <c r="C1333" s="580" t="s">
        <v>3295</v>
      </c>
      <c r="D1333" s="1">
        <v>1866.06</v>
      </c>
      <c r="E1333" t="s">
        <v>3282</v>
      </c>
      <c r="F1333">
        <v>0</v>
      </c>
      <c r="G1333" s="580">
        <v>0</v>
      </c>
      <c r="H1333" s="1">
        <v>0</v>
      </c>
      <c r="I1333" s="1"/>
      <c r="J1333" s="1"/>
      <c r="K1333" s="1"/>
      <c r="L1333" s="1"/>
      <c r="M1333" s="1"/>
      <c r="N1333" s="1"/>
      <c r="Q1333"/>
    </row>
    <row r="1334" spans="1:17" ht="13.15" customHeight="1" x14ac:dyDescent="0.2">
      <c r="A1334" s="1" t="s">
        <v>3296</v>
      </c>
      <c r="B1334" s="1" t="s">
        <v>3280</v>
      </c>
      <c r="C1334" s="580" t="s">
        <v>3297</v>
      </c>
      <c r="D1334" s="1">
        <v>2487.96</v>
      </c>
      <c r="E1334" t="s">
        <v>3282</v>
      </c>
      <c r="F1334">
        <v>0</v>
      </c>
      <c r="G1334" s="580">
        <v>0</v>
      </c>
      <c r="H1334" s="1">
        <v>0</v>
      </c>
      <c r="I1334" s="1"/>
      <c r="J1334" s="1"/>
      <c r="K1334" s="1"/>
      <c r="L1334" s="1"/>
      <c r="M1334" s="1"/>
      <c r="N1334" s="1"/>
      <c r="Q1334"/>
    </row>
    <row r="1335" spans="1:17" ht="13.15" customHeight="1" x14ac:dyDescent="0.2">
      <c r="A1335" s="1" t="s">
        <v>3298</v>
      </c>
      <c r="B1335" s="1" t="s">
        <v>3280</v>
      </c>
      <c r="C1335" s="580" t="s">
        <v>3299</v>
      </c>
      <c r="D1335" s="1">
        <v>1451.4480000000001</v>
      </c>
      <c r="E1335" t="s">
        <v>3282</v>
      </c>
      <c r="F1335">
        <v>0</v>
      </c>
      <c r="G1335" s="580">
        <v>0</v>
      </c>
      <c r="H1335" s="1">
        <v>0</v>
      </c>
      <c r="I1335" s="1"/>
      <c r="J1335" s="1"/>
      <c r="K1335" s="1"/>
      <c r="L1335" s="1"/>
      <c r="M1335" s="1"/>
      <c r="N1335" s="1"/>
      <c r="Q1335"/>
    </row>
    <row r="1336" spans="1:17" ht="13.15" customHeight="1" x14ac:dyDescent="0.2">
      <c r="A1336" s="1" t="s">
        <v>3300</v>
      </c>
      <c r="B1336" s="1" t="s">
        <v>3280</v>
      </c>
      <c r="C1336" s="580" t="s">
        <v>3301</v>
      </c>
      <c r="D1336" s="1">
        <v>1451.4480000000001</v>
      </c>
      <c r="E1336" t="s">
        <v>3282</v>
      </c>
      <c r="F1336">
        <v>0</v>
      </c>
      <c r="G1336" s="580">
        <v>0</v>
      </c>
      <c r="H1336" s="1">
        <v>0</v>
      </c>
      <c r="I1336" s="1"/>
      <c r="J1336" s="1"/>
      <c r="K1336" s="1"/>
      <c r="L1336" s="1"/>
      <c r="M1336" s="1"/>
      <c r="N1336" s="1"/>
      <c r="Q1336"/>
    </row>
    <row r="1337" spans="1:17" ht="13.15" customHeight="1" x14ac:dyDescent="0.2">
      <c r="A1337" s="1" t="s">
        <v>3302</v>
      </c>
      <c r="B1337" s="1" t="s">
        <v>3280</v>
      </c>
      <c r="C1337" s="580" t="s">
        <v>3303</v>
      </c>
      <c r="D1337" s="1">
        <v>2004.1559999999999</v>
      </c>
      <c r="E1337" t="s">
        <v>3282</v>
      </c>
      <c r="F1337">
        <v>0</v>
      </c>
      <c r="G1337" s="580">
        <v>0</v>
      </c>
      <c r="H1337" s="1">
        <v>0</v>
      </c>
      <c r="I1337" s="1"/>
      <c r="J1337" s="1"/>
      <c r="K1337" s="1"/>
      <c r="L1337" s="1"/>
      <c r="M1337" s="1"/>
      <c r="N1337" s="1"/>
      <c r="Q1337"/>
    </row>
    <row r="1338" spans="1:17" ht="13.15" customHeight="1" x14ac:dyDescent="0.2">
      <c r="A1338" s="1" t="s">
        <v>3304</v>
      </c>
      <c r="B1338" s="1" t="s">
        <v>3280</v>
      </c>
      <c r="C1338" s="580" t="s">
        <v>3305</v>
      </c>
      <c r="D1338" s="1">
        <v>2626.056</v>
      </c>
      <c r="E1338" t="s">
        <v>3282</v>
      </c>
      <c r="F1338">
        <v>0</v>
      </c>
      <c r="G1338" s="580">
        <v>0</v>
      </c>
      <c r="H1338" s="1">
        <v>0</v>
      </c>
      <c r="I1338" s="1"/>
      <c r="J1338" s="1"/>
      <c r="K1338" s="1"/>
      <c r="L1338" s="1"/>
      <c r="M1338" s="1"/>
      <c r="N1338" s="1"/>
      <c r="Q1338"/>
    </row>
    <row r="1339" spans="1:17" ht="13.15" customHeight="1" x14ac:dyDescent="0.2">
      <c r="A1339" s="1" t="s">
        <v>3306</v>
      </c>
      <c r="B1339" s="1" t="s">
        <v>3280</v>
      </c>
      <c r="C1339" s="580" t="s">
        <v>3307</v>
      </c>
      <c r="D1339" s="1">
        <v>1520.316</v>
      </c>
      <c r="E1339" t="s">
        <v>3282</v>
      </c>
      <c r="F1339">
        <v>0</v>
      </c>
      <c r="G1339" s="580">
        <v>0</v>
      </c>
      <c r="H1339" s="1">
        <v>0</v>
      </c>
      <c r="I1339" s="1"/>
      <c r="J1339" s="1"/>
      <c r="K1339" s="1"/>
      <c r="L1339" s="1"/>
      <c r="M1339" s="1"/>
      <c r="N1339" s="1"/>
      <c r="Q1339"/>
    </row>
    <row r="1340" spans="1:17" ht="13.15" customHeight="1" x14ac:dyDescent="0.2">
      <c r="A1340" s="1" t="s">
        <v>3308</v>
      </c>
      <c r="B1340" s="1" t="s">
        <v>3280</v>
      </c>
      <c r="C1340" s="580" t="s">
        <v>3309</v>
      </c>
      <c r="D1340" s="1">
        <v>2142.576</v>
      </c>
      <c r="E1340" t="s">
        <v>3282</v>
      </c>
      <c r="F1340">
        <v>0</v>
      </c>
      <c r="G1340" s="580">
        <v>0</v>
      </c>
      <c r="H1340" s="1">
        <v>0</v>
      </c>
      <c r="I1340" s="1"/>
      <c r="J1340" s="1"/>
      <c r="K1340" s="1"/>
      <c r="L1340" s="1"/>
      <c r="M1340" s="1"/>
      <c r="N1340" s="1"/>
      <c r="Q1340"/>
    </row>
    <row r="1341" spans="1:17" ht="13.15" customHeight="1" x14ac:dyDescent="0.2">
      <c r="A1341" s="1" t="s">
        <v>3310</v>
      </c>
      <c r="B1341" s="1" t="s">
        <v>3280</v>
      </c>
      <c r="C1341" s="580" t="s">
        <v>3311</v>
      </c>
      <c r="D1341" s="1">
        <v>2695.248</v>
      </c>
      <c r="E1341" t="s">
        <v>3282</v>
      </c>
      <c r="F1341">
        <v>0</v>
      </c>
      <c r="G1341" s="580">
        <v>0</v>
      </c>
      <c r="H1341" s="1">
        <v>0</v>
      </c>
      <c r="I1341" s="1"/>
      <c r="J1341" s="1"/>
      <c r="K1341" s="1"/>
      <c r="L1341" s="1"/>
      <c r="M1341" s="1"/>
      <c r="N1341" s="1"/>
      <c r="Q1341"/>
    </row>
    <row r="1342" spans="1:17" ht="13.15" customHeight="1" x14ac:dyDescent="0.2">
      <c r="A1342" s="1" t="s">
        <v>3312</v>
      </c>
      <c r="B1342" s="1" t="s">
        <v>3280</v>
      </c>
      <c r="C1342" s="580" t="s">
        <v>3313</v>
      </c>
      <c r="D1342" s="1">
        <v>3524.4720000000002</v>
      </c>
      <c r="E1342" t="s">
        <v>3282</v>
      </c>
      <c r="F1342">
        <v>0</v>
      </c>
      <c r="G1342" s="580">
        <v>0</v>
      </c>
      <c r="H1342" s="1">
        <v>0</v>
      </c>
      <c r="I1342" s="1"/>
      <c r="J1342" s="1"/>
      <c r="K1342" s="1"/>
      <c r="L1342" s="1"/>
      <c r="M1342" s="1"/>
      <c r="N1342" s="1"/>
      <c r="Q1342"/>
    </row>
    <row r="1343" spans="1:17" ht="13.15" customHeight="1" x14ac:dyDescent="0.2">
      <c r="A1343" s="1" t="s">
        <v>3314</v>
      </c>
      <c r="B1343" s="1" t="s">
        <v>3280</v>
      </c>
      <c r="C1343" s="580" t="s">
        <v>3315</v>
      </c>
      <c r="D1343" s="1">
        <v>4146.6959999999999</v>
      </c>
      <c r="E1343" t="s">
        <v>3282</v>
      </c>
      <c r="F1343">
        <v>0</v>
      </c>
      <c r="G1343" s="580">
        <v>0</v>
      </c>
      <c r="H1343" s="1">
        <v>0</v>
      </c>
      <c r="I1343" s="1"/>
      <c r="J1343" s="1"/>
      <c r="K1343" s="1"/>
      <c r="L1343" s="1"/>
      <c r="M1343" s="1"/>
      <c r="N1343" s="1"/>
      <c r="Q1343"/>
    </row>
    <row r="1344" spans="1:17" ht="13.15" customHeight="1" x14ac:dyDescent="0.2">
      <c r="A1344" s="1" t="s">
        <v>3316</v>
      </c>
      <c r="B1344" s="1" t="s">
        <v>3280</v>
      </c>
      <c r="C1344" s="580" t="s">
        <v>3317</v>
      </c>
      <c r="D1344" s="1">
        <v>469.83600000000001</v>
      </c>
      <c r="E1344" t="s">
        <v>3282</v>
      </c>
      <c r="F1344">
        <v>0</v>
      </c>
      <c r="G1344" s="580">
        <v>0</v>
      </c>
      <c r="H1344" s="1">
        <v>0</v>
      </c>
      <c r="I1344" s="1"/>
      <c r="J1344" s="1"/>
      <c r="K1344" s="1"/>
      <c r="L1344" s="1"/>
      <c r="M1344" s="1"/>
      <c r="N1344" s="1"/>
      <c r="Q1344"/>
    </row>
    <row r="1345" spans="1:17" ht="13.15" customHeight="1" x14ac:dyDescent="0.2">
      <c r="A1345" s="1" t="s">
        <v>3318</v>
      </c>
      <c r="B1345" s="1" t="s">
        <v>3280</v>
      </c>
      <c r="C1345" s="580" t="s">
        <v>3319</v>
      </c>
      <c r="D1345" s="1">
        <v>3524.4720000000002</v>
      </c>
      <c r="E1345" t="s">
        <v>3282</v>
      </c>
      <c r="F1345">
        <v>0</v>
      </c>
      <c r="G1345" s="580">
        <v>0</v>
      </c>
      <c r="H1345" s="1">
        <v>0</v>
      </c>
      <c r="I1345" s="1"/>
      <c r="J1345" s="1"/>
      <c r="K1345" s="1"/>
      <c r="L1345" s="1"/>
      <c r="M1345" s="1"/>
      <c r="N1345" s="1"/>
      <c r="Q1345"/>
    </row>
    <row r="1346" spans="1:17" ht="13.15" customHeight="1" x14ac:dyDescent="0.2">
      <c r="A1346" s="1" t="s">
        <v>3320</v>
      </c>
      <c r="B1346" s="1" t="s">
        <v>3280</v>
      </c>
      <c r="C1346" s="580" t="s">
        <v>3321</v>
      </c>
      <c r="D1346" s="1">
        <v>4146.6959999999999</v>
      </c>
      <c r="E1346" t="s">
        <v>3282</v>
      </c>
      <c r="F1346">
        <v>0</v>
      </c>
      <c r="G1346" s="580">
        <v>0</v>
      </c>
      <c r="H1346" s="1">
        <v>0</v>
      </c>
      <c r="I1346" s="1"/>
      <c r="J1346" s="1"/>
      <c r="K1346" s="1"/>
      <c r="L1346" s="1"/>
      <c r="M1346" s="1"/>
      <c r="N1346" s="1"/>
      <c r="Q1346"/>
    </row>
    <row r="1347" spans="1:17" ht="13.15" customHeight="1" x14ac:dyDescent="0.2">
      <c r="A1347" s="1" t="s">
        <v>3322</v>
      </c>
      <c r="B1347" s="1" t="s">
        <v>3280</v>
      </c>
      <c r="C1347" s="580" t="s">
        <v>3323</v>
      </c>
      <c r="D1347" s="1">
        <v>4699.4040000000005</v>
      </c>
      <c r="E1347" t="s">
        <v>3282</v>
      </c>
      <c r="F1347">
        <v>0</v>
      </c>
      <c r="G1347" s="580">
        <v>0</v>
      </c>
      <c r="H1347" s="1">
        <v>0</v>
      </c>
      <c r="I1347" s="1"/>
      <c r="J1347" s="1"/>
      <c r="K1347" s="1"/>
      <c r="L1347" s="1"/>
      <c r="M1347" s="1"/>
      <c r="N1347" s="1"/>
      <c r="Q1347"/>
    </row>
    <row r="1348" spans="1:17" ht="13.15" customHeight="1" x14ac:dyDescent="0.2">
      <c r="A1348" s="1" t="s">
        <v>3324</v>
      </c>
      <c r="B1348" s="1" t="s">
        <v>3280</v>
      </c>
      <c r="C1348" s="580" t="s">
        <v>3325</v>
      </c>
      <c r="D1348" s="1">
        <v>3524.4720000000002</v>
      </c>
      <c r="E1348" t="s">
        <v>3282</v>
      </c>
      <c r="F1348">
        <v>0</v>
      </c>
      <c r="G1348" s="580">
        <v>0</v>
      </c>
      <c r="H1348" s="1">
        <v>0</v>
      </c>
      <c r="I1348" s="1"/>
      <c r="J1348" s="1"/>
      <c r="K1348" s="1"/>
      <c r="L1348" s="1"/>
      <c r="M1348" s="1"/>
      <c r="N1348" s="1"/>
      <c r="Q1348"/>
    </row>
    <row r="1349" spans="1:17" ht="13.15" customHeight="1" x14ac:dyDescent="0.2">
      <c r="A1349" s="1" t="s">
        <v>3326</v>
      </c>
      <c r="B1349" s="1" t="s">
        <v>3280</v>
      </c>
      <c r="C1349" s="580" t="s">
        <v>3327</v>
      </c>
      <c r="D1349" s="1">
        <v>4146.6959999999999</v>
      </c>
      <c r="E1349" t="s">
        <v>3282</v>
      </c>
      <c r="F1349">
        <v>0</v>
      </c>
      <c r="G1349" s="580">
        <v>0</v>
      </c>
      <c r="H1349" s="1">
        <v>0</v>
      </c>
      <c r="I1349" s="1"/>
      <c r="J1349" s="1"/>
      <c r="K1349" s="1"/>
      <c r="L1349" s="1"/>
      <c r="M1349" s="1"/>
      <c r="N1349" s="1"/>
      <c r="Q1349"/>
    </row>
    <row r="1350" spans="1:17" ht="13.15" customHeight="1" x14ac:dyDescent="0.2">
      <c r="A1350" s="1" t="s">
        <v>3328</v>
      </c>
      <c r="B1350" s="1" t="s">
        <v>3280</v>
      </c>
      <c r="C1350" s="580" t="s">
        <v>3329</v>
      </c>
      <c r="D1350" s="1">
        <v>4699.4040000000005</v>
      </c>
      <c r="E1350" t="s">
        <v>3282</v>
      </c>
      <c r="F1350">
        <v>0</v>
      </c>
      <c r="G1350" s="580">
        <v>0</v>
      </c>
      <c r="H1350" s="1">
        <v>0</v>
      </c>
      <c r="I1350" s="1"/>
      <c r="J1350" s="1"/>
      <c r="K1350" s="1"/>
      <c r="L1350" s="1"/>
      <c r="M1350" s="1"/>
      <c r="N1350" s="1"/>
      <c r="Q1350"/>
    </row>
    <row r="1351" spans="1:17" ht="13.15" customHeight="1" x14ac:dyDescent="0.2">
      <c r="A1351" s="1" t="s">
        <v>3330</v>
      </c>
      <c r="B1351" s="1" t="s">
        <v>3280</v>
      </c>
      <c r="C1351" s="580" t="s">
        <v>3331</v>
      </c>
      <c r="D1351" s="1">
        <v>3524.4720000000002</v>
      </c>
      <c r="E1351" t="s">
        <v>3282</v>
      </c>
      <c r="F1351">
        <v>0</v>
      </c>
      <c r="G1351" s="580">
        <v>0</v>
      </c>
      <c r="H1351" s="1">
        <v>0</v>
      </c>
      <c r="I1351" s="1"/>
      <c r="J1351" s="1"/>
      <c r="K1351" s="1"/>
      <c r="L1351" s="1"/>
      <c r="M1351" s="1"/>
      <c r="N1351" s="1"/>
      <c r="Q1351"/>
    </row>
    <row r="1352" spans="1:17" ht="13.15" customHeight="1" x14ac:dyDescent="0.2">
      <c r="A1352" s="1" t="s">
        <v>3332</v>
      </c>
      <c r="B1352" s="1" t="s">
        <v>3280</v>
      </c>
      <c r="C1352" s="580" t="s">
        <v>3333</v>
      </c>
      <c r="D1352" s="1">
        <v>4146.6959999999999</v>
      </c>
      <c r="E1352" t="s">
        <v>3282</v>
      </c>
      <c r="F1352">
        <v>0</v>
      </c>
      <c r="G1352" s="580">
        <v>0</v>
      </c>
      <c r="H1352" s="1">
        <v>0</v>
      </c>
      <c r="I1352" s="1"/>
      <c r="J1352" s="1"/>
      <c r="K1352" s="1"/>
      <c r="L1352" s="1"/>
      <c r="M1352" s="1"/>
      <c r="N1352" s="1"/>
      <c r="Q1352"/>
    </row>
    <row r="1353" spans="1:17" ht="13.15" customHeight="1" x14ac:dyDescent="0.2">
      <c r="A1353" s="1" t="s">
        <v>3334</v>
      </c>
      <c r="B1353" s="1" t="s">
        <v>3280</v>
      </c>
      <c r="C1353" s="580" t="s">
        <v>3335</v>
      </c>
      <c r="D1353" s="1">
        <v>4699.4040000000005</v>
      </c>
      <c r="E1353" t="s">
        <v>3282</v>
      </c>
      <c r="F1353">
        <v>0</v>
      </c>
      <c r="G1353" s="580">
        <v>0</v>
      </c>
      <c r="H1353" s="1">
        <v>0</v>
      </c>
      <c r="I1353" s="1"/>
      <c r="J1353" s="1"/>
      <c r="K1353" s="1"/>
      <c r="L1353" s="1"/>
      <c r="M1353" s="1"/>
      <c r="N1353" s="1"/>
      <c r="Q1353"/>
    </row>
    <row r="1354" spans="1:17" ht="13.15" customHeight="1" x14ac:dyDescent="0.2">
      <c r="A1354" s="1" t="s">
        <v>3336</v>
      </c>
      <c r="B1354" s="1" t="s">
        <v>3280</v>
      </c>
      <c r="C1354" s="580" t="s">
        <v>3337</v>
      </c>
      <c r="D1354" s="1">
        <v>3524.4720000000002</v>
      </c>
      <c r="E1354" t="s">
        <v>3282</v>
      </c>
      <c r="F1354">
        <v>0</v>
      </c>
      <c r="G1354" s="580">
        <v>0</v>
      </c>
      <c r="H1354" s="1">
        <v>0</v>
      </c>
      <c r="I1354" s="1"/>
      <c r="J1354" s="1"/>
      <c r="K1354" s="1"/>
      <c r="L1354" s="1"/>
      <c r="M1354" s="1"/>
      <c r="N1354" s="1"/>
      <c r="Q1354"/>
    </row>
    <row r="1355" spans="1:17" ht="13.15" customHeight="1" x14ac:dyDescent="0.2">
      <c r="A1355" s="1" t="s">
        <v>3338</v>
      </c>
      <c r="B1355" s="1" t="s">
        <v>3280</v>
      </c>
      <c r="C1355" s="580" t="s">
        <v>3339</v>
      </c>
      <c r="D1355" s="1">
        <v>4146.6959999999999</v>
      </c>
      <c r="E1355" t="s">
        <v>3282</v>
      </c>
      <c r="F1355">
        <v>0</v>
      </c>
      <c r="G1355" s="580">
        <v>0</v>
      </c>
      <c r="H1355" s="1">
        <v>0</v>
      </c>
      <c r="I1355" s="1"/>
      <c r="J1355" s="1"/>
      <c r="K1355" s="1"/>
      <c r="L1355" s="1"/>
      <c r="M1355" s="1"/>
      <c r="N1355" s="1"/>
      <c r="Q1355"/>
    </row>
    <row r="1356" spans="1:17" ht="13.15" customHeight="1" x14ac:dyDescent="0.2">
      <c r="A1356" s="1" t="s">
        <v>3340</v>
      </c>
      <c r="B1356" s="1" t="s">
        <v>3280</v>
      </c>
      <c r="C1356" s="580" t="s">
        <v>3341</v>
      </c>
      <c r="D1356" s="1">
        <v>4699.4040000000005</v>
      </c>
      <c r="E1356" t="s">
        <v>3282</v>
      </c>
      <c r="F1356">
        <v>0</v>
      </c>
      <c r="G1356" s="580">
        <v>0</v>
      </c>
      <c r="H1356" s="1">
        <v>0</v>
      </c>
      <c r="I1356" s="1"/>
      <c r="J1356" s="1"/>
      <c r="K1356" s="1"/>
      <c r="L1356" s="1"/>
      <c r="M1356" s="1"/>
      <c r="N1356" s="1"/>
      <c r="Q1356"/>
    </row>
    <row r="1357" spans="1:17" ht="13.15" customHeight="1" x14ac:dyDescent="0.2">
      <c r="A1357" s="1" t="s">
        <v>3342</v>
      </c>
      <c r="B1357" s="1" t="s">
        <v>3280</v>
      </c>
      <c r="C1357" s="580" t="s">
        <v>3343</v>
      </c>
      <c r="D1357" s="1">
        <v>3524.4720000000002</v>
      </c>
      <c r="E1357" t="s">
        <v>3282</v>
      </c>
      <c r="F1357">
        <v>0</v>
      </c>
      <c r="G1357" s="580">
        <v>0</v>
      </c>
      <c r="H1357" s="1">
        <v>0</v>
      </c>
      <c r="I1357" s="1"/>
      <c r="J1357" s="1"/>
      <c r="K1357" s="1"/>
      <c r="L1357" s="1"/>
      <c r="M1357" s="1"/>
      <c r="N1357" s="1"/>
      <c r="Q1357"/>
    </row>
    <row r="1358" spans="1:17" ht="13.15" customHeight="1" x14ac:dyDescent="0.2">
      <c r="A1358" s="1" t="s">
        <v>3344</v>
      </c>
      <c r="B1358" s="1" t="s">
        <v>3280</v>
      </c>
      <c r="C1358" s="580" t="s">
        <v>3345</v>
      </c>
      <c r="D1358" s="1">
        <v>4146.6959999999999</v>
      </c>
      <c r="E1358" t="s">
        <v>3282</v>
      </c>
      <c r="F1358">
        <v>0</v>
      </c>
      <c r="G1358" s="580">
        <v>0</v>
      </c>
      <c r="H1358" s="1">
        <v>0</v>
      </c>
      <c r="I1358" s="1"/>
      <c r="J1358" s="1"/>
      <c r="K1358" s="1"/>
      <c r="L1358" s="1"/>
      <c r="M1358" s="1"/>
      <c r="N1358" s="1"/>
      <c r="Q1358"/>
    </row>
    <row r="1359" spans="1:17" ht="13.15" customHeight="1" x14ac:dyDescent="0.2">
      <c r="A1359" s="1" t="s">
        <v>3346</v>
      </c>
      <c r="B1359" s="1" t="s">
        <v>3280</v>
      </c>
      <c r="C1359" s="580" t="s">
        <v>3347</v>
      </c>
      <c r="D1359" s="1">
        <v>4699.4040000000005</v>
      </c>
      <c r="E1359" t="s">
        <v>3282</v>
      </c>
      <c r="F1359">
        <v>0</v>
      </c>
      <c r="G1359" s="580">
        <v>0</v>
      </c>
      <c r="H1359" s="1">
        <v>0</v>
      </c>
      <c r="I1359" s="1"/>
      <c r="J1359" s="1"/>
      <c r="K1359" s="1"/>
      <c r="L1359" s="1"/>
      <c r="M1359" s="1"/>
      <c r="N1359" s="1"/>
      <c r="Q1359"/>
    </row>
    <row r="1360" spans="1:17" ht="13.15" customHeight="1" x14ac:dyDescent="0.2">
      <c r="A1360" s="1" t="s">
        <v>3348</v>
      </c>
      <c r="B1360" s="1" t="s">
        <v>3280</v>
      </c>
      <c r="C1360" s="580" t="s">
        <v>3349</v>
      </c>
      <c r="D1360" s="1">
        <v>3524.4720000000002</v>
      </c>
      <c r="E1360" t="s">
        <v>3282</v>
      </c>
      <c r="F1360">
        <v>0</v>
      </c>
      <c r="G1360" s="580">
        <v>0</v>
      </c>
      <c r="H1360" s="1">
        <v>0</v>
      </c>
      <c r="I1360" s="1"/>
      <c r="J1360" s="1"/>
      <c r="K1360" s="1"/>
      <c r="L1360" s="1"/>
      <c r="M1360" s="1"/>
      <c r="N1360" s="1"/>
      <c r="Q1360"/>
    </row>
    <row r="1361" spans="1:17" ht="13.15" customHeight="1" x14ac:dyDescent="0.2">
      <c r="A1361" s="1" t="s">
        <v>3350</v>
      </c>
      <c r="B1361" s="1" t="s">
        <v>3280</v>
      </c>
      <c r="C1361" s="580" t="s">
        <v>3351</v>
      </c>
      <c r="D1361" s="1">
        <v>4146.6959999999999</v>
      </c>
      <c r="E1361" t="s">
        <v>3282</v>
      </c>
      <c r="F1361">
        <v>0</v>
      </c>
      <c r="G1361" s="580">
        <v>0</v>
      </c>
      <c r="H1361" s="1">
        <v>0</v>
      </c>
      <c r="I1361" s="1"/>
      <c r="J1361" s="1"/>
      <c r="K1361" s="1"/>
      <c r="L1361" s="1"/>
      <c r="M1361" s="1"/>
      <c r="N1361" s="1"/>
      <c r="Q1361"/>
    </row>
    <row r="1362" spans="1:17" ht="13.15" customHeight="1" x14ac:dyDescent="0.2">
      <c r="A1362" s="1" t="s">
        <v>3352</v>
      </c>
      <c r="B1362" s="1" t="s">
        <v>3280</v>
      </c>
      <c r="C1362" s="580" t="s">
        <v>3353</v>
      </c>
      <c r="D1362" s="1">
        <v>4699.4040000000005</v>
      </c>
      <c r="E1362" t="s">
        <v>3282</v>
      </c>
      <c r="F1362">
        <v>0</v>
      </c>
      <c r="G1362" s="580">
        <v>0</v>
      </c>
      <c r="H1362" s="1">
        <v>0</v>
      </c>
      <c r="I1362" s="1"/>
      <c r="J1362" s="1"/>
      <c r="K1362" s="1"/>
      <c r="L1362" s="1"/>
      <c r="M1362" s="1"/>
      <c r="N1362" s="1"/>
      <c r="Q1362"/>
    </row>
    <row r="1363" spans="1:17" ht="13.15" customHeight="1" x14ac:dyDescent="0.2">
      <c r="A1363" s="1" t="s">
        <v>3354</v>
      </c>
      <c r="B1363" s="1" t="s">
        <v>3280</v>
      </c>
      <c r="C1363" s="580" t="s">
        <v>3355</v>
      </c>
      <c r="D1363" s="1">
        <v>3524.4720000000002</v>
      </c>
      <c r="E1363" t="s">
        <v>3282</v>
      </c>
      <c r="F1363">
        <v>0</v>
      </c>
      <c r="G1363" s="580">
        <v>0</v>
      </c>
      <c r="H1363" s="1">
        <v>0</v>
      </c>
      <c r="I1363" s="1"/>
      <c r="J1363" s="1"/>
      <c r="K1363" s="1"/>
      <c r="L1363" s="1"/>
      <c r="M1363" s="1"/>
      <c r="N1363" s="1"/>
      <c r="Q1363"/>
    </row>
    <row r="1364" spans="1:17" ht="13.15" customHeight="1" x14ac:dyDescent="0.2">
      <c r="A1364" s="1" t="s">
        <v>3356</v>
      </c>
      <c r="B1364" s="1" t="s">
        <v>3280</v>
      </c>
      <c r="C1364" s="580" t="s">
        <v>3357</v>
      </c>
      <c r="D1364" s="1">
        <v>4146.6959999999999</v>
      </c>
      <c r="E1364" t="s">
        <v>3282</v>
      </c>
      <c r="F1364">
        <v>0</v>
      </c>
      <c r="G1364" s="580">
        <v>0</v>
      </c>
      <c r="H1364" s="1">
        <v>0</v>
      </c>
      <c r="I1364" s="1"/>
      <c r="J1364" s="1"/>
      <c r="K1364" s="1"/>
      <c r="L1364" s="1"/>
      <c r="M1364" s="1"/>
      <c r="N1364" s="1"/>
      <c r="Q1364"/>
    </row>
    <row r="1365" spans="1:17" ht="13.15" customHeight="1" x14ac:dyDescent="0.2">
      <c r="A1365" s="1" t="s">
        <v>3358</v>
      </c>
      <c r="B1365" s="1" t="s">
        <v>3280</v>
      </c>
      <c r="C1365" s="580" t="s">
        <v>3359</v>
      </c>
      <c r="D1365" s="1">
        <v>4699.4040000000005</v>
      </c>
      <c r="E1365" t="s">
        <v>3282</v>
      </c>
      <c r="F1365">
        <v>0</v>
      </c>
      <c r="G1365" s="580">
        <v>0</v>
      </c>
      <c r="H1365" s="1">
        <v>0</v>
      </c>
      <c r="I1365" s="1"/>
      <c r="J1365" s="1"/>
      <c r="K1365" s="1"/>
      <c r="L1365" s="1"/>
      <c r="M1365" s="1"/>
      <c r="N1365" s="1"/>
      <c r="Q1365"/>
    </row>
    <row r="1366" spans="1:17" ht="13.15" customHeight="1" x14ac:dyDescent="0.2">
      <c r="A1366" s="1" t="s">
        <v>3360</v>
      </c>
      <c r="B1366" s="1" t="s">
        <v>3280</v>
      </c>
      <c r="C1366" s="580" t="s">
        <v>3361</v>
      </c>
      <c r="D1366" s="1">
        <v>4699.4040000000005</v>
      </c>
      <c r="E1366" t="s">
        <v>3282</v>
      </c>
      <c r="F1366">
        <v>0</v>
      </c>
      <c r="G1366" s="580">
        <v>0</v>
      </c>
      <c r="H1366" s="1">
        <v>0</v>
      </c>
      <c r="I1366" s="1"/>
      <c r="J1366" s="1"/>
      <c r="K1366" s="1"/>
      <c r="L1366" s="1"/>
      <c r="M1366" s="1"/>
      <c r="N1366" s="1"/>
      <c r="Q1366"/>
    </row>
    <row r="1367" spans="1:17" ht="13.15" customHeight="1" x14ac:dyDescent="0.2">
      <c r="A1367" s="1" t="s">
        <v>3362</v>
      </c>
      <c r="B1367" s="1" t="s">
        <v>3280</v>
      </c>
      <c r="C1367" s="580" t="s">
        <v>3363</v>
      </c>
      <c r="D1367" s="1">
        <v>4699.4040000000005</v>
      </c>
      <c r="E1367" t="s">
        <v>3282</v>
      </c>
      <c r="F1367">
        <v>0</v>
      </c>
      <c r="G1367" s="580">
        <v>0</v>
      </c>
      <c r="H1367" s="1">
        <v>0</v>
      </c>
      <c r="I1367" s="1"/>
      <c r="J1367" s="1"/>
      <c r="K1367" s="1"/>
      <c r="L1367" s="1"/>
      <c r="M1367" s="1"/>
      <c r="N1367" s="1"/>
      <c r="Q1367"/>
    </row>
    <row r="1368" spans="1:17" ht="13.15" customHeight="1" x14ac:dyDescent="0.2">
      <c r="A1368" s="1" t="s">
        <v>3364</v>
      </c>
      <c r="B1368" s="1" t="s">
        <v>3280</v>
      </c>
      <c r="C1368" s="580" t="s">
        <v>3365</v>
      </c>
      <c r="D1368" s="1">
        <v>4699.4040000000005</v>
      </c>
      <c r="E1368" t="s">
        <v>3282</v>
      </c>
      <c r="F1368">
        <v>0</v>
      </c>
      <c r="G1368" s="580">
        <v>0</v>
      </c>
      <c r="H1368" s="1">
        <v>0</v>
      </c>
      <c r="I1368" s="1"/>
      <c r="J1368" s="1"/>
      <c r="K1368" s="1"/>
      <c r="L1368" s="1"/>
      <c r="M1368" s="1"/>
      <c r="N1368" s="1"/>
      <c r="Q1368"/>
    </row>
    <row r="1369" spans="1:17" ht="13.15" customHeight="1" x14ac:dyDescent="0.2">
      <c r="A1369" s="1" t="s">
        <v>3366</v>
      </c>
      <c r="B1369" s="1" t="s">
        <v>3280</v>
      </c>
      <c r="C1369" s="580" t="s">
        <v>3367</v>
      </c>
      <c r="D1369" s="1">
        <v>4699.4040000000005</v>
      </c>
      <c r="E1369" t="s">
        <v>3282</v>
      </c>
      <c r="F1369">
        <v>0</v>
      </c>
      <c r="G1369" s="580">
        <v>0</v>
      </c>
      <c r="H1369" s="1">
        <v>0</v>
      </c>
      <c r="I1369" s="1"/>
      <c r="J1369" s="1"/>
      <c r="K1369" s="1"/>
      <c r="L1369" s="1"/>
      <c r="M1369" s="1"/>
      <c r="N1369" s="1"/>
      <c r="Q1369"/>
    </row>
    <row r="1370" spans="1:17" ht="13.15" customHeight="1" x14ac:dyDescent="0.2">
      <c r="A1370" s="1" t="s">
        <v>3368</v>
      </c>
      <c r="B1370" s="1" t="s">
        <v>3369</v>
      </c>
      <c r="C1370" s="580" t="s">
        <v>3370</v>
      </c>
      <c r="D1370" s="1">
        <v>1136</v>
      </c>
      <c r="E1370" t="s">
        <v>3371</v>
      </c>
      <c r="F1370" t="s">
        <v>3372</v>
      </c>
      <c r="G1370" s="580">
        <v>256.29239999999999</v>
      </c>
      <c r="H1370" s="1" t="s">
        <v>3373</v>
      </c>
      <c r="I1370" s="1"/>
      <c r="J1370" s="1"/>
      <c r="K1370" s="1"/>
      <c r="L1370" s="1"/>
      <c r="M1370" s="1"/>
      <c r="N1370" s="1"/>
      <c r="Q1370"/>
    </row>
    <row r="1371" spans="1:17" ht="13.15" customHeight="1" x14ac:dyDescent="0.2">
      <c r="A1371" s="1" t="s">
        <v>3374</v>
      </c>
      <c r="B1371" s="1" t="s">
        <v>3369</v>
      </c>
      <c r="C1371" s="580" t="s">
        <v>3375</v>
      </c>
      <c r="D1371" s="1">
        <v>1420.21</v>
      </c>
      <c r="E1371" t="s">
        <v>3371</v>
      </c>
      <c r="F1371" t="s">
        <v>3376</v>
      </c>
      <c r="G1371" s="580">
        <v>320.4126</v>
      </c>
      <c r="H1371" s="1" t="s">
        <v>3373</v>
      </c>
      <c r="I1371" s="1"/>
      <c r="J1371" s="1"/>
      <c r="K1371" s="1"/>
      <c r="L1371" s="1"/>
      <c r="M1371" s="1"/>
      <c r="N1371" s="1"/>
      <c r="Q1371"/>
    </row>
    <row r="1372" spans="1:17" ht="13.15" customHeight="1" x14ac:dyDescent="0.2">
      <c r="A1372" s="1" t="s">
        <v>3377</v>
      </c>
      <c r="B1372" s="1" t="s">
        <v>3369</v>
      </c>
      <c r="C1372" s="580" t="s">
        <v>3378</v>
      </c>
      <c r="D1372" s="1">
        <v>2366.09</v>
      </c>
      <c r="E1372" t="s">
        <v>3371</v>
      </c>
      <c r="F1372" t="s">
        <v>3379</v>
      </c>
      <c r="G1372" s="580">
        <v>533.81399999999996</v>
      </c>
      <c r="H1372" s="1" t="s">
        <v>3380</v>
      </c>
      <c r="I1372" s="1"/>
      <c r="J1372" s="1"/>
      <c r="K1372" s="1"/>
      <c r="L1372" s="1"/>
      <c r="M1372" s="1"/>
      <c r="N1372" s="1"/>
      <c r="Q1372"/>
    </row>
    <row r="1373" spans="1:17" ht="13.15" customHeight="1" x14ac:dyDescent="0.2">
      <c r="A1373" s="1" t="s">
        <v>3381</v>
      </c>
      <c r="B1373" s="1" t="s">
        <v>3369</v>
      </c>
      <c r="C1373" s="580" t="s">
        <v>3382</v>
      </c>
      <c r="D1373" s="1">
        <v>1578.18</v>
      </c>
      <c r="E1373" t="s">
        <v>3371</v>
      </c>
      <c r="F1373" t="s">
        <v>3383</v>
      </c>
      <c r="G1373" s="580">
        <v>300</v>
      </c>
      <c r="H1373" s="1" t="s">
        <v>3384</v>
      </c>
      <c r="I1373" s="1"/>
      <c r="J1373" s="1"/>
      <c r="K1373" s="1"/>
      <c r="L1373" s="1"/>
      <c r="M1373" s="1"/>
      <c r="N1373" s="1"/>
      <c r="Q1373"/>
    </row>
    <row r="1374" spans="1:17" ht="13.15" customHeight="1" x14ac:dyDescent="0.2">
      <c r="A1374" s="1" t="s">
        <v>3385</v>
      </c>
      <c r="B1374" s="1" t="s">
        <v>3369</v>
      </c>
      <c r="C1374" s="580" t="s">
        <v>3386</v>
      </c>
      <c r="D1374" s="1">
        <v>1893.47</v>
      </c>
      <c r="E1374" t="s">
        <v>3371</v>
      </c>
      <c r="F1374" t="s">
        <v>3387</v>
      </c>
      <c r="G1374" s="580">
        <v>427.18560000000002</v>
      </c>
      <c r="H1374" s="1" t="s">
        <v>3388</v>
      </c>
      <c r="I1374" s="1"/>
      <c r="J1374" s="1"/>
      <c r="K1374" s="1"/>
      <c r="L1374" s="1"/>
      <c r="M1374" s="1"/>
      <c r="N1374" s="1"/>
      <c r="Q1374"/>
    </row>
    <row r="1375" spans="1:17" ht="13.15" customHeight="1" x14ac:dyDescent="0.2">
      <c r="A1375" s="1" t="s">
        <v>3389</v>
      </c>
      <c r="B1375" s="1" t="s">
        <v>3369</v>
      </c>
      <c r="C1375" s="580" t="s">
        <v>3390</v>
      </c>
      <c r="D1375" s="1">
        <v>1017.84</v>
      </c>
      <c r="E1375" t="s">
        <v>3371</v>
      </c>
      <c r="F1375" t="s">
        <v>3391</v>
      </c>
      <c r="G1375" s="580">
        <v>229.63499999999999</v>
      </c>
      <c r="H1375" s="1" t="s">
        <v>3392</v>
      </c>
      <c r="I1375" s="1"/>
      <c r="J1375" s="1"/>
      <c r="K1375" s="1"/>
      <c r="L1375" s="1"/>
      <c r="M1375" s="1"/>
      <c r="N1375" s="1"/>
      <c r="Q1375"/>
    </row>
    <row r="1376" spans="1:17" ht="13.15" customHeight="1" x14ac:dyDescent="0.2">
      <c r="A1376" s="1" t="s">
        <v>3393</v>
      </c>
      <c r="B1376" s="1" t="s">
        <v>3369</v>
      </c>
      <c r="C1376" s="580" t="s">
        <v>3394</v>
      </c>
      <c r="D1376" s="1">
        <v>1656.73</v>
      </c>
      <c r="E1376" t="s">
        <v>3371</v>
      </c>
      <c r="F1376" t="s">
        <v>3395</v>
      </c>
      <c r="G1376" s="580">
        <v>373.77480000000003</v>
      </c>
      <c r="H1376" s="1" t="s">
        <v>3396</v>
      </c>
      <c r="I1376" s="1"/>
      <c r="J1376" s="1"/>
      <c r="K1376" s="1"/>
      <c r="L1376" s="1"/>
      <c r="M1376" s="1"/>
      <c r="N1376" s="1"/>
      <c r="Q1376"/>
    </row>
    <row r="1377" spans="1:17" ht="13.15" customHeight="1" x14ac:dyDescent="0.2">
      <c r="A1377" s="1" t="s">
        <v>3397</v>
      </c>
      <c r="B1377" s="1" t="s">
        <v>3369</v>
      </c>
      <c r="C1377" s="580" t="s">
        <v>3398</v>
      </c>
      <c r="D1377" s="1">
        <v>1893.47</v>
      </c>
      <c r="E1377" t="s">
        <v>3371</v>
      </c>
      <c r="F1377" t="s">
        <v>3399</v>
      </c>
      <c r="G1377" s="580">
        <v>427.18560000000002</v>
      </c>
      <c r="H1377" s="1" t="s">
        <v>3400</v>
      </c>
      <c r="I1377" s="1"/>
      <c r="J1377" s="1"/>
      <c r="K1377" s="1"/>
      <c r="L1377" s="1"/>
      <c r="M1377" s="1"/>
      <c r="N1377" s="1"/>
      <c r="Q1377"/>
    </row>
    <row r="1378" spans="1:17" ht="13.15" customHeight="1" x14ac:dyDescent="0.2">
      <c r="A1378" s="1" t="s">
        <v>3401</v>
      </c>
      <c r="B1378" s="1" t="s">
        <v>3369</v>
      </c>
      <c r="C1378" s="580" t="s">
        <v>3402</v>
      </c>
      <c r="D1378" s="1">
        <v>2130.42</v>
      </c>
      <c r="E1378" t="s">
        <v>3371</v>
      </c>
      <c r="F1378" t="s">
        <v>3403</v>
      </c>
      <c r="G1378" s="580">
        <v>480.64319999999998</v>
      </c>
      <c r="H1378" s="1" t="s">
        <v>3404</v>
      </c>
      <c r="I1378" s="1"/>
      <c r="J1378" s="1"/>
      <c r="K1378" s="1"/>
      <c r="L1378" s="1"/>
      <c r="M1378" s="1"/>
      <c r="N1378" s="1"/>
      <c r="Q1378"/>
    </row>
    <row r="1379" spans="1:17" ht="13.15" customHeight="1" x14ac:dyDescent="0.2">
      <c r="A1379" s="1" t="s">
        <v>3405</v>
      </c>
      <c r="B1379" s="1" t="s">
        <v>3369</v>
      </c>
      <c r="C1379" s="580" t="s">
        <v>3406</v>
      </c>
      <c r="D1379" s="1">
        <v>2130.42</v>
      </c>
      <c r="E1379" t="s">
        <v>3371</v>
      </c>
      <c r="F1379" t="s">
        <v>3407</v>
      </c>
      <c r="G1379" s="580">
        <v>480.64319999999998</v>
      </c>
      <c r="H1379" s="1" t="s">
        <v>3408</v>
      </c>
      <c r="I1379" s="1"/>
      <c r="J1379" s="1"/>
      <c r="K1379" s="1"/>
      <c r="L1379" s="1"/>
      <c r="M1379" s="1"/>
      <c r="N1379" s="1"/>
      <c r="Q1379"/>
    </row>
    <row r="1380" spans="1:17" ht="13.15" customHeight="1" x14ac:dyDescent="0.2">
      <c r="A1380" s="1" t="s">
        <v>3409</v>
      </c>
      <c r="B1380" s="1" t="s">
        <v>3369</v>
      </c>
      <c r="C1380" s="580" t="s">
        <v>3410</v>
      </c>
      <c r="D1380" s="1">
        <v>1775.1</v>
      </c>
      <c r="E1380" t="s">
        <v>3371</v>
      </c>
      <c r="F1380" t="s">
        <v>3411</v>
      </c>
      <c r="G1380" s="580">
        <v>400.48020000000002</v>
      </c>
      <c r="H1380" s="1" t="s">
        <v>3412</v>
      </c>
      <c r="I1380" s="1"/>
      <c r="J1380" s="1"/>
      <c r="K1380" s="1"/>
      <c r="L1380" s="1"/>
      <c r="M1380" s="1"/>
      <c r="N1380" s="1"/>
      <c r="Q1380"/>
    </row>
    <row r="1381" spans="1:17" ht="13.15" customHeight="1" x14ac:dyDescent="0.2">
      <c r="A1381" s="1" t="s">
        <v>3413</v>
      </c>
      <c r="B1381" s="1" t="s">
        <v>3369</v>
      </c>
      <c r="C1381" s="580" t="s">
        <v>3414</v>
      </c>
      <c r="D1381" s="1">
        <v>402.79</v>
      </c>
      <c r="E1381" t="s">
        <v>3371</v>
      </c>
      <c r="F1381" t="s">
        <v>3415</v>
      </c>
      <c r="G1381" s="580">
        <v>90.873599999999996</v>
      </c>
      <c r="H1381" s="1" t="s">
        <v>3414</v>
      </c>
      <c r="I1381" s="1"/>
      <c r="J1381" s="1"/>
      <c r="K1381" s="1"/>
      <c r="L1381" s="1"/>
      <c r="M1381" s="1"/>
      <c r="N1381" s="1"/>
      <c r="Q1381"/>
    </row>
    <row r="1382" spans="1:17" ht="13.15" customHeight="1" x14ac:dyDescent="0.2">
      <c r="A1382" s="1" t="s">
        <v>3416</v>
      </c>
      <c r="B1382" s="1" t="s">
        <v>3369</v>
      </c>
      <c r="C1382" s="580" t="s">
        <v>3417</v>
      </c>
      <c r="D1382" s="1">
        <v>520.52</v>
      </c>
      <c r="E1382" t="s">
        <v>3371</v>
      </c>
      <c r="F1382" t="s">
        <v>3418</v>
      </c>
      <c r="G1382" s="580">
        <v>117.435</v>
      </c>
      <c r="H1382" s="1" t="s">
        <v>3417</v>
      </c>
      <c r="I1382" s="1"/>
      <c r="J1382" s="1"/>
      <c r="K1382" s="1"/>
      <c r="L1382" s="1"/>
      <c r="M1382" s="1"/>
      <c r="N1382" s="1"/>
      <c r="Q1382"/>
    </row>
    <row r="1383" spans="1:17" ht="13.15" customHeight="1" x14ac:dyDescent="0.2">
      <c r="A1383" s="1" t="s">
        <v>3419</v>
      </c>
      <c r="B1383" s="1" t="s">
        <v>3369</v>
      </c>
      <c r="C1383" s="580" t="s">
        <v>3420</v>
      </c>
      <c r="D1383" s="1">
        <v>710.42</v>
      </c>
      <c r="E1383" t="s">
        <v>3371</v>
      </c>
      <c r="F1383" t="s">
        <v>3421</v>
      </c>
      <c r="G1383" s="580">
        <v>160.27799999999999</v>
      </c>
      <c r="H1383" s="1" t="s">
        <v>3420</v>
      </c>
      <c r="I1383" s="1"/>
      <c r="J1383" s="1"/>
      <c r="K1383" s="1"/>
      <c r="L1383" s="1"/>
      <c r="M1383" s="1"/>
      <c r="N1383" s="1"/>
      <c r="Q1383"/>
    </row>
    <row r="1384" spans="1:17" ht="13.15" customHeight="1" x14ac:dyDescent="0.2">
      <c r="A1384" s="1" t="s">
        <v>3422</v>
      </c>
      <c r="B1384" s="1" t="s">
        <v>3369</v>
      </c>
      <c r="C1384" s="580" t="s">
        <v>3423</v>
      </c>
      <c r="D1384" s="1">
        <v>710.42</v>
      </c>
      <c r="E1384" t="s">
        <v>3371</v>
      </c>
      <c r="F1384" t="s">
        <v>3424</v>
      </c>
      <c r="G1384" s="580">
        <v>160.27799999999999</v>
      </c>
      <c r="H1384" s="1" t="s">
        <v>3423</v>
      </c>
      <c r="I1384" s="1"/>
      <c r="J1384" s="1"/>
      <c r="K1384" s="1"/>
      <c r="L1384" s="1"/>
      <c r="M1384" s="1"/>
      <c r="N1384" s="1"/>
      <c r="Q1384"/>
    </row>
    <row r="1385" spans="1:17" ht="13.15" customHeight="1" x14ac:dyDescent="0.2">
      <c r="A1385" s="1" t="s">
        <v>3425</v>
      </c>
      <c r="B1385" s="1" t="s">
        <v>3369</v>
      </c>
      <c r="C1385" s="580" t="s">
        <v>3426</v>
      </c>
      <c r="D1385" s="1">
        <v>1065.53</v>
      </c>
      <c r="E1385" t="s">
        <v>3371</v>
      </c>
      <c r="F1385" t="s">
        <v>3427</v>
      </c>
      <c r="G1385" s="580">
        <v>240.39359999999999</v>
      </c>
      <c r="H1385" s="1" t="s">
        <v>3426</v>
      </c>
      <c r="I1385" s="1"/>
      <c r="J1385" s="1"/>
      <c r="K1385" s="1"/>
      <c r="L1385" s="1"/>
      <c r="M1385" s="1"/>
      <c r="N1385" s="1"/>
      <c r="Q1385"/>
    </row>
    <row r="1386" spans="1:17" ht="13.15" customHeight="1" x14ac:dyDescent="0.2">
      <c r="A1386" s="1" t="s">
        <v>3428</v>
      </c>
      <c r="B1386" s="1" t="s">
        <v>3369</v>
      </c>
      <c r="C1386" s="580" t="s">
        <v>3429</v>
      </c>
      <c r="D1386" s="1">
        <v>946.95</v>
      </c>
      <c r="E1386" t="s">
        <v>3371</v>
      </c>
      <c r="F1386" t="s">
        <v>3430</v>
      </c>
      <c r="G1386" s="580">
        <v>213.6414</v>
      </c>
      <c r="H1386" s="1" t="s">
        <v>3429</v>
      </c>
      <c r="I1386" s="1"/>
      <c r="J1386" s="1"/>
      <c r="K1386" s="1"/>
      <c r="L1386" s="1"/>
      <c r="M1386" s="1"/>
      <c r="N1386" s="1"/>
      <c r="Q1386"/>
    </row>
    <row r="1387" spans="1:17" ht="13.15" customHeight="1" x14ac:dyDescent="0.2">
      <c r="A1387" s="1" t="s">
        <v>3431</v>
      </c>
      <c r="B1387" s="1" t="s">
        <v>3369</v>
      </c>
      <c r="C1387" s="580" t="s">
        <v>3432</v>
      </c>
      <c r="D1387" s="1">
        <v>1349.74</v>
      </c>
      <c r="E1387" t="s">
        <v>3371</v>
      </c>
      <c r="F1387" t="s">
        <v>3433</v>
      </c>
      <c r="G1387" s="580">
        <v>304.51499999999999</v>
      </c>
      <c r="H1387" s="1" t="s">
        <v>3432</v>
      </c>
      <c r="I1387" s="1"/>
      <c r="J1387" s="1"/>
      <c r="K1387" s="1"/>
      <c r="L1387" s="1"/>
      <c r="M1387" s="1"/>
      <c r="N1387" s="1"/>
      <c r="Q1387"/>
    </row>
    <row r="1388" spans="1:17" ht="13.15" customHeight="1" x14ac:dyDescent="0.2">
      <c r="A1388" s="1" t="s">
        <v>3434</v>
      </c>
      <c r="B1388" s="1" t="s">
        <v>3369</v>
      </c>
      <c r="C1388" s="580" t="s">
        <v>3435</v>
      </c>
      <c r="D1388" s="1">
        <v>1301.42</v>
      </c>
      <c r="E1388" t="s">
        <v>3371</v>
      </c>
      <c r="F1388" t="s">
        <v>3436</v>
      </c>
      <c r="G1388" s="580">
        <v>293.61239999999998</v>
      </c>
      <c r="H1388" s="1" t="s">
        <v>3435</v>
      </c>
      <c r="I1388" s="1"/>
      <c r="J1388" s="1"/>
      <c r="K1388" s="1"/>
      <c r="L1388" s="1"/>
      <c r="M1388" s="1"/>
      <c r="N1388" s="1"/>
      <c r="Q1388"/>
    </row>
    <row r="1389" spans="1:17" ht="13.15" customHeight="1" x14ac:dyDescent="0.2">
      <c r="A1389" s="1" t="s">
        <v>3437</v>
      </c>
      <c r="B1389" s="1" t="s">
        <v>3369</v>
      </c>
      <c r="C1389" s="580" t="s">
        <v>3438</v>
      </c>
      <c r="D1389" s="1">
        <v>1538.79</v>
      </c>
      <c r="E1389" t="s">
        <v>3371</v>
      </c>
      <c r="F1389" t="s">
        <v>3439</v>
      </c>
      <c r="G1389" s="580">
        <v>347.16660000000002</v>
      </c>
      <c r="H1389" s="1" t="s">
        <v>3438</v>
      </c>
      <c r="I1389" s="1"/>
      <c r="J1389" s="1"/>
      <c r="K1389" s="1"/>
      <c r="L1389" s="1"/>
      <c r="M1389" s="1"/>
      <c r="N1389" s="1"/>
      <c r="Q1389"/>
    </row>
    <row r="1390" spans="1:17" ht="13.15" customHeight="1" x14ac:dyDescent="0.2">
      <c r="A1390" s="1" t="s">
        <v>3440</v>
      </c>
      <c r="B1390" s="1" t="s">
        <v>3369</v>
      </c>
      <c r="C1390" s="580" t="s">
        <v>3441</v>
      </c>
      <c r="D1390" s="1">
        <v>1420.21</v>
      </c>
      <c r="E1390" t="s">
        <v>3371</v>
      </c>
      <c r="F1390" t="s">
        <v>3442</v>
      </c>
      <c r="G1390" s="580">
        <v>320.4126</v>
      </c>
      <c r="H1390" s="1" t="s">
        <v>3441</v>
      </c>
      <c r="I1390" s="1"/>
      <c r="J1390" s="1"/>
      <c r="K1390" s="1"/>
      <c r="L1390" s="1"/>
      <c r="M1390" s="1"/>
      <c r="N1390" s="1"/>
      <c r="Q1390"/>
    </row>
    <row r="1391" spans="1:17" ht="13.15" customHeight="1" x14ac:dyDescent="0.2">
      <c r="A1391" s="1" t="s">
        <v>3443</v>
      </c>
      <c r="B1391" s="1" t="s">
        <v>3369</v>
      </c>
      <c r="C1391" s="580" t="s">
        <v>3444</v>
      </c>
      <c r="D1391" s="1">
        <v>1656.73</v>
      </c>
      <c r="E1391" t="s">
        <v>3371</v>
      </c>
      <c r="F1391" t="s">
        <v>3445</v>
      </c>
      <c r="G1391" s="580">
        <v>373.77480000000003</v>
      </c>
      <c r="H1391" s="1" t="s">
        <v>3444</v>
      </c>
      <c r="I1391" s="1"/>
      <c r="J1391" s="1"/>
      <c r="K1391" s="1"/>
      <c r="L1391" s="1"/>
      <c r="M1391" s="1"/>
      <c r="N1391" s="1"/>
      <c r="Q1391"/>
    </row>
    <row r="1392" spans="1:17" ht="13.15" customHeight="1" x14ac:dyDescent="0.2">
      <c r="A1392" s="1" t="s">
        <v>3446</v>
      </c>
      <c r="B1392" s="1" t="s">
        <v>3369</v>
      </c>
      <c r="C1392" s="580" t="s">
        <v>3447</v>
      </c>
      <c r="D1392" s="1">
        <v>1656.73</v>
      </c>
      <c r="E1392" t="s">
        <v>3371</v>
      </c>
      <c r="F1392" t="s">
        <v>3448</v>
      </c>
      <c r="G1392" s="580">
        <v>373.77480000000003</v>
      </c>
      <c r="H1392" s="1" t="s">
        <v>3447</v>
      </c>
      <c r="I1392" s="1"/>
      <c r="J1392" s="1"/>
      <c r="K1392" s="1"/>
      <c r="L1392" s="1"/>
      <c r="M1392" s="1"/>
      <c r="N1392" s="1"/>
      <c r="Q1392"/>
    </row>
    <row r="1393" spans="1:17" ht="13.15" customHeight="1" x14ac:dyDescent="0.2">
      <c r="A1393" s="1" t="s">
        <v>3449</v>
      </c>
      <c r="B1393" s="1" t="s">
        <v>3369</v>
      </c>
      <c r="C1393" s="580" t="s">
        <v>3450</v>
      </c>
      <c r="D1393" s="1">
        <v>1940.73</v>
      </c>
      <c r="E1393" t="s">
        <v>3371</v>
      </c>
      <c r="F1393" t="s">
        <v>3451</v>
      </c>
      <c r="G1393" s="580">
        <v>437.84820000000002</v>
      </c>
      <c r="H1393" s="1" t="s">
        <v>3450</v>
      </c>
      <c r="I1393" s="1"/>
      <c r="J1393" s="1"/>
      <c r="K1393" s="1"/>
      <c r="L1393" s="1"/>
      <c r="M1393" s="1"/>
      <c r="N1393" s="1"/>
      <c r="Q1393"/>
    </row>
    <row r="1394" spans="1:17" ht="13.15" customHeight="1" x14ac:dyDescent="0.2">
      <c r="A1394" s="1" t="s">
        <v>3452</v>
      </c>
      <c r="B1394" s="1" t="s">
        <v>3369</v>
      </c>
      <c r="C1394" s="580" t="s">
        <v>3453</v>
      </c>
      <c r="D1394" s="1">
        <v>2130.42</v>
      </c>
      <c r="E1394" t="s">
        <v>3371</v>
      </c>
      <c r="F1394" t="s">
        <v>3454</v>
      </c>
      <c r="G1394" s="580">
        <v>480.64319999999998</v>
      </c>
      <c r="H1394" s="1" t="s">
        <v>3453</v>
      </c>
      <c r="I1394" s="1"/>
      <c r="J1394" s="1"/>
      <c r="K1394" s="1"/>
      <c r="L1394" s="1"/>
      <c r="M1394" s="1"/>
      <c r="N1394" s="1"/>
      <c r="Q1394"/>
    </row>
    <row r="1395" spans="1:17" ht="13.15" customHeight="1" x14ac:dyDescent="0.2">
      <c r="A1395" s="1" t="s">
        <v>3455</v>
      </c>
      <c r="B1395" s="1" t="s">
        <v>3369</v>
      </c>
      <c r="C1395" s="580" t="s">
        <v>3456</v>
      </c>
      <c r="D1395" s="1">
        <v>2366.09</v>
      </c>
      <c r="E1395" t="s">
        <v>3371</v>
      </c>
      <c r="F1395" t="s">
        <v>3457</v>
      </c>
      <c r="G1395" s="580">
        <v>533.81399999999996</v>
      </c>
      <c r="H1395" s="1" t="s">
        <v>3456</v>
      </c>
      <c r="I1395" s="1"/>
      <c r="J1395" s="1"/>
      <c r="K1395" s="1"/>
      <c r="L1395" s="1"/>
      <c r="M1395" s="1"/>
      <c r="N1395" s="1"/>
      <c r="Q1395"/>
    </row>
    <row r="1396" spans="1:17" ht="13.15" customHeight="1" x14ac:dyDescent="0.2">
      <c r="A1396" s="1" t="s">
        <v>3458</v>
      </c>
      <c r="B1396" s="1" t="s">
        <v>3369</v>
      </c>
      <c r="C1396" s="580" t="s">
        <v>3459</v>
      </c>
      <c r="D1396" s="1">
        <v>2603.4699999999998</v>
      </c>
      <c r="E1396" t="s">
        <v>3371</v>
      </c>
      <c r="F1396" t="s">
        <v>3460</v>
      </c>
      <c r="G1396" s="580">
        <v>587.3682</v>
      </c>
      <c r="H1396" s="1" t="s">
        <v>3459</v>
      </c>
      <c r="I1396" s="1"/>
      <c r="J1396" s="1"/>
      <c r="K1396" s="1"/>
      <c r="L1396" s="1"/>
      <c r="M1396" s="1"/>
      <c r="N1396" s="1"/>
      <c r="Q1396"/>
    </row>
    <row r="1397" spans="1:17" ht="13.15" customHeight="1" x14ac:dyDescent="0.2">
      <c r="A1397" s="1" t="s">
        <v>3461</v>
      </c>
      <c r="B1397" s="1" t="s">
        <v>3369</v>
      </c>
      <c r="C1397" s="580" t="s">
        <v>3462</v>
      </c>
      <c r="D1397" s="1">
        <v>3313.04</v>
      </c>
      <c r="E1397" t="s">
        <v>3371</v>
      </c>
      <c r="F1397" t="s">
        <v>3463</v>
      </c>
      <c r="G1397" s="580">
        <v>747.45420000000001</v>
      </c>
      <c r="H1397" s="1" t="s">
        <v>3462</v>
      </c>
      <c r="I1397" s="1"/>
      <c r="J1397" s="1"/>
      <c r="K1397" s="1"/>
      <c r="L1397" s="1"/>
      <c r="M1397" s="1"/>
      <c r="N1397" s="1"/>
      <c r="Q1397"/>
    </row>
    <row r="1398" spans="1:17" ht="13.15" customHeight="1" x14ac:dyDescent="0.2">
      <c r="A1398" s="1" t="s">
        <v>3464</v>
      </c>
      <c r="B1398" s="1" t="s">
        <v>3369</v>
      </c>
      <c r="C1398" s="580" t="s">
        <v>3465</v>
      </c>
      <c r="D1398" s="1">
        <v>3549.99</v>
      </c>
      <c r="E1398" t="s">
        <v>3371</v>
      </c>
      <c r="F1398" t="s">
        <v>3466</v>
      </c>
      <c r="G1398" s="580">
        <v>800.91240000000005</v>
      </c>
      <c r="H1398" s="1" t="s">
        <v>3465</v>
      </c>
      <c r="I1398" s="1"/>
      <c r="J1398" s="1"/>
      <c r="K1398" s="1"/>
      <c r="L1398" s="1"/>
      <c r="M1398" s="1"/>
      <c r="N1398" s="1"/>
      <c r="Q1398"/>
    </row>
    <row r="1399" spans="1:17" ht="13.15" customHeight="1" x14ac:dyDescent="0.2">
      <c r="A1399" s="1" t="s">
        <v>3467</v>
      </c>
      <c r="B1399" s="1" t="s">
        <v>3468</v>
      </c>
      <c r="C1399" s="580" t="s">
        <v>3469</v>
      </c>
      <c r="D1399" s="1">
        <v>87.11</v>
      </c>
      <c r="E1399" t="s">
        <v>3371</v>
      </c>
      <c r="F1399" t="s">
        <v>3470</v>
      </c>
      <c r="G1399" s="580">
        <v>18.226299999999998</v>
      </c>
      <c r="H1399" s="1" t="s">
        <v>3469</v>
      </c>
      <c r="I1399" s="1"/>
      <c r="J1399" s="1"/>
      <c r="K1399" s="1"/>
      <c r="L1399" s="1"/>
      <c r="M1399" s="1"/>
      <c r="N1399" s="1"/>
      <c r="Q1399"/>
    </row>
    <row r="1400" spans="1:17" ht="13.15" customHeight="1" x14ac:dyDescent="0.2">
      <c r="A1400" s="1" t="s">
        <v>3471</v>
      </c>
      <c r="B1400" s="1" t="s">
        <v>3468</v>
      </c>
      <c r="C1400" s="580" t="s">
        <v>3472</v>
      </c>
      <c r="D1400" s="1">
        <v>92.7</v>
      </c>
      <c r="E1400" t="s">
        <v>3371</v>
      </c>
      <c r="F1400" t="s">
        <v>3473</v>
      </c>
      <c r="G1400" s="580">
        <v>19.394400000000001</v>
      </c>
      <c r="H1400" s="1" t="s">
        <v>3472</v>
      </c>
      <c r="I1400" s="1"/>
      <c r="J1400" s="1"/>
      <c r="K1400" s="1"/>
      <c r="L1400" s="1"/>
      <c r="M1400" s="1"/>
      <c r="N1400" s="1"/>
      <c r="Q1400"/>
    </row>
    <row r="1401" spans="1:17" ht="13.15" customHeight="1" x14ac:dyDescent="0.2">
      <c r="A1401" s="1" t="s">
        <v>3474</v>
      </c>
      <c r="B1401" s="1" t="s">
        <v>3468</v>
      </c>
      <c r="C1401" s="580" t="s">
        <v>3475</v>
      </c>
      <c r="D1401" s="1">
        <v>108.65</v>
      </c>
      <c r="E1401" t="s">
        <v>3371</v>
      </c>
      <c r="F1401" t="s">
        <v>3476</v>
      </c>
      <c r="G1401" s="580">
        <v>22.7316</v>
      </c>
      <c r="H1401" s="1" t="s">
        <v>3475</v>
      </c>
      <c r="I1401" s="1"/>
      <c r="J1401" s="1"/>
      <c r="K1401" s="1"/>
      <c r="L1401" s="1"/>
      <c r="M1401" s="1"/>
      <c r="N1401" s="1"/>
      <c r="Q1401"/>
    </row>
    <row r="1402" spans="1:17" ht="13.15" customHeight="1" x14ac:dyDescent="0.2">
      <c r="A1402" s="1" t="s">
        <v>3477</v>
      </c>
      <c r="B1402" s="1" t="s">
        <v>3468</v>
      </c>
      <c r="C1402" s="580" t="s">
        <v>3478</v>
      </c>
      <c r="D1402" s="1">
        <v>136.35</v>
      </c>
      <c r="E1402" t="s">
        <v>3371</v>
      </c>
      <c r="F1402" t="s">
        <v>3479</v>
      </c>
      <c r="G1402" s="580">
        <v>28.5289</v>
      </c>
      <c r="H1402" s="1" t="s">
        <v>3478</v>
      </c>
      <c r="I1402" s="1"/>
      <c r="J1402" s="1"/>
      <c r="K1402" s="1"/>
      <c r="L1402" s="1"/>
      <c r="M1402" s="1"/>
      <c r="N1402" s="1"/>
      <c r="Q1402"/>
    </row>
    <row r="1403" spans="1:17" ht="13.15" customHeight="1" x14ac:dyDescent="0.2">
      <c r="A1403" s="1" t="s">
        <v>3480</v>
      </c>
      <c r="B1403" s="1" t="s">
        <v>3468</v>
      </c>
      <c r="C1403" s="580" t="s">
        <v>3481</v>
      </c>
      <c r="D1403" s="1">
        <v>269.72000000000003</v>
      </c>
      <c r="E1403" t="s">
        <v>3371</v>
      </c>
      <c r="F1403" t="s">
        <v>3482</v>
      </c>
      <c r="G1403" s="580">
        <v>56.432299999999998</v>
      </c>
      <c r="H1403" s="1" t="s">
        <v>3481</v>
      </c>
      <c r="I1403" s="1"/>
      <c r="J1403" s="1"/>
      <c r="K1403" s="1"/>
      <c r="L1403" s="1"/>
      <c r="M1403" s="1"/>
      <c r="N1403" s="1"/>
      <c r="Q1403"/>
    </row>
    <row r="1404" spans="1:17" ht="13.15" customHeight="1" x14ac:dyDescent="0.2">
      <c r="A1404" s="1" t="s">
        <v>3483</v>
      </c>
      <c r="B1404" s="1" t="s">
        <v>3468</v>
      </c>
      <c r="C1404" s="580" t="s">
        <v>3484</v>
      </c>
      <c r="D1404" s="1">
        <v>269.72000000000003</v>
      </c>
      <c r="E1404" t="s">
        <v>3371</v>
      </c>
      <c r="F1404" t="s">
        <v>3485</v>
      </c>
      <c r="G1404" s="580">
        <v>56.432299999999998</v>
      </c>
      <c r="H1404" s="1" t="s">
        <v>3484</v>
      </c>
      <c r="I1404" s="1"/>
      <c r="J1404" s="1"/>
      <c r="K1404" s="1"/>
      <c r="L1404" s="1"/>
      <c r="M1404" s="1"/>
      <c r="N1404" s="1"/>
      <c r="Q1404"/>
    </row>
    <row r="1405" spans="1:17" ht="13.15" customHeight="1" x14ac:dyDescent="0.2">
      <c r="A1405" s="1" t="s">
        <v>3486</v>
      </c>
      <c r="B1405" s="1" t="s">
        <v>3468</v>
      </c>
      <c r="C1405" s="580" t="s">
        <v>3487</v>
      </c>
      <c r="D1405" s="1">
        <v>341.28</v>
      </c>
      <c r="E1405" t="s">
        <v>3371</v>
      </c>
      <c r="F1405" t="s">
        <v>3488</v>
      </c>
      <c r="G1405" s="580">
        <v>71.405000000000001</v>
      </c>
      <c r="H1405" s="1" t="s">
        <v>3487</v>
      </c>
      <c r="I1405" s="1"/>
      <c r="J1405" s="1"/>
      <c r="K1405" s="1"/>
      <c r="L1405" s="1"/>
      <c r="M1405" s="1"/>
      <c r="N1405" s="1"/>
      <c r="Q1405"/>
    </row>
    <row r="1406" spans="1:17" ht="13.15" customHeight="1" x14ac:dyDescent="0.2">
      <c r="A1406" s="1" t="s">
        <v>3489</v>
      </c>
      <c r="B1406" s="1" t="s">
        <v>3468</v>
      </c>
      <c r="C1406" s="580" t="s">
        <v>3414</v>
      </c>
      <c r="D1406" s="1">
        <v>78.14</v>
      </c>
      <c r="E1406" t="s">
        <v>3371</v>
      </c>
      <c r="F1406" t="s">
        <v>3490</v>
      </c>
      <c r="G1406" s="580">
        <v>16.3491</v>
      </c>
      <c r="H1406" s="1" t="s">
        <v>3414</v>
      </c>
      <c r="I1406" s="1"/>
      <c r="J1406" s="1"/>
      <c r="K1406" s="1"/>
      <c r="L1406" s="1"/>
      <c r="M1406" s="1"/>
      <c r="N1406" s="1"/>
      <c r="Q1406"/>
    </row>
    <row r="1407" spans="1:17" ht="13.15" customHeight="1" x14ac:dyDescent="0.2">
      <c r="A1407" s="1" t="s">
        <v>3491</v>
      </c>
      <c r="B1407" s="1" t="s">
        <v>3468</v>
      </c>
      <c r="C1407" s="580" t="s">
        <v>3417</v>
      </c>
      <c r="D1407" s="1">
        <v>84.72</v>
      </c>
      <c r="E1407" t="s">
        <v>3371</v>
      </c>
      <c r="F1407" t="s">
        <v>3492</v>
      </c>
      <c r="G1407" s="580">
        <v>17.726199999999999</v>
      </c>
      <c r="H1407" s="1" t="s">
        <v>3417</v>
      </c>
      <c r="I1407" s="1"/>
      <c r="J1407" s="1"/>
      <c r="K1407" s="1"/>
      <c r="L1407" s="1"/>
      <c r="M1407" s="1"/>
      <c r="N1407" s="1"/>
      <c r="Q1407"/>
    </row>
    <row r="1408" spans="1:17" ht="13.15" customHeight="1" x14ac:dyDescent="0.2">
      <c r="A1408" s="1" t="s">
        <v>3493</v>
      </c>
      <c r="B1408" s="1" t="s">
        <v>3468</v>
      </c>
      <c r="C1408" s="580" t="s">
        <v>3420</v>
      </c>
      <c r="D1408" s="1">
        <v>136.35</v>
      </c>
      <c r="E1408" t="s">
        <v>3371</v>
      </c>
      <c r="F1408" t="s">
        <v>3494</v>
      </c>
      <c r="G1408" s="580">
        <v>28.5289</v>
      </c>
      <c r="H1408" s="1" t="s">
        <v>3420</v>
      </c>
      <c r="I1408" s="1"/>
      <c r="J1408" s="1"/>
      <c r="K1408" s="1"/>
      <c r="L1408" s="1"/>
      <c r="M1408" s="1"/>
      <c r="N1408" s="1"/>
      <c r="Q1408"/>
    </row>
    <row r="1409" spans="1:17" ht="13.15" customHeight="1" x14ac:dyDescent="0.2">
      <c r="A1409" s="1" t="s">
        <v>3495</v>
      </c>
      <c r="B1409" s="1" t="s">
        <v>3468</v>
      </c>
      <c r="C1409" s="580" t="s">
        <v>3423</v>
      </c>
      <c r="D1409" s="1">
        <v>123.99</v>
      </c>
      <c r="E1409" t="s">
        <v>3371</v>
      </c>
      <c r="F1409" t="s">
        <v>3496</v>
      </c>
      <c r="G1409" s="580">
        <v>25.942599999999999</v>
      </c>
      <c r="H1409" s="1" t="s">
        <v>3423</v>
      </c>
      <c r="I1409" s="1"/>
      <c r="J1409" s="1"/>
      <c r="K1409" s="1"/>
      <c r="L1409" s="1"/>
      <c r="M1409" s="1"/>
      <c r="N1409" s="1"/>
      <c r="Q1409"/>
    </row>
    <row r="1410" spans="1:17" ht="13.15" customHeight="1" x14ac:dyDescent="0.2">
      <c r="A1410" s="1" t="s">
        <v>3497</v>
      </c>
      <c r="B1410" s="1" t="s">
        <v>3468</v>
      </c>
      <c r="C1410" s="580" t="s">
        <v>3426</v>
      </c>
      <c r="D1410" s="1">
        <v>180.21</v>
      </c>
      <c r="E1410" t="s">
        <v>3371</v>
      </c>
      <c r="F1410" t="s">
        <v>3498</v>
      </c>
      <c r="G1410" s="580">
        <v>37.705100000000002</v>
      </c>
      <c r="H1410" s="1" t="s">
        <v>3426</v>
      </c>
      <c r="I1410" s="1"/>
      <c r="J1410" s="1"/>
      <c r="K1410" s="1"/>
      <c r="L1410" s="1"/>
      <c r="M1410" s="1"/>
      <c r="N1410" s="1"/>
      <c r="Q1410"/>
    </row>
    <row r="1411" spans="1:17" ht="13.15" customHeight="1" x14ac:dyDescent="0.2">
      <c r="A1411" s="1" t="s">
        <v>3499</v>
      </c>
      <c r="B1411" s="1" t="s">
        <v>3468</v>
      </c>
      <c r="C1411" s="580" t="s">
        <v>3429</v>
      </c>
      <c r="D1411" s="1">
        <v>170.84</v>
      </c>
      <c r="E1411" t="s">
        <v>3371</v>
      </c>
      <c r="F1411" t="s">
        <v>3500</v>
      </c>
      <c r="G1411" s="580">
        <v>35.744300000000003</v>
      </c>
      <c r="H1411" s="1" t="s">
        <v>3429</v>
      </c>
      <c r="I1411" s="1"/>
      <c r="J1411" s="1"/>
      <c r="K1411" s="1"/>
      <c r="L1411" s="1"/>
      <c r="M1411" s="1"/>
      <c r="N1411" s="1"/>
      <c r="Q1411"/>
    </row>
    <row r="1412" spans="1:17" ht="13.15" customHeight="1" x14ac:dyDescent="0.2">
      <c r="A1412" s="1" t="s">
        <v>3501</v>
      </c>
      <c r="B1412" s="1" t="s">
        <v>3468</v>
      </c>
      <c r="C1412" s="580" t="s">
        <v>3432</v>
      </c>
      <c r="D1412" s="1">
        <v>143</v>
      </c>
      <c r="E1412" t="s">
        <v>3371</v>
      </c>
      <c r="F1412" t="s">
        <v>3502</v>
      </c>
      <c r="G1412" s="580">
        <v>42.251399999999997</v>
      </c>
      <c r="H1412" s="1" t="s">
        <v>3432</v>
      </c>
      <c r="I1412" s="1"/>
      <c r="J1412" s="1"/>
      <c r="K1412" s="1"/>
      <c r="L1412" s="1"/>
      <c r="M1412" s="1"/>
      <c r="N1412" s="1"/>
      <c r="Q1412"/>
    </row>
    <row r="1413" spans="1:17" ht="13.15" customHeight="1" x14ac:dyDescent="0.2">
      <c r="A1413" s="1" t="s">
        <v>3503</v>
      </c>
      <c r="B1413" s="1" t="s">
        <v>3468</v>
      </c>
      <c r="C1413" s="580" t="s">
        <v>3435</v>
      </c>
      <c r="D1413" s="1">
        <v>143</v>
      </c>
      <c r="E1413" t="s">
        <v>3371</v>
      </c>
      <c r="F1413" t="s">
        <v>3504</v>
      </c>
      <c r="G1413" s="580">
        <v>42.251399999999997</v>
      </c>
      <c r="H1413" s="1" t="s">
        <v>3435</v>
      </c>
      <c r="I1413" s="1"/>
      <c r="J1413" s="1"/>
      <c r="K1413" s="1"/>
      <c r="L1413" s="1"/>
      <c r="M1413" s="1"/>
      <c r="N1413" s="1"/>
      <c r="Q1413"/>
    </row>
    <row r="1414" spans="1:17" ht="13.15" customHeight="1" x14ac:dyDescent="0.2">
      <c r="A1414" s="1" t="s">
        <v>3505</v>
      </c>
      <c r="B1414" s="1" t="s">
        <v>3468</v>
      </c>
      <c r="C1414" s="580" t="s">
        <v>3438</v>
      </c>
      <c r="D1414" s="1">
        <v>263.54000000000002</v>
      </c>
      <c r="E1414" t="s">
        <v>3371</v>
      </c>
      <c r="F1414" t="s">
        <v>3506</v>
      </c>
      <c r="G1414" s="580">
        <v>55.138800000000003</v>
      </c>
      <c r="H1414" s="1" t="s">
        <v>3438</v>
      </c>
      <c r="I1414" s="1"/>
      <c r="J1414" s="1"/>
      <c r="K1414" s="1"/>
      <c r="L1414" s="1"/>
      <c r="M1414" s="1"/>
      <c r="N1414" s="1"/>
      <c r="Q1414"/>
    </row>
    <row r="1415" spans="1:17" ht="13.15" customHeight="1" x14ac:dyDescent="0.2">
      <c r="A1415" s="1" t="s">
        <v>3507</v>
      </c>
      <c r="B1415" s="1" t="s">
        <v>3468</v>
      </c>
      <c r="C1415" s="580" t="s">
        <v>3441</v>
      </c>
      <c r="D1415" s="1">
        <v>179.14</v>
      </c>
      <c r="E1415" t="s">
        <v>3371</v>
      </c>
      <c r="F1415" t="s">
        <v>3508</v>
      </c>
      <c r="G1415" s="580">
        <v>51.886000000000003</v>
      </c>
      <c r="H1415" s="1" t="s">
        <v>3441</v>
      </c>
      <c r="I1415" s="1"/>
      <c r="J1415" s="1"/>
      <c r="K1415" s="1"/>
      <c r="L1415" s="1"/>
      <c r="M1415" s="1"/>
      <c r="N1415" s="1"/>
      <c r="Q1415"/>
    </row>
    <row r="1416" spans="1:17" ht="13.15" customHeight="1" x14ac:dyDescent="0.2">
      <c r="A1416" s="1" t="s">
        <v>3509</v>
      </c>
      <c r="B1416" s="1" t="s">
        <v>3468</v>
      </c>
      <c r="C1416" s="580" t="s">
        <v>3444</v>
      </c>
      <c r="D1416" s="1">
        <v>279.29000000000002</v>
      </c>
      <c r="E1416" t="s">
        <v>3371</v>
      </c>
      <c r="F1416" t="s">
        <v>3510</v>
      </c>
      <c r="G1416" s="580">
        <v>58.434100000000001</v>
      </c>
      <c r="H1416" s="1" t="s">
        <v>3444</v>
      </c>
      <c r="I1416" s="1"/>
      <c r="J1416" s="1"/>
      <c r="K1416" s="1"/>
      <c r="L1416" s="1"/>
      <c r="M1416" s="1"/>
      <c r="N1416" s="1"/>
      <c r="Q1416"/>
    </row>
    <row r="1417" spans="1:17" ht="13.15" customHeight="1" x14ac:dyDescent="0.2">
      <c r="A1417" s="1" t="s">
        <v>3511</v>
      </c>
      <c r="B1417" s="1" t="s">
        <v>3468</v>
      </c>
      <c r="C1417" s="580" t="s">
        <v>3447</v>
      </c>
      <c r="D1417" s="1">
        <v>279.29000000000002</v>
      </c>
      <c r="E1417" t="s">
        <v>3371</v>
      </c>
      <c r="F1417" t="s">
        <v>3512</v>
      </c>
      <c r="G1417" s="580">
        <v>58.434100000000001</v>
      </c>
      <c r="H1417" s="1" t="s">
        <v>3447</v>
      </c>
      <c r="I1417" s="1"/>
      <c r="J1417" s="1"/>
      <c r="K1417" s="1"/>
      <c r="L1417" s="1"/>
      <c r="M1417" s="1"/>
      <c r="N1417" s="1"/>
      <c r="Q1417"/>
    </row>
    <row r="1418" spans="1:17" ht="13.15" customHeight="1" x14ac:dyDescent="0.2">
      <c r="A1418" s="1" t="s">
        <v>3513</v>
      </c>
      <c r="B1418" s="1" t="s">
        <v>3468</v>
      </c>
      <c r="C1418" s="580" t="s">
        <v>3450</v>
      </c>
      <c r="D1418" s="1">
        <v>310.58999999999997</v>
      </c>
      <c r="E1418" t="s">
        <v>3371</v>
      </c>
      <c r="F1418" t="s">
        <v>3514</v>
      </c>
      <c r="G1418" s="580">
        <v>64.983000000000004</v>
      </c>
      <c r="H1418" s="1" t="s">
        <v>3450</v>
      </c>
      <c r="I1418" s="1"/>
      <c r="J1418" s="1"/>
      <c r="K1418" s="1"/>
      <c r="L1418" s="1"/>
      <c r="M1418" s="1"/>
      <c r="N1418" s="1"/>
      <c r="Q1418"/>
    </row>
    <row r="1419" spans="1:17" ht="13.15" customHeight="1" x14ac:dyDescent="0.2">
      <c r="A1419" s="1" t="s">
        <v>3515</v>
      </c>
      <c r="B1419" s="1" t="s">
        <v>3468</v>
      </c>
      <c r="C1419" s="580" t="s">
        <v>3453</v>
      </c>
      <c r="D1419" s="1">
        <v>341.28</v>
      </c>
      <c r="E1419" t="s">
        <v>3371</v>
      </c>
      <c r="F1419" t="s">
        <v>3516</v>
      </c>
      <c r="G1419" s="580">
        <v>71.405000000000001</v>
      </c>
      <c r="H1419" s="1" t="s">
        <v>3453</v>
      </c>
      <c r="I1419" s="1"/>
      <c r="J1419" s="1"/>
      <c r="K1419" s="1"/>
      <c r="L1419" s="1"/>
      <c r="M1419" s="1"/>
      <c r="N1419" s="1"/>
      <c r="Q1419"/>
    </row>
    <row r="1420" spans="1:17" ht="13.15" customHeight="1" x14ac:dyDescent="0.2">
      <c r="A1420" s="1" t="s">
        <v>3517</v>
      </c>
      <c r="B1420" s="1" t="s">
        <v>3468</v>
      </c>
      <c r="C1420" s="580" t="s">
        <v>3456</v>
      </c>
      <c r="D1420" s="1">
        <v>371.98</v>
      </c>
      <c r="E1420" t="s">
        <v>3371</v>
      </c>
      <c r="F1420" t="s">
        <v>3518</v>
      </c>
      <c r="G1420" s="580">
        <v>77.828599999999994</v>
      </c>
      <c r="H1420" s="1" t="s">
        <v>3456</v>
      </c>
      <c r="I1420" s="1"/>
      <c r="J1420" s="1"/>
      <c r="K1420" s="1"/>
      <c r="L1420" s="1"/>
      <c r="M1420" s="1"/>
      <c r="N1420" s="1"/>
      <c r="Q1420"/>
    </row>
    <row r="1421" spans="1:17" ht="13.15" customHeight="1" x14ac:dyDescent="0.2">
      <c r="A1421" s="1" t="s">
        <v>3519</v>
      </c>
      <c r="B1421" s="1" t="s">
        <v>3468</v>
      </c>
      <c r="C1421" s="580" t="s">
        <v>3459</v>
      </c>
      <c r="D1421" s="1">
        <v>403.28</v>
      </c>
      <c r="E1421" t="s">
        <v>3371</v>
      </c>
      <c r="F1421" t="s">
        <v>3520</v>
      </c>
      <c r="G1421" s="580">
        <v>84.377499999999998</v>
      </c>
      <c r="H1421" s="1" t="s">
        <v>3459</v>
      </c>
      <c r="I1421" s="1"/>
      <c r="J1421" s="1"/>
      <c r="K1421" s="1"/>
      <c r="L1421" s="1"/>
      <c r="M1421" s="1"/>
      <c r="N1421" s="1"/>
      <c r="Q1421"/>
    </row>
    <row r="1422" spans="1:17" ht="13.15" customHeight="1" x14ac:dyDescent="0.2">
      <c r="A1422" s="1" t="s">
        <v>3521</v>
      </c>
      <c r="B1422" s="1" t="s">
        <v>3468</v>
      </c>
      <c r="C1422" s="580" t="s">
        <v>3522</v>
      </c>
      <c r="D1422" s="1">
        <v>434.58</v>
      </c>
      <c r="E1422" t="s">
        <v>3371</v>
      </c>
      <c r="F1422" t="s">
        <v>3523</v>
      </c>
      <c r="G1422" s="580">
        <v>90.924899999999994</v>
      </c>
      <c r="H1422" s="1" t="s">
        <v>3522</v>
      </c>
      <c r="I1422" s="1"/>
      <c r="J1422" s="1"/>
      <c r="K1422" s="1"/>
      <c r="L1422" s="1"/>
      <c r="M1422" s="1"/>
      <c r="N1422" s="1"/>
      <c r="Q1422"/>
    </row>
    <row r="1423" spans="1:17" ht="13.15" customHeight="1" x14ac:dyDescent="0.2">
      <c r="A1423" s="1" t="s">
        <v>3524</v>
      </c>
      <c r="B1423" s="1" t="s">
        <v>3468</v>
      </c>
      <c r="C1423" s="580" t="s">
        <v>3465</v>
      </c>
      <c r="D1423" s="1">
        <v>558.16999999999996</v>
      </c>
      <c r="E1423" t="s">
        <v>3371</v>
      </c>
      <c r="F1423" t="s">
        <v>3525</v>
      </c>
      <c r="G1423" s="580">
        <v>116.7846</v>
      </c>
      <c r="H1423" s="1" t="s">
        <v>3465</v>
      </c>
      <c r="I1423" s="1"/>
      <c r="J1423" s="1"/>
      <c r="K1423" s="1"/>
      <c r="L1423" s="1"/>
      <c r="M1423" s="1"/>
      <c r="N1423" s="1"/>
      <c r="Q1423"/>
    </row>
    <row r="1424" spans="1:17" ht="13.15" customHeight="1" x14ac:dyDescent="0.2">
      <c r="A1424" s="1" t="s">
        <v>3526</v>
      </c>
      <c r="B1424" s="1" t="s">
        <v>3468</v>
      </c>
      <c r="C1424" s="580" t="s">
        <v>3527</v>
      </c>
      <c r="D1424" s="1">
        <v>620.37</v>
      </c>
      <c r="E1424" t="s">
        <v>3371</v>
      </c>
      <c r="F1424" t="s">
        <v>3528</v>
      </c>
      <c r="G1424" s="580">
        <v>129.79740000000001</v>
      </c>
      <c r="H1424" s="1" t="s">
        <v>3527</v>
      </c>
      <c r="I1424" s="1"/>
      <c r="J1424" s="1"/>
      <c r="K1424" s="1"/>
      <c r="L1424" s="1"/>
      <c r="M1424" s="1"/>
      <c r="N1424" s="1"/>
      <c r="Q1424"/>
    </row>
    <row r="1425" spans="1:17" ht="13.15" customHeight="1" x14ac:dyDescent="0.2">
      <c r="A1425" s="1" t="s">
        <v>3529</v>
      </c>
      <c r="B1425" s="1" t="s">
        <v>3468</v>
      </c>
      <c r="C1425" s="580" t="s">
        <v>3530</v>
      </c>
      <c r="D1425" s="1">
        <v>775.27</v>
      </c>
      <c r="E1425" t="s">
        <v>3371</v>
      </c>
      <c r="F1425" t="s">
        <v>3531</v>
      </c>
      <c r="G1425" s="580">
        <v>162.20599999999999</v>
      </c>
      <c r="H1425" s="1" t="s">
        <v>3530</v>
      </c>
      <c r="I1425" s="1"/>
      <c r="J1425" s="1"/>
      <c r="K1425" s="1"/>
      <c r="L1425" s="1"/>
      <c r="M1425" s="1"/>
      <c r="N1425" s="1"/>
      <c r="Q1425"/>
    </row>
    <row r="1426" spans="1:17" ht="13.15" customHeight="1" x14ac:dyDescent="0.2">
      <c r="A1426" s="1" t="s">
        <v>3532</v>
      </c>
      <c r="B1426" s="1" t="s">
        <v>3533</v>
      </c>
      <c r="C1426" s="580" t="s">
        <v>3469</v>
      </c>
      <c r="D1426" s="1">
        <v>139.99</v>
      </c>
      <c r="E1426" t="s">
        <v>3371</v>
      </c>
      <c r="F1426" t="s">
        <v>3534</v>
      </c>
      <c r="G1426" s="580">
        <v>30.5886</v>
      </c>
      <c r="H1426" s="1" t="s">
        <v>3469</v>
      </c>
      <c r="I1426" s="1"/>
      <c r="J1426" s="1"/>
      <c r="K1426" s="1"/>
      <c r="L1426" s="1"/>
      <c r="M1426" s="1"/>
      <c r="N1426" s="1"/>
      <c r="Q1426"/>
    </row>
    <row r="1427" spans="1:17" ht="13.15" customHeight="1" x14ac:dyDescent="0.2">
      <c r="A1427" s="1" t="s">
        <v>3535</v>
      </c>
      <c r="B1427" s="1" t="s">
        <v>3533</v>
      </c>
      <c r="C1427" s="580" t="s">
        <v>3472</v>
      </c>
      <c r="D1427" s="1">
        <v>139.99</v>
      </c>
      <c r="E1427" t="s">
        <v>3371</v>
      </c>
      <c r="F1427" t="s">
        <v>3536</v>
      </c>
      <c r="G1427" s="580">
        <v>30.5886</v>
      </c>
      <c r="H1427" s="1" t="s">
        <v>3472</v>
      </c>
      <c r="I1427" s="1"/>
      <c r="J1427" s="1"/>
      <c r="K1427" s="1"/>
      <c r="L1427" s="1"/>
      <c r="M1427" s="1"/>
      <c r="N1427" s="1"/>
      <c r="Q1427"/>
    </row>
    <row r="1428" spans="1:17" ht="13.15" customHeight="1" x14ac:dyDescent="0.2">
      <c r="A1428" s="1" t="s">
        <v>3537</v>
      </c>
      <c r="B1428" s="1" t="s">
        <v>3533</v>
      </c>
      <c r="C1428" s="580" t="s">
        <v>3475</v>
      </c>
      <c r="D1428" s="1">
        <v>168.21</v>
      </c>
      <c r="E1428" t="s">
        <v>3371</v>
      </c>
      <c r="F1428" t="s">
        <v>3538</v>
      </c>
      <c r="G1428" s="580">
        <v>36.78</v>
      </c>
      <c r="H1428" s="1" t="s">
        <v>3475</v>
      </c>
      <c r="I1428" s="1"/>
      <c r="J1428" s="1"/>
      <c r="K1428" s="1"/>
      <c r="L1428" s="1"/>
      <c r="M1428" s="1"/>
      <c r="N1428" s="1"/>
      <c r="Q1428"/>
    </row>
    <row r="1429" spans="1:17" ht="13.15" customHeight="1" x14ac:dyDescent="0.2">
      <c r="A1429" s="1" t="s">
        <v>3539</v>
      </c>
      <c r="B1429" s="1" t="s">
        <v>3533</v>
      </c>
      <c r="C1429" s="580" t="s">
        <v>3478</v>
      </c>
      <c r="D1429" s="1">
        <v>207.48</v>
      </c>
      <c r="E1429" t="s">
        <v>3371</v>
      </c>
      <c r="F1429" t="s">
        <v>3540</v>
      </c>
      <c r="G1429" s="580">
        <v>45.338999999999999</v>
      </c>
      <c r="H1429" s="1" t="s">
        <v>3478</v>
      </c>
      <c r="I1429" s="1"/>
      <c r="J1429" s="1"/>
      <c r="K1429" s="1"/>
      <c r="L1429" s="1"/>
      <c r="M1429" s="1"/>
      <c r="N1429" s="1"/>
      <c r="Q1429"/>
    </row>
    <row r="1430" spans="1:17" ht="13.15" customHeight="1" x14ac:dyDescent="0.2">
      <c r="A1430" s="1" t="s">
        <v>3541</v>
      </c>
      <c r="B1430" s="1" t="s">
        <v>3533</v>
      </c>
      <c r="C1430" s="580" t="s">
        <v>3481</v>
      </c>
      <c r="D1430" s="1">
        <v>392.24</v>
      </c>
      <c r="E1430" t="s">
        <v>3371</v>
      </c>
      <c r="F1430" t="s">
        <v>3542</v>
      </c>
      <c r="G1430" s="580">
        <v>85.703999999999994</v>
      </c>
      <c r="H1430" s="1" t="s">
        <v>3481</v>
      </c>
      <c r="I1430" s="1"/>
      <c r="J1430" s="1"/>
      <c r="K1430" s="1"/>
      <c r="L1430" s="1"/>
      <c r="M1430" s="1"/>
      <c r="N1430" s="1"/>
      <c r="Q1430"/>
    </row>
    <row r="1431" spans="1:17" ht="13.15" customHeight="1" x14ac:dyDescent="0.2">
      <c r="A1431" s="1" t="s">
        <v>3543</v>
      </c>
      <c r="B1431" s="1" t="s">
        <v>3533</v>
      </c>
      <c r="C1431" s="580" t="s">
        <v>3484</v>
      </c>
      <c r="D1431" s="1">
        <v>447.8</v>
      </c>
      <c r="E1431" t="s">
        <v>3371</v>
      </c>
      <c r="F1431" t="s">
        <v>3544</v>
      </c>
      <c r="G1431" s="580">
        <v>97.852199999999996</v>
      </c>
      <c r="H1431" s="1" t="s">
        <v>3484</v>
      </c>
      <c r="I1431" s="1"/>
      <c r="J1431" s="1"/>
      <c r="K1431" s="1"/>
      <c r="L1431" s="1"/>
      <c r="M1431" s="1"/>
      <c r="N1431" s="1"/>
      <c r="Q1431"/>
    </row>
    <row r="1432" spans="1:17" ht="13.15" customHeight="1" x14ac:dyDescent="0.2">
      <c r="A1432" s="1" t="s">
        <v>3545</v>
      </c>
      <c r="B1432" s="1" t="s">
        <v>3533</v>
      </c>
      <c r="C1432" s="580" t="s">
        <v>3487</v>
      </c>
      <c r="D1432" s="1">
        <v>560.11</v>
      </c>
      <c r="E1432" t="s">
        <v>3371</v>
      </c>
      <c r="F1432" t="s">
        <v>3546</v>
      </c>
      <c r="G1432" s="580">
        <v>122.3886</v>
      </c>
      <c r="H1432" s="1" t="s">
        <v>3487</v>
      </c>
      <c r="I1432" s="1"/>
      <c r="J1432" s="1"/>
      <c r="K1432" s="1"/>
      <c r="L1432" s="1"/>
      <c r="M1432" s="1"/>
      <c r="N1432" s="1"/>
      <c r="Q1432"/>
    </row>
    <row r="1433" spans="1:17" ht="13.15" customHeight="1" x14ac:dyDescent="0.2">
      <c r="A1433" s="1" t="s">
        <v>3547</v>
      </c>
      <c r="B1433" s="1" t="s">
        <v>3533</v>
      </c>
      <c r="C1433" s="580" t="s">
        <v>3414</v>
      </c>
      <c r="D1433" s="1">
        <v>139.99</v>
      </c>
      <c r="E1433" t="s">
        <v>3371</v>
      </c>
      <c r="F1433" t="s">
        <v>3548</v>
      </c>
      <c r="G1433" s="580">
        <v>30.5886</v>
      </c>
      <c r="H1433" s="1" t="s">
        <v>3414</v>
      </c>
      <c r="I1433" s="1"/>
      <c r="J1433" s="1"/>
      <c r="K1433" s="1"/>
      <c r="L1433" s="1"/>
      <c r="M1433" s="1"/>
      <c r="N1433" s="1"/>
      <c r="Q1433"/>
    </row>
    <row r="1434" spans="1:17" ht="13.15" customHeight="1" x14ac:dyDescent="0.2">
      <c r="A1434" s="1" t="s">
        <v>3549</v>
      </c>
      <c r="B1434" s="1" t="s">
        <v>3533</v>
      </c>
      <c r="C1434" s="580" t="s">
        <v>3550</v>
      </c>
      <c r="D1434" s="1">
        <v>139.99</v>
      </c>
      <c r="E1434" t="s">
        <v>3371</v>
      </c>
      <c r="F1434" t="s">
        <v>3551</v>
      </c>
      <c r="G1434" s="580">
        <v>30.5886</v>
      </c>
      <c r="H1434" s="1" t="s">
        <v>3550</v>
      </c>
      <c r="I1434" s="1"/>
      <c r="J1434" s="1"/>
      <c r="K1434" s="1"/>
      <c r="L1434" s="1"/>
      <c r="M1434" s="1"/>
      <c r="N1434" s="1"/>
      <c r="Q1434"/>
    </row>
    <row r="1435" spans="1:17" ht="13.15" customHeight="1" x14ac:dyDescent="0.2">
      <c r="A1435" s="1" t="s">
        <v>3552</v>
      </c>
      <c r="B1435" s="1" t="s">
        <v>3533</v>
      </c>
      <c r="C1435" s="580" t="s">
        <v>3417</v>
      </c>
      <c r="D1435" s="1">
        <v>195.93</v>
      </c>
      <c r="E1435" t="s">
        <v>3371</v>
      </c>
      <c r="F1435" t="s">
        <v>3553</v>
      </c>
      <c r="G1435" s="580">
        <v>42.826799999999999</v>
      </c>
      <c r="H1435" s="1" t="s">
        <v>3417</v>
      </c>
      <c r="I1435" s="1"/>
      <c r="J1435" s="1"/>
      <c r="K1435" s="1"/>
      <c r="L1435" s="1"/>
      <c r="M1435" s="1"/>
      <c r="N1435" s="1"/>
      <c r="Q1435"/>
    </row>
    <row r="1436" spans="1:17" ht="13.15" customHeight="1" x14ac:dyDescent="0.2">
      <c r="A1436" s="1" t="s">
        <v>3554</v>
      </c>
      <c r="B1436" s="1" t="s">
        <v>3533</v>
      </c>
      <c r="C1436" s="580" t="s">
        <v>3420</v>
      </c>
      <c r="D1436" s="1">
        <v>201.81</v>
      </c>
      <c r="E1436" t="s">
        <v>3371</v>
      </c>
      <c r="F1436" t="s">
        <v>3555</v>
      </c>
      <c r="G1436" s="580">
        <v>44.110199999999999</v>
      </c>
      <c r="H1436" s="1" t="s">
        <v>3420</v>
      </c>
      <c r="I1436" s="1"/>
      <c r="J1436" s="1"/>
      <c r="K1436" s="1"/>
      <c r="L1436" s="1"/>
      <c r="M1436" s="1"/>
      <c r="N1436" s="1"/>
      <c r="Q1436"/>
    </row>
    <row r="1437" spans="1:17" ht="13.15" customHeight="1" x14ac:dyDescent="0.2">
      <c r="A1437" s="1" t="s">
        <v>3556</v>
      </c>
      <c r="B1437" s="1" t="s">
        <v>3533</v>
      </c>
      <c r="C1437" s="580" t="s">
        <v>3423</v>
      </c>
      <c r="D1437" s="1">
        <v>195.93</v>
      </c>
      <c r="E1437" t="s">
        <v>3371</v>
      </c>
      <c r="F1437" t="s">
        <v>3557</v>
      </c>
      <c r="G1437" s="580">
        <v>42.826799999999999</v>
      </c>
      <c r="H1437" s="1" t="s">
        <v>3423</v>
      </c>
      <c r="I1437" s="1"/>
      <c r="J1437" s="1"/>
      <c r="K1437" s="1"/>
      <c r="L1437" s="1"/>
      <c r="M1437" s="1"/>
      <c r="N1437" s="1"/>
      <c r="Q1437"/>
    </row>
    <row r="1438" spans="1:17" ht="13.15" customHeight="1" x14ac:dyDescent="0.2">
      <c r="A1438" s="1" t="s">
        <v>3558</v>
      </c>
      <c r="B1438" s="1" t="s">
        <v>3533</v>
      </c>
      <c r="C1438" s="580" t="s">
        <v>3426</v>
      </c>
      <c r="D1438" s="1">
        <v>279.97000000000003</v>
      </c>
      <c r="E1438" t="s">
        <v>3371</v>
      </c>
      <c r="F1438" t="s">
        <v>3559</v>
      </c>
      <c r="G1438" s="580">
        <v>61.171799999999998</v>
      </c>
      <c r="H1438" s="1" t="s">
        <v>3426</v>
      </c>
      <c r="I1438" s="1"/>
      <c r="J1438" s="1"/>
      <c r="K1438" s="1"/>
      <c r="L1438" s="1"/>
      <c r="M1438" s="1"/>
      <c r="N1438" s="1"/>
      <c r="Q1438"/>
    </row>
    <row r="1439" spans="1:17" ht="13.15" customHeight="1" x14ac:dyDescent="0.2">
      <c r="A1439" s="1" t="s">
        <v>3560</v>
      </c>
      <c r="B1439" s="1" t="s">
        <v>3533</v>
      </c>
      <c r="C1439" s="580" t="s">
        <v>3429</v>
      </c>
      <c r="D1439" s="1">
        <v>279.97000000000003</v>
      </c>
      <c r="E1439" t="s">
        <v>3371</v>
      </c>
      <c r="F1439" t="s">
        <v>3561</v>
      </c>
      <c r="G1439" s="580">
        <v>61.171799999999998</v>
      </c>
      <c r="H1439" s="1" t="s">
        <v>3429</v>
      </c>
      <c r="I1439" s="1"/>
      <c r="J1439" s="1"/>
      <c r="K1439" s="1"/>
      <c r="L1439" s="1"/>
      <c r="M1439" s="1"/>
      <c r="N1439" s="1"/>
      <c r="Q1439"/>
    </row>
    <row r="1440" spans="1:17" ht="13.15" customHeight="1" x14ac:dyDescent="0.2">
      <c r="A1440" s="1" t="s">
        <v>3562</v>
      </c>
      <c r="B1440" s="1" t="s">
        <v>3533</v>
      </c>
      <c r="C1440" s="580" t="s">
        <v>3432</v>
      </c>
      <c r="D1440" s="1">
        <v>352.63</v>
      </c>
      <c r="E1440" t="s">
        <v>3371</v>
      </c>
      <c r="F1440" t="s">
        <v>3563</v>
      </c>
      <c r="G1440" s="580">
        <v>79.557000000000002</v>
      </c>
      <c r="H1440" s="1" t="s">
        <v>3432</v>
      </c>
      <c r="I1440" s="1"/>
      <c r="J1440" s="1"/>
      <c r="K1440" s="1"/>
      <c r="L1440" s="1"/>
      <c r="M1440" s="1"/>
      <c r="N1440" s="1"/>
      <c r="Q1440"/>
    </row>
    <row r="1441" spans="1:17" ht="13.15" customHeight="1" x14ac:dyDescent="0.2">
      <c r="A1441" s="1" t="s">
        <v>3564</v>
      </c>
      <c r="B1441" s="1" t="s">
        <v>3533</v>
      </c>
      <c r="C1441" s="580" t="s">
        <v>3435</v>
      </c>
      <c r="D1441" s="1">
        <v>352.63</v>
      </c>
      <c r="E1441" t="s">
        <v>3371</v>
      </c>
      <c r="F1441" t="s">
        <v>3565</v>
      </c>
      <c r="G1441" s="580">
        <v>79.557000000000002</v>
      </c>
      <c r="H1441" s="1" t="s">
        <v>3435</v>
      </c>
      <c r="I1441" s="1"/>
      <c r="J1441" s="1"/>
      <c r="K1441" s="1"/>
      <c r="L1441" s="1"/>
      <c r="M1441" s="1"/>
      <c r="N1441" s="1"/>
      <c r="Q1441"/>
    </row>
    <row r="1442" spans="1:17" ht="13.15" customHeight="1" x14ac:dyDescent="0.2">
      <c r="A1442" s="1" t="s">
        <v>3566</v>
      </c>
      <c r="B1442" s="1" t="s">
        <v>3533</v>
      </c>
      <c r="C1442" s="580" t="s">
        <v>3438</v>
      </c>
      <c r="D1442" s="1">
        <v>422.61</v>
      </c>
      <c r="E1442" t="s">
        <v>3371</v>
      </c>
      <c r="F1442" t="s">
        <v>3567</v>
      </c>
      <c r="G1442" s="580">
        <v>95.344800000000006</v>
      </c>
      <c r="H1442" s="1" t="s">
        <v>3438</v>
      </c>
      <c r="I1442" s="1"/>
      <c r="J1442" s="1"/>
      <c r="K1442" s="1"/>
      <c r="L1442" s="1"/>
      <c r="M1442" s="1"/>
      <c r="N1442" s="1"/>
      <c r="Q1442"/>
    </row>
    <row r="1443" spans="1:17" ht="13.15" customHeight="1" x14ac:dyDescent="0.2">
      <c r="A1443" s="1" t="s">
        <v>3568</v>
      </c>
      <c r="B1443" s="1" t="s">
        <v>3533</v>
      </c>
      <c r="C1443" s="580" t="s">
        <v>3569</v>
      </c>
      <c r="D1443" s="1">
        <v>391.01</v>
      </c>
      <c r="E1443" t="s">
        <v>3371</v>
      </c>
      <c r="F1443" t="s">
        <v>3570</v>
      </c>
      <c r="G1443" s="580">
        <v>88.215599999999995</v>
      </c>
      <c r="H1443" s="1" t="s">
        <v>3569</v>
      </c>
      <c r="I1443" s="1"/>
      <c r="J1443" s="1"/>
      <c r="K1443" s="1"/>
      <c r="L1443" s="1"/>
      <c r="M1443" s="1"/>
      <c r="N1443" s="1"/>
      <c r="Q1443"/>
    </row>
    <row r="1444" spans="1:17" ht="13.15" customHeight="1" x14ac:dyDescent="0.2">
      <c r="A1444" s="1" t="s">
        <v>3571</v>
      </c>
      <c r="B1444" s="1" t="s">
        <v>3533</v>
      </c>
      <c r="C1444" s="580" t="s">
        <v>3441</v>
      </c>
      <c r="D1444" s="1">
        <v>433.72</v>
      </c>
      <c r="E1444" t="s">
        <v>3371</v>
      </c>
      <c r="F1444" t="s">
        <v>3572</v>
      </c>
      <c r="G1444" s="580">
        <v>97.852199999999996</v>
      </c>
      <c r="H1444" s="1" t="s">
        <v>3441</v>
      </c>
      <c r="I1444" s="1"/>
      <c r="J1444" s="1"/>
      <c r="K1444" s="1"/>
      <c r="L1444" s="1"/>
      <c r="M1444" s="1"/>
      <c r="N1444" s="1"/>
      <c r="Q1444"/>
    </row>
    <row r="1445" spans="1:17" ht="13.15" customHeight="1" x14ac:dyDescent="0.2">
      <c r="A1445" s="1" t="s">
        <v>3573</v>
      </c>
      <c r="B1445" s="1" t="s">
        <v>3533</v>
      </c>
      <c r="C1445" s="580" t="s">
        <v>3574</v>
      </c>
      <c r="D1445" s="1">
        <v>499.75</v>
      </c>
      <c r="E1445" t="s">
        <v>3371</v>
      </c>
      <c r="F1445" t="s">
        <v>3575</v>
      </c>
      <c r="G1445" s="580">
        <v>112.7478</v>
      </c>
      <c r="H1445" s="1" t="s">
        <v>3574</v>
      </c>
      <c r="I1445" s="1"/>
      <c r="J1445" s="1"/>
      <c r="K1445" s="1"/>
      <c r="L1445" s="1"/>
      <c r="M1445" s="1"/>
      <c r="N1445" s="1"/>
      <c r="Q1445"/>
    </row>
    <row r="1446" spans="1:17" ht="13.15" customHeight="1" x14ac:dyDescent="0.2">
      <c r="A1446" s="1" t="s">
        <v>3576</v>
      </c>
      <c r="B1446" s="1" t="s">
        <v>3533</v>
      </c>
      <c r="C1446" s="580" t="s">
        <v>3444</v>
      </c>
      <c r="D1446" s="1">
        <v>471.64</v>
      </c>
      <c r="E1446" t="s">
        <v>3371</v>
      </c>
      <c r="F1446" t="s">
        <v>3577</v>
      </c>
      <c r="G1446" s="580">
        <v>106.4076</v>
      </c>
      <c r="H1446" s="1" t="s">
        <v>3444</v>
      </c>
      <c r="I1446" s="1"/>
      <c r="J1446" s="1"/>
      <c r="K1446" s="1"/>
      <c r="L1446" s="1"/>
      <c r="M1446" s="1"/>
      <c r="N1446" s="1"/>
      <c r="Q1446"/>
    </row>
    <row r="1447" spans="1:17" ht="13.15" customHeight="1" x14ac:dyDescent="0.2">
      <c r="A1447" s="1" t="s">
        <v>3578</v>
      </c>
      <c r="B1447" s="1" t="s">
        <v>3533</v>
      </c>
      <c r="C1447" s="580" t="s">
        <v>3447</v>
      </c>
      <c r="D1447" s="1">
        <v>471.64</v>
      </c>
      <c r="E1447" t="s">
        <v>3371</v>
      </c>
      <c r="F1447" t="s">
        <v>3579</v>
      </c>
      <c r="G1447" s="580">
        <v>106.4076</v>
      </c>
      <c r="H1447" s="1" t="s">
        <v>3447</v>
      </c>
      <c r="I1447" s="1"/>
      <c r="J1447" s="1"/>
      <c r="K1447" s="1"/>
      <c r="L1447" s="1"/>
      <c r="M1447" s="1"/>
      <c r="N1447" s="1"/>
      <c r="Q1447"/>
    </row>
    <row r="1448" spans="1:17" ht="13.15" customHeight="1" x14ac:dyDescent="0.2">
      <c r="A1448" s="1" t="s">
        <v>3580</v>
      </c>
      <c r="B1448" s="1" t="s">
        <v>3533</v>
      </c>
      <c r="C1448" s="580" t="s">
        <v>3450</v>
      </c>
      <c r="D1448" s="1">
        <v>515.89</v>
      </c>
      <c r="E1448" t="s">
        <v>3371</v>
      </c>
      <c r="F1448" t="s">
        <v>3581</v>
      </c>
      <c r="G1448" s="580">
        <v>116.3904</v>
      </c>
      <c r="H1448" s="1" t="s">
        <v>3450</v>
      </c>
      <c r="I1448" s="1"/>
      <c r="J1448" s="1"/>
      <c r="K1448" s="1"/>
      <c r="L1448" s="1"/>
      <c r="M1448" s="1"/>
      <c r="N1448" s="1"/>
      <c r="Q1448"/>
    </row>
    <row r="1449" spans="1:17" ht="13.15" customHeight="1" x14ac:dyDescent="0.2">
      <c r="A1449" s="1" t="s">
        <v>3582</v>
      </c>
      <c r="B1449" s="1" t="s">
        <v>3533</v>
      </c>
      <c r="C1449" s="580" t="s">
        <v>3453</v>
      </c>
      <c r="D1449" s="1">
        <v>596.75</v>
      </c>
      <c r="E1449" t="s">
        <v>3371</v>
      </c>
      <c r="F1449" t="s">
        <v>3583</v>
      </c>
      <c r="G1449" s="580">
        <v>134.63159999999999</v>
      </c>
      <c r="H1449" s="1" t="s">
        <v>3453</v>
      </c>
      <c r="I1449" s="1"/>
      <c r="J1449" s="1"/>
      <c r="K1449" s="1"/>
      <c r="L1449" s="1"/>
      <c r="M1449" s="1"/>
      <c r="N1449" s="1"/>
      <c r="Q1449"/>
    </row>
    <row r="1450" spans="1:17" ht="13.15" customHeight="1" x14ac:dyDescent="0.2">
      <c r="A1450" s="1" t="s">
        <v>3584</v>
      </c>
      <c r="B1450" s="1" t="s">
        <v>3533</v>
      </c>
      <c r="C1450" s="580" t="s">
        <v>3456</v>
      </c>
      <c r="D1450" s="1">
        <v>596.75</v>
      </c>
      <c r="E1450" t="s">
        <v>3371</v>
      </c>
      <c r="F1450" t="s">
        <v>3585</v>
      </c>
      <c r="G1450" s="580">
        <v>134.63159999999999</v>
      </c>
      <c r="H1450" s="1" t="s">
        <v>3456</v>
      </c>
      <c r="I1450" s="1"/>
      <c r="J1450" s="1"/>
      <c r="K1450" s="1"/>
      <c r="L1450" s="1"/>
      <c r="M1450" s="1"/>
      <c r="N1450" s="1"/>
      <c r="Q1450"/>
    </row>
    <row r="1451" spans="1:17" ht="13.15" customHeight="1" x14ac:dyDescent="0.2">
      <c r="A1451" s="1" t="s">
        <v>3586</v>
      </c>
      <c r="B1451" s="1" t="s">
        <v>3533</v>
      </c>
      <c r="C1451" s="580" t="s">
        <v>3459</v>
      </c>
      <c r="D1451" s="1">
        <v>651.01</v>
      </c>
      <c r="E1451" t="s">
        <v>3371</v>
      </c>
      <c r="F1451" t="s">
        <v>3587</v>
      </c>
      <c r="G1451" s="580">
        <v>146.87520000000001</v>
      </c>
      <c r="H1451" s="1" t="s">
        <v>3459</v>
      </c>
      <c r="I1451" s="1"/>
      <c r="J1451" s="1"/>
      <c r="K1451" s="1"/>
      <c r="L1451" s="1"/>
      <c r="M1451" s="1"/>
      <c r="N1451" s="1"/>
      <c r="Q1451"/>
    </row>
    <row r="1452" spans="1:17" ht="13.15" customHeight="1" x14ac:dyDescent="0.2">
      <c r="A1452" s="1" t="s">
        <v>3588</v>
      </c>
      <c r="B1452" s="1" t="s">
        <v>3533</v>
      </c>
      <c r="C1452" s="580" t="s">
        <v>3522</v>
      </c>
      <c r="D1452" s="1">
        <v>704.86</v>
      </c>
      <c r="E1452" t="s">
        <v>3371</v>
      </c>
      <c r="F1452" t="s">
        <v>3589</v>
      </c>
      <c r="G1452" s="580">
        <v>159.02340000000001</v>
      </c>
      <c r="H1452" s="1" t="s">
        <v>3522</v>
      </c>
      <c r="I1452" s="1"/>
      <c r="J1452" s="1"/>
      <c r="K1452" s="1"/>
      <c r="L1452" s="1"/>
      <c r="M1452" s="1"/>
      <c r="N1452" s="1"/>
      <c r="Q1452"/>
    </row>
    <row r="1453" spans="1:17" ht="13.15" customHeight="1" x14ac:dyDescent="0.2">
      <c r="A1453" s="1" t="s">
        <v>3590</v>
      </c>
      <c r="B1453" s="1" t="s">
        <v>3533</v>
      </c>
      <c r="C1453" s="580" t="s">
        <v>3465</v>
      </c>
      <c r="D1453" s="1">
        <v>868.08</v>
      </c>
      <c r="E1453" t="s">
        <v>3371</v>
      </c>
      <c r="F1453" t="s">
        <v>3591</v>
      </c>
      <c r="G1453" s="580">
        <v>195.8484</v>
      </c>
      <c r="H1453" s="1" t="s">
        <v>3465</v>
      </c>
      <c r="I1453" s="1"/>
      <c r="J1453" s="1"/>
      <c r="K1453" s="1"/>
      <c r="L1453" s="1"/>
      <c r="M1453" s="1"/>
      <c r="N1453" s="1"/>
      <c r="Q1453"/>
    </row>
    <row r="1454" spans="1:17" ht="13.15" customHeight="1" x14ac:dyDescent="0.2">
      <c r="A1454" s="1" t="s">
        <v>3592</v>
      </c>
      <c r="B1454" s="1" t="s">
        <v>3533</v>
      </c>
      <c r="C1454" s="580" t="s">
        <v>3527</v>
      </c>
      <c r="D1454" s="1">
        <v>975.98</v>
      </c>
      <c r="E1454" t="s">
        <v>3371</v>
      </c>
      <c r="F1454" t="s">
        <v>3593</v>
      </c>
      <c r="G1454" s="580">
        <v>220.191</v>
      </c>
      <c r="H1454" s="1" t="s">
        <v>3527</v>
      </c>
      <c r="I1454" s="1"/>
      <c r="J1454" s="1"/>
      <c r="K1454" s="1"/>
      <c r="L1454" s="1"/>
      <c r="M1454" s="1"/>
      <c r="N1454" s="1"/>
      <c r="Q1454"/>
    </row>
    <row r="1455" spans="1:17" ht="13.15" customHeight="1" x14ac:dyDescent="0.2">
      <c r="A1455" s="1" t="s">
        <v>3594</v>
      </c>
      <c r="B1455" s="1" t="s">
        <v>3533</v>
      </c>
      <c r="C1455" s="580" t="s">
        <v>3530</v>
      </c>
      <c r="D1455" s="1">
        <v>1193.47</v>
      </c>
      <c r="E1455" t="s">
        <v>3371</v>
      </c>
      <c r="F1455" t="s">
        <v>3595</v>
      </c>
      <c r="G1455" s="580">
        <v>269.25839999999999</v>
      </c>
      <c r="H1455" s="1" t="s">
        <v>3530</v>
      </c>
      <c r="I1455" s="1"/>
      <c r="J1455" s="1"/>
      <c r="K1455" s="1"/>
      <c r="L1455" s="1"/>
      <c r="M1455" s="1"/>
      <c r="N1455" s="1"/>
      <c r="Q1455"/>
    </row>
    <row r="1456" spans="1:17" ht="13.15" customHeight="1" x14ac:dyDescent="0.2">
      <c r="A1456" s="1" t="s">
        <v>3596</v>
      </c>
      <c r="B1456" s="1" t="s">
        <v>3533</v>
      </c>
      <c r="C1456" s="580" t="s">
        <v>3597</v>
      </c>
      <c r="D1456" s="1">
        <v>1084.74</v>
      </c>
      <c r="E1456" t="s">
        <v>3371</v>
      </c>
      <c r="F1456" t="s">
        <v>3598</v>
      </c>
      <c r="G1456" s="580">
        <v>244.72739999999999</v>
      </c>
      <c r="H1456" s="1" t="s">
        <v>3597</v>
      </c>
      <c r="I1456" s="1"/>
      <c r="J1456" s="1"/>
      <c r="K1456" s="1"/>
      <c r="L1456" s="1"/>
      <c r="M1456" s="1"/>
      <c r="N1456" s="1"/>
      <c r="Q1456"/>
    </row>
    <row r="1457" spans="1:17" ht="13.15" customHeight="1" x14ac:dyDescent="0.2">
      <c r="A1457" s="1" t="s">
        <v>3599</v>
      </c>
      <c r="B1457" s="1" t="s">
        <v>3600</v>
      </c>
      <c r="C1457" s="580" t="s">
        <v>3469</v>
      </c>
      <c r="D1457" s="1">
        <v>73.959999999999994</v>
      </c>
      <c r="E1457" t="s">
        <v>3371</v>
      </c>
      <c r="F1457" t="s">
        <v>3601</v>
      </c>
      <c r="G1457" s="580">
        <v>0</v>
      </c>
      <c r="H1457" s="1" t="s">
        <v>3469</v>
      </c>
      <c r="I1457" s="1"/>
      <c r="J1457" s="1"/>
      <c r="K1457" s="1"/>
      <c r="L1457" s="1"/>
      <c r="M1457" s="1"/>
      <c r="N1457" s="1"/>
      <c r="Q1457"/>
    </row>
    <row r="1458" spans="1:17" ht="13.15" customHeight="1" x14ac:dyDescent="0.2">
      <c r="A1458" s="1" t="s">
        <v>3602</v>
      </c>
      <c r="B1458" s="1" t="s">
        <v>3600</v>
      </c>
      <c r="C1458" s="580" t="s">
        <v>3472</v>
      </c>
      <c r="D1458" s="1">
        <v>73.959999999999994</v>
      </c>
      <c r="E1458" t="s">
        <v>3371</v>
      </c>
      <c r="F1458" t="s">
        <v>3603</v>
      </c>
      <c r="G1458" s="580">
        <v>0</v>
      </c>
      <c r="H1458" s="1" t="s">
        <v>3472</v>
      </c>
      <c r="I1458" s="1"/>
      <c r="J1458" s="1"/>
      <c r="K1458" s="1"/>
      <c r="L1458" s="1"/>
      <c r="M1458" s="1"/>
      <c r="N1458" s="1"/>
      <c r="Q1458"/>
    </row>
    <row r="1459" spans="1:17" ht="13.15" customHeight="1" x14ac:dyDescent="0.2">
      <c r="A1459" s="1" t="s">
        <v>3604</v>
      </c>
      <c r="B1459" s="1" t="s">
        <v>3600</v>
      </c>
      <c r="C1459" s="580" t="s">
        <v>3475</v>
      </c>
      <c r="D1459" s="1">
        <v>81.319999999999993</v>
      </c>
      <c r="E1459" t="s">
        <v>3371</v>
      </c>
      <c r="F1459" t="s">
        <v>3605</v>
      </c>
      <c r="G1459" s="580">
        <v>0</v>
      </c>
      <c r="H1459" s="1" t="s">
        <v>3475</v>
      </c>
      <c r="I1459" s="1"/>
      <c r="J1459" s="1"/>
      <c r="K1459" s="1"/>
      <c r="L1459" s="1"/>
      <c r="M1459" s="1"/>
      <c r="N1459" s="1"/>
      <c r="Q1459"/>
    </row>
    <row r="1460" spans="1:17" ht="13.15" customHeight="1" x14ac:dyDescent="0.2">
      <c r="A1460" s="1" t="s">
        <v>3606</v>
      </c>
      <c r="B1460" s="1" t="s">
        <v>3600</v>
      </c>
      <c r="C1460" s="580" t="s">
        <v>3478</v>
      </c>
      <c r="D1460" s="1">
        <v>96.12</v>
      </c>
      <c r="E1460" t="s">
        <v>3371</v>
      </c>
      <c r="F1460" t="s">
        <v>3607</v>
      </c>
      <c r="G1460" s="580">
        <v>0</v>
      </c>
      <c r="H1460" s="1" t="s">
        <v>3478</v>
      </c>
      <c r="I1460" s="1"/>
      <c r="J1460" s="1"/>
      <c r="K1460" s="1"/>
      <c r="L1460" s="1"/>
      <c r="M1460" s="1"/>
      <c r="N1460" s="1"/>
      <c r="Q1460"/>
    </row>
    <row r="1461" spans="1:17" ht="13.15" customHeight="1" x14ac:dyDescent="0.2">
      <c r="A1461" s="1" t="s">
        <v>3608</v>
      </c>
      <c r="B1461" s="1" t="s">
        <v>3600</v>
      </c>
      <c r="C1461" s="580" t="s">
        <v>3481</v>
      </c>
      <c r="D1461" s="1">
        <v>184.88</v>
      </c>
      <c r="E1461" t="s">
        <v>3371</v>
      </c>
      <c r="F1461" t="s">
        <v>3609</v>
      </c>
      <c r="G1461" s="580">
        <v>0</v>
      </c>
      <c r="H1461" s="1" t="s">
        <v>3481</v>
      </c>
      <c r="I1461" s="1"/>
      <c r="J1461" s="1"/>
      <c r="K1461" s="1"/>
      <c r="L1461" s="1"/>
      <c r="M1461" s="1"/>
      <c r="N1461" s="1"/>
      <c r="Q1461"/>
    </row>
    <row r="1462" spans="1:17" ht="13.15" customHeight="1" x14ac:dyDescent="0.2">
      <c r="A1462" s="1" t="s">
        <v>3610</v>
      </c>
      <c r="B1462" s="1" t="s">
        <v>3600</v>
      </c>
      <c r="C1462" s="580" t="s">
        <v>3484</v>
      </c>
      <c r="D1462" s="1">
        <v>184.88</v>
      </c>
      <c r="E1462" t="s">
        <v>3371</v>
      </c>
      <c r="F1462" t="s">
        <v>3611</v>
      </c>
      <c r="G1462" s="580">
        <v>0</v>
      </c>
      <c r="H1462" s="1" t="s">
        <v>3484</v>
      </c>
      <c r="I1462" s="1"/>
      <c r="J1462" s="1"/>
      <c r="K1462" s="1"/>
      <c r="L1462" s="1"/>
      <c r="M1462" s="1"/>
      <c r="N1462" s="1"/>
      <c r="Q1462"/>
    </row>
    <row r="1463" spans="1:17" ht="13.15" customHeight="1" x14ac:dyDescent="0.2">
      <c r="A1463" s="1" t="s">
        <v>3612</v>
      </c>
      <c r="B1463" s="1" t="s">
        <v>3613</v>
      </c>
      <c r="C1463" s="580" t="s">
        <v>3614</v>
      </c>
      <c r="D1463" s="1">
        <v>127.2</v>
      </c>
      <c r="E1463" t="s">
        <v>8125</v>
      </c>
      <c r="F1463" t="s">
        <v>20897</v>
      </c>
      <c r="G1463" s="580">
        <v>44.626100000000001</v>
      </c>
      <c r="H1463" s="1" t="s">
        <v>3616</v>
      </c>
      <c r="I1463" s="1"/>
      <c r="J1463" s="1"/>
      <c r="K1463" s="1"/>
      <c r="L1463" s="1"/>
      <c r="M1463" s="1"/>
      <c r="N1463" s="1"/>
      <c r="Q1463"/>
    </row>
    <row r="1464" spans="1:17" ht="13.15" customHeight="1" x14ac:dyDescent="0.2">
      <c r="A1464" s="1" t="s">
        <v>3617</v>
      </c>
      <c r="B1464" s="1" t="s">
        <v>3613</v>
      </c>
      <c r="C1464" s="580" t="s">
        <v>3618</v>
      </c>
      <c r="D1464" s="1">
        <v>143.12</v>
      </c>
      <c r="E1464" t="s">
        <v>8125</v>
      </c>
      <c r="F1464" t="s">
        <v>20899</v>
      </c>
      <c r="G1464" s="580">
        <v>44.626100000000001</v>
      </c>
      <c r="H1464" s="1" t="s">
        <v>3619</v>
      </c>
      <c r="I1464" s="1"/>
      <c r="J1464" s="1"/>
      <c r="K1464" s="1"/>
      <c r="L1464" s="1"/>
      <c r="M1464" s="1"/>
      <c r="N1464" s="1"/>
      <c r="Q1464"/>
    </row>
    <row r="1465" spans="1:17" ht="13.15" customHeight="1" x14ac:dyDescent="0.2">
      <c r="A1465" s="1" t="s">
        <v>3620</v>
      </c>
      <c r="B1465" s="1" t="s">
        <v>3613</v>
      </c>
      <c r="C1465" s="580" t="s">
        <v>3621</v>
      </c>
      <c r="D1465" s="1">
        <v>127.2</v>
      </c>
      <c r="E1465" t="s">
        <v>8125</v>
      </c>
      <c r="F1465" t="s">
        <v>20901</v>
      </c>
      <c r="G1465" s="580">
        <v>44.626100000000001</v>
      </c>
      <c r="H1465" s="1" t="s">
        <v>3622</v>
      </c>
      <c r="I1465" s="1"/>
      <c r="J1465" s="1"/>
      <c r="K1465" s="1"/>
      <c r="L1465" s="1"/>
      <c r="M1465" s="1"/>
      <c r="N1465" s="1"/>
      <c r="Q1465"/>
    </row>
    <row r="1466" spans="1:17" ht="13.15" customHeight="1" x14ac:dyDescent="0.2">
      <c r="A1466" s="1" t="s">
        <v>3623</v>
      </c>
      <c r="B1466" s="1" t="s">
        <v>3613</v>
      </c>
      <c r="C1466" s="580" t="s">
        <v>3624</v>
      </c>
      <c r="D1466" s="1">
        <v>159.72</v>
      </c>
      <c r="E1466" t="s">
        <v>8125</v>
      </c>
      <c r="F1466" t="s">
        <v>20903</v>
      </c>
      <c r="G1466" s="580">
        <v>57.018599999999999</v>
      </c>
      <c r="H1466" s="1" t="s">
        <v>3625</v>
      </c>
      <c r="I1466" s="1"/>
      <c r="J1466" s="1"/>
      <c r="K1466" s="1"/>
      <c r="L1466" s="1"/>
      <c r="M1466" s="1"/>
      <c r="N1466" s="1"/>
      <c r="Q1466"/>
    </row>
    <row r="1467" spans="1:17" ht="13.15" customHeight="1" x14ac:dyDescent="0.2">
      <c r="A1467" s="1" t="s">
        <v>3626</v>
      </c>
      <c r="B1467" s="1" t="s">
        <v>3613</v>
      </c>
      <c r="C1467" s="580" t="s">
        <v>3627</v>
      </c>
      <c r="D1467" s="1">
        <v>143.12</v>
      </c>
      <c r="E1467" t="s">
        <v>8125</v>
      </c>
      <c r="F1467" t="s">
        <v>20905</v>
      </c>
      <c r="G1467" s="580">
        <v>44.626100000000001</v>
      </c>
      <c r="H1467" s="1" t="s">
        <v>3628</v>
      </c>
      <c r="I1467" s="1"/>
      <c r="J1467" s="1"/>
      <c r="K1467" s="1"/>
      <c r="L1467" s="1"/>
      <c r="M1467" s="1"/>
      <c r="N1467" s="1"/>
      <c r="Q1467"/>
    </row>
    <row r="1468" spans="1:17" ht="13.15" customHeight="1" x14ac:dyDescent="0.2">
      <c r="A1468" s="1" t="s">
        <v>3629</v>
      </c>
      <c r="B1468" s="1" t="s">
        <v>3613</v>
      </c>
      <c r="C1468" s="580" t="s">
        <v>3630</v>
      </c>
      <c r="D1468" s="1">
        <v>159.72</v>
      </c>
      <c r="E1468" t="s">
        <v>8125</v>
      </c>
      <c r="F1468" t="s">
        <v>20907</v>
      </c>
      <c r="G1468" s="580">
        <v>57.018599999999999</v>
      </c>
      <c r="H1468" s="1" t="s">
        <v>3631</v>
      </c>
      <c r="I1468" s="1"/>
      <c r="J1468" s="1"/>
      <c r="K1468" s="1"/>
      <c r="L1468" s="1"/>
      <c r="M1468" s="1"/>
      <c r="N1468" s="1"/>
      <c r="Q1468"/>
    </row>
    <row r="1469" spans="1:17" ht="13.15" customHeight="1" x14ac:dyDescent="0.2">
      <c r="A1469" s="1" t="s">
        <v>3632</v>
      </c>
      <c r="B1469" s="1" t="s">
        <v>3613</v>
      </c>
      <c r="C1469" s="580" t="s">
        <v>3417</v>
      </c>
      <c r="D1469" s="1">
        <v>143.12</v>
      </c>
      <c r="E1469" t="s">
        <v>8125</v>
      </c>
      <c r="F1469" t="s">
        <v>20909</v>
      </c>
      <c r="G1469" s="580">
        <v>44.626100000000001</v>
      </c>
      <c r="H1469" s="1" t="s">
        <v>3633</v>
      </c>
      <c r="I1469" s="1"/>
      <c r="J1469" s="1"/>
      <c r="K1469" s="1"/>
      <c r="L1469" s="1"/>
      <c r="M1469" s="1"/>
      <c r="N1469" s="1"/>
      <c r="Q1469"/>
    </row>
    <row r="1470" spans="1:17" ht="13.15" customHeight="1" x14ac:dyDescent="0.2">
      <c r="A1470" s="1" t="s">
        <v>3634</v>
      </c>
      <c r="B1470" s="1" t="s">
        <v>3613</v>
      </c>
      <c r="C1470" s="580" t="s">
        <v>3635</v>
      </c>
      <c r="D1470" s="1">
        <v>175.64</v>
      </c>
      <c r="E1470" t="s">
        <v>8125</v>
      </c>
      <c r="F1470" t="s">
        <v>20911</v>
      </c>
      <c r="G1470" s="580">
        <v>57.018599999999999</v>
      </c>
      <c r="H1470" s="1" t="s">
        <v>3636</v>
      </c>
      <c r="I1470" s="1"/>
      <c r="J1470" s="1"/>
      <c r="K1470" s="1"/>
      <c r="L1470" s="1"/>
      <c r="M1470" s="1"/>
      <c r="N1470" s="1"/>
      <c r="Q1470"/>
    </row>
    <row r="1471" spans="1:17" ht="13.15" customHeight="1" x14ac:dyDescent="0.2">
      <c r="A1471" s="1" t="s">
        <v>3637</v>
      </c>
      <c r="B1471" s="1" t="s">
        <v>3613</v>
      </c>
      <c r="C1471" s="580" t="s">
        <v>3420</v>
      </c>
      <c r="D1471" s="1">
        <v>159.72</v>
      </c>
      <c r="E1471" t="s">
        <v>8125</v>
      </c>
      <c r="F1471" t="s">
        <v>20913</v>
      </c>
      <c r="G1471" s="580">
        <v>57.018599999999999</v>
      </c>
      <c r="H1471" s="1" t="s">
        <v>3638</v>
      </c>
      <c r="I1471" s="1"/>
      <c r="J1471" s="1"/>
      <c r="K1471" s="1"/>
      <c r="L1471" s="1"/>
      <c r="M1471" s="1"/>
      <c r="N1471" s="1"/>
      <c r="Q1471"/>
    </row>
    <row r="1472" spans="1:17" ht="13.15" customHeight="1" x14ac:dyDescent="0.2">
      <c r="A1472" s="1" t="s">
        <v>3639</v>
      </c>
      <c r="B1472" s="1" t="s">
        <v>3613</v>
      </c>
      <c r="C1472" s="580" t="s">
        <v>3640</v>
      </c>
      <c r="D1472" s="1">
        <v>175.64</v>
      </c>
      <c r="E1472" t="s">
        <v>8125</v>
      </c>
      <c r="F1472" t="s">
        <v>20915</v>
      </c>
      <c r="G1472" s="580">
        <v>57.018599999999999</v>
      </c>
      <c r="H1472" s="1" t="s">
        <v>3641</v>
      </c>
      <c r="I1472" s="1"/>
      <c r="J1472" s="1"/>
      <c r="K1472" s="1"/>
      <c r="L1472" s="1"/>
      <c r="M1472" s="1"/>
      <c r="N1472" s="1"/>
      <c r="Q1472"/>
    </row>
    <row r="1473" spans="1:17" ht="13.15" customHeight="1" x14ac:dyDescent="0.2">
      <c r="A1473" s="1" t="s">
        <v>3642</v>
      </c>
      <c r="B1473" s="1" t="s">
        <v>3613</v>
      </c>
      <c r="C1473" s="580" t="s">
        <v>3643</v>
      </c>
      <c r="D1473" s="1">
        <v>159.72</v>
      </c>
      <c r="E1473" t="s">
        <v>8125</v>
      </c>
      <c r="F1473" t="s">
        <v>20917</v>
      </c>
      <c r="G1473" s="580">
        <v>57.018599999999999</v>
      </c>
      <c r="H1473" s="1" t="s">
        <v>3644</v>
      </c>
      <c r="I1473" s="1"/>
      <c r="J1473" s="1"/>
      <c r="K1473" s="1"/>
      <c r="L1473" s="1"/>
      <c r="M1473" s="1"/>
      <c r="N1473" s="1"/>
      <c r="Q1473"/>
    </row>
    <row r="1474" spans="1:17" ht="13.15" customHeight="1" x14ac:dyDescent="0.2">
      <c r="A1474" s="1" t="s">
        <v>3645</v>
      </c>
      <c r="B1474" s="1" t="s">
        <v>3613</v>
      </c>
      <c r="C1474" s="580" t="s">
        <v>3646</v>
      </c>
      <c r="D1474" s="1">
        <v>191.56</v>
      </c>
      <c r="E1474" t="s">
        <v>8125</v>
      </c>
      <c r="F1474" t="s">
        <v>20919</v>
      </c>
      <c r="G1474" s="580">
        <v>57.018599999999999</v>
      </c>
      <c r="H1474" s="1" t="s">
        <v>3647</v>
      </c>
      <c r="I1474" s="1"/>
      <c r="J1474" s="1"/>
      <c r="K1474" s="1"/>
      <c r="L1474" s="1"/>
      <c r="M1474" s="1"/>
      <c r="N1474" s="1"/>
      <c r="Q1474"/>
    </row>
    <row r="1475" spans="1:17" ht="13.15" customHeight="1" x14ac:dyDescent="0.2">
      <c r="A1475" s="1" t="s">
        <v>3648</v>
      </c>
      <c r="B1475" s="1" t="s">
        <v>3613</v>
      </c>
      <c r="C1475" s="580" t="s">
        <v>3649</v>
      </c>
      <c r="D1475" s="1">
        <v>254.92</v>
      </c>
      <c r="E1475" t="s">
        <v>8125</v>
      </c>
      <c r="F1475" t="s">
        <v>20921</v>
      </c>
      <c r="G1475" s="580">
        <v>92.218599999999995</v>
      </c>
      <c r="H1475" s="1" t="s">
        <v>3650</v>
      </c>
      <c r="I1475" s="1"/>
      <c r="J1475" s="1"/>
      <c r="K1475" s="1"/>
      <c r="L1475" s="1"/>
      <c r="M1475" s="1"/>
      <c r="N1475" s="1"/>
      <c r="Q1475"/>
    </row>
    <row r="1476" spans="1:17" ht="13.15" customHeight="1" x14ac:dyDescent="0.2">
      <c r="A1476" s="1" t="s">
        <v>3651</v>
      </c>
      <c r="B1476" s="1" t="s">
        <v>3613</v>
      </c>
      <c r="C1476" s="580" t="s">
        <v>3652</v>
      </c>
      <c r="D1476" s="1">
        <v>175.64</v>
      </c>
      <c r="E1476" t="s">
        <v>8125</v>
      </c>
      <c r="F1476" t="s">
        <v>20923</v>
      </c>
      <c r="G1476" s="580">
        <v>57.018599999999999</v>
      </c>
      <c r="H1476" s="1" t="s">
        <v>3653</v>
      </c>
      <c r="I1476" s="1"/>
      <c r="J1476" s="1"/>
      <c r="K1476" s="1"/>
      <c r="L1476" s="1"/>
      <c r="M1476" s="1"/>
      <c r="N1476" s="1"/>
      <c r="Q1476"/>
    </row>
    <row r="1477" spans="1:17" ht="13.15" customHeight="1" x14ac:dyDescent="0.2">
      <c r="A1477" s="1" t="s">
        <v>3654</v>
      </c>
      <c r="B1477" s="1" t="s">
        <v>3613</v>
      </c>
      <c r="C1477" s="580" t="s">
        <v>3655</v>
      </c>
      <c r="D1477" s="1">
        <v>191.56</v>
      </c>
      <c r="E1477" t="s">
        <v>8125</v>
      </c>
      <c r="F1477" t="s">
        <v>20925</v>
      </c>
      <c r="G1477" s="580">
        <v>71.190899999999999</v>
      </c>
      <c r="H1477" s="1" t="s">
        <v>3656</v>
      </c>
      <c r="I1477" s="1"/>
      <c r="J1477" s="1"/>
      <c r="K1477" s="1"/>
      <c r="L1477" s="1"/>
      <c r="M1477" s="1"/>
      <c r="N1477" s="1"/>
      <c r="Q1477"/>
    </row>
    <row r="1478" spans="1:17" ht="13.15" customHeight="1" x14ac:dyDescent="0.2">
      <c r="A1478" s="1" t="s">
        <v>3657</v>
      </c>
      <c r="B1478" s="1" t="s">
        <v>3613</v>
      </c>
      <c r="C1478" s="580" t="s">
        <v>3658</v>
      </c>
      <c r="D1478" s="1">
        <v>254.92</v>
      </c>
      <c r="E1478" t="s">
        <v>8125</v>
      </c>
      <c r="F1478" t="s">
        <v>20927</v>
      </c>
      <c r="G1478" s="580">
        <v>92.218599999999995</v>
      </c>
      <c r="H1478" s="1" t="s">
        <v>3659</v>
      </c>
      <c r="I1478" s="1"/>
      <c r="J1478" s="1"/>
      <c r="K1478" s="1"/>
      <c r="L1478" s="1"/>
      <c r="M1478" s="1"/>
      <c r="N1478" s="1"/>
      <c r="Q1478"/>
    </row>
    <row r="1479" spans="1:17" ht="13.15" customHeight="1" x14ac:dyDescent="0.2">
      <c r="A1479" s="1" t="s">
        <v>3660</v>
      </c>
      <c r="B1479" s="1" t="s">
        <v>3613</v>
      </c>
      <c r="C1479" s="580" t="s">
        <v>3429</v>
      </c>
      <c r="D1479" s="1">
        <v>175.64</v>
      </c>
      <c r="E1479" t="s">
        <v>8125</v>
      </c>
      <c r="F1479" t="s">
        <v>20929</v>
      </c>
      <c r="G1479" s="580">
        <v>57.018599999999999</v>
      </c>
      <c r="H1479" s="1" t="s">
        <v>3661</v>
      </c>
      <c r="I1479" s="1"/>
      <c r="J1479" s="1"/>
      <c r="K1479" s="1"/>
      <c r="L1479" s="1"/>
      <c r="M1479" s="1"/>
      <c r="N1479" s="1"/>
      <c r="Q1479"/>
    </row>
    <row r="1480" spans="1:17" ht="13.15" customHeight="1" x14ac:dyDescent="0.2">
      <c r="A1480" s="1" t="s">
        <v>3662</v>
      </c>
      <c r="B1480" s="1" t="s">
        <v>3613</v>
      </c>
      <c r="C1480" s="580" t="s">
        <v>3663</v>
      </c>
      <c r="D1480" s="1">
        <v>207.44</v>
      </c>
      <c r="E1480" t="s">
        <v>8125</v>
      </c>
      <c r="F1480" t="s">
        <v>20931</v>
      </c>
      <c r="G1480" s="580">
        <v>71.190899999999999</v>
      </c>
      <c r="H1480" s="1" t="s">
        <v>3664</v>
      </c>
      <c r="I1480" s="1"/>
      <c r="J1480" s="1"/>
      <c r="K1480" s="1"/>
      <c r="L1480" s="1"/>
      <c r="M1480" s="1"/>
      <c r="N1480" s="1"/>
      <c r="Q1480"/>
    </row>
    <row r="1481" spans="1:17" ht="13.15" customHeight="1" x14ac:dyDescent="0.2">
      <c r="A1481" s="1" t="s">
        <v>3665</v>
      </c>
      <c r="B1481" s="1" t="s">
        <v>3613</v>
      </c>
      <c r="C1481" s="580" t="s">
        <v>3666</v>
      </c>
      <c r="D1481" s="1">
        <v>254.92</v>
      </c>
      <c r="E1481" t="s">
        <v>8125</v>
      </c>
      <c r="F1481" t="s">
        <v>20933</v>
      </c>
      <c r="G1481" s="580">
        <v>92.218599999999995</v>
      </c>
      <c r="H1481" s="1" t="s">
        <v>3667</v>
      </c>
      <c r="I1481" s="1"/>
      <c r="J1481" s="1"/>
      <c r="K1481" s="1"/>
      <c r="L1481" s="1"/>
      <c r="M1481" s="1"/>
      <c r="N1481" s="1"/>
      <c r="Q1481"/>
    </row>
    <row r="1482" spans="1:17" ht="13.15" customHeight="1" x14ac:dyDescent="0.2">
      <c r="A1482" s="1" t="s">
        <v>3668</v>
      </c>
      <c r="B1482" s="1" t="s">
        <v>3613</v>
      </c>
      <c r="C1482" s="580" t="s">
        <v>3669</v>
      </c>
      <c r="D1482" s="1">
        <v>191.56</v>
      </c>
      <c r="E1482" t="s">
        <v>8125</v>
      </c>
      <c r="F1482" t="s">
        <v>20935</v>
      </c>
      <c r="G1482" s="580">
        <v>57.018599999999999</v>
      </c>
      <c r="H1482" s="1" t="s">
        <v>3670</v>
      </c>
      <c r="I1482" s="1"/>
      <c r="J1482" s="1"/>
      <c r="K1482" s="1"/>
      <c r="L1482" s="1"/>
      <c r="M1482" s="1"/>
      <c r="N1482" s="1"/>
      <c r="Q1482"/>
    </row>
    <row r="1483" spans="1:17" ht="13.15" customHeight="1" x14ac:dyDescent="0.2">
      <c r="A1483" s="1" t="s">
        <v>3671</v>
      </c>
      <c r="B1483" s="1" t="s">
        <v>3613</v>
      </c>
      <c r="C1483" s="580" t="s">
        <v>3672</v>
      </c>
      <c r="D1483" s="1">
        <v>207.44</v>
      </c>
      <c r="E1483" t="s">
        <v>8125</v>
      </c>
      <c r="F1483" t="s">
        <v>20937</v>
      </c>
      <c r="G1483" s="580">
        <v>71.190899999999999</v>
      </c>
      <c r="H1483" s="1" t="s">
        <v>3673</v>
      </c>
      <c r="I1483" s="1"/>
      <c r="J1483" s="1"/>
      <c r="K1483" s="1"/>
      <c r="L1483" s="1"/>
      <c r="M1483" s="1"/>
      <c r="N1483" s="1"/>
      <c r="Q1483"/>
    </row>
    <row r="1484" spans="1:17" ht="13.15" customHeight="1" x14ac:dyDescent="0.2">
      <c r="A1484" s="1" t="s">
        <v>3674</v>
      </c>
      <c r="B1484" s="1" t="s">
        <v>3613</v>
      </c>
      <c r="C1484" s="580" t="s">
        <v>3675</v>
      </c>
      <c r="D1484" s="1">
        <v>276.16000000000003</v>
      </c>
      <c r="E1484" t="s">
        <v>8125</v>
      </c>
      <c r="F1484" t="s">
        <v>20939</v>
      </c>
      <c r="G1484" s="580">
        <v>113.3122</v>
      </c>
      <c r="H1484" s="1" t="s">
        <v>3676</v>
      </c>
      <c r="I1484" s="1"/>
      <c r="J1484" s="1"/>
      <c r="K1484" s="1"/>
      <c r="L1484" s="1"/>
      <c r="M1484" s="1"/>
      <c r="N1484" s="1"/>
      <c r="Q1484"/>
    </row>
    <row r="1485" spans="1:17" ht="13.15" customHeight="1" x14ac:dyDescent="0.2">
      <c r="A1485" s="1" t="s">
        <v>3677</v>
      </c>
      <c r="B1485" s="1" t="s">
        <v>3613</v>
      </c>
      <c r="C1485" s="580" t="s">
        <v>3678</v>
      </c>
      <c r="D1485" s="1">
        <v>191.56</v>
      </c>
      <c r="E1485" t="s">
        <v>8125</v>
      </c>
      <c r="F1485" t="s">
        <v>20941</v>
      </c>
      <c r="G1485" s="580">
        <v>71.190899999999999</v>
      </c>
      <c r="H1485" s="1" t="s">
        <v>3679</v>
      </c>
      <c r="I1485" s="1"/>
      <c r="J1485" s="1"/>
      <c r="K1485" s="1"/>
      <c r="L1485" s="1"/>
      <c r="M1485" s="1"/>
      <c r="N1485" s="1"/>
      <c r="Q1485"/>
    </row>
    <row r="1486" spans="1:17" ht="13.15" customHeight="1" x14ac:dyDescent="0.2">
      <c r="A1486" s="1" t="s">
        <v>3680</v>
      </c>
      <c r="B1486" s="1" t="s">
        <v>3613</v>
      </c>
      <c r="C1486" s="580" t="s">
        <v>3681</v>
      </c>
      <c r="D1486" s="1">
        <v>223.36</v>
      </c>
      <c r="E1486" t="s">
        <v>8125</v>
      </c>
      <c r="F1486" t="s">
        <v>20943</v>
      </c>
      <c r="G1486" s="580">
        <v>71.190899999999999</v>
      </c>
      <c r="H1486" s="1" t="s">
        <v>3682</v>
      </c>
      <c r="I1486" s="1"/>
      <c r="J1486" s="1"/>
      <c r="K1486" s="1"/>
      <c r="L1486" s="1"/>
      <c r="M1486" s="1"/>
      <c r="N1486" s="1"/>
      <c r="Q1486"/>
    </row>
    <row r="1487" spans="1:17" ht="13.15" customHeight="1" x14ac:dyDescent="0.2">
      <c r="A1487" s="1" t="s">
        <v>3683</v>
      </c>
      <c r="B1487" s="1" t="s">
        <v>3613</v>
      </c>
      <c r="C1487" s="580" t="s">
        <v>3684</v>
      </c>
      <c r="D1487" s="1">
        <v>276.16000000000003</v>
      </c>
      <c r="E1487" t="s">
        <v>8125</v>
      </c>
      <c r="F1487" t="s">
        <v>20945</v>
      </c>
      <c r="G1487" s="580">
        <v>113.3122</v>
      </c>
      <c r="H1487" s="1" t="s">
        <v>3685</v>
      </c>
      <c r="I1487" s="1"/>
      <c r="J1487" s="1"/>
      <c r="K1487" s="1"/>
      <c r="L1487" s="1"/>
      <c r="M1487" s="1"/>
      <c r="N1487" s="1"/>
      <c r="Q1487"/>
    </row>
    <row r="1488" spans="1:17" ht="13.15" customHeight="1" x14ac:dyDescent="0.2">
      <c r="A1488" s="1" t="s">
        <v>3686</v>
      </c>
      <c r="B1488" s="1" t="s">
        <v>3613</v>
      </c>
      <c r="C1488" s="580" t="s">
        <v>3687</v>
      </c>
      <c r="D1488" s="1">
        <v>207.44</v>
      </c>
      <c r="E1488" t="s">
        <v>8125</v>
      </c>
      <c r="F1488" t="s">
        <v>20947</v>
      </c>
      <c r="G1488" s="580">
        <v>71.190899999999999</v>
      </c>
      <c r="H1488" s="1" t="s">
        <v>3688</v>
      </c>
      <c r="I1488" s="1"/>
      <c r="J1488" s="1"/>
      <c r="K1488" s="1"/>
      <c r="L1488" s="1"/>
      <c r="M1488" s="1"/>
      <c r="N1488" s="1"/>
      <c r="Q1488"/>
    </row>
    <row r="1489" spans="1:17" ht="13.15" customHeight="1" x14ac:dyDescent="0.2">
      <c r="A1489" s="1" t="s">
        <v>3689</v>
      </c>
      <c r="B1489" s="1" t="s">
        <v>3613</v>
      </c>
      <c r="C1489" s="580" t="s">
        <v>3690</v>
      </c>
      <c r="D1489" s="1">
        <v>223.36</v>
      </c>
      <c r="E1489" t="s">
        <v>8125</v>
      </c>
      <c r="F1489" t="s">
        <v>20949</v>
      </c>
      <c r="G1489" s="580">
        <v>71.190899999999999</v>
      </c>
      <c r="H1489" s="1" t="s">
        <v>3691</v>
      </c>
      <c r="I1489" s="1"/>
      <c r="J1489" s="1"/>
      <c r="K1489" s="1"/>
      <c r="L1489" s="1"/>
      <c r="M1489" s="1"/>
      <c r="N1489" s="1"/>
      <c r="Q1489"/>
    </row>
    <row r="1490" spans="1:17" ht="13.15" customHeight="1" x14ac:dyDescent="0.2">
      <c r="A1490" s="1" t="s">
        <v>3692</v>
      </c>
      <c r="B1490" s="1" t="s">
        <v>3613</v>
      </c>
      <c r="C1490" s="580" t="s">
        <v>3693</v>
      </c>
      <c r="D1490" s="1">
        <v>276.16000000000003</v>
      </c>
      <c r="E1490" t="s">
        <v>8125</v>
      </c>
      <c r="F1490" t="s">
        <v>8353</v>
      </c>
      <c r="G1490" s="580">
        <v>0</v>
      </c>
      <c r="H1490" s="1" t="s">
        <v>3694</v>
      </c>
      <c r="I1490" s="1"/>
      <c r="J1490" s="1"/>
      <c r="K1490" s="1"/>
      <c r="L1490" s="1"/>
      <c r="M1490" s="1"/>
      <c r="N1490" s="1"/>
      <c r="Q1490"/>
    </row>
    <row r="1491" spans="1:17" ht="13.15" customHeight="1" x14ac:dyDescent="0.2">
      <c r="A1491" s="1" t="s">
        <v>3695</v>
      </c>
      <c r="B1491" s="1" t="s">
        <v>3613</v>
      </c>
      <c r="C1491" s="580" t="s">
        <v>3441</v>
      </c>
      <c r="D1491" s="1">
        <v>207.44</v>
      </c>
      <c r="E1491" t="s">
        <v>8125</v>
      </c>
      <c r="F1491" t="s">
        <v>20951</v>
      </c>
      <c r="G1491" s="580">
        <v>71.190899999999999</v>
      </c>
      <c r="H1491" s="1" t="s">
        <v>3696</v>
      </c>
      <c r="I1491" s="1"/>
      <c r="J1491" s="1"/>
      <c r="K1491" s="1"/>
      <c r="L1491" s="1"/>
      <c r="M1491" s="1"/>
      <c r="N1491" s="1"/>
      <c r="Q1491"/>
    </row>
    <row r="1492" spans="1:17" ht="13.15" customHeight="1" x14ac:dyDescent="0.2">
      <c r="A1492" s="1" t="s">
        <v>3697</v>
      </c>
      <c r="B1492" s="1" t="s">
        <v>3613</v>
      </c>
      <c r="C1492" s="580" t="s">
        <v>3574</v>
      </c>
      <c r="D1492" s="1">
        <v>239.24</v>
      </c>
      <c r="E1492" t="s">
        <v>8125</v>
      </c>
      <c r="F1492" t="s">
        <v>20953</v>
      </c>
      <c r="G1492" s="580">
        <v>92.218599999999995</v>
      </c>
      <c r="H1492" s="1" t="s">
        <v>3698</v>
      </c>
      <c r="I1492" s="1"/>
      <c r="J1492" s="1"/>
      <c r="K1492" s="1"/>
      <c r="L1492" s="1"/>
      <c r="M1492" s="1"/>
      <c r="N1492" s="1"/>
      <c r="Q1492"/>
    </row>
    <row r="1493" spans="1:17" ht="13.15" customHeight="1" x14ac:dyDescent="0.2">
      <c r="A1493" s="1" t="s">
        <v>3699</v>
      </c>
      <c r="B1493" s="1" t="s">
        <v>3613</v>
      </c>
      <c r="C1493" s="580" t="s">
        <v>3700</v>
      </c>
      <c r="D1493" s="1">
        <v>297.39999999999998</v>
      </c>
      <c r="E1493" t="s">
        <v>8125</v>
      </c>
      <c r="F1493" t="s">
        <v>20955</v>
      </c>
      <c r="G1493" s="580">
        <v>113.3122</v>
      </c>
      <c r="H1493" s="1" t="s">
        <v>3701</v>
      </c>
      <c r="I1493" s="1"/>
      <c r="J1493" s="1"/>
      <c r="K1493" s="1"/>
      <c r="L1493" s="1"/>
      <c r="M1493" s="1"/>
      <c r="N1493" s="1"/>
      <c r="Q1493"/>
    </row>
    <row r="1494" spans="1:17" ht="13.15" customHeight="1" x14ac:dyDescent="0.2">
      <c r="A1494" s="1" t="s">
        <v>3702</v>
      </c>
      <c r="B1494" s="1" t="s">
        <v>3613</v>
      </c>
      <c r="C1494" s="580" t="s">
        <v>3444</v>
      </c>
      <c r="D1494" s="1">
        <v>223.36</v>
      </c>
      <c r="E1494" t="s">
        <v>8125</v>
      </c>
      <c r="F1494" t="s">
        <v>20957</v>
      </c>
      <c r="G1494" s="580">
        <v>71.190899999999999</v>
      </c>
      <c r="H1494" s="1" t="s">
        <v>3703</v>
      </c>
      <c r="I1494" s="1"/>
      <c r="J1494" s="1"/>
      <c r="K1494" s="1"/>
      <c r="L1494" s="1"/>
      <c r="M1494" s="1"/>
      <c r="N1494" s="1"/>
      <c r="Q1494"/>
    </row>
    <row r="1495" spans="1:17" ht="13.15" customHeight="1" x14ac:dyDescent="0.2">
      <c r="A1495" s="1" t="s">
        <v>3704</v>
      </c>
      <c r="B1495" s="1" t="s">
        <v>3613</v>
      </c>
      <c r="C1495" s="580" t="s">
        <v>3705</v>
      </c>
      <c r="D1495" s="1">
        <v>239.24</v>
      </c>
      <c r="E1495" t="s">
        <v>8125</v>
      </c>
      <c r="F1495" t="s">
        <v>20959</v>
      </c>
      <c r="G1495" s="580">
        <v>92.218599999999995</v>
      </c>
      <c r="H1495" s="1" t="s">
        <v>3706</v>
      </c>
      <c r="I1495" s="1"/>
      <c r="J1495" s="1"/>
      <c r="K1495" s="1"/>
      <c r="L1495" s="1"/>
      <c r="M1495" s="1"/>
      <c r="N1495" s="1"/>
      <c r="Q1495"/>
    </row>
    <row r="1496" spans="1:17" ht="13.15" customHeight="1" x14ac:dyDescent="0.2">
      <c r="A1496" s="1" t="s">
        <v>3707</v>
      </c>
      <c r="B1496" s="1" t="s">
        <v>3613</v>
      </c>
      <c r="C1496" s="580" t="s">
        <v>3708</v>
      </c>
      <c r="D1496" s="1">
        <v>297.39999999999998</v>
      </c>
      <c r="E1496" t="s">
        <v>8125</v>
      </c>
      <c r="F1496" t="s">
        <v>20961</v>
      </c>
      <c r="G1496" s="580">
        <v>113.3122</v>
      </c>
      <c r="H1496" s="1" t="s">
        <v>3709</v>
      </c>
      <c r="I1496" s="1"/>
      <c r="J1496" s="1"/>
      <c r="K1496" s="1"/>
      <c r="L1496" s="1"/>
      <c r="M1496" s="1"/>
      <c r="N1496" s="1"/>
      <c r="Q1496"/>
    </row>
    <row r="1497" spans="1:17" ht="13.15" customHeight="1" x14ac:dyDescent="0.2">
      <c r="A1497" s="1" t="s">
        <v>3710</v>
      </c>
      <c r="B1497" s="1" t="s">
        <v>3613</v>
      </c>
      <c r="C1497" s="580" t="s">
        <v>3447</v>
      </c>
      <c r="D1497" s="1">
        <v>223.36</v>
      </c>
      <c r="E1497" t="s">
        <v>8125</v>
      </c>
      <c r="F1497" t="s">
        <v>20963</v>
      </c>
      <c r="G1497" s="580">
        <v>71.190899999999999</v>
      </c>
      <c r="H1497" s="1" t="s">
        <v>3711</v>
      </c>
      <c r="I1497" s="1"/>
      <c r="J1497" s="1"/>
      <c r="K1497" s="1"/>
      <c r="L1497" s="1"/>
      <c r="M1497" s="1"/>
      <c r="N1497" s="1"/>
      <c r="Q1497"/>
    </row>
    <row r="1498" spans="1:17" ht="13.15" customHeight="1" x14ac:dyDescent="0.2">
      <c r="A1498" s="1" t="s">
        <v>3712</v>
      </c>
      <c r="B1498" s="1" t="s">
        <v>3613</v>
      </c>
      <c r="C1498" s="580" t="s">
        <v>3713</v>
      </c>
      <c r="D1498" s="1">
        <v>255.16</v>
      </c>
      <c r="E1498" t="s">
        <v>8125</v>
      </c>
      <c r="F1498" t="s">
        <v>20965</v>
      </c>
      <c r="G1498" s="580">
        <v>92.218599999999995</v>
      </c>
      <c r="H1498" s="1" t="s">
        <v>3714</v>
      </c>
      <c r="I1498" s="1"/>
      <c r="J1498" s="1"/>
      <c r="K1498" s="1"/>
      <c r="L1498" s="1"/>
      <c r="M1498" s="1"/>
      <c r="N1498" s="1"/>
      <c r="Q1498"/>
    </row>
    <row r="1499" spans="1:17" ht="13.15" customHeight="1" x14ac:dyDescent="0.2">
      <c r="A1499" s="1" t="s">
        <v>3715</v>
      </c>
      <c r="B1499" s="1" t="s">
        <v>3613</v>
      </c>
      <c r="C1499" s="580" t="s">
        <v>3716</v>
      </c>
      <c r="D1499" s="1">
        <v>297.39999999999998</v>
      </c>
      <c r="E1499" t="s">
        <v>8125</v>
      </c>
      <c r="F1499" t="s">
        <v>20967</v>
      </c>
      <c r="G1499" s="580">
        <v>152.26939999999999</v>
      </c>
      <c r="H1499" s="1" t="s">
        <v>3717</v>
      </c>
      <c r="I1499" s="1"/>
      <c r="J1499" s="1"/>
      <c r="K1499" s="1"/>
      <c r="L1499" s="1"/>
      <c r="M1499" s="1"/>
      <c r="N1499" s="1"/>
      <c r="Q1499"/>
    </row>
    <row r="1500" spans="1:17" ht="13.15" customHeight="1" x14ac:dyDescent="0.2">
      <c r="A1500" s="1" t="s">
        <v>3718</v>
      </c>
      <c r="B1500" s="1" t="s">
        <v>3613</v>
      </c>
      <c r="C1500" s="580" t="s">
        <v>3450</v>
      </c>
      <c r="D1500" s="1">
        <v>239.24</v>
      </c>
      <c r="E1500" t="s">
        <v>8125</v>
      </c>
      <c r="F1500" t="s">
        <v>20969</v>
      </c>
      <c r="G1500" s="580">
        <v>92.218599999999995</v>
      </c>
      <c r="H1500" s="1" t="s">
        <v>3719</v>
      </c>
      <c r="I1500" s="1"/>
      <c r="J1500" s="1"/>
      <c r="K1500" s="1"/>
      <c r="L1500" s="1"/>
      <c r="M1500" s="1"/>
      <c r="N1500" s="1"/>
      <c r="Q1500"/>
    </row>
    <row r="1501" spans="1:17" ht="13.15" customHeight="1" x14ac:dyDescent="0.2">
      <c r="A1501" s="1" t="s">
        <v>3720</v>
      </c>
      <c r="B1501" s="1" t="s">
        <v>3613</v>
      </c>
      <c r="C1501" s="580" t="s">
        <v>3721</v>
      </c>
      <c r="D1501" s="1">
        <v>255.16</v>
      </c>
      <c r="E1501" t="s">
        <v>8125</v>
      </c>
      <c r="F1501" t="s">
        <v>20971</v>
      </c>
      <c r="G1501" s="580">
        <v>92.218599999999995</v>
      </c>
      <c r="H1501" s="1" t="s">
        <v>3722</v>
      </c>
      <c r="I1501" s="1"/>
      <c r="J1501" s="1"/>
      <c r="K1501" s="1"/>
      <c r="L1501" s="1"/>
      <c r="M1501" s="1"/>
      <c r="N1501" s="1"/>
      <c r="Q1501"/>
    </row>
    <row r="1502" spans="1:17" ht="13.15" customHeight="1" x14ac:dyDescent="0.2">
      <c r="A1502" s="1" t="s">
        <v>3723</v>
      </c>
      <c r="B1502" s="1" t="s">
        <v>3613</v>
      </c>
      <c r="C1502" s="580" t="s">
        <v>3724</v>
      </c>
      <c r="D1502" s="1">
        <v>297.39999999999998</v>
      </c>
      <c r="E1502" t="s">
        <v>8125</v>
      </c>
      <c r="F1502" t="s">
        <v>20973</v>
      </c>
      <c r="G1502" s="580">
        <v>152.26939999999999</v>
      </c>
      <c r="H1502" s="1" t="s">
        <v>3725</v>
      </c>
      <c r="I1502" s="1"/>
      <c r="J1502" s="1"/>
      <c r="K1502" s="1"/>
      <c r="L1502" s="1"/>
      <c r="M1502" s="1"/>
      <c r="N1502" s="1"/>
      <c r="Q1502"/>
    </row>
    <row r="1503" spans="1:17" ht="13.15" customHeight="1" x14ac:dyDescent="0.2">
      <c r="A1503" s="1" t="s">
        <v>3726</v>
      </c>
      <c r="B1503" s="1" t="s">
        <v>3613</v>
      </c>
      <c r="C1503" s="580" t="s">
        <v>3727</v>
      </c>
      <c r="D1503" s="1">
        <v>239.24</v>
      </c>
      <c r="E1503" t="s">
        <v>8125</v>
      </c>
      <c r="F1503" t="s">
        <v>20975</v>
      </c>
      <c r="G1503" s="580">
        <v>92.218599999999995</v>
      </c>
      <c r="H1503" s="1" t="s">
        <v>3728</v>
      </c>
      <c r="I1503" s="1"/>
      <c r="J1503" s="1"/>
      <c r="K1503" s="1"/>
      <c r="L1503" s="1"/>
      <c r="M1503" s="1"/>
      <c r="N1503" s="1"/>
      <c r="Q1503"/>
    </row>
    <row r="1504" spans="1:17" ht="13.15" customHeight="1" x14ac:dyDescent="0.2">
      <c r="A1504" s="1" t="s">
        <v>3729</v>
      </c>
      <c r="B1504" s="1" t="s">
        <v>3613</v>
      </c>
      <c r="C1504" s="580" t="s">
        <v>3730</v>
      </c>
      <c r="D1504" s="1">
        <v>255.16</v>
      </c>
      <c r="E1504" t="s">
        <v>8125</v>
      </c>
      <c r="F1504" t="s">
        <v>20977</v>
      </c>
      <c r="G1504" s="580">
        <v>92.218599999999995</v>
      </c>
      <c r="H1504" s="1" t="s">
        <v>3731</v>
      </c>
      <c r="I1504" s="1"/>
      <c r="J1504" s="1"/>
      <c r="K1504" s="1"/>
      <c r="L1504" s="1"/>
      <c r="M1504" s="1"/>
      <c r="N1504" s="1"/>
      <c r="Q1504"/>
    </row>
    <row r="1505" spans="1:17" ht="13.15" customHeight="1" x14ac:dyDescent="0.2">
      <c r="A1505" s="1" t="s">
        <v>3732</v>
      </c>
      <c r="B1505" s="1" t="s">
        <v>3613</v>
      </c>
      <c r="C1505" s="580" t="s">
        <v>3733</v>
      </c>
      <c r="D1505" s="1">
        <v>297.39999999999998</v>
      </c>
      <c r="E1505" t="s">
        <v>8125</v>
      </c>
      <c r="F1505" t="s">
        <v>20979</v>
      </c>
      <c r="G1505" s="580">
        <v>152.26939999999999</v>
      </c>
      <c r="H1505" s="1" t="s">
        <v>3734</v>
      </c>
      <c r="I1505" s="1"/>
      <c r="J1505" s="1"/>
      <c r="K1505" s="1"/>
      <c r="L1505" s="1"/>
      <c r="M1505" s="1"/>
      <c r="N1505" s="1"/>
      <c r="Q1505"/>
    </row>
    <row r="1506" spans="1:17" ht="13.15" customHeight="1" x14ac:dyDescent="0.2">
      <c r="A1506" s="1" t="s">
        <v>3735</v>
      </c>
      <c r="B1506" s="1" t="s">
        <v>3613</v>
      </c>
      <c r="C1506" s="580" t="s">
        <v>3456</v>
      </c>
      <c r="D1506" s="1">
        <v>254.92</v>
      </c>
      <c r="E1506" t="s">
        <v>8125</v>
      </c>
      <c r="F1506" t="s">
        <v>20985</v>
      </c>
      <c r="G1506" s="580">
        <v>94.657499999999999</v>
      </c>
      <c r="H1506" s="1" t="s">
        <v>3736</v>
      </c>
      <c r="I1506" s="1"/>
      <c r="J1506" s="1"/>
      <c r="K1506" s="1"/>
      <c r="L1506" s="1"/>
      <c r="M1506" s="1"/>
      <c r="N1506" s="1"/>
      <c r="Q1506"/>
    </row>
    <row r="1507" spans="1:17" ht="13.15" customHeight="1" x14ac:dyDescent="0.2">
      <c r="A1507" s="1" t="s">
        <v>3737</v>
      </c>
      <c r="B1507" s="1" t="s">
        <v>3613</v>
      </c>
      <c r="C1507" s="580" t="s">
        <v>3738</v>
      </c>
      <c r="D1507" s="1">
        <v>271.04000000000002</v>
      </c>
      <c r="E1507" t="s">
        <v>8125</v>
      </c>
      <c r="F1507" t="s">
        <v>20981</v>
      </c>
      <c r="G1507" s="580">
        <v>113.3122</v>
      </c>
      <c r="H1507" s="1" t="s">
        <v>3739</v>
      </c>
      <c r="I1507" s="1"/>
      <c r="J1507" s="1"/>
      <c r="K1507" s="1"/>
      <c r="L1507" s="1"/>
      <c r="M1507" s="1"/>
      <c r="N1507" s="1"/>
      <c r="Q1507"/>
    </row>
    <row r="1508" spans="1:17" ht="13.15" customHeight="1" x14ac:dyDescent="0.2">
      <c r="A1508" s="1" t="s">
        <v>3740</v>
      </c>
      <c r="B1508" s="1" t="s">
        <v>3613</v>
      </c>
      <c r="C1508" s="580" t="s">
        <v>3741</v>
      </c>
      <c r="D1508" s="1">
        <v>318.64</v>
      </c>
      <c r="E1508" t="s">
        <v>8125</v>
      </c>
      <c r="F1508" t="s">
        <v>20983</v>
      </c>
      <c r="G1508" s="580">
        <v>152.26939999999999</v>
      </c>
      <c r="H1508" s="1" t="s">
        <v>3742</v>
      </c>
      <c r="I1508" s="1"/>
      <c r="J1508" s="1"/>
      <c r="K1508" s="1"/>
      <c r="L1508" s="1"/>
      <c r="M1508" s="1"/>
      <c r="N1508" s="1"/>
      <c r="Q1508"/>
    </row>
    <row r="1509" spans="1:17" ht="13.15" customHeight="1" x14ac:dyDescent="0.2">
      <c r="A1509" s="1" t="s">
        <v>3743</v>
      </c>
      <c r="B1509" s="1" t="s">
        <v>3613</v>
      </c>
      <c r="C1509" s="580" t="s">
        <v>3744</v>
      </c>
      <c r="D1509" s="1">
        <v>254.92</v>
      </c>
      <c r="E1509" t="s">
        <v>8125</v>
      </c>
      <c r="F1509" t="s">
        <v>20991</v>
      </c>
      <c r="G1509" s="580">
        <v>94.657499999999999</v>
      </c>
      <c r="H1509" s="1" t="s">
        <v>3745</v>
      </c>
      <c r="I1509" s="1"/>
      <c r="J1509" s="1"/>
      <c r="K1509" s="1"/>
      <c r="L1509" s="1"/>
      <c r="M1509" s="1"/>
      <c r="N1509" s="1"/>
      <c r="Q1509"/>
    </row>
    <row r="1510" spans="1:17" ht="13.15" customHeight="1" x14ac:dyDescent="0.2">
      <c r="A1510" s="1" t="s">
        <v>3746</v>
      </c>
      <c r="B1510" s="1" t="s">
        <v>3613</v>
      </c>
      <c r="C1510" s="580" t="s">
        <v>3747</v>
      </c>
      <c r="D1510" s="1">
        <v>271.04000000000002</v>
      </c>
      <c r="E1510" t="s">
        <v>8125</v>
      </c>
      <c r="F1510" t="s">
        <v>20987</v>
      </c>
      <c r="G1510" s="580">
        <v>113.3122</v>
      </c>
      <c r="H1510" s="1" t="s">
        <v>3748</v>
      </c>
      <c r="I1510" s="1"/>
      <c r="J1510" s="1"/>
      <c r="K1510" s="1"/>
      <c r="L1510" s="1"/>
      <c r="M1510" s="1"/>
      <c r="N1510" s="1"/>
      <c r="Q1510"/>
    </row>
    <row r="1511" spans="1:17" ht="13.15" customHeight="1" x14ac:dyDescent="0.2">
      <c r="A1511" s="1" t="s">
        <v>3749</v>
      </c>
      <c r="B1511" s="1" t="s">
        <v>3613</v>
      </c>
      <c r="C1511" s="580" t="s">
        <v>3750</v>
      </c>
      <c r="D1511" s="1">
        <v>318.64</v>
      </c>
      <c r="E1511" t="s">
        <v>8125</v>
      </c>
      <c r="F1511" t="s">
        <v>20989</v>
      </c>
      <c r="G1511" s="580">
        <v>152.26939999999999</v>
      </c>
      <c r="H1511" s="1" t="s">
        <v>3751</v>
      </c>
      <c r="I1511" s="1"/>
      <c r="J1511" s="1"/>
      <c r="K1511" s="1"/>
      <c r="L1511" s="1"/>
      <c r="M1511" s="1"/>
      <c r="N1511" s="1"/>
      <c r="Q1511"/>
    </row>
    <row r="1512" spans="1:17" ht="13.15" customHeight="1" x14ac:dyDescent="0.2">
      <c r="A1512" s="1" t="s">
        <v>3752</v>
      </c>
      <c r="B1512" s="1" t="s">
        <v>3613</v>
      </c>
      <c r="C1512" s="580" t="s">
        <v>3753</v>
      </c>
      <c r="D1512" s="1">
        <v>254.92</v>
      </c>
      <c r="E1512" t="s">
        <v>8125</v>
      </c>
      <c r="F1512" t="s">
        <v>20997</v>
      </c>
      <c r="G1512" s="580">
        <v>94.657499999999999</v>
      </c>
      <c r="H1512" s="1" t="s">
        <v>3754</v>
      </c>
      <c r="I1512" s="1"/>
      <c r="J1512" s="1"/>
      <c r="K1512" s="1"/>
      <c r="L1512" s="1"/>
      <c r="M1512" s="1"/>
      <c r="N1512" s="1"/>
      <c r="Q1512"/>
    </row>
    <row r="1513" spans="1:17" ht="13.15" customHeight="1" x14ac:dyDescent="0.2">
      <c r="A1513" s="1" t="s">
        <v>3755</v>
      </c>
      <c r="B1513" s="1" t="s">
        <v>3613</v>
      </c>
      <c r="C1513" s="580" t="s">
        <v>3756</v>
      </c>
      <c r="D1513" s="1">
        <v>271.04000000000002</v>
      </c>
      <c r="E1513" t="s">
        <v>8125</v>
      </c>
      <c r="F1513" t="s">
        <v>20993</v>
      </c>
      <c r="G1513" s="580">
        <v>113.3122</v>
      </c>
      <c r="H1513" s="1" t="s">
        <v>3757</v>
      </c>
      <c r="I1513" s="1"/>
      <c r="J1513" s="1"/>
      <c r="K1513" s="1"/>
      <c r="L1513" s="1"/>
      <c r="M1513" s="1"/>
      <c r="N1513" s="1"/>
      <c r="Q1513"/>
    </row>
    <row r="1514" spans="1:17" ht="13.15" customHeight="1" x14ac:dyDescent="0.2">
      <c r="A1514" s="1" t="s">
        <v>3758</v>
      </c>
      <c r="B1514" s="1" t="s">
        <v>3613</v>
      </c>
      <c r="C1514" s="580" t="s">
        <v>3759</v>
      </c>
      <c r="D1514" s="1">
        <v>318.64</v>
      </c>
      <c r="E1514" t="s">
        <v>8125</v>
      </c>
      <c r="F1514" t="s">
        <v>20995</v>
      </c>
      <c r="G1514" s="580">
        <v>180.4162</v>
      </c>
      <c r="H1514" s="1" t="s">
        <v>3760</v>
      </c>
      <c r="I1514" s="1"/>
      <c r="J1514" s="1"/>
      <c r="K1514" s="1"/>
      <c r="L1514" s="1"/>
      <c r="M1514" s="1"/>
      <c r="N1514" s="1"/>
      <c r="Q1514"/>
    </row>
    <row r="1515" spans="1:17" ht="13.15" customHeight="1" x14ac:dyDescent="0.2">
      <c r="A1515" s="1" t="s">
        <v>3761</v>
      </c>
      <c r="B1515" s="1" t="s">
        <v>3613</v>
      </c>
      <c r="C1515" s="580" t="s">
        <v>3762</v>
      </c>
      <c r="D1515" s="1">
        <v>276.16000000000003</v>
      </c>
      <c r="E1515" t="s">
        <v>8125</v>
      </c>
      <c r="F1515" t="s">
        <v>21003</v>
      </c>
      <c r="G1515" s="580">
        <v>120.16759999999999</v>
      </c>
      <c r="H1515" s="1" t="s">
        <v>3763</v>
      </c>
      <c r="I1515" s="1"/>
      <c r="J1515" s="1"/>
      <c r="K1515" s="1"/>
      <c r="L1515" s="1"/>
      <c r="M1515" s="1"/>
      <c r="N1515" s="1"/>
      <c r="Q1515"/>
    </row>
    <row r="1516" spans="1:17" ht="13.15" customHeight="1" x14ac:dyDescent="0.2">
      <c r="A1516" s="1" t="s">
        <v>3764</v>
      </c>
      <c r="B1516" s="1" t="s">
        <v>3613</v>
      </c>
      <c r="C1516" s="580" t="s">
        <v>3462</v>
      </c>
      <c r="D1516" s="1">
        <v>286.95999999999998</v>
      </c>
      <c r="E1516" t="s">
        <v>8125</v>
      </c>
      <c r="F1516" t="s">
        <v>20999</v>
      </c>
      <c r="G1516" s="580">
        <v>113.3122</v>
      </c>
      <c r="H1516" s="1" t="s">
        <v>3765</v>
      </c>
      <c r="I1516" s="1"/>
      <c r="J1516" s="1"/>
      <c r="K1516" s="1"/>
      <c r="L1516" s="1"/>
      <c r="M1516" s="1"/>
      <c r="N1516" s="1"/>
      <c r="Q1516"/>
    </row>
    <row r="1517" spans="1:17" ht="13.15" customHeight="1" x14ac:dyDescent="0.2">
      <c r="A1517" s="1" t="s">
        <v>3766</v>
      </c>
      <c r="B1517" s="1" t="s">
        <v>3613</v>
      </c>
      <c r="C1517" s="580" t="s">
        <v>3767</v>
      </c>
      <c r="D1517" s="1">
        <v>339.88</v>
      </c>
      <c r="E1517" t="s">
        <v>8125</v>
      </c>
      <c r="F1517" t="s">
        <v>21001</v>
      </c>
      <c r="G1517" s="580">
        <v>180.4162</v>
      </c>
      <c r="H1517" s="1" t="s">
        <v>3768</v>
      </c>
      <c r="I1517" s="1"/>
      <c r="J1517" s="1"/>
      <c r="K1517" s="1"/>
      <c r="L1517" s="1"/>
      <c r="M1517" s="1"/>
      <c r="N1517" s="1"/>
      <c r="Q1517"/>
    </row>
    <row r="1518" spans="1:17" ht="13.15" customHeight="1" x14ac:dyDescent="0.2">
      <c r="A1518" s="1" t="s">
        <v>3769</v>
      </c>
      <c r="B1518" s="1" t="s">
        <v>3613</v>
      </c>
      <c r="C1518" s="580" t="s">
        <v>3770</v>
      </c>
      <c r="D1518" s="1">
        <v>276.16000000000003</v>
      </c>
      <c r="E1518" t="s">
        <v>8125</v>
      </c>
      <c r="F1518" t="s">
        <v>21009</v>
      </c>
      <c r="G1518" s="580">
        <v>120.16759999999999</v>
      </c>
      <c r="H1518" s="1" t="s">
        <v>3771</v>
      </c>
      <c r="I1518" s="1"/>
      <c r="J1518" s="1"/>
      <c r="K1518" s="1"/>
      <c r="L1518" s="1"/>
      <c r="M1518" s="1"/>
      <c r="N1518" s="1"/>
      <c r="Q1518"/>
    </row>
    <row r="1519" spans="1:17" ht="13.15" customHeight="1" x14ac:dyDescent="0.2">
      <c r="A1519" s="1" t="s">
        <v>3772</v>
      </c>
      <c r="B1519" s="1" t="s">
        <v>3613</v>
      </c>
      <c r="C1519" s="580" t="s">
        <v>3773</v>
      </c>
      <c r="D1519" s="1">
        <v>286.95999999999998</v>
      </c>
      <c r="E1519" t="s">
        <v>8125</v>
      </c>
      <c r="F1519" t="s">
        <v>21005</v>
      </c>
      <c r="G1519" s="580">
        <v>113.3122</v>
      </c>
      <c r="H1519" s="1" t="s">
        <v>3774</v>
      </c>
      <c r="I1519" s="1"/>
      <c r="J1519" s="1"/>
      <c r="K1519" s="1"/>
      <c r="L1519" s="1"/>
      <c r="M1519" s="1"/>
      <c r="N1519" s="1"/>
      <c r="Q1519"/>
    </row>
    <row r="1520" spans="1:17" ht="13.15" customHeight="1" x14ac:dyDescent="0.2">
      <c r="A1520" s="1" t="s">
        <v>3775</v>
      </c>
      <c r="B1520" s="1" t="s">
        <v>3613</v>
      </c>
      <c r="C1520" s="580" t="s">
        <v>3776</v>
      </c>
      <c r="D1520" s="1">
        <v>339.88</v>
      </c>
      <c r="E1520" t="s">
        <v>8125</v>
      </c>
      <c r="F1520" t="s">
        <v>21007</v>
      </c>
      <c r="G1520" s="580">
        <v>180.4162</v>
      </c>
      <c r="H1520" s="1" t="s">
        <v>3777</v>
      </c>
      <c r="I1520" s="1"/>
      <c r="J1520" s="1"/>
      <c r="K1520" s="1"/>
      <c r="L1520" s="1"/>
      <c r="M1520" s="1"/>
      <c r="N1520" s="1"/>
      <c r="Q1520"/>
    </row>
    <row r="1521" spans="1:17" ht="13.15" customHeight="1" x14ac:dyDescent="0.2">
      <c r="A1521" s="1" t="s">
        <v>3778</v>
      </c>
      <c r="B1521" s="1" t="s">
        <v>3613</v>
      </c>
      <c r="C1521" s="580" t="s">
        <v>3779</v>
      </c>
      <c r="D1521" s="1">
        <v>276.16000000000003</v>
      </c>
      <c r="E1521" t="s">
        <v>8125</v>
      </c>
      <c r="F1521" t="s">
        <v>21015</v>
      </c>
      <c r="G1521" s="580">
        <v>120.16759999999999</v>
      </c>
      <c r="H1521" s="1" t="s">
        <v>3780</v>
      </c>
      <c r="I1521" s="1"/>
      <c r="J1521" s="1"/>
      <c r="K1521" s="1"/>
      <c r="L1521" s="1"/>
      <c r="M1521" s="1"/>
      <c r="N1521" s="1"/>
      <c r="Q1521"/>
    </row>
    <row r="1522" spans="1:17" ht="13.15" customHeight="1" x14ac:dyDescent="0.2">
      <c r="A1522" s="1" t="s">
        <v>3781</v>
      </c>
      <c r="B1522" s="1" t="s">
        <v>3613</v>
      </c>
      <c r="C1522" s="580" t="s">
        <v>3465</v>
      </c>
      <c r="D1522" s="1">
        <v>286.95999999999998</v>
      </c>
      <c r="E1522" t="s">
        <v>8125</v>
      </c>
      <c r="F1522" t="s">
        <v>21011</v>
      </c>
      <c r="G1522" s="580">
        <v>152.26939999999999</v>
      </c>
      <c r="H1522" s="1" t="s">
        <v>3782</v>
      </c>
      <c r="I1522" s="1"/>
      <c r="J1522" s="1"/>
      <c r="K1522" s="1"/>
      <c r="L1522" s="1"/>
      <c r="M1522" s="1"/>
      <c r="N1522" s="1"/>
      <c r="Q1522"/>
    </row>
    <row r="1523" spans="1:17" ht="13.15" customHeight="1" x14ac:dyDescent="0.2">
      <c r="A1523" s="1" t="s">
        <v>3783</v>
      </c>
      <c r="B1523" s="1" t="s">
        <v>3613</v>
      </c>
      <c r="C1523" s="580" t="s">
        <v>3784</v>
      </c>
      <c r="D1523" s="1">
        <v>339.88</v>
      </c>
      <c r="E1523" t="s">
        <v>8125</v>
      </c>
      <c r="F1523" t="s">
        <v>21013</v>
      </c>
      <c r="G1523" s="580">
        <v>180.4162</v>
      </c>
      <c r="H1523" s="1" t="s">
        <v>3785</v>
      </c>
      <c r="I1523" s="1"/>
      <c r="J1523" s="1"/>
      <c r="K1523" s="1"/>
      <c r="L1523" s="1"/>
      <c r="M1523" s="1"/>
      <c r="N1523" s="1"/>
      <c r="Q1523"/>
    </row>
    <row r="1524" spans="1:17" ht="13.15" customHeight="1" x14ac:dyDescent="0.2">
      <c r="A1524" s="1" t="s">
        <v>3786</v>
      </c>
      <c r="B1524" s="1" t="s">
        <v>3613</v>
      </c>
      <c r="C1524" s="580" t="s">
        <v>3787</v>
      </c>
      <c r="D1524" s="1">
        <v>286.95999999999998</v>
      </c>
      <c r="E1524" t="s">
        <v>8125</v>
      </c>
      <c r="F1524" t="s">
        <v>21017</v>
      </c>
      <c r="G1524" s="580">
        <v>152.26939999999999</v>
      </c>
      <c r="H1524" s="1" t="s">
        <v>3788</v>
      </c>
      <c r="I1524" s="1"/>
      <c r="J1524" s="1"/>
      <c r="K1524" s="1"/>
      <c r="L1524" s="1"/>
      <c r="M1524" s="1"/>
      <c r="N1524" s="1"/>
      <c r="Q1524"/>
    </row>
    <row r="1525" spans="1:17" ht="13.15" customHeight="1" x14ac:dyDescent="0.2">
      <c r="A1525" s="1" t="s">
        <v>3789</v>
      </c>
      <c r="B1525" s="1" t="s">
        <v>3613</v>
      </c>
      <c r="C1525" s="580" t="s">
        <v>3790</v>
      </c>
      <c r="D1525" s="1">
        <v>361.12</v>
      </c>
      <c r="E1525" t="s">
        <v>8125</v>
      </c>
      <c r="F1525" t="s">
        <v>21019</v>
      </c>
      <c r="G1525" s="580">
        <v>180.4162</v>
      </c>
      <c r="H1525" s="1" t="s">
        <v>3791</v>
      </c>
      <c r="I1525" s="1"/>
      <c r="J1525" s="1"/>
      <c r="K1525" s="1"/>
      <c r="L1525" s="1"/>
      <c r="M1525" s="1"/>
      <c r="N1525" s="1"/>
      <c r="Q1525"/>
    </row>
    <row r="1526" spans="1:17" ht="13.15" customHeight="1" x14ac:dyDescent="0.2">
      <c r="A1526" s="1" t="s">
        <v>3792</v>
      </c>
      <c r="B1526" s="1" t="s">
        <v>3613</v>
      </c>
      <c r="C1526" s="580" t="s">
        <v>3527</v>
      </c>
      <c r="D1526" s="1">
        <v>286.95999999999998</v>
      </c>
      <c r="E1526" t="s">
        <v>8125</v>
      </c>
      <c r="F1526" t="s">
        <v>21021</v>
      </c>
      <c r="G1526" s="580">
        <v>152.26939999999999</v>
      </c>
      <c r="H1526" s="1" t="s">
        <v>3793</v>
      </c>
      <c r="I1526" s="1"/>
      <c r="J1526" s="1"/>
      <c r="K1526" s="1"/>
      <c r="L1526" s="1"/>
      <c r="M1526" s="1"/>
      <c r="N1526" s="1"/>
      <c r="Q1526"/>
    </row>
    <row r="1527" spans="1:17" ht="13.15" customHeight="1" x14ac:dyDescent="0.2">
      <c r="A1527" s="1" t="s">
        <v>3794</v>
      </c>
      <c r="B1527" s="1" t="s">
        <v>3613</v>
      </c>
      <c r="C1527" s="580" t="s">
        <v>3795</v>
      </c>
      <c r="D1527" s="1">
        <v>361.12</v>
      </c>
      <c r="E1527" t="s">
        <v>8125</v>
      </c>
      <c r="F1527" t="s">
        <v>21023</v>
      </c>
      <c r="G1527" s="580">
        <v>211.727</v>
      </c>
      <c r="H1527" s="1" t="s">
        <v>3796</v>
      </c>
      <c r="I1527" s="1"/>
      <c r="J1527" s="1"/>
      <c r="K1527" s="1"/>
      <c r="L1527" s="1"/>
      <c r="M1527" s="1"/>
      <c r="N1527" s="1"/>
      <c r="Q1527"/>
    </row>
    <row r="1528" spans="1:17" ht="13.15" customHeight="1" x14ac:dyDescent="0.2">
      <c r="A1528" s="1" t="s">
        <v>3797</v>
      </c>
      <c r="B1528" s="1" t="s">
        <v>3613</v>
      </c>
      <c r="C1528" s="580" t="s">
        <v>3798</v>
      </c>
      <c r="D1528" s="1">
        <v>302.83999999999997</v>
      </c>
      <c r="E1528" t="s">
        <v>8125</v>
      </c>
      <c r="F1528" t="s">
        <v>21025</v>
      </c>
      <c r="G1528" s="580">
        <v>152.26939999999999</v>
      </c>
      <c r="H1528" s="1" t="s">
        <v>3799</v>
      </c>
      <c r="I1528" s="1"/>
      <c r="J1528" s="1"/>
      <c r="K1528" s="1"/>
      <c r="L1528" s="1"/>
      <c r="M1528" s="1"/>
      <c r="N1528" s="1"/>
      <c r="Q1528"/>
    </row>
    <row r="1529" spans="1:17" ht="13.15" customHeight="1" x14ac:dyDescent="0.2">
      <c r="A1529" s="1" t="s">
        <v>3800</v>
      </c>
      <c r="B1529" s="1" t="s">
        <v>3613</v>
      </c>
      <c r="C1529" s="580" t="s">
        <v>3801</v>
      </c>
      <c r="D1529" s="1">
        <v>361.12</v>
      </c>
      <c r="E1529" t="s">
        <v>8125</v>
      </c>
      <c r="F1529" t="s">
        <v>21027</v>
      </c>
      <c r="G1529" s="580">
        <v>211.727</v>
      </c>
      <c r="H1529" s="1" t="s">
        <v>3802</v>
      </c>
      <c r="I1529" s="1"/>
      <c r="J1529" s="1"/>
      <c r="K1529" s="1"/>
      <c r="L1529" s="1"/>
      <c r="M1529" s="1"/>
      <c r="N1529" s="1"/>
      <c r="Q1529"/>
    </row>
    <row r="1530" spans="1:17" ht="13.15" customHeight="1" x14ac:dyDescent="0.2">
      <c r="A1530" s="1" t="s">
        <v>3803</v>
      </c>
      <c r="B1530" s="1" t="s">
        <v>3613</v>
      </c>
      <c r="C1530" s="580" t="s">
        <v>3804</v>
      </c>
      <c r="D1530" s="1">
        <v>297.39999999999998</v>
      </c>
      <c r="E1530" t="s">
        <v>8125</v>
      </c>
      <c r="F1530" t="s">
        <v>21033</v>
      </c>
      <c r="G1530" s="580">
        <v>156.6859</v>
      </c>
      <c r="H1530" s="1" t="s">
        <v>3805</v>
      </c>
      <c r="I1530" s="1"/>
      <c r="J1530" s="1"/>
      <c r="K1530" s="1"/>
      <c r="L1530" s="1"/>
      <c r="M1530" s="1"/>
      <c r="N1530" s="1"/>
      <c r="Q1530"/>
    </row>
    <row r="1531" spans="1:17" ht="13.15" customHeight="1" x14ac:dyDescent="0.2">
      <c r="A1531" s="1" t="s">
        <v>3806</v>
      </c>
      <c r="B1531" s="1" t="s">
        <v>3613</v>
      </c>
      <c r="C1531" s="580" t="s">
        <v>3807</v>
      </c>
      <c r="D1531" s="1">
        <v>302.83999999999997</v>
      </c>
      <c r="E1531" t="s">
        <v>8125</v>
      </c>
      <c r="F1531" t="s">
        <v>21029</v>
      </c>
      <c r="G1531" s="580">
        <v>152.26939999999999</v>
      </c>
      <c r="H1531" s="1" t="s">
        <v>3808</v>
      </c>
      <c r="I1531" s="1"/>
      <c r="J1531" s="1"/>
      <c r="K1531" s="1"/>
      <c r="L1531" s="1"/>
      <c r="M1531" s="1"/>
      <c r="N1531" s="1"/>
      <c r="Q1531"/>
    </row>
    <row r="1532" spans="1:17" ht="13.15" customHeight="1" x14ac:dyDescent="0.2">
      <c r="A1532" s="1" t="s">
        <v>3809</v>
      </c>
      <c r="B1532" s="1" t="s">
        <v>3613</v>
      </c>
      <c r="C1532" s="580" t="s">
        <v>3810</v>
      </c>
      <c r="D1532" s="1">
        <v>361.12</v>
      </c>
      <c r="E1532" t="s">
        <v>8125</v>
      </c>
      <c r="F1532" t="s">
        <v>21031</v>
      </c>
      <c r="G1532" s="580">
        <v>211.727</v>
      </c>
      <c r="H1532" s="1" t="s">
        <v>3811</v>
      </c>
      <c r="I1532" s="1"/>
      <c r="J1532" s="1"/>
      <c r="K1532" s="1"/>
      <c r="L1532" s="1"/>
      <c r="M1532" s="1"/>
      <c r="N1532" s="1"/>
      <c r="Q1532"/>
    </row>
    <row r="1533" spans="1:17" ht="13.15" customHeight="1" x14ac:dyDescent="0.2">
      <c r="A1533" s="1" t="s">
        <v>3812</v>
      </c>
      <c r="B1533" s="1" t="s">
        <v>3613</v>
      </c>
      <c r="C1533" s="580" t="s">
        <v>3813</v>
      </c>
      <c r="D1533" s="1">
        <v>302.83999999999997</v>
      </c>
      <c r="E1533" t="s">
        <v>8125</v>
      </c>
      <c r="F1533" t="s">
        <v>21035</v>
      </c>
      <c r="G1533" s="580">
        <v>180.4162</v>
      </c>
      <c r="H1533" s="1" t="s">
        <v>3814</v>
      </c>
      <c r="I1533" s="1"/>
      <c r="J1533" s="1"/>
      <c r="K1533" s="1"/>
      <c r="L1533" s="1"/>
      <c r="M1533" s="1"/>
      <c r="N1533" s="1"/>
      <c r="Q1533"/>
    </row>
    <row r="1534" spans="1:17" ht="13.15" customHeight="1" x14ac:dyDescent="0.2">
      <c r="A1534" s="1" t="s">
        <v>3815</v>
      </c>
      <c r="B1534" s="1" t="s">
        <v>3613</v>
      </c>
      <c r="C1534" s="580" t="s">
        <v>3816</v>
      </c>
      <c r="D1534" s="1">
        <v>361.12</v>
      </c>
      <c r="E1534" t="s">
        <v>8125</v>
      </c>
      <c r="F1534" t="s">
        <v>21037</v>
      </c>
      <c r="G1534" s="580">
        <v>211.727</v>
      </c>
      <c r="H1534" s="1" t="s">
        <v>3817</v>
      </c>
      <c r="I1534" s="1"/>
      <c r="J1534" s="1"/>
      <c r="K1534" s="1"/>
      <c r="L1534" s="1"/>
      <c r="M1534" s="1"/>
      <c r="N1534" s="1"/>
      <c r="Q1534"/>
    </row>
    <row r="1535" spans="1:17" ht="13.15" customHeight="1" x14ac:dyDescent="0.2">
      <c r="A1535" s="1" t="s">
        <v>3818</v>
      </c>
      <c r="B1535" s="1" t="s">
        <v>3613</v>
      </c>
      <c r="C1535" s="580" t="s">
        <v>3597</v>
      </c>
      <c r="D1535" s="1">
        <v>318.76</v>
      </c>
      <c r="E1535" t="s">
        <v>8125</v>
      </c>
      <c r="F1535" t="s">
        <v>21039</v>
      </c>
      <c r="G1535" s="580">
        <v>180.4162</v>
      </c>
      <c r="H1535" s="1" t="s">
        <v>3819</v>
      </c>
      <c r="I1535" s="1"/>
      <c r="J1535" s="1"/>
      <c r="K1535" s="1"/>
      <c r="L1535" s="1"/>
      <c r="M1535" s="1"/>
      <c r="N1535" s="1"/>
      <c r="Q1535"/>
    </row>
    <row r="1536" spans="1:17" ht="13.15" customHeight="1" x14ac:dyDescent="0.2">
      <c r="A1536" s="1" t="s">
        <v>3820</v>
      </c>
      <c r="B1536" s="1" t="s">
        <v>3613</v>
      </c>
      <c r="C1536" s="580" t="s">
        <v>3821</v>
      </c>
      <c r="D1536" s="1">
        <v>361.12</v>
      </c>
      <c r="E1536" t="s">
        <v>8125</v>
      </c>
      <c r="F1536" t="s">
        <v>21041</v>
      </c>
      <c r="G1536" s="580">
        <v>211.727</v>
      </c>
      <c r="H1536" s="1" t="s">
        <v>3822</v>
      </c>
      <c r="I1536" s="1"/>
      <c r="J1536" s="1"/>
      <c r="K1536" s="1"/>
      <c r="L1536" s="1"/>
      <c r="M1536" s="1"/>
      <c r="N1536" s="1"/>
      <c r="Q1536"/>
    </row>
    <row r="1537" spans="1:17" ht="13.15" customHeight="1" x14ac:dyDescent="0.2">
      <c r="A1537" s="1" t="s">
        <v>3823</v>
      </c>
      <c r="B1537" s="1" t="s">
        <v>3613</v>
      </c>
      <c r="C1537" s="580" t="s">
        <v>3824</v>
      </c>
      <c r="D1537" s="1">
        <v>318.76</v>
      </c>
      <c r="E1537" t="s">
        <v>8125</v>
      </c>
      <c r="F1537" t="s">
        <v>21043</v>
      </c>
      <c r="G1537" s="580">
        <v>180.4162</v>
      </c>
      <c r="H1537" s="1" t="s">
        <v>3825</v>
      </c>
      <c r="I1537" s="1"/>
      <c r="J1537" s="1"/>
      <c r="K1537" s="1"/>
      <c r="L1537" s="1"/>
      <c r="M1537" s="1"/>
      <c r="N1537" s="1"/>
      <c r="Q1537"/>
    </row>
    <row r="1538" spans="1:17" ht="13.15" customHeight="1" x14ac:dyDescent="0.2">
      <c r="A1538" s="1" t="s">
        <v>3826</v>
      </c>
      <c r="B1538" s="1" t="s">
        <v>3613</v>
      </c>
      <c r="C1538" s="580" t="s">
        <v>3827</v>
      </c>
      <c r="D1538" s="1">
        <v>382.36</v>
      </c>
      <c r="E1538" t="s">
        <v>8125</v>
      </c>
      <c r="F1538" t="s">
        <v>21045</v>
      </c>
      <c r="G1538" s="580">
        <v>246.07</v>
      </c>
      <c r="H1538" s="1" t="s">
        <v>3828</v>
      </c>
      <c r="I1538" s="1"/>
      <c r="J1538" s="1"/>
      <c r="K1538" s="1"/>
      <c r="L1538" s="1"/>
      <c r="M1538" s="1"/>
      <c r="N1538" s="1"/>
      <c r="Q1538"/>
    </row>
    <row r="1539" spans="1:17" ht="13.15" customHeight="1" x14ac:dyDescent="0.2">
      <c r="A1539" s="1" t="s">
        <v>3829</v>
      </c>
      <c r="B1539" s="1" t="s">
        <v>3613</v>
      </c>
      <c r="C1539" s="580" t="s">
        <v>3830</v>
      </c>
      <c r="D1539" s="1">
        <v>318.76</v>
      </c>
      <c r="E1539" t="s">
        <v>8125</v>
      </c>
      <c r="F1539" t="s">
        <v>21047</v>
      </c>
      <c r="G1539" s="580">
        <v>180.4162</v>
      </c>
      <c r="H1539" s="1" t="s">
        <v>3831</v>
      </c>
      <c r="I1539" s="1"/>
      <c r="J1539" s="1"/>
      <c r="K1539" s="1"/>
      <c r="L1539" s="1"/>
      <c r="M1539" s="1"/>
      <c r="N1539" s="1"/>
      <c r="Q1539"/>
    </row>
    <row r="1540" spans="1:17" ht="13.15" customHeight="1" x14ac:dyDescent="0.2">
      <c r="A1540" s="1" t="s">
        <v>3832</v>
      </c>
      <c r="B1540" s="1" t="s">
        <v>3613</v>
      </c>
      <c r="C1540" s="580" t="s">
        <v>3833</v>
      </c>
      <c r="D1540" s="1">
        <v>382.36</v>
      </c>
      <c r="E1540" t="s">
        <v>8125</v>
      </c>
      <c r="F1540" t="s">
        <v>21049</v>
      </c>
      <c r="G1540" s="580">
        <v>246.07</v>
      </c>
      <c r="H1540" s="1" t="s">
        <v>3834</v>
      </c>
      <c r="I1540" s="1"/>
      <c r="J1540" s="1"/>
      <c r="K1540" s="1"/>
      <c r="L1540" s="1"/>
      <c r="M1540" s="1"/>
      <c r="N1540" s="1"/>
      <c r="Q1540"/>
    </row>
    <row r="1541" spans="1:17" ht="13.15" customHeight="1" x14ac:dyDescent="0.2">
      <c r="A1541" s="1" t="s">
        <v>3835</v>
      </c>
      <c r="B1541" s="1" t="s">
        <v>3613</v>
      </c>
      <c r="C1541" s="580" t="s">
        <v>3836</v>
      </c>
      <c r="D1541" s="1">
        <v>334.64</v>
      </c>
      <c r="E1541" t="s">
        <v>8125</v>
      </c>
      <c r="F1541" t="s">
        <v>21051</v>
      </c>
      <c r="G1541" s="580">
        <v>180.4162</v>
      </c>
      <c r="H1541" s="1" t="s">
        <v>3837</v>
      </c>
      <c r="I1541" s="1"/>
      <c r="J1541" s="1"/>
      <c r="K1541" s="1"/>
      <c r="L1541" s="1"/>
      <c r="M1541" s="1"/>
      <c r="N1541" s="1"/>
      <c r="Q1541"/>
    </row>
    <row r="1542" spans="1:17" ht="13.15" customHeight="1" x14ac:dyDescent="0.2">
      <c r="A1542" s="1" t="s">
        <v>3838</v>
      </c>
      <c r="B1542" s="1" t="s">
        <v>3613</v>
      </c>
      <c r="C1542" s="580" t="s">
        <v>3839</v>
      </c>
      <c r="D1542" s="1">
        <v>382.36</v>
      </c>
      <c r="E1542" t="s">
        <v>8125</v>
      </c>
      <c r="F1542" t="s">
        <v>21053</v>
      </c>
      <c r="G1542" s="580">
        <v>246.07</v>
      </c>
      <c r="H1542" s="1" t="s">
        <v>3840</v>
      </c>
      <c r="I1542" s="1"/>
      <c r="J1542" s="1"/>
      <c r="K1542" s="1"/>
      <c r="L1542" s="1"/>
      <c r="M1542" s="1"/>
      <c r="N1542" s="1"/>
      <c r="Q1542"/>
    </row>
    <row r="1543" spans="1:17" ht="13.15" customHeight="1" x14ac:dyDescent="0.2">
      <c r="A1543" s="1" t="s">
        <v>3841</v>
      </c>
      <c r="B1543" s="1" t="s">
        <v>3613</v>
      </c>
      <c r="C1543" s="580" t="s">
        <v>3842</v>
      </c>
      <c r="D1543" s="1">
        <v>334.64</v>
      </c>
      <c r="E1543" t="s">
        <v>8125</v>
      </c>
      <c r="F1543" t="s">
        <v>21055</v>
      </c>
      <c r="G1543" s="580">
        <v>211.727</v>
      </c>
      <c r="H1543" s="1" t="s">
        <v>3843</v>
      </c>
      <c r="I1543" s="1"/>
      <c r="J1543" s="1"/>
      <c r="K1543" s="1"/>
      <c r="L1543" s="1"/>
      <c r="M1543" s="1"/>
      <c r="N1543" s="1"/>
      <c r="Q1543"/>
    </row>
    <row r="1544" spans="1:17" ht="13.15" customHeight="1" x14ac:dyDescent="0.2">
      <c r="A1544" s="1" t="s">
        <v>3844</v>
      </c>
      <c r="B1544" s="1" t="s">
        <v>3613</v>
      </c>
      <c r="C1544" s="580" t="s">
        <v>3845</v>
      </c>
      <c r="D1544" s="1">
        <v>403.6</v>
      </c>
      <c r="E1544" t="s">
        <v>8125</v>
      </c>
      <c r="F1544" t="s">
        <v>21057</v>
      </c>
      <c r="G1544" s="580">
        <v>246.07</v>
      </c>
      <c r="H1544" s="1" t="s">
        <v>3846</v>
      </c>
      <c r="I1544" s="1"/>
      <c r="J1544" s="1"/>
      <c r="K1544" s="1"/>
      <c r="L1544" s="1"/>
      <c r="M1544" s="1"/>
      <c r="N1544" s="1"/>
      <c r="Q1544"/>
    </row>
    <row r="1545" spans="1:17" ht="13.15" customHeight="1" x14ac:dyDescent="0.2">
      <c r="A1545" s="1" t="s">
        <v>3847</v>
      </c>
      <c r="B1545" s="1" t="s">
        <v>3613</v>
      </c>
      <c r="C1545" s="580" t="s">
        <v>3848</v>
      </c>
      <c r="D1545" s="1">
        <v>334.64</v>
      </c>
      <c r="E1545" t="s">
        <v>8125</v>
      </c>
      <c r="F1545" t="s">
        <v>21059</v>
      </c>
      <c r="G1545" s="580">
        <v>211.727</v>
      </c>
      <c r="H1545" s="1" t="s">
        <v>3849</v>
      </c>
      <c r="I1545" s="1"/>
      <c r="J1545" s="1"/>
      <c r="K1545" s="1"/>
      <c r="L1545" s="1"/>
      <c r="M1545" s="1"/>
      <c r="N1545" s="1"/>
      <c r="Q1545"/>
    </row>
    <row r="1546" spans="1:17" ht="13.15" customHeight="1" x14ac:dyDescent="0.2">
      <c r="A1546" s="1" t="s">
        <v>3850</v>
      </c>
      <c r="B1546" s="1" t="s">
        <v>3613</v>
      </c>
      <c r="C1546" s="580" t="s">
        <v>3851</v>
      </c>
      <c r="D1546" s="1">
        <v>403.6</v>
      </c>
      <c r="E1546" t="s">
        <v>8125</v>
      </c>
      <c r="F1546" t="s">
        <v>21061</v>
      </c>
      <c r="G1546" s="580">
        <v>246.07</v>
      </c>
      <c r="H1546" s="1" t="s">
        <v>3852</v>
      </c>
      <c r="I1546" s="1"/>
      <c r="J1546" s="1"/>
      <c r="K1546" s="1"/>
      <c r="L1546" s="1"/>
      <c r="M1546" s="1"/>
      <c r="N1546" s="1"/>
      <c r="Q1546"/>
    </row>
    <row r="1547" spans="1:17" ht="13.15" customHeight="1" x14ac:dyDescent="0.2">
      <c r="A1547" s="1" t="s">
        <v>3853</v>
      </c>
      <c r="B1547" s="1" t="s">
        <v>3613</v>
      </c>
      <c r="C1547" s="580" t="s">
        <v>3854</v>
      </c>
      <c r="D1547" s="1">
        <v>334.64</v>
      </c>
      <c r="E1547" t="s">
        <v>8125</v>
      </c>
      <c r="F1547" t="s">
        <v>21063</v>
      </c>
      <c r="G1547" s="580">
        <v>211.727</v>
      </c>
      <c r="H1547" s="1" t="s">
        <v>3855</v>
      </c>
      <c r="I1547" s="1"/>
      <c r="J1547" s="1"/>
      <c r="K1547" s="1"/>
      <c r="L1547" s="1"/>
      <c r="M1547" s="1"/>
      <c r="N1547" s="1"/>
      <c r="Q1547"/>
    </row>
    <row r="1548" spans="1:17" ht="13.15" customHeight="1" x14ac:dyDescent="0.2">
      <c r="A1548" s="1" t="s">
        <v>3856</v>
      </c>
      <c r="B1548" s="1" t="s">
        <v>3613</v>
      </c>
      <c r="C1548" s="580" t="s">
        <v>3857</v>
      </c>
      <c r="D1548" s="1">
        <v>403.6</v>
      </c>
      <c r="E1548" t="s">
        <v>8125</v>
      </c>
      <c r="F1548" t="s">
        <v>21065</v>
      </c>
      <c r="G1548" s="580">
        <v>282.85199999999998</v>
      </c>
      <c r="H1548" s="1" t="s">
        <v>3858</v>
      </c>
      <c r="I1548" s="1"/>
      <c r="J1548" s="1"/>
      <c r="K1548" s="1"/>
      <c r="L1548" s="1"/>
      <c r="M1548" s="1"/>
      <c r="N1548" s="1"/>
      <c r="Q1548"/>
    </row>
    <row r="1549" spans="1:17" ht="13.15" customHeight="1" x14ac:dyDescent="0.2">
      <c r="A1549" s="1" t="s">
        <v>3859</v>
      </c>
      <c r="B1549" s="1" t="s">
        <v>3613</v>
      </c>
      <c r="C1549" s="580" t="s">
        <v>3860</v>
      </c>
      <c r="D1549" s="1">
        <v>334.64</v>
      </c>
      <c r="E1549" t="s">
        <v>8125</v>
      </c>
      <c r="F1549" t="s">
        <v>21067</v>
      </c>
      <c r="G1549" s="580">
        <v>211.727</v>
      </c>
      <c r="H1549" s="1" t="s">
        <v>3861</v>
      </c>
      <c r="I1549" s="1"/>
      <c r="J1549" s="1"/>
      <c r="K1549" s="1"/>
      <c r="L1549" s="1"/>
      <c r="M1549" s="1"/>
      <c r="N1549" s="1"/>
      <c r="Q1549"/>
    </row>
    <row r="1550" spans="1:17" ht="13.15" customHeight="1" x14ac:dyDescent="0.2">
      <c r="A1550" s="1" t="s">
        <v>3862</v>
      </c>
      <c r="B1550" s="1" t="s">
        <v>3613</v>
      </c>
      <c r="C1550" s="580" t="s">
        <v>3863</v>
      </c>
      <c r="D1550" s="1">
        <v>446.12</v>
      </c>
      <c r="E1550" t="s">
        <v>8125</v>
      </c>
      <c r="F1550" t="s">
        <v>21069</v>
      </c>
      <c r="G1550" s="580">
        <v>282.85199999999998</v>
      </c>
      <c r="H1550" s="1" t="s">
        <v>3864</v>
      </c>
      <c r="I1550" s="1"/>
      <c r="J1550" s="1"/>
      <c r="K1550" s="1"/>
      <c r="L1550" s="1"/>
      <c r="M1550" s="1"/>
      <c r="N1550" s="1"/>
      <c r="Q1550"/>
    </row>
    <row r="1551" spans="1:17" ht="13.15" customHeight="1" x14ac:dyDescent="0.2">
      <c r="A1551" s="1" t="s">
        <v>3865</v>
      </c>
      <c r="B1551" s="1" t="s">
        <v>3613</v>
      </c>
      <c r="C1551" s="580" t="s">
        <v>3866</v>
      </c>
      <c r="D1551" s="1">
        <v>350.56</v>
      </c>
      <c r="E1551" t="s">
        <v>8125</v>
      </c>
      <c r="F1551" t="s">
        <v>21071</v>
      </c>
      <c r="G1551" s="580">
        <v>211.727</v>
      </c>
      <c r="H1551" s="1" t="s">
        <v>3867</v>
      </c>
      <c r="I1551" s="1"/>
      <c r="J1551" s="1"/>
      <c r="K1551" s="1"/>
      <c r="L1551" s="1"/>
      <c r="M1551" s="1"/>
      <c r="N1551" s="1"/>
      <c r="Q1551"/>
    </row>
    <row r="1552" spans="1:17" ht="13.15" customHeight="1" x14ac:dyDescent="0.2">
      <c r="A1552" s="1" t="s">
        <v>3868</v>
      </c>
      <c r="B1552" s="1" t="s">
        <v>3613</v>
      </c>
      <c r="C1552" s="580" t="s">
        <v>3869</v>
      </c>
      <c r="D1552" s="1">
        <v>446.12</v>
      </c>
      <c r="E1552" t="s">
        <v>8125</v>
      </c>
      <c r="F1552" t="s">
        <v>21073</v>
      </c>
      <c r="G1552" s="580">
        <v>282.85199999999998</v>
      </c>
      <c r="H1552" s="1" t="s">
        <v>3870</v>
      </c>
      <c r="I1552" s="1"/>
      <c r="J1552" s="1"/>
      <c r="K1552" s="1"/>
      <c r="L1552" s="1"/>
      <c r="M1552" s="1"/>
      <c r="N1552" s="1"/>
      <c r="Q1552"/>
    </row>
    <row r="1553" spans="1:17" ht="13.15" customHeight="1" x14ac:dyDescent="0.2">
      <c r="A1553" s="1" t="s">
        <v>3871</v>
      </c>
      <c r="B1553" s="1" t="s">
        <v>3613</v>
      </c>
      <c r="C1553" s="580" t="s">
        <v>3872</v>
      </c>
      <c r="D1553" s="1">
        <v>350.56</v>
      </c>
      <c r="E1553" t="s">
        <v>8125</v>
      </c>
      <c r="F1553" t="s">
        <v>21075</v>
      </c>
      <c r="G1553" s="580">
        <v>246.07</v>
      </c>
      <c r="H1553" s="1" t="s">
        <v>3873</v>
      </c>
      <c r="I1553" s="1"/>
      <c r="J1553" s="1"/>
      <c r="K1553" s="1"/>
      <c r="L1553" s="1"/>
      <c r="M1553" s="1"/>
      <c r="N1553" s="1"/>
      <c r="Q1553"/>
    </row>
    <row r="1554" spans="1:17" ht="13.15" customHeight="1" x14ac:dyDescent="0.2">
      <c r="A1554" s="1" t="s">
        <v>3874</v>
      </c>
      <c r="B1554" s="1" t="s">
        <v>3613</v>
      </c>
      <c r="C1554" s="580" t="s">
        <v>3875</v>
      </c>
      <c r="D1554" s="1">
        <v>467.36</v>
      </c>
      <c r="E1554" t="s">
        <v>8125</v>
      </c>
      <c r="F1554" t="s">
        <v>21077</v>
      </c>
      <c r="G1554" s="580">
        <v>282.85199999999998</v>
      </c>
      <c r="H1554" s="1" t="s">
        <v>3876</v>
      </c>
      <c r="I1554" s="1"/>
      <c r="J1554" s="1"/>
      <c r="K1554" s="1"/>
      <c r="L1554" s="1"/>
      <c r="M1554" s="1"/>
      <c r="N1554" s="1"/>
      <c r="Q1554"/>
    </row>
    <row r="1555" spans="1:17" ht="13.15" customHeight="1" x14ac:dyDescent="0.2">
      <c r="A1555" s="1" t="s">
        <v>3877</v>
      </c>
      <c r="B1555" s="1" t="s">
        <v>3613</v>
      </c>
      <c r="C1555" s="580" t="s">
        <v>3878</v>
      </c>
      <c r="D1555" s="1">
        <v>350.56</v>
      </c>
      <c r="E1555" t="s">
        <v>8125</v>
      </c>
      <c r="F1555" t="s">
        <v>21079</v>
      </c>
      <c r="G1555" s="580">
        <v>246.07</v>
      </c>
      <c r="H1555" s="1" t="s">
        <v>3879</v>
      </c>
      <c r="I1555" s="1"/>
      <c r="J1555" s="1"/>
      <c r="K1555" s="1"/>
      <c r="L1555" s="1"/>
      <c r="M1555" s="1"/>
      <c r="N1555" s="1"/>
      <c r="Q1555"/>
    </row>
    <row r="1556" spans="1:17" ht="13.15" customHeight="1" x14ac:dyDescent="0.2">
      <c r="A1556" s="1" t="s">
        <v>3880</v>
      </c>
      <c r="B1556" s="1" t="s">
        <v>3613</v>
      </c>
      <c r="C1556" s="580" t="s">
        <v>3881</v>
      </c>
      <c r="D1556" s="1">
        <v>467.36</v>
      </c>
      <c r="E1556" t="s">
        <v>8125</v>
      </c>
      <c r="F1556" t="s">
        <v>21081</v>
      </c>
      <c r="G1556" s="580">
        <v>282.85199999999998</v>
      </c>
      <c r="H1556" s="1" t="s">
        <v>3882</v>
      </c>
      <c r="I1556" s="1"/>
      <c r="J1556" s="1"/>
      <c r="K1556" s="1"/>
      <c r="L1556" s="1"/>
      <c r="M1556" s="1"/>
      <c r="N1556" s="1"/>
      <c r="Q1556"/>
    </row>
    <row r="1557" spans="1:17" ht="13.15" customHeight="1" x14ac:dyDescent="0.2">
      <c r="A1557" s="1" t="s">
        <v>3883</v>
      </c>
      <c r="B1557" s="1" t="s">
        <v>3613</v>
      </c>
      <c r="C1557" s="580" t="s">
        <v>3884</v>
      </c>
      <c r="D1557" s="1">
        <v>531.08000000000004</v>
      </c>
      <c r="E1557" t="s">
        <v>8125</v>
      </c>
      <c r="F1557" t="s">
        <v>21083</v>
      </c>
      <c r="G1557" s="580">
        <v>323.5231</v>
      </c>
      <c r="H1557" s="1" t="s">
        <v>3885</v>
      </c>
      <c r="I1557" s="1"/>
      <c r="J1557" s="1"/>
      <c r="K1557" s="1"/>
      <c r="L1557" s="1"/>
      <c r="M1557" s="1"/>
      <c r="N1557" s="1"/>
      <c r="Q1557"/>
    </row>
    <row r="1558" spans="1:17" ht="13.15" customHeight="1" x14ac:dyDescent="0.2">
      <c r="A1558" s="1" t="s">
        <v>3886</v>
      </c>
      <c r="B1558" s="1" t="s">
        <v>3613</v>
      </c>
      <c r="C1558" s="580" t="s">
        <v>3887</v>
      </c>
      <c r="D1558" s="1">
        <v>531.08000000000004</v>
      </c>
      <c r="E1558" t="s">
        <v>8125</v>
      </c>
      <c r="F1558" t="s">
        <v>21085</v>
      </c>
      <c r="G1558" s="580">
        <v>323.5231</v>
      </c>
      <c r="H1558" s="1" t="s">
        <v>3888</v>
      </c>
      <c r="I1558" s="1"/>
      <c r="J1558" s="1"/>
      <c r="K1558" s="1"/>
      <c r="L1558" s="1"/>
      <c r="M1558" s="1"/>
      <c r="N1558" s="1"/>
      <c r="Q1558"/>
    </row>
    <row r="1559" spans="1:17" ht="13.15" customHeight="1" x14ac:dyDescent="0.2">
      <c r="A1559" s="1" t="s">
        <v>3889</v>
      </c>
      <c r="B1559" s="1" t="s">
        <v>3613</v>
      </c>
      <c r="C1559" s="580" t="s">
        <v>3890</v>
      </c>
      <c r="D1559" s="1">
        <v>531.08000000000004</v>
      </c>
      <c r="E1559" t="s">
        <v>8125</v>
      </c>
      <c r="F1559" t="s">
        <v>21087</v>
      </c>
      <c r="G1559" s="580">
        <v>323.5231</v>
      </c>
      <c r="H1559" s="1" t="s">
        <v>3891</v>
      </c>
      <c r="I1559" s="1"/>
      <c r="J1559" s="1"/>
      <c r="K1559" s="1"/>
      <c r="L1559" s="1"/>
      <c r="M1559" s="1"/>
      <c r="N1559" s="1"/>
      <c r="Q1559"/>
    </row>
    <row r="1560" spans="1:17" ht="13.15" customHeight="1" x14ac:dyDescent="0.2">
      <c r="A1560" s="1" t="s">
        <v>3892</v>
      </c>
      <c r="B1560" s="1" t="s">
        <v>3613</v>
      </c>
      <c r="C1560" s="580" t="s">
        <v>3893</v>
      </c>
      <c r="D1560" s="1">
        <v>467.36</v>
      </c>
      <c r="E1560" t="s">
        <v>8125</v>
      </c>
      <c r="F1560" t="s">
        <v>21089</v>
      </c>
      <c r="G1560" s="580">
        <v>282.85199999999998</v>
      </c>
      <c r="H1560" s="1" t="s">
        <v>3894</v>
      </c>
      <c r="I1560" s="1"/>
      <c r="J1560" s="1"/>
      <c r="K1560" s="1"/>
      <c r="L1560" s="1"/>
      <c r="M1560" s="1"/>
      <c r="N1560" s="1"/>
      <c r="Q1560"/>
    </row>
    <row r="1561" spans="1:17" ht="13.15" customHeight="1" x14ac:dyDescent="0.2">
      <c r="A1561" s="1" t="s">
        <v>3895</v>
      </c>
      <c r="B1561" s="1" t="s">
        <v>3613</v>
      </c>
      <c r="C1561" s="580" t="s">
        <v>3896</v>
      </c>
      <c r="D1561" s="1">
        <v>531.08000000000004</v>
      </c>
      <c r="E1561" t="s">
        <v>8125</v>
      </c>
      <c r="F1561" t="s">
        <v>21091</v>
      </c>
      <c r="G1561" s="580">
        <v>323.5231</v>
      </c>
      <c r="H1561" s="1" t="s">
        <v>3897</v>
      </c>
      <c r="I1561" s="1"/>
      <c r="J1561" s="1"/>
      <c r="K1561" s="1"/>
      <c r="L1561" s="1"/>
      <c r="M1561" s="1"/>
      <c r="N1561" s="1"/>
      <c r="Q1561"/>
    </row>
    <row r="1562" spans="1:17" ht="13.15" customHeight="1" x14ac:dyDescent="0.2">
      <c r="A1562" s="1" t="s">
        <v>3898</v>
      </c>
      <c r="B1562" s="1" t="s">
        <v>3613</v>
      </c>
      <c r="C1562" s="580" t="s">
        <v>3899</v>
      </c>
      <c r="D1562" s="1">
        <v>531.08000000000004</v>
      </c>
      <c r="E1562" t="s">
        <v>8125</v>
      </c>
      <c r="F1562" t="s">
        <v>21093</v>
      </c>
      <c r="G1562" s="580">
        <v>323.5231</v>
      </c>
      <c r="H1562" s="1" t="s">
        <v>3900</v>
      </c>
      <c r="I1562" s="1"/>
      <c r="J1562" s="1"/>
      <c r="K1562" s="1"/>
      <c r="L1562" s="1"/>
      <c r="M1562" s="1"/>
      <c r="N1562" s="1"/>
      <c r="Q1562"/>
    </row>
    <row r="1563" spans="1:17" ht="13.15" customHeight="1" x14ac:dyDescent="0.2">
      <c r="A1563" s="1" t="s">
        <v>3901</v>
      </c>
      <c r="B1563" s="1" t="s">
        <v>3613</v>
      </c>
      <c r="C1563" s="580" t="s">
        <v>3902</v>
      </c>
      <c r="D1563" s="1">
        <v>531.08000000000004</v>
      </c>
      <c r="E1563" t="s">
        <v>8125</v>
      </c>
      <c r="F1563" t="s">
        <v>21095</v>
      </c>
      <c r="G1563" s="580">
        <v>323.5231</v>
      </c>
      <c r="H1563" s="1" t="s">
        <v>3903</v>
      </c>
      <c r="I1563" s="1"/>
      <c r="J1563" s="1"/>
      <c r="K1563" s="1"/>
      <c r="L1563" s="1"/>
      <c r="M1563" s="1"/>
      <c r="N1563" s="1"/>
      <c r="Q1563"/>
    </row>
    <row r="1564" spans="1:17" ht="13.15" customHeight="1" x14ac:dyDescent="0.2">
      <c r="A1564" s="1" t="s">
        <v>3904</v>
      </c>
      <c r="B1564" s="1" t="s">
        <v>3613</v>
      </c>
      <c r="C1564" s="580" t="s">
        <v>3905</v>
      </c>
      <c r="D1564" s="1">
        <v>573.55999999999995</v>
      </c>
      <c r="E1564" t="s">
        <v>8125</v>
      </c>
      <c r="F1564" t="s">
        <v>21097</v>
      </c>
      <c r="G1564" s="580">
        <v>323.5231</v>
      </c>
      <c r="H1564" s="1" t="s">
        <v>3906</v>
      </c>
      <c r="I1564" s="1"/>
      <c r="J1564" s="1"/>
      <c r="K1564" s="1"/>
      <c r="L1564" s="1"/>
      <c r="M1564" s="1"/>
      <c r="N1564" s="1"/>
      <c r="Q1564"/>
    </row>
    <row r="1565" spans="1:17" ht="13.15" customHeight="1" x14ac:dyDescent="0.2">
      <c r="A1565" s="1" t="s">
        <v>3907</v>
      </c>
      <c r="B1565" s="1" t="s">
        <v>3613</v>
      </c>
      <c r="C1565" s="580" t="s">
        <v>3908</v>
      </c>
      <c r="D1565" s="1">
        <v>573.55999999999995</v>
      </c>
      <c r="E1565" t="s">
        <v>8125</v>
      </c>
      <c r="F1565" t="s">
        <v>21099</v>
      </c>
      <c r="G1565" s="580">
        <v>323.5231</v>
      </c>
      <c r="H1565" s="1" t="s">
        <v>3909</v>
      </c>
      <c r="I1565" s="1"/>
      <c r="J1565" s="1"/>
      <c r="K1565" s="1"/>
      <c r="L1565" s="1"/>
      <c r="M1565" s="1"/>
      <c r="N1565" s="1"/>
      <c r="Q1565"/>
    </row>
    <row r="1566" spans="1:17" ht="13.15" customHeight="1" x14ac:dyDescent="0.2">
      <c r="A1566" s="1" t="s">
        <v>3910</v>
      </c>
      <c r="B1566" s="1" t="s">
        <v>3613</v>
      </c>
      <c r="C1566" s="580" t="s">
        <v>3911</v>
      </c>
      <c r="D1566" s="1">
        <v>637.28</v>
      </c>
      <c r="E1566" t="s">
        <v>8125</v>
      </c>
      <c r="F1566" t="s">
        <v>21101</v>
      </c>
      <c r="G1566" s="580">
        <v>395.30720000000002</v>
      </c>
      <c r="H1566" s="1" t="s">
        <v>3912</v>
      </c>
      <c r="I1566" s="1"/>
      <c r="J1566" s="1"/>
      <c r="K1566" s="1"/>
      <c r="L1566" s="1"/>
      <c r="M1566" s="1"/>
      <c r="N1566" s="1"/>
      <c r="Q1566"/>
    </row>
    <row r="1567" spans="1:17" ht="13.15" customHeight="1" x14ac:dyDescent="0.2">
      <c r="A1567" s="1" t="s">
        <v>3913</v>
      </c>
      <c r="B1567" s="1" t="s">
        <v>3613</v>
      </c>
      <c r="C1567" s="580" t="s">
        <v>3914</v>
      </c>
      <c r="D1567" s="1">
        <v>637.28</v>
      </c>
      <c r="E1567" t="s">
        <v>8125</v>
      </c>
      <c r="F1567" t="s">
        <v>21103</v>
      </c>
      <c r="G1567" s="580">
        <v>395.30720000000002</v>
      </c>
      <c r="H1567" s="1" t="s">
        <v>3915</v>
      </c>
      <c r="I1567" s="1"/>
      <c r="J1567" s="1"/>
      <c r="K1567" s="1"/>
      <c r="L1567" s="1"/>
      <c r="M1567" s="1"/>
      <c r="N1567" s="1"/>
      <c r="Q1567"/>
    </row>
    <row r="1568" spans="1:17" ht="13.15" customHeight="1" x14ac:dyDescent="0.2">
      <c r="A1568" s="1" t="s">
        <v>3916</v>
      </c>
      <c r="B1568" s="1" t="s">
        <v>3613</v>
      </c>
      <c r="C1568" s="580" t="s">
        <v>3917</v>
      </c>
      <c r="D1568" s="1">
        <v>722.28</v>
      </c>
      <c r="E1568" t="s">
        <v>8125</v>
      </c>
      <c r="F1568" t="s">
        <v>21105</v>
      </c>
      <c r="G1568" s="580">
        <v>395.30720000000002</v>
      </c>
      <c r="H1568" s="1" t="s">
        <v>3918</v>
      </c>
      <c r="I1568" s="1"/>
      <c r="J1568" s="1"/>
      <c r="K1568" s="1"/>
      <c r="L1568" s="1"/>
      <c r="M1568" s="1"/>
      <c r="N1568" s="1"/>
      <c r="Q1568"/>
    </row>
    <row r="1569" spans="1:17" ht="13.15" customHeight="1" x14ac:dyDescent="0.2">
      <c r="A1569" s="1" t="s">
        <v>3919</v>
      </c>
      <c r="B1569" s="1" t="s">
        <v>3613</v>
      </c>
      <c r="C1569" s="580" t="s">
        <v>3920</v>
      </c>
      <c r="D1569" s="1">
        <v>722.28</v>
      </c>
      <c r="E1569" t="s">
        <v>8125</v>
      </c>
      <c r="F1569" t="s">
        <v>21107</v>
      </c>
      <c r="G1569" s="580">
        <v>395.30720000000002</v>
      </c>
      <c r="H1569" s="1" t="s">
        <v>3921</v>
      </c>
      <c r="I1569" s="1"/>
      <c r="J1569" s="1"/>
      <c r="K1569" s="1"/>
      <c r="L1569" s="1"/>
      <c r="M1569" s="1"/>
      <c r="N1569" s="1"/>
      <c r="Q1569"/>
    </row>
    <row r="1570" spans="1:17" ht="13.15" customHeight="1" x14ac:dyDescent="0.2">
      <c r="A1570" s="1" t="s">
        <v>3922</v>
      </c>
      <c r="B1570" s="1" t="s">
        <v>3613</v>
      </c>
      <c r="C1570" s="580" t="s">
        <v>3923</v>
      </c>
      <c r="D1570" s="1">
        <v>764.76</v>
      </c>
      <c r="E1570" t="s">
        <v>8125</v>
      </c>
      <c r="F1570" t="s">
        <v>21109</v>
      </c>
      <c r="G1570" s="580">
        <v>395.30720000000002</v>
      </c>
      <c r="H1570" s="1" t="s">
        <v>3924</v>
      </c>
      <c r="I1570" s="1"/>
      <c r="J1570" s="1"/>
      <c r="K1570" s="1"/>
      <c r="L1570" s="1"/>
      <c r="M1570" s="1"/>
      <c r="N1570" s="1"/>
      <c r="Q1570"/>
    </row>
    <row r="1571" spans="1:17" ht="13.15" customHeight="1" x14ac:dyDescent="0.2">
      <c r="A1571" s="1" t="s">
        <v>3925</v>
      </c>
      <c r="B1571" s="1" t="s">
        <v>3613</v>
      </c>
      <c r="C1571" s="580" t="s">
        <v>3926</v>
      </c>
      <c r="D1571" s="1">
        <v>764.76</v>
      </c>
      <c r="E1571" t="s">
        <v>8125</v>
      </c>
      <c r="F1571" t="s">
        <v>21111</v>
      </c>
      <c r="G1571" s="580">
        <v>442.96559999999999</v>
      </c>
      <c r="H1571" s="1" t="s">
        <v>3927</v>
      </c>
      <c r="I1571" s="1"/>
      <c r="J1571" s="1"/>
      <c r="K1571" s="1"/>
      <c r="L1571" s="1"/>
      <c r="M1571" s="1"/>
      <c r="N1571" s="1"/>
      <c r="Q1571"/>
    </row>
    <row r="1572" spans="1:17" ht="13.15" customHeight="1" x14ac:dyDescent="0.2">
      <c r="A1572" s="1" t="s">
        <v>3928</v>
      </c>
      <c r="B1572" s="1" t="s">
        <v>3613</v>
      </c>
      <c r="C1572" s="580" t="s">
        <v>3929</v>
      </c>
      <c r="D1572" s="1">
        <v>849.72</v>
      </c>
      <c r="E1572" t="s">
        <v>8125</v>
      </c>
      <c r="F1572" t="s">
        <v>21113</v>
      </c>
      <c r="G1572" s="580">
        <v>442.96559999999999</v>
      </c>
      <c r="H1572" s="1" t="s">
        <v>3930</v>
      </c>
      <c r="I1572" s="1"/>
      <c r="J1572" s="1"/>
      <c r="K1572" s="1"/>
      <c r="L1572" s="1"/>
      <c r="M1572" s="1"/>
      <c r="N1572" s="1"/>
      <c r="Q1572"/>
    </row>
    <row r="1573" spans="1:17" ht="13.15" customHeight="1" x14ac:dyDescent="0.2">
      <c r="A1573" s="1" t="s">
        <v>3931</v>
      </c>
      <c r="B1573" s="1" t="s">
        <v>3613</v>
      </c>
      <c r="C1573" s="580" t="s">
        <v>3932</v>
      </c>
      <c r="D1573" s="1">
        <v>849.72</v>
      </c>
      <c r="E1573" t="s">
        <v>8125</v>
      </c>
      <c r="F1573" t="s">
        <v>21115</v>
      </c>
      <c r="G1573" s="580">
        <v>442.96559999999999</v>
      </c>
      <c r="H1573" s="1" t="s">
        <v>3933</v>
      </c>
      <c r="I1573" s="1"/>
      <c r="J1573" s="1"/>
      <c r="K1573" s="1"/>
      <c r="L1573" s="1"/>
      <c r="M1573" s="1"/>
      <c r="N1573" s="1"/>
      <c r="Q1573"/>
    </row>
    <row r="1574" spans="1:17" ht="13.15" customHeight="1" x14ac:dyDescent="0.2">
      <c r="A1574" s="1" t="s">
        <v>3934</v>
      </c>
      <c r="B1574" s="1" t="s">
        <v>3613</v>
      </c>
      <c r="C1574" s="580" t="s">
        <v>3935</v>
      </c>
      <c r="D1574" s="1">
        <v>849.72</v>
      </c>
      <c r="E1574" t="s">
        <v>8125</v>
      </c>
      <c r="F1574" t="s">
        <v>21117</v>
      </c>
      <c r="G1574" s="580">
        <v>442.96559999999999</v>
      </c>
      <c r="H1574" s="1" t="s">
        <v>3936</v>
      </c>
      <c r="I1574" s="1"/>
      <c r="J1574" s="1"/>
      <c r="K1574" s="1"/>
      <c r="L1574" s="1"/>
      <c r="M1574" s="1"/>
      <c r="N1574" s="1"/>
      <c r="Q1574"/>
    </row>
    <row r="1575" spans="1:17" ht="13.15" customHeight="1" x14ac:dyDescent="0.2">
      <c r="A1575" s="1" t="s">
        <v>3937</v>
      </c>
      <c r="B1575" s="1" t="s">
        <v>3613</v>
      </c>
      <c r="C1575" s="580" t="s">
        <v>3938</v>
      </c>
      <c r="D1575" s="1">
        <v>849.72</v>
      </c>
      <c r="E1575" t="s">
        <v>8125</v>
      </c>
      <c r="F1575" t="s">
        <v>21119</v>
      </c>
      <c r="G1575" s="580">
        <v>442.96559999999999</v>
      </c>
      <c r="H1575" s="1" t="s">
        <v>3939</v>
      </c>
      <c r="I1575" s="1"/>
      <c r="J1575" s="1"/>
      <c r="K1575" s="1"/>
      <c r="L1575" s="1"/>
      <c r="M1575" s="1"/>
      <c r="N1575" s="1"/>
      <c r="Q1575"/>
    </row>
    <row r="1576" spans="1:17" ht="13.15" customHeight="1" x14ac:dyDescent="0.2">
      <c r="A1576" s="1" t="s">
        <v>3940</v>
      </c>
      <c r="B1576" s="1" t="s">
        <v>3613</v>
      </c>
      <c r="C1576" s="580" t="s">
        <v>3941</v>
      </c>
      <c r="D1576" s="1">
        <v>1189.5999999999999</v>
      </c>
      <c r="E1576" t="s">
        <v>8125</v>
      </c>
      <c r="F1576" t="s">
        <v>21121</v>
      </c>
      <c r="G1576" s="580">
        <v>521.9348</v>
      </c>
      <c r="H1576" s="1" t="s">
        <v>3942</v>
      </c>
      <c r="I1576" s="1"/>
      <c r="J1576" s="1"/>
      <c r="K1576" s="1"/>
      <c r="L1576" s="1"/>
      <c r="M1576" s="1"/>
      <c r="N1576" s="1"/>
      <c r="Q1576"/>
    </row>
    <row r="1577" spans="1:17" ht="13.15" customHeight="1" x14ac:dyDescent="0.2">
      <c r="A1577" s="1" t="s">
        <v>3943</v>
      </c>
      <c r="B1577" s="1" t="s">
        <v>3613</v>
      </c>
      <c r="C1577" s="580" t="s">
        <v>3944</v>
      </c>
      <c r="D1577" s="1">
        <v>1189.5999999999999</v>
      </c>
      <c r="E1577" t="s">
        <v>8125</v>
      </c>
      <c r="F1577" t="s">
        <v>21123</v>
      </c>
      <c r="G1577" s="580">
        <v>521.9348</v>
      </c>
      <c r="H1577" s="1" t="s">
        <v>3945</v>
      </c>
      <c r="I1577" s="1"/>
      <c r="J1577" s="1"/>
      <c r="K1577" s="1"/>
      <c r="L1577" s="1"/>
      <c r="M1577" s="1"/>
      <c r="N1577" s="1"/>
      <c r="Q1577"/>
    </row>
    <row r="1578" spans="1:17" ht="13.15" customHeight="1" x14ac:dyDescent="0.2">
      <c r="A1578" s="1" t="s">
        <v>3946</v>
      </c>
      <c r="B1578" s="1" t="s">
        <v>3613</v>
      </c>
      <c r="C1578" s="580" t="s">
        <v>3947</v>
      </c>
      <c r="D1578" s="1">
        <v>1189.5999999999999</v>
      </c>
      <c r="E1578" t="s">
        <v>8125</v>
      </c>
      <c r="F1578" t="s">
        <v>21125</v>
      </c>
      <c r="G1578" s="580">
        <v>521.9348</v>
      </c>
      <c r="H1578" s="1" t="s">
        <v>3948</v>
      </c>
      <c r="I1578" s="1"/>
      <c r="J1578" s="1"/>
      <c r="K1578" s="1"/>
      <c r="L1578" s="1"/>
      <c r="M1578" s="1"/>
      <c r="N1578" s="1"/>
      <c r="Q1578"/>
    </row>
    <row r="1579" spans="1:17" ht="13.15" customHeight="1" x14ac:dyDescent="0.2">
      <c r="A1579" s="1" t="s">
        <v>3949</v>
      </c>
      <c r="B1579" s="1" t="s">
        <v>3613</v>
      </c>
      <c r="C1579" s="580" t="s">
        <v>3950</v>
      </c>
      <c r="D1579" s="1">
        <v>1189.5999999999999</v>
      </c>
      <c r="E1579" t="s">
        <v>8125</v>
      </c>
      <c r="F1579" t="s">
        <v>21127</v>
      </c>
      <c r="G1579" s="580">
        <v>521.9348</v>
      </c>
      <c r="H1579" s="1" t="s">
        <v>3951</v>
      </c>
      <c r="I1579" s="1"/>
      <c r="J1579" s="1"/>
      <c r="K1579" s="1"/>
      <c r="L1579" s="1"/>
      <c r="M1579" s="1"/>
      <c r="N1579" s="1"/>
      <c r="Q1579"/>
    </row>
    <row r="1580" spans="1:17" ht="13.15" customHeight="1" x14ac:dyDescent="0.2">
      <c r="A1580" s="1" t="s">
        <v>3952</v>
      </c>
      <c r="B1580" s="1" t="s">
        <v>3613</v>
      </c>
      <c r="C1580" s="580" t="s">
        <v>3953</v>
      </c>
      <c r="D1580" s="1">
        <v>1232.08</v>
      </c>
      <c r="E1580" t="s">
        <v>8125</v>
      </c>
      <c r="F1580" t="s">
        <v>21129</v>
      </c>
      <c r="G1580" s="580">
        <v>521.9348</v>
      </c>
      <c r="H1580" s="1" t="s">
        <v>3954</v>
      </c>
      <c r="I1580" s="1"/>
      <c r="J1580" s="1"/>
      <c r="K1580" s="1"/>
      <c r="L1580" s="1"/>
      <c r="M1580" s="1"/>
      <c r="N1580" s="1"/>
      <c r="Q1580"/>
    </row>
    <row r="1581" spans="1:17" ht="13.15" customHeight="1" x14ac:dyDescent="0.2">
      <c r="A1581" s="1" t="s">
        <v>3955</v>
      </c>
      <c r="B1581" s="1" t="s">
        <v>3613</v>
      </c>
      <c r="C1581" s="580" t="s">
        <v>3956</v>
      </c>
      <c r="D1581" s="1">
        <v>1232.08</v>
      </c>
      <c r="E1581" t="s">
        <v>8125</v>
      </c>
      <c r="F1581" t="s">
        <v>21131</v>
      </c>
      <c r="G1581" s="580">
        <v>575.7894</v>
      </c>
      <c r="H1581" s="1" t="s">
        <v>3957</v>
      </c>
      <c r="I1581" s="1"/>
      <c r="J1581" s="1"/>
      <c r="K1581" s="1"/>
      <c r="L1581" s="1"/>
      <c r="M1581" s="1"/>
      <c r="N1581" s="1"/>
      <c r="Q1581"/>
    </row>
    <row r="1582" spans="1:17" ht="13.15" customHeight="1" x14ac:dyDescent="0.2">
      <c r="A1582" s="1" t="s">
        <v>3958</v>
      </c>
      <c r="B1582" s="1" t="s">
        <v>3613</v>
      </c>
      <c r="C1582" s="580" t="s">
        <v>3959</v>
      </c>
      <c r="D1582" s="1">
        <v>1232.08</v>
      </c>
      <c r="E1582" t="s">
        <v>8125</v>
      </c>
      <c r="F1582" t="s">
        <v>21133</v>
      </c>
      <c r="G1582" s="580">
        <v>575.7894</v>
      </c>
      <c r="H1582" s="1" t="s">
        <v>3960</v>
      </c>
      <c r="I1582" s="1"/>
      <c r="J1582" s="1"/>
      <c r="K1582" s="1"/>
      <c r="L1582" s="1"/>
      <c r="M1582" s="1"/>
      <c r="N1582" s="1"/>
      <c r="Q1582"/>
    </row>
    <row r="1583" spans="1:17" ht="13.15" customHeight="1" x14ac:dyDescent="0.2">
      <c r="A1583" s="1" t="s">
        <v>3961</v>
      </c>
      <c r="B1583" s="1" t="s">
        <v>3613</v>
      </c>
      <c r="C1583" s="580" t="s">
        <v>3962</v>
      </c>
      <c r="D1583" s="1">
        <v>1232.08</v>
      </c>
      <c r="E1583" t="s">
        <v>8125</v>
      </c>
      <c r="F1583" t="s">
        <v>21135</v>
      </c>
      <c r="G1583" s="580">
        <v>575.7894</v>
      </c>
      <c r="H1583" s="1" t="s">
        <v>3963</v>
      </c>
      <c r="I1583" s="1"/>
      <c r="J1583" s="1"/>
      <c r="K1583" s="1"/>
      <c r="L1583" s="1"/>
      <c r="M1583" s="1"/>
      <c r="N1583" s="1"/>
      <c r="Q1583"/>
    </row>
    <row r="1584" spans="1:17" ht="13.15" customHeight="1" x14ac:dyDescent="0.2">
      <c r="A1584" s="1" t="s">
        <v>3964</v>
      </c>
      <c r="B1584" s="1" t="s">
        <v>3613</v>
      </c>
      <c r="C1584" s="580" t="s">
        <v>3965</v>
      </c>
      <c r="D1584" s="1">
        <v>1274.5999999999999</v>
      </c>
      <c r="E1584" t="s">
        <v>8125</v>
      </c>
      <c r="F1584" t="s">
        <v>21137</v>
      </c>
      <c r="G1584" s="580">
        <v>575.7894</v>
      </c>
      <c r="H1584" s="1" t="s">
        <v>3966</v>
      </c>
      <c r="I1584" s="1"/>
      <c r="J1584" s="1"/>
      <c r="K1584" s="1"/>
      <c r="L1584" s="1"/>
      <c r="M1584" s="1"/>
      <c r="N1584" s="1"/>
      <c r="Q1584"/>
    </row>
    <row r="1585" spans="1:17" ht="13.15" customHeight="1" x14ac:dyDescent="0.2">
      <c r="A1585" s="1" t="s">
        <v>3967</v>
      </c>
      <c r="B1585" s="1" t="s">
        <v>3613</v>
      </c>
      <c r="C1585" s="580" t="s">
        <v>3968</v>
      </c>
      <c r="D1585" s="1">
        <v>1274.5999999999999</v>
      </c>
      <c r="E1585" t="s">
        <v>8125</v>
      </c>
      <c r="F1585" t="s">
        <v>21139</v>
      </c>
      <c r="G1585" s="580">
        <v>575.7894</v>
      </c>
      <c r="H1585" s="1" t="s">
        <v>3969</v>
      </c>
      <c r="I1585" s="1"/>
      <c r="J1585" s="1"/>
      <c r="K1585" s="1"/>
      <c r="L1585" s="1"/>
      <c r="M1585" s="1"/>
      <c r="N1585" s="1"/>
      <c r="Q1585"/>
    </row>
    <row r="1586" spans="1:17" ht="13.15" customHeight="1" x14ac:dyDescent="0.2">
      <c r="A1586" s="1" t="s">
        <v>3970</v>
      </c>
      <c r="B1586" s="1" t="s">
        <v>3613</v>
      </c>
      <c r="C1586" s="580" t="s">
        <v>3971</v>
      </c>
      <c r="D1586" s="1">
        <v>1274.5999999999999</v>
      </c>
      <c r="E1586" t="s">
        <v>8125</v>
      </c>
      <c r="F1586" t="s">
        <v>21141</v>
      </c>
      <c r="G1586" s="580">
        <v>632.87390000000005</v>
      </c>
      <c r="H1586" s="1" t="s">
        <v>3972</v>
      </c>
      <c r="I1586" s="1"/>
      <c r="J1586" s="1"/>
      <c r="K1586" s="1"/>
      <c r="L1586" s="1"/>
      <c r="M1586" s="1"/>
      <c r="N1586" s="1"/>
      <c r="Q1586"/>
    </row>
    <row r="1587" spans="1:17" ht="13.15" customHeight="1" x14ac:dyDescent="0.2">
      <c r="A1587" s="1" t="s">
        <v>3973</v>
      </c>
      <c r="B1587" s="1" t="s">
        <v>3613</v>
      </c>
      <c r="C1587" s="580" t="s">
        <v>3974</v>
      </c>
      <c r="D1587" s="1">
        <v>1274.5999999999999</v>
      </c>
      <c r="E1587" t="s">
        <v>8125</v>
      </c>
      <c r="F1587" t="s">
        <v>21143</v>
      </c>
      <c r="G1587" s="580">
        <v>632.87390000000005</v>
      </c>
      <c r="H1587" s="1" t="s">
        <v>3975</v>
      </c>
      <c r="I1587" s="1"/>
      <c r="J1587" s="1"/>
      <c r="K1587" s="1"/>
      <c r="L1587" s="1"/>
      <c r="M1587" s="1"/>
      <c r="N1587" s="1"/>
      <c r="Q1587"/>
    </row>
    <row r="1588" spans="1:17" ht="13.15" customHeight="1" x14ac:dyDescent="0.2">
      <c r="A1588" s="1" t="s">
        <v>3976</v>
      </c>
      <c r="B1588" s="1" t="s">
        <v>3613</v>
      </c>
      <c r="C1588" s="580" t="s">
        <v>3977</v>
      </c>
      <c r="D1588" s="1">
        <v>1317.08</v>
      </c>
      <c r="E1588" t="s">
        <v>8125</v>
      </c>
      <c r="F1588" t="s">
        <v>21145</v>
      </c>
      <c r="G1588" s="580">
        <v>632.87390000000005</v>
      </c>
      <c r="H1588" s="1" t="s">
        <v>3978</v>
      </c>
      <c r="I1588" s="1"/>
      <c r="J1588" s="1"/>
      <c r="K1588" s="1"/>
      <c r="L1588" s="1"/>
      <c r="M1588" s="1"/>
      <c r="N1588" s="1"/>
      <c r="Q1588"/>
    </row>
    <row r="1589" spans="1:17" ht="13.15" customHeight="1" x14ac:dyDescent="0.2">
      <c r="A1589" s="1" t="s">
        <v>3979</v>
      </c>
      <c r="B1589" s="1" t="s">
        <v>3613</v>
      </c>
      <c r="C1589" s="580" t="s">
        <v>3980</v>
      </c>
      <c r="D1589" s="1">
        <v>1317.08</v>
      </c>
      <c r="E1589" t="s">
        <v>8125</v>
      </c>
      <c r="F1589" t="s">
        <v>21147</v>
      </c>
      <c r="G1589" s="580">
        <v>632.87390000000005</v>
      </c>
      <c r="H1589" s="1" t="s">
        <v>3981</v>
      </c>
      <c r="I1589" s="1"/>
      <c r="J1589" s="1"/>
      <c r="K1589" s="1"/>
      <c r="L1589" s="1"/>
      <c r="M1589" s="1"/>
      <c r="N1589" s="1"/>
      <c r="Q1589"/>
    </row>
    <row r="1590" spans="1:17" ht="13.15" customHeight="1" x14ac:dyDescent="0.2">
      <c r="A1590" s="1" t="s">
        <v>3982</v>
      </c>
      <c r="B1590" s="1" t="s">
        <v>3613</v>
      </c>
      <c r="C1590" s="580" t="s">
        <v>3983</v>
      </c>
      <c r="D1590" s="1">
        <v>1317.08</v>
      </c>
      <c r="E1590" t="s">
        <v>8125</v>
      </c>
      <c r="F1590" t="s">
        <v>21149</v>
      </c>
      <c r="G1590" s="580">
        <v>632.87390000000005</v>
      </c>
      <c r="H1590" s="1" t="s">
        <v>3984</v>
      </c>
      <c r="I1590" s="1"/>
      <c r="J1590" s="1"/>
      <c r="K1590" s="1"/>
      <c r="L1590" s="1"/>
      <c r="M1590" s="1"/>
      <c r="N1590" s="1"/>
      <c r="Q1590"/>
    </row>
    <row r="1591" spans="1:17" ht="13.15" customHeight="1" x14ac:dyDescent="0.2">
      <c r="A1591" s="1" t="s">
        <v>3985</v>
      </c>
      <c r="B1591" s="1" t="s">
        <v>3613</v>
      </c>
      <c r="C1591" s="580" t="s">
        <v>3986</v>
      </c>
      <c r="D1591" s="1">
        <v>1317.08</v>
      </c>
      <c r="E1591" t="s">
        <v>8125</v>
      </c>
      <c r="F1591" t="s">
        <v>21151</v>
      </c>
      <c r="G1591" s="580">
        <v>693.12249999999995</v>
      </c>
      <c r="H1591" s="1" t="s">
        <v>3987</v>
      </c>
      <c r="I1591" s="1"/>
      <c r="J1591" s="1"/>
      <c r="K1591" s="1"/>
      <c r="L1591" s="1"/>
      <c r="M1591" s="1"/>
      <c r="N1591" s="1"/>
      <c r="Q1591"/>
    </row>
    <row r="1592" spans="1:17" ht="13.15" customHeight="1" x14ac:dyDescent="0.2">
      <c r="A1592" s="1" t="s">
        <v>3988</v>
      </c>
      <c r="B1592" s="1" t="s">
        <v>3613</v>
      </c>
      <c r="C1592" s="580" t="s">
        <v>3989</v>
      </c>
      <c r="D1592" s="1">
        <v>1317.08</v>
      </c>
      <c r="E1592" t="s">
        <v>8125</v>
      </c>
      <c r="F1592" t="s">
        <v>21153</v>
      </c>
      <c r="G1592" s="580">
        <v>693.12249999999995</v>
      </c>
      <c r="H1592" s="1" t="s">
        <v>3990</v>
      </c>
      <c r="I1592" s="1"/>
      <c r="J1592" s="1"/>
      <c r="K1592" s="1"/>
      <c r="L1592" s="1"/>
      <c r="M1592" s="1"/>
      <c r="N1592" s="1"/>
      <c r="Q1592"/>
    </row>
    <row r="1593" spans="1:17" ht="13.15" customHeight="1" x14ac:dyDescent="0.2">
      <c r="A1593" s="1" t="s">
        <v>3991</v>
      </c>
      <c r="B1593" s="1" t="s">
        <v>3613</v>
      </c>
      <c r="C1593" s="580" t="s">
        <v>3992</v>
      </c>
      <c r="D1593" s="1">
        <v>1317.08</v>
      </c>
      <c r="E1593" t="s">
        <v>8125</v>
      </c>
      <c r="F1593" t="s">
        <v>21155</v>
      </c>
      <c r="G1593" s="580">
        <v>693.12249999999995</v>
      </c>
      <c r="H1593" s="1" t="s">
        <v>3993</v>
      </c>
      <c r="I1593" s="1"/>
      <c r="J1593" s="1"/>
      <c r="K1593" s="1"/>
      <c r="L1593" s="1"/>
      <c r="M1593" s="1"/>
      <c r="N1593" s="1"/>
      <c r="Q1593"/>
    </row>
    <row r="1594" spans="1:17" ht="13.15" customHeight="1" x14ac:dyDescent="0.2">
      <c r="A1594" s="1" t="s">
        <v>3994</v>
      </c>
      <c r="B1594" s="1" t="s">
        <v>3613</v>
      </c>
      <c r="C1594" s="580" t="s">
        <v>3995</v>
      </c>
      <c r="D1594" s="1">
        <v>1359.56</v>
      </c>
      <c r="E1594" t="s">
        <v>8125</v>
      </c>
      <c r="F1594" t="s">
        <v>21157</v>
      </c>
      <c r="G1594" s="580">
        <v>693.12249999999995</v>
      </c>
      <c r="H1594" s="1" t="s">
        <v>3996</v>
      </c>
      <c r="I1594" s="1"/>
      <c r="J1594" s="1"/>
      <c r="K1594" s="1"/>
      <c r="L1594" s="1"/>
      <c r="M1594" s="1"/>
      <c r="N1594" s="1"/>
      <c r="Q1594"/>
    </row>
    <row r="1595" spans="1:17" ht="13.15" customHeight="1" x14ac:dyDescent="0.2">
      <c r="A1595" s="1" t="s">
        <v>3997</v>
      </c>
      <c r="B1595" s="1" t="s">
        <v>3613</v>
      </c>
      <c r="C1595" s="580" t="s">
        <v>3998</v>
      </c>
      <c r="D1595" s="1">
        <v>1359.56</v>
      </c>
      <c r="E1595" t="s">
        <v>8125</v>
      </c>
      <c r="F1595" t="s">
        <v>8353</v>
      </c>
      <c r="G1595" s="580">
        <v>0</v>
      </c>
      <c r="H1595" s="1" t="s">
        <v>3999</v>
      </c>
      <c r="I1595" s="1"/>
      <c r="J1595" s="1"/>
      <c r="K1595" s="1"/>
      <c r="L1595" s="1"/>
      <c r="M1595" s="1"/>
      <c r="N1595" s="1"/>
      <c r="Q1595"/>
    </row>
    <row r="1596" spans="1:17" ht="13.15" customHeight="1" x14ac:dyDescent="0.2">
      <c r="A1596" s="1" t="s">
        <v>4000</v>
      </c>
      <c r="B1596" s="1" t="s">
        <v>3613</v>
      </c>
      <c r="C1596" s="580" t="s">
        <v>4001</v>
      </c>
      <c r="D1596" s="1">
        <v>1359.56</v>
      </c>
      <c r="E1596" t="s">
        <v>8125</v>
      </c>
      <c r="F1596" t="s">
        <v>8353</v>
      </c>
      <c r="G1596" s="580">
        <v>0</v>
      </c>
      <c r="H1596" s="1" t="s">
        <v>4002</v>
      </c>
      <c r="I1596" s="1"/>
      <c r="J1596" s="1"/>
      <c r="K1596" s="1"/>
      <c r="L1596" s="1"/>
      <c r="M1596" s="1"/>
      <c r="N1596" s="1"/>
      <c r="Q1596"/>
    </row>
    <row r="1597" spans="1:17" ht="13.15" customHeight="1" x14ac:dyDescent="0.2">
      <c r="A1597" s="1" t="s">
        <v>4003</v>
      </c>
      <c r="B1597" s="1" t="s">
        <v>3613</v>
      </c>
      <c r="C1597" s="580" t="s">
        <v>4004</v>
      </c>
      <c r="D1597" s="1">
        <v>1402.04</v>
      </c>
      <c r="E1597" t="s">
        <v>8125</v>
      </c>
      <c r="F1597" t="s">
        <v>8353</v>
      </c>
      <c r="G1597" s="580">
        <v>0</v>
      </c>
      <c r="H1597" s="1" t="s">
        <v>4005</v>
      </c>
      <c r="I1597" s="1"/>
      <c r="J1597" s="1"/>
      <c r="K1597" s="1"/>
      <c r="L1597" s="1"/>
      <c r="M1597" s="1"/>
      <c r="N1597" s="1"/>
      <c r="Q1597"/>
    </row>
    <row r="1598" spans="1:17" ht="13.15" customHeight="1" x14ac:dyDescent="0.2">
      <c r="A1598" s="1" t="s">
        <v>4006</v>
      </c>
      <c r="B1598" s="1" t="s">
        <v>3613</v>
      </c>
      <c r="C1598" s="580" t="s">
        <v>4007</v>
      </c>
      <c r="D1598" s="1">
        <v>1402.04</v>
      </c>
      <c r="E1598" t="s">
        <v>8125</v>
      </c>
      <c r="F1598" t="s">
        <v>8353</v>
      </c>
      <c r="G1598" s="580">
        <v>0</v>
      </c>
      <c r="H1598" s="1" t="s">
        <v>4008</v>
      </c>
      <c r="I1598" s="1"/>
      <c r="J1598" s="1"/>
      <c r="K1598" s="1"/>
      <c r="L1598" s="1"/>
      <c r="M1598" s="1"/>
      <c r="N1598" s="1"/>
      <c r="Q1598"/>
    </row>
    <row r="1599" spans="1:17" ht="13.15" customHeight="1" x14ac:dyDescent="0.2">
      <c r="A1599" s="1" t="s">
        <v>4009</v>
      </c>
      <c r="B1599" s="1" t="s">
        <v>3613</v>
      </c>
      <c r="C1599" s="580" t="s">
        <v>4010</v>
      </c>
      <c r="D1599" s="1">
        <v>1402.04</v>
      </c>
      <c r="E1599" t="s">
        <v>8125</v>
      </c>
      <c r="F1599" t="s">
        <v>8353</v>
      </c>
      <c r="G1599" s="580">
        <v>0</v>
      </c>
      <c r="H1599" s="1" t="s">
        <v>4011</v>
      </c>
      <c r="I1599" s="1"/>
      <c r="J1599" s="1"/>
      <c r="K1599" s="1"/>
      <c r="L1599" s="1"/>
      <c r="M1599" s="1"/>
      <c r="N1599" s="1"/>
      <c r="Q1599"/>
    </row>
    <row r="1600" spans="1:17" ht="13.15" customHeight="1" x14ac:dyDescent="0.2">
      <c r="A1600" s="1" t="s">
        <v>4012</v>
      </c>
      <c r="B1600" s="1" t="s">
        <v>3613</v>
      </c>
      <c r="C1600" s="580" t="s">
        <v>4013</v>
      </c>
      <c r="D1600" s="1">
        <v>1444.52</v>
      </c>
      <c r="E1600" t="s">
        <v>8125</v>
      </c>
      <c r="F1600" t="s">
        <v>8353</v>
      </c>
      <c r="G1600" s="580">
        <v>0</v>
      </c>
      <c r="H1600" s="1" t="s">
        <v>4014</v>
      </c>
      <c r="I1600" s="1"/>
      <c r="J1600" s="1"/>
      <c r="K1600" s="1"/>
      <c r="L1600" s="1"/>
      <c r="M1600" s="1"/>
      <c r="N1600" s="1"/>
      <c r="Q1600"/>
    </row>
    <row r="1601" spans="1:17" ht="13.15" customHeight="1" x14ac:dyDescent="0.2">
      <c r="A1601" s="1" t="s">
        <v>4015</v>
      </c>
      <c r="B1601" s="1" t="s">
        <v>3613</v>
      </c>
      <c r="C1601" s="580" t="s">
        <v>4016</v>
      </c>
      <c r="D1601" s="1">
        <v>1444.52</v>
      </c>
      <c r="E1601" t="s">
        <v>8125</v>
      </c>
      <c r="F1601" t="s">
        <v>8353</v>
      </c>
      <c r="G1601" s="580">
        <v>0</v>
      </c>
      <c r="H1601" s="1" t="s">
        <v>4017</v>
      </c>
      <c r="I1601" s="1"/>
      <c r="J1601" s="1"/>
      <c r="K1601" s="1"/>
      <c r="L1601" s="1"/>
      <c r="M1601" s="1"/>
      <c r="N1601" s="1"/>
      <c r="Q1601"/>
    </row>
    <row r="1602" spans="1:17" ht="13.15" customHeight="1" x14ac:dyDescent="0.2">
      <c r="A1602" s="1" t="s">
        <v>4018</v>
      </c>
      <c r="B1602" s="1" t="s">
        <v>3613</v>
      </c>
      <c r="C1602" s="580" t="s">
        <v>4019</v>
      </c>
      <c r="D1602" s="1">
        <v>1444.52</v>
      </c>
      <c r="E1602" t="s">
        <v>8125</v>
      </c>
      <c r="F1602" t="s">
        <v>8353</v>
      </c>
      <c r="G1602" s="580">
        <v>0</v>
      </c>
      <c r="H1602" s="1" t="s">
        <v>4020</v>
      </c>
      <c r="I1602" s="1"/>
      <c r="J1602" s="1"/>
      <c r="K1602" s="1"/>
      <c r="L1602" s="1"/>
      <c r="M1602" s="1"/>
      <c r="N1602" s="1"/>
      <c r="Q1602"/>
    </row>
    <row r="1603" spans="1:17" ht="13.15" customHeight="1" x14ac:dyDescent="0.2">
      <c r="A1603" s="1" t="s">
        <v>4021</v>
      </c>
      <c r="B1603" s="1" t="s">
        <v>3613</v>
      </c>
      <c r="C1603" s="580" t="s">
        <v>4022</v>
      </c>
      <c r="D1603" s="1">
        <v>1444.52</v>
      </c>
      <c r="E1603" t="s">
        <v>8125</v>
      </c>
      <c r="F1603" t="s">
        <v>8353</v>
      </c>
      <c r="G1603" s="580">
        <v>0</v>
      </c>
      <c r="H1603" s="1" t="s">
        <v>4023</v>
      </c>
      <c r="I1603" s="1"/>
      <c r="J1603" s="1"/>
      <c r="K1603" s="1"/>
      <c r="L1603" s="1"/>
      <c r="M1603" s="1"/>
      <c r="N1603" s="1"/>
      <c r="Q1603"/>
    </row>
    <row r="1604" spans="1:17" ht="13.15" customHeight="1" x14ac:dyDescent="0.2">
      <c r="A1604" s="1" t="s">
        <v>4024</v>
      </c>
      <c r="B1604" s="1" t="s">
        <v>3613</v>
      </c>
      <c r="C1604" s="580" t="s">
        <v>4025</v>
      </c>
      <c r="D1604" s="1">
        <v>1444.52</v>
      </c>
      <c r="E1604" t="s">
        <v>8125</v>
      </c>
      <c r="F1604" t="s">
        <v>8353</v>
      </c>
      <c r="G1604" s="580">
        <v>0</v>
      </c>
      <c r="H1604" s="1" t="s">
        <v>4026</v>
      </c>
      <c r="I1604" s="1"/>
      <c r="J1604" s="1"/>
      <c r="K1604" s="1"/>
      <c r="L1604" s="1"/>
      <c r="M1604" s="1"/>
      <c r="N1604" s="1"/>
      <c r="Q1604"/>
    </row>
    <row r="1605" spans="1:17" ht="13.15" customHeight="1" x14ac:dyDescent="0.2">
      <c r="A1605" s="1" t="s">
        <v>4027</v>
      </c>
      <c r="B1605" s="1" t="s">
        <v>3613</v>
      </c>
      <c r="C1605" s="580" t="s">
        <v>4028</v>
      </c>
      <c r="D1605" s="1">
        <v>1444.52</v>
      </c>
      <c r="E1605" t="s">
        <v>8125</v>
      </c>
      <c r="F1605" t="s">
        <v>8353</v>
      </c>
      <c r="G1605" s="580">
        <v>0</v>
      </c>
      <c r="H1605" s="1" t="s">
        <v>4029</v>
      </c>
      <c r="I1605" s="1"/>
      <c r="J1605" s="1"/>
      <c r="K1605" s="1"/>
      <c r="L1605" s="1"/>
      <c r="M1605" s="1"/>
      <c r="N1605" s="1"/>
      <c r="Q1605"/>
    </row>
    <row r="1606" spans="1:17" ht="13.15" customHeight="1" x14ac:dyDescent="0.2">
      <c r="A1606" s="1" t="s">
        <v>4030</v>
      </c>
      <c r="B1606" s="1" t="s">
        <v>3613</v>
      </c>
      <c r="C1606" s="580" t="s">
        <v>4031</v>
      </c>
      <c r="D1606" s="1">
        <v>1487</v>
      </c>
      <c r="E1606" t="s">
        <v>8125</v>
      </c>
      <c r="F1606" t="s">
        <v>8353</v>
      </c>
      <c r="G1606" s="580">
        <v>0</v>
      </c>
      <c r="H1606" s="1" t="s">
        <v>4032</v>
      </c>
      <c r="I1606" s="1"/>
      <c r="J1606" s="1"/>
      <c r="K1606" s="1"/>
      <c r="L1606" s="1"/>
      <c r="M1606" s="1"/>
      <c r="N1606" s="1"/>
      <c r="Q1606"/>
    </row>
    <row r="1607" spans="1:17" ht="13.15" customHeight="1" x14ac:dyDescent="0.2">
      <c r="A1607" s="1" t="s">
        <v>4033</v>
      </c>
      <c r="B1607" s="1" t="s">
        <v>3613</v>
      </c>
      <c r="C1607" s="580" t="s">
        <v>4034</v>
      </c>
      <c r="D1607" s="1">
        <v>1487</v>
      </c>
      <c r="E1607" t="s">
        <v>8125</v>
      </c>
      <c r="F1607" t="s">
        <v>8353</v>
      </c>
      <c r="G1607" s="580">
        <v>0</v>
      </c>
      <c r="H1607" s="1" t="s">
        <v>4035</v>
      </c>
      <c r="I1607" s="1"/>
      <c r="J1607" s="1"/>
      <c r="K1607" s="1"/>
      <c r="L1607" s="1"/>
      <c r="M1607" s="1"/>
      <c r="N1607" s="1"/>
      <c r="Q1607"/>
    </row>
    <row r="1608" spans="1:17" ht="13.15" customHeight="1" x14ac:dyDescent="0.2">
      <c r="A1608" s="1" t="s">
        <v>4036</v>
      </c>
      <c r="B1608" s="1" t="s">
        <v>3613</v>
      </c>
      <c r="C1608" s="580" t="s">
        <v>4037</v>
      </c>
      <c r="D1608" s="1">
        <v>1487</v>
      </c>
      <c r="E1608" t="s">
        <v>8125</v>
      </c>
      <c r="F1608" t="s">
        <v>21160</v>
      </c>
      <c r="G1608" s="580">
        <v>1028.3130000000001</v>
      </c>
      <c r="H1608" s="1" t="s">
        <v>4038</v>
      </c>
      <c r="I1608" s="1"/>
      <c r="J1608" s="1"/>
      <c r="K1608" s="1"/>
      <c r="L1608" s="1"/>
      <c r="M1608" s="1"/>
      <c r="N1608" s="1"/>
      <c r="Q1608"/>
    </row>
    <row r="1609" spans="1:17" ht="13.15" customHeight="1" x14ac:dyDescent="0.2">
      <c r="A1609" s="1" t="s">
        <v>4039</v>
      </c>
      <c r="B1609" s="1" t="s">
        <v>3613</v>
      </c>
      <c r="C1609" s="580" t="s">
        <v>4040</v>
      </c>
      <c r="D1609" s="1">
        <v>1529.48</v>
      </c>
      <c r="E1609" t="s">
        <v>8125</v>
      </c>
      <c r="F1609" t="s">
        <v>21162</v>
      </c>
      <c r="G1609" s="580">
        <v>1028.3130000000001</v>
      </c>
      <c r="H1609" s="1" t="s">
        <v>4041</v>
      </c>
      <c r="I1609" s="1"/>
      <c r="J1609" s="1"/>
      <c r="K1609" s="1"/>
      <c r="L1609" s="1"/>
      <c r="M1609" s="1"/>
      <c r="N1609" s="1"/>
      <c r="Q1609"/>
    </row>
    <row r="1610" spans="1:17" ht="13.15" customHeight="1" x14ac:dyDescent="0.2">
      <c r="A1610" s="1" t="s">
        <v>4042</v>
      </c>
      <c r="B1610" s="1" t="s">
        <v>3613</v>
      </c>
      <c r="C1610" s="580" t="s">
        <v>4043</v>
      </c>
      <c r="D1610" s="1">
        <v>1529.48</v>
      </c>
      <c r="E1610" t="s">
        <v>8125</v>
      </c>
      <c r="F1610" t="s">
        <v>21164</v>
      </c>
      <c r="G1610" s="580">
        <v>1068.1931</v>
      </c>
      <c r="H1610" s="1" t="s">
        <v>4044</v>
      </c>
      <c r="I1610" s="1"/>
      <c r="J1610" s="1"/>
      <c r="K1610" s="1"/>
      <c r="L1610" s="1"/>
      <c r="M1610" s="1"/>
      <c r="N1610" s="1"/>
      <c r="Q1610"/>
    </row>
    <row r="1611" spans="1:17" ht="13.15" customHeight="1" x14ac:dyDescent="0.2">
      <c r="A1611" s="1" t="s">
        <v>4045</v>
      </c>
      <c r="B1611" s="1" t="s">
        <v>3613</v>
      </c>
      <c r="C1611" s="580" t="s">
        <v>4046</v>
      </c>
      <c r="D1611" s="1">
        <v>1529.48</v>
      </c>
      <c r="E1611" t="s">
        <v>8125</v>
      </c>
      <c r="F1611" t="s">
        <v>21166</v>
      </c>
      <c r="G1611" s="580">
        <v>1068.1931</v>
      </c>
      <c r="H1611" s="1" t="s">
        <v>4047</v>
      </c>
      <c r="I1611" s="1"/>
      <c r="J1611" s="1"/>
      <c r="K1611" s="1"/>
      <c r="L1611" s="1"/>
      <c r="M1611" s="1"/>
      <c r="N1611" s="1"/>
      <c r="Q1611"/>
    </row>
    <row r="1612" spans="1:17" ht="13.15" customHeight="1" x14ac:dyDescent="0.2">
      <c r="A1612" s="1" t="s">
        <v>4048</v>
      </c>
      <c r="B1612" s="1" t="s">
        <v>3613</v>
      </c>
      <c r="C1612" s="580" t="s">
        <v>4049</v>
      </c>
      <c r="D1612" s="1">
        <v>1784.4</v>
      </c>
      <c r="E1612" t="s">
        <v>8125</v>
      </c>
      <c r="F1612" t="s">
        <v>21168</v>
      </c>
      <c r="G1612" s="580">
        <v>1068.1931</v>
      </c>
      <c r="H1612" s="1" t="s">
        <v>4050</v>
      </c>
      <c r="I1612" s="1"/>
      <c r="J1612" s="1"/>
      <c r="K1612" s="1"/>
      <c r="L1612" s="1"/>
      <c r="M1612" s="1"/>
      <c r="N1612" s="1"/>
      <c r="Q1612"/>
    </row>
    <row r="1613" spans="1:17" ht="13.15" customHeight="1" x14ac:dyDescent="0.2">
      <c r="A1613" s="1" t="s">
        <v>4051</v>
      </c>
      <c r="B1613" s="1" t="s">
        <v>3613</v>
      </c>
      <c r="C1613" s="580" t="s">
        <v>4052</v>
      </c>
      <c r="D1613" s="1">
        <v>1784.4</v>
      </c>
      <c r="E1613" t="s">
        <v>8125</v>
      </c>
      <c r="F1613" t="s">
        <v>21170</v>
      </c>
      <c r="G1613" s="580">
        <v>1068.1931</v>
      </c>
      <c r="H1613" s="1" t="s">
        <v>4053</v>
      </c>
      <c r="I1613" s="1"/>
      <c r="J1613" s="1"/>
      <c r="K1613" s="1"/>
      <c r="L1613" s="1"/>
      <c r="M1613" s="1"/>
      <c r="N1613" s="1"/>
      <c r="Q1613"/>
    </row>
    <row r="1614" spans="1:17" ht="13.15" customHeight="1" x14ac:dyDescent="0.2">
      <c r="A1614" s="1" t="s">
        <v>4054</v>
      </c>
      <c r="B1614" s="1" t="s">
        <v>3613</v>
      </c>
      <c r="C1614" s="580" t="s">
        <v>4055</v>
      </c>
      <c r="D1614" s="1">
        <v>1784.4</v>
      </c>
      <c r="E1614" t="s">
        <v>8125</v>
      </c>
      <c r="F1614" t="s">
        <v>8353</v>
      </c>
      <c r="G1614" s="580">
        <v>0</v>
      </c>
      <c r="H1614" s="1" t="s">
        <v>4056</v>
      </c>
      <c r="I1614" s="1"/>
      <c r="J1614" s="1"/>
      <c r="K1614" s="1"/>
      <c r="L1614" s="1"/>
      <c r="M1614" s="1"/>
      <c r="N1614" s="1"/>
      <c r="Q1614"/>
    </row>
    <row r="1615" spans="1:17" ht="13.15" customHeight="1" x14ac:dyDescent="0.2">
      <c r="A1615" s="1" t="s">
        <v>4057</v>
      </c>
      <c r="B1615" s="1" t="s">
        <v>3613</v>
      </c>
      <c r="C1615" s="580" t="s">
        <v>4058</v>
      </c>
      <c r="D1615" s="1">
        <v>1954.36</v>
      </c>
      <c r="E1615" t="s">
        <v>8125</v>
      </c>
      <c r="F1615" t="s">
        <v>21172</v>
      </c>
      <c r="G1615" s="580">
        <v>1068.1931</v>
      </c>
      <c r="H1615" s="1" t="s">
        <v>4059</v>
      </c>
      <c r="I1615" s="1"/>
      <c r="J1615" s="1"/>
      <c r="K1615" s="1"/>
      <c r="L1615" s="1"/>
      <c r="M1615" s="1"/>
      <c r="N1615" s="1"/>
      <c r="Q1615"/>
    </row>
    <row r="1616" spans="1:17" ht="13.15" customHeight="1" x14ac:dyDescent="0.2">
      <c r="A1616" s="1" t="s">
        <v>4060</v>
      </c>
      <c r="B1616" s="1" t="s">
        <v>3613</v>
      </c>
      <c r="C1616" s="580" t="s">
        <v>4061</v>
      </c>
      <c r="D1616" s="1">
        <v>1954.36</v>
      </c>
      <c r="E1616" t="s">
        <v>8125</v>
      </c>
      <c r="F1616" t="s">
        <v>8353</v>
      </c>
      <c r="G1616" s="580">
        <v>0</v>
      </c>
      <c r="H1616" s="1" t="s">
        <v>4062</v>
      </c>
      <c r="I1616" s="1"/>
      <c r="J1616" s="1"/>
      <c r="K1616" s="1"/>
      <c r="L1616" s="1"/>
      <c r="M1616" s="1"/>
      <c r="N1616" s="1"/>
      <c r="Q1616"/>
    </row>
    <row r="1617" spans="1:17" ht="13.15" customHeight="1" x14ac:dyDescent="0.2">
      <c r="A1617" s="1" t="s">
        <v>4063</v>
      </c>
      <c r="B1617" s="1" t="s">
        <v>3613</v>
      </c>
      <c r="C1617" s="580" t="s">
        <v>4064</v>
      </c>
      <c r="D1617" s="1">
        <v>2124.3200000000002</v>
      </c>
      <c r="E1617" t="s">
        <v>8125</v>
      </c>
      <c r="F1617" t="s">
        <v>8353</v>
      </c>
      <c r="G1617" s="580">
        <v>0</v>
      </c>
      <c r="H1617" s="1" t="s">
        <v>4065</v>
      </c>
      <c r="I1617" s="1"/>
      <c r="J1617" s="1"/>
      <c r="K1617" s="1"/>
      <c r="L1617" s="1"/>
      <c r="M1617" s="1"/>
      <c r="N1617" s="1"/>
      <c r="Q1617"/>
    </row>
    <row r="1618" spans="1:17" ht="13.15" customHeight="1" x14ac:dyDescent="0.2">
      <c r="A1618" s="1" t="s">
        <v>4066</v>
      </c>
      <c r="B1618" s="1" t="s">
        <v>3613</v>
      </c>
      <c r="C1618" s="580" t="s">
        <v>4067</v>
      </c>
      <c r="D1618" s="1">
        <v>2124.3200000000002</v>
      </c>
      <c r="E1618" t="s">
        <v>8125</v>
      </c>
      <c r="F1618" t="s">
        <v>8353</v>
      </c>
      <c r="G1618" s="580">
        <v>0</v>
      </c>
      <c r="H1618" s="1" t="s">
        <v>4068</v>
      </c>
      <c r="I1618" s="1"/>
      <c r="J1618" s="1"/>
      <c r="K1618" s="1"/>
      <c r="L1618" s="1"/>
      <c r="M1618" s="1"/>
      <c r="N1618" s="1"/>
      <c r="Q1618"/>
    </row>
    <row r="1619" spans="1:17" ht="13.15" customHeight="1" x14ac:dyDescent="0.2">
      <c r="A1619" s="1" t="s">
        <v>4069</v>
      </c>
      <c r="B1619" s="1" t="s">
        <v>3613</v>
      </c>
      <c r="C1619" s="580" t="s">
        <v>4070</v>
      </c>
      <c r="D1619" s="1">
        <v>2124.3200000000002</v>
      </c>
      <c r="E1619" t="s">
        <v>8125</v>
      </c>
      <c r="F1619" t="s">
        <v>8353</v>
      </c>
      <c r="G1619" s="580">
        <v>0</v>
      </c>
      <c r="H1619" s="1" t="s">
        <v>4071</v>
      </c>
      <c r="I1619" s="1"/>
      <c r="J1619" s="1"/>
      <c r="K1619" s="1"/>
      <c r="L1619" s="1"/>
      <c r="M1619" s="1"/>
      <c r="N1619" s="1"/>
      <c r="Q1619"/>
    </row>
    <row r="1620" spans="1:17" ht="13.15" customHeight="1" x14ac:dyDescent="0.2">
      <c r="A1620" s="1" t="s">
        <v>4072</v>
      </c>
      <c r="B1620" s="1" t="s">
        <v>3613</v>
      </c>
      <c r="C1620" s="580" t="s">
        <v>4073</v>
      </c>
      <c r="D1620" s="1">
        <v>2124.3200000000002</v>
      </c>
      <c r="E1620" t="s">
        <v>8125</v>
      </c>
      <c r="F1620" t="s">
        <v>8353</v>
      </c>
      <c r="G1620" s="580">
        <v>0</v>
      </c>
      <c r="H1620" s="1" t="s">
        <v>4074</v>
      </c>
      <c r="I1620" s="1"/>
      <c r="J1620" s="1"/>
      <c r="K1620" s="1"/>
      <c r="L1620" s="1"/>
      <c r="M1620" s="1"/>
      <c r="N1620" s="1"/>
      <c r="Q1620"/>
    </row>
    <row r="1621" spans="1:17" ht="13.15" customHeight="1" x14ac:dyDescent="0.2">
      <c r="A1621" s="1" t="s">
        <v>4075</v>
      </c>
      <c r="B1621" s="1" t="s">
        <v>3613</v>
      </c>
      <c r="C1621" s="580" t="s">
        <v>4076</v>
      </c>
      <c r="D1621" s="1">
        <v>2209.2800000000002</v>
      </c>
      <c r="E1621" t="s">
        <v>8125</v>
      </c>
      <c r="F1621" t="s">
        <v>8353</v>
      </c>
      <c r="G1621" s="580">
        <v>0</v>
      </c>
      <c r="H1621" s="1" t="s">
        <v>4077</v>
      </c>
      <c r="I1621" s="1"/>
      <c r="J1621" s="1"/>
      <c r="K1621" s="1"/>
      <c r="L1621" s="1"/>
      <c r="M1621" s="1"/>
      <c r="N1621" s="1"/>
      <c r="Q1621"/>
    </row>
    <row r="1622" spans="1:17" ht="13.15" customHeight="1" x14ac:dyDescent="0.2">
      <c r="A1622" s="1" t="s">
        <v>4078</v>
      </c>
      <c r="B1622" s="1" t="s">
        <v>3613</v>
      </c>
      <c r="C1622" s="580" t="s">
        <v>4079</v>
      </c>
      <c r="D1622" s="1">
        <v>2209.2800000000002</v>
      </c>
      <c r="E1622" t="s">
        <v>8125</v>
      </c>
      <c r="F1622" t="s">
        <v>21174</v>
      </c>
      <c r="G1622" s="580">
        <v>1306.5508</v>
      </c>
      <c r="H1622" s="1" t="s">
        <v>4080</v>
      </c>
      <c r="I1622" s="1"/>
      <c r="J1622" s="1"/>
      <c r="K1622" s="1"/>
      <c r="L1622" s="1"/>
      <c r="M1622" s="1"/>
      <c r="N1622" s="1"/>
      <c r="Q1622"/>
    </row>
    <row r="1623" spans="1:17" ht="13.15" customHeight="1" x14ac:dyDescent="0.2">
      <c r="A1623" s="1" t="s">
        <v>4081</v>
      </c>
      <c r="B1623" s="1" t="s">
        <v>3613</v>
      </c>
      <c r="C1623" s="580" t="s">
        <v>4082</v>
      </c>
      <c r="D1623" s="1">
        <v>2379.1999999999998</v>
      </c>
      <c r="E1623" t="s">
        <v>8125</v>
      </c>
      <c r="F1623" t="s">
        <v>8353</v>
      </c>
      <c r="G1623" s="580">
        <v>0</v>
      </c>
      <c r="H1623" s="1" t="s">
        <v>4083</v>
      </c>
      <c r="I1623" s="1"/>
      <c r="J1623" s="1"/>
      <c r="K1623" s="1"/>
      <c r="L1623" s="1"/>
      <c r="M1623" s="1"/>
      <c r="N1623" s="1"/>
      <c r="Q1623"/>
    </row>
    <row r="1624" spans="1:17" ht="13.15" customHeight="1" x14ac:dyDescent="0.2">
      <c r="A1624" s="1" t="s">
        <v>4084</v>
      </c>
      <c r="B1624" s="1" t="s">
        <v>3613</v>
      </c>
      <c r="C1624" s="580" t="s">
        <v>4085</v>
      </c>
      <c r="D1624" s="1">
        <v>2379.1999999999998</v>
      </c>
      <c r="E1624" t="s">
        <v>8125</v>
      </c>
      <c r="F1624" t="s">
        <v>8353</v>
      </c>
      <c r="G1624" s="580">
        <v>0</v>
      </c>
      <c r="H1624" s="1" t="s">
        <v>4086</v>
      </c>
      <c r="I1624" s="1"/>
      <c r="J1624" s="1"/>
      <c r="K1624" s="1"/>
      <c r="L1624" s="1"/>
      <c r="M1624" s="1"/>
      <c r="N1624" s="1"/>
      <c r="Q1624"/>
    </row>
    <row r="1625" spans="1:17" ht="13.15" customHeight="1" x14ac:dyDescent="0.2">
      <c r="A1625" s="1" t="s">
        <v>4087</v>
      </c>
      <c r="B1625" s="1" t="s">
        <v>3613</v>
      </c>
      <c r="C1625" s="580" t="s">
        <v>4088</v>
      </c>
      <c r="D1625" s="1">
        <v>2379.1999999999998</v>
      </c>
      <c r="E1625" t="s">
        <v>8125</v>
      </c>
      <c r="F1625" t="s">
        <v>8353</v>
      </c>
      <c r="G1625" s="580">
        <v>0</v>
      </c>
      <c r="H1625" s="1" t="s">
        <v>4089</v>
      </c>
      <c r="I1625" s="1"/>
      <c r="J1625" s="1"/>
      <c r="K1625" s="1"/>
      <c r="L1625" s="1"/>
      <c r="M1625" s="1"/>
      <c r="N1625" s="1"/>
      <c r="Q1625"/>
    </row>
    <row r="1626" spans="1:17" ht="13.15" customHeight="1" x14ac:dyDescent="0.2">
      <c r="A1626" s="1" t="s">
        <v>4090</v>
      </c>
      <c r="B1626" s="1" t="s">
        <v>3613</v>
      </c>
      <c r="C1626" s="580" t="s">
        <v>4091</v>
      </c>
      <c r="D1626" s="1">
        <v>2379.1999999999998</v>
      </c>
      <c r="E1626" t="s">
        <v>8125</v>
      </c>
      <c r="F1626" t="s">
        <v>8353</v>
      </c>
      <c r="G1626" s="580">
        <v>0</v>
      </c>
      <c r="H1626" s="1" t="s">
        <v>4092</v>
      </c>
      <c r="I1626" s="1"/>
      <c r="J1626" s="1"/>
      <c r="K1626" s="1"/>
      <c r="L1626" s="1"/>
      <c r="M1626" s="1"/>
      <c r="N1626" s="1"/>
      <c r="Q1626"/>
    </row>
    <row r="1627" spans="1:17" ht="13.15" customHeight="1" x14ac:dyDescent="0.2">
      <c r="A1627" s="1" t="s">
        <v>4093</v>
      </c>
      <c r="B1627" s="1" t="s">
        <v>3613</v>
      </c>
      <c r="C1627" s="580" t="s">
        <v>4094</v>
      </c>
      <c r="D1627" s="1">
        <v>2549.16</v>
      </c>
      <c r="E1627" t="s">
        <v>8125</v>
      </c>
      <c r="F1627" t="s">
        <v>8353</v>
      </c>
      <c r="G1627" s="580">
        <v>0</v>
      </c>
      <c r="H1627" s="1" t="s">
        <v>4095</v>
      </c>
      <c r="I1627" s="1"/>
      <c r="J1627" s="1"/>
      <c r="K1627" s="1"/>
      <c r="L1627" s="1"/>
      <c r="M1627" s="1"/>
      <c r="N1627" s="1"/>
      <c r="Q1627"/>
    </row>
    <row r="1628" spans="1:17" ht="13.15" customHeight="1" x14ac:dyDescent="0.2">
      <c r="A1628" s="1" t="s">
        <v>4096</v>
      </c>
      <c r="B1628" s="1" t="s">
        <v>3613</v>
      </c>
      <c r="C1628" s="580" t="s">
        <v>4097</v>
      </c>
      <c r="D1628" s="1">
        <v>2549.16</v>
      </c>
      <c r="E1628" t="s">
        <v>8125</v>
      </c>
      <c r="F1628" t="s">
        <v>8353</v>
      </c>
      <c r="G1628" s="580">
        <v>0</v>
      </c>
      <c r="H1628" s="1" t="s">
        <v>4098</v>
      </c>
      <c r="I1628" s="1"/>
      <c r="J1628" s="1"/>
      <c r="K1628" s="1"/>
      <c r="L1628" s="1"/>
      <c r="M1628" s="1"/>
      <c r="N1628" s="1"/>
      <c r="Q1628"/>
    </row>
    <row r="1629" spans="1:17" ht="13.15" customHeight="1" x14ac:dyDescent="0.2">
      <c r="A1629" s="1" t="s">
        <v>4099</v>
      </c>
      <c r="B1629" s="1" t="s">
        <v>3613</v>
      </c>
      <c r="C1629" s="580" t="s">
        <v>4100</v>
      </c>
      <c r="D1629" s="1">
        <v>2549.16</v>
      </c>
      <c r="E1629" t="s">
        <v>8125</v>
      </c>
      <c r="F1629" t="s">
        <v>8353</v>
      </c>
      <c r="G1629" s="580">
        <v>0</v>
      </c>
      <c r="H1629" s="1" t="s">
        <v>4101</v>
      </c>
      <c r="I1629" s="1"/>
      <c r="J1629" s="1"/>
      <c r="K1629" s="1"/>
      <c r="L1629" s="1"/>
      <c r="M1629" s="1"/>
      <c r="N1629" s="1"/>
      <c r="Q1629"/>
    </row>
    <row r="1630" spans="1:17" ht="13.15" customHeight="1" x14ac:dyDescent="0.2">
      <c r="A1630" s="1" t="s">
        <v>4102</v>
      </c>
      <c r="B1630" s="1" t="s">
        <v>3613</v>
      </c>
      <c r="C1630" s="580" t="s">
        <v>4103</v>
      </c>
      <c r="D1630" s="1">
        <v>2634.12</v>
      </c>
      <c r="E1630" t="s">
        <v>8125</v>
      </c>
      <c r="F1630" t="s">
        <v>8353</v>
      </c>
      <c r="G1630" s="580">
        <v>0</v>
      </c>
      <c r="H1630" s="1" t="s">
        <v>4104</v>
      </c>
      <c r="I1630" s="1"/>
      <c r="J1630" s="1"/>
      <c r="K1630" s="1"/>
      <c r="L1630" s="1"/>
      <c r="M1630" s="1"/>
      <c r="N1630" s="1"/>
      <c r="Q1630"/>
    </row>
    <row r="1631" spans="1:17" ht="13.15" customHeight="1" x14ac:dyDescent="0.2">
      <c r="A1631" s="1" t="s">
        <v>4105</v>
      </c>
      <c r="B1631" s="1" t="s">
        <v>3613</v>
      </c>
      <c r="C1631" s="580" t="s">
        <v>4106</v>
      </c>
      <c r="D1631" s="1">
        <v>2634.12</v>
      </c>
      <c r="E1631" t="s">
        <v>8125</v>
      </c>
      <c r="F1631" t="s">
        <v>8353</v>
      </c>
      <c r="G1631" s="580">
        <v>0</v>
      </c>
      <c r="H1631" s="1" t="s">
        <v>4107</v>
      </c>
      <c r="I1631" s="1"/>
      <c r="J1631" s="1"/>
      <c r="K1631" s="1"/>
      <c r="L1631" s="1"/>
      <c r="M1631" s="1"/>
      <c r="N1631" s="1"/>
      <c r="Q1631"/>
    </row>
    <row r="1632" spans="1:17" ht="13.15" customHeight="1" x14ac:dyDescent="0.2">
      <c r="A1632" s="1" t="s">
        <v>4108</v>
      </c>
      <c r="B1632" s="1" t="s">
        <v>3613</v>
      </c>
      <c r="C1632" s="580" t="s">
        <v>4109</v>
      </c>
      <c r="D1632" s="1">
        <v>2804.08</v>
      </c>
      <c r="E1632" t="s">
        <v>8125</v>
      </c>
      <c r="F1632" t="s">
        <v>8353</v>
      </c>
      <c r="G1632" s="580">
        <v>0</v>
      </c>
      <c r="H1632" s="1" t="s">
        <v>4110</v>
      </c>
      <c r="I1632" s="1"/>
      <c r="J1632" s="1"/>
      <c r="K1632" s="1"/>
      <c r="L1632" s="1"/>
      <c r="M1632" s="1"/>
      <c r="N1632" s="1"/>
      <c r="Q1632"/>
    </row>
    <row r="1633" spans="1:17" ht="13.15" customHeight="1" x14ac:dyDescent="0.2">
      <c r="A1633" s="1" t="s">
        <v>4111</v>
      </c>
      <c r="B1633" s="1" t="s">
        <v>3613</v>
      </c>
      <c r="C1633" s="580" t="s">
        <v>4112</v>
      </c>
      <c r="D1633" s="1">
        <v>2804.08</v>
      </c>
      <c r="E1633" t="s">
        <v>8125</v>
      </c>
      <c r="F1633" t="s">
        <v>8353</v>
      </c>
      <c r="G1633" s="580">
        <v>0</v>
      </c>
      <c r="H1633" s="1" t="s">
        <v>4113</v>
      </c>
      <c r="I1633" s="1"/>
      <c r="J1633" s="1"/>
      <c r="K1633" s="1"/>
      <c r="L1633" s="1"/>
      <c r="M1633" s="1"/>
      <c r="N1633" s="1"/>
      <c r="Q1633"/>
    </row>
    <row r="1634" spans="1:17" ht="13.15" customHeight="1" x14ac:dyDescent="0.2">
      <c r="A1634" s="1" t="s">
        <v>4114</v>
      </c>
      <c r="B1634" s="1" t="s">
        <v>3613</v>
      </c>
      <c r="C1634" s="580" t="s">
        <v>4115</v>
      </c>
      <c r="D1634" s="1">
        <v>2804.08</v>
      </c>
      <c r="E1634" t="s">
        <v>8125</v>
      </c>
      <c r="F1634" t="s">
        <v>8353</v>
      </c>
      <c r="G1634" s="580">
        <v>0</v>
      </c>
      <c r="H1634" s="1" t="s">
        <v>4116</v>
      </c>
      <c r="I1634" s="1"/>
      <c r="J1634" s="1"/>
      <c r="K1634" s="1"/>
      <c r="L1634" s="1"/>
      <c r="M1634" s="1"/>
      <c r="N1634" s="1"/>
      <c r="Q1634"/>
    </row>
    <row r="1635" spans="1:17" ht="13.15" customHeight="1" x14ac:dyDescent="0.2">
      <c r="A1635" s="1" t="s">
        <v>4117</v>
      </c>
      <c r="B1635" s="1" t="s">
        <v>3613</v>
      </c>
      <c r="C1635" s="580" t="s">
        <v>4118</v>
      </c>
      <c r="D1635" s="1">
        <v>2804.08</v>
      </c>
      <c r="E1635" t="s">
        <v>8125</v>
      </c>
      <c r="F1635" t="s">
        <v>21176</v>
      </c>
      <c r="G1635" s="580">
        <v>1405.7565999999999</v>
      </c>
      <c r="H1635" s="1" t="s">
        <v>4119</v>
      </c>
      <c r="I1635" s="1"/>
      <c r="J1635" s="1"/>
      <c r="K1635" s="1"/>
      <c r="L1635" s="1"/>
      <c r="M1635" s="1"/>
      <c r="N1635" s="1"/>
      <c r="Q1635"/>
    </row>
    <row r="1636" spans="1:17" ht="13.15" customHeight="1" x14ac:dyDescent="0.2">
      <c r="A1636" s="1" t="s">
        <v>4120</v>
      </c>
      <c r="B1636" s="1" t="s">
        <v>3613</v>
      </c>
      <c r="C1636" s="580" t="s">
        <v>4121</v>
      </c>
      <c r="D1636" s="1">
        <v>2889.04</v>
      </c>
      <c r="E1636" t="s">
        <v>8125</v>
      </c>
      <c r="F1636" t="s">
        <v>8353</v>
      </c>
      <c r="G1636" s="580">
        <v>0</v>
      </c>
      <c r="H1636" s="1" t="s">
        <v>4122</v>
      </c>
      <c r="I1636" s="1"/>
      <c r="J1636" s="1"/>
      <c r="K1636" s="1"/>
      <c r="L1636" s="1"/>
      <c r="M1636" s="1"/>
      <c r="N1636" s="1"/>
      <c r="Q1636"/>
    </row>
    <row r="1637" spans="1:17" ht="13.15" customHeight="1" x14ac:dyDescent="0.2">
      <c r="A1637" s="1" t="s">
        <v>4123</v>
      </c>
      <c r="B1637" s="1" t="s">
        <v>3613</v>
      </c>
      <c r="C1637" s="580" t="s">
        <v>4124</v>
      </c>
      <c r="D1637" s="1">
        <v>2889.04</v>
      </c>
      <c r="E1637" t="s">
        <v>8125</v>
      </c>
      <c r="F1637" t="s">
        <v>8353</v>
      </c>
      <c r="G1637" s="580">
        <v>0</v>
      </c>
      <c r="H1637" s="1" t="s">
        <v>4125</v>
      </c>
      <c r="I1637" s="1"/>
      <c r="J1637" s="1"/>
      <c r="K1637" s="1"/>
      <c r="L1637" s="1"/>
      <c r="M1637" s="1"/>
      <c r="N1637" s="1"/>
      <c r="Q1637"/>
    </row>
    <row r="1638" spans="1:17" ht="13.15" customHeight="1" x14ac:dyDescent="0.2">
      <c r="A1638" s="1" t="s">
        <v>4126</v>
      </c>
      <c r="B1638" s="1" t="s">
        <v>3613</v>
      </c>
      <c r="C1638" s="580" t="s">
        <v>4127</v>
      </c>
      <c r="D1638" s="1">
        <v>2889.04</v>
      </c>
      <c r="E1638" t="s">
        <v>8125</v>
      </c>
      <c r="F1638" t="s">
        <v>8353</v>
      </c>
      <c r="G1638" s="580">
        <v>0</v>
      </c>
      <c r="H1638" s="1" t="s">
        <v>4128</v>
      </c>
      <c r="I1638" s="1"/>
      <c r="J1638" s="1"/>
      <c r="K1638" s="1"/>
      <c r="L1638" s="1"/>
      <c r="M1638" s="1"/>
      <c r="N1638" s="1"/>
      <c r="Q1638"/>
    </row>
    <row r="1639" spans="1:17" ht="13.15" customHeight="1" x14ac:dyDescent="0.2">
      <c r="A1639" s="1" t="s">
        <v>4129</v>
      </c>
      <c r="B1639" s="1" t="s">
        <v>3613</v>
      </c>
      <c r="C1639" s="580" t="s">
        <v>4130</v>
      </c>
      <c r="D1639" s="1">
        <v>2974.04</v>
      </c>
      <c r="E1639" t="s">
        <v>8125</v>
      </c>
      <c r="F1639" t="s">
        <v>8353</v>
      </c>
      <c r="G1639" s="580">
        <v>0</v>
      </c>
      <c r="H1639" s="1" t="s">
        <v>4131</v>
      </c>
      <c r="I1639" s="1"/>
      <c r="J1639" s="1"/>
      <c r="K1639" s="1"/>
      <c r="L1639" s="1"/>
      <c r="M1639" s="1"/>
      <c r="N1639" s="1"/>
      <c r="Q1639"/>
    </row>
    <row r="1640" spans="1:17" ht="13.15" customHeight="1" x14ac:dyDescent="0.2">
      <c r="A1640" s="1" t="s">
        <v>4132</v>
      </c>
      <c r="B1640" s="1" t="s">
        <v>3613</v>
      </c>
      <c r="C1640" s="580" t="s">
        <v>4133</v>
      </c>
      <c r="D1640" s="1">
        <v>2974.04</v>
      </c>
      <c r="E1640" t="s">
        <v>8125</v>
      </c>
      <c r="F1640" t="s">
        <v>8353</v>
      </c>
      <c r="G1640" s="580">
        <v>0</v>
      </c>
      <c r="H1640" s="1" t="s">
        <v>4134</v>
      </c>
      <c r="I1640" s="1"/>
      <c r="J1640" s="1"/>
      <c r="K1640" s="1"/>
      <c r="L1640" s="1"/>
      <c r="M1640" s="1"/>
      <c r="N1640" s="1"/>
      <c r="Q1640"/>
    </row>
    <row r="1641" spans="1:17" ht="13.15" customHeight="1" x14ac:dyDescent="0.2">
      <c r="A1641" s="1" t="s">
        <v>4135</v>
      </c>
      <c r="B1641" s="1" t="s">
        <v>3613</v>
      </c>
      <c r="C1641" s="580" t="s">
        <v>4136</v>
      </c>
      <c r="D1641" s="1">
        <v>2974.04</v>
      </c>
      <c r="E1641" t="s">
        <v>8125</v>
      </c>
      <c r="F1641" t="s">
        <v>8353</v>
      </c>
      <c r="G1641" s="580">
        <v>0</v>
      </c>
      <c r="H1641" s="1" t="s">
        <v>4137</v>
      </c>
      <c r="I1641" s="1"/>
      <c r="J1641" s="1"/>
      <c r="K1641" s="1"/>
      <c r="L1641" s="1"/>
      <c r="M1641" s="1"/>
      <c r="N1641" s="1"/>
      <c r="Q1641"/>
    </row>
    <row r="1642" spans="1:17" ht="13.15" customHeight="1" x14ac:dyDescent="0.2">
      <c r="A1642" s="1" t="s">
        <v>4138</v>
      </c>
      <c r="B1642" s="1" t="s">
        <v>4139</v>
      </c>
      <c r="C1642" s="580" t="s">
        <v>3614</v>
      </c>
      <c r="D1642" s="1">
        <v>286.72000000000003</v>
      </c>
      <c r="E1642" t="s">
        <v>8125</v>
      </c>
      <c r="F1642" t="s">
        <v>21178</v>
      </c>
      <c r="G1642" s="580">
        <v>68.883799999999994</v>
      </c>
      <c r="H1642" s="1" t="s">
        <v>4140</v>
      </c>
      <c r="I1642" s="1"/>
      <c r="J1642" s="1"/>
      <c r="K1642" s="1"/>
      <c r="L1642" s="1"/>
      <c r="M1642" s="1"/>
      <c r="N1642" s="1"/>
      <c r="Q1642"/>
    </row>
    <row r="1643" spans="1:17" ht="13.15" customHeight="1" x14ac:dyDescent="0.2">
      <c r="A1643" s="1" t="s">
        <v>4141</v>
      </c>
      <c r="B1643" s="1" t="s">
        <v>4139</v>
      </c>
      <c r="C1643" s="580" t="s">
        <v>3618</v>
      </c>
      <c r="D1643" s="1">
        <v>286.72000000000003</v>
      </c>
      <c r="E1643" t="s">
        <v>8125</v>
      </c>
      <c r="F1643" t="s">
        <v>21180</v>
      </c>
      <c r="G1643" s="580">
        <v>69.608900000000006</v>
      </c>
      <c r="H1643" s="1" t="s">
        <v>4142</v>
      </c>
      <c r="I1643" s="1"/>
      <c r="J1643" s="1"/>
      <c r="K1643" s="1"/>
      <c r="L1643" s="1"/>
      <c r="M1643" s="1"/>
      <c r="N1643" s="1"/>
      <c r="Q1643"/>
    </row>
    <row r="1644" spans="1:17" ht="13.15" customHeight="1" x14ac:dyDescent="0.2">
      <c r="A1644" s="1" t="s">
        <v>4143</v>
      </c>
      <c r="B1644" s="1" t="s">
        <v>4139</v>
      </c>
      <c r="C1644" s="580" t="s">
        <v>3621</v>
      </c>
      <c r="D1644" s="1">
        <v>334.52</v>
      </c>
      <c r="E1644" t="s">
        <v>8125</v>
      </c>
      <c r="F1644" t="s">
        <v>21182</v>
      </c>
      <c r="G1644" s="580">
        <v>68.883799999999994</v>
      </c>
      <c r="H1644" s="1" t="s">
        <v>4144</v>
      </c>
      <c r="I1644" s="1"/>
      <c r="J1644" s="1"/>
      <c r="K1644" s="1"/>
      <c r="L1644" s="1"/>
      <c r="M1644" s="1"/>
      <c r="N1644" s="1"/>
      <c r="Q1644"/>
    </row>
    <row r="1645" spans="1:17" ht="13.15" customHeight="1" x14ac:dyDescent="0.2">
      <c r="A1645" s="1" t="s">
        <v>4145</v>
      </c>
      <c r="B1645" s="1" t="s">
        <v>4139</v>
      </c>
      <c r="C1645" s="580" t="s">
        <v>3624</v>
      </c>
      <c r="D1645" s="1">
        <v>334.52</v>
      </c>
      <c r="E1645" t="s">
        <v>8125</v>
      </c>
      <c r="F1645" t="s">
        <v>21184</v>
      </c>
      <c r="G1645" s="580">
        <v>94.525700000000001</v>
      </c>
      <c r="H1645" s="1" t="s">
        <v>4146</v>
      </c>
      <c r="I1645" s="1"/>
      <c r="J1645" s="1"/>
      <c r="K1645" s="1"/>
      <c r="L1645" s="1"/>
      <c r="M1645" s="1"/>
      <c r="N1645" s="1"/>
      <c r="Q1645"/>
    </row>
    <row r="1646" spans="1:17" ht="13.15" customHeight="1" x14ac:dyDescent="0.2">
      <c r="A1646" s="1" t="s">
        <v>4147</v>
      </c>
      <c r="B1646" s="1" t="s">
        <v>4139</v>
      </c>
      <c r="C1646" s="580" t="s">
        <v>3627</v>
      </c>
      <c r="D1646" s="1">
        <v>334.52</v>
      </c>
      <c r="E1646" t="s">
        <v>8125</v>
      </c>
      <c r="F1646" t="s">
        <v>21186</v>
      </c>
      <c r="G1646" s="580">
        <v>68.883799999999994</v>
      </c>
      <c r="H1646" s="1" t="s">
        <v>4148</v>
      </c>
      <c r="I1646" s="1"/>
      <c r="J1646" s="1"/>
      <c r="K1646" s="1"/>
      <c r="L1646" s="1"/>
      <c r="M1646" s="1"/>
      <c r="N1646" s="1"/>
      <c r="Q1646"/>
    </row>
    <row r="1647" spans="1:17" ht="13.15" customHeight="1" x14ac:dyDescent="0.2">
      <c r="A1647" s="1" t="s">
        <v>4149</v>
      </c>
      <c r="B1647" s="1" t="s">
        <v>4139</v>
      </c>
      <c r="C1647" s="580" t="s">
        <v>3630</v>
      </c>
      <c r="D1647" s="1">
        <v>334.52</v>
      </c>
      <c r="E1647" t="s">
        <v>8125</v>
      </c>
      <c r="F1647" t="s">
        <v>21188</v>
      </c>
      <c r="G1647" s="580">
        <v>94.525700000000001</v>
      </c>
      <c r="H1647" s="1" t="s">
        <v>4150</v>
      </c>
      <c r="I1647" s="1"/>
      <c r="J1647" s="1"/>
      <c r="K1647" s="1"/>
      <c r="L1647" s="1"/>
      <c r="M1647" s="1"/>
      <c r="N1647" s="1"/>
      <c r="Q1647"/>
    </row>
    <row r="1648" spans="1:17" ht="13.15" customHeight="1" x14ac:dyDescent="0.2">
      <c r="A1648" s="1" t="s">
        <v>4151</v>
      </c>
      <c r="B1648" s="1" t="s">
        <v>4139</v>
      </c>
      <c r="C1648" s="580" t="s">
        <v>3417</v>
      </c>
      <c r="D1648" s="1">
        <v>334.52</v>
      </c>
      <c r="E1648" t="s">
        <v>8125</v>
      </c>
      <c r="F1648" t="s">
        <v>21190</v>
      </c>
      <c r="G1648" s="580">
        <v>68.883799999999994</v>
      </c>
      <c r="H1648" s="1" t="s">
        <v>4152</v>
      </c>
      <c r="I1648" s="1"/>
      <c r="J1648" s="1"/>
      <c r="K1648" s="1"/>
      <c r="L1648" s="1"/>
      <c r="M1648" s="1"/>
      <c r="N1648" s="1"/>
      <c r="Q1648"/>
    </row>
    <row r="1649" spans="1:17" ht="13.15" customHeight="1" x14ac:dyDescent="0.2">
      <c r="A1649" s="1" t="s">
        <v>4153</v>
      </c>
      <c r="B1649" s="1" t="s">
        <v>4139</v>
      </c>
      <c r="C1649" s="580" t="s">
        <v>3635</v>
      </c>
      <c r="D1649" s="1">
        <v>334.52</v>
      </c>
      <c r="E1649" t="s">
        <v>8125</v>
      </c>
      <c r="F1649" t="s">
        <v>21192</v>
      </c>
      <c r="G1649" s="580">
        <v>94.525700000000001</v>
      </c>
      <c r="H1649" s="1" t="s">
        <v>4154</v>
      </c>
      <c r="I1649" s="1"/>
      <c r="J1649" s="1"/>
      <c r="K1649" s="1"/>
      <c r="L1649" s="1"/>
      <c r="M1649" s="1"/>
      <c r="N1649" s="1"/>
      <c r="Q1649"/>
    </row>
    <row r="1650" spans="1:17" ht="13.15" customHeight="1" x14ac:dyDescent="0.2">
      <c r="A1650" s="1" t="s">
        <v>4155</v>
      </c>
      <c r="B1650" s="1" t="s">
        <v>4139</v>
      </c>
      <c r="C1650" s="580" t="s">
        <v>3420</v>
      </c>
      <c r="D1650" s="1">
        <v>334.52</v>
      </c>
      <c r="E1650" t="s">
        <v>8125</v>
      </c>
      <c r="F1650" t="s">
        <v>21194</v>
      </c>
      <c r="G1650" s="580">
        <v>93.800600000000003</v>
      </c>
      <c r="H1650" s="1" t="s">
        <v>4156</v>
      </c>
      <c r="I1650" s="1"/>
      <c r="J1650" s="1"/>
      <c r="K1650" s="1"/>
      <c r="L1650" s="1"/>
      <c r="M1650" s="1"/>
      <c r="N1650" s="1"/>
      <c r="Q1650"/>
    </row>
    <row r="1651" spans="1:17" ht="13.15" customHeight="1" x14ac:dyDescent="0.2">
      <c r="A1651" s="1" t="s">
        <v>4157</v>
      </c>
      <c r="B1651" s="1" t="s">
        <v>4139</v>
      </c>
      <c r="C1651" s="580" t="s">
        <v>3640</v>
      </c>
      <c r="D1651" s="1">
        <v>334.52</v>
      </c>
      <c r="E1651" t="s">
        <v>8125</v>
      </c>
      <c r="F1651" t="s">
        <v>21196</v>
      </c>
      <c r="G1651" s="580">
        <v>95.382599999999996</v>
      </c>
      <c r="H1651" s="1" t="s">
        <v>4158</v>
      </c>
      <c r="I1651" s="1"/>
      <c r="J1651" s="1"/>
      <c r="K1651" s="1"/>
      <c r="L1651" s="1"/>
      <c r="M1651" s="1"/>
      <c r="N1651" s="1"/>
      <c r="Q1651"/>
    </row>
    <row r="1652" spans="1:17" ht="13.15" customHeight="1" x14ac:dyDescent="0.2">
      <c r="A1652" s="1" t="s">
        <v>4159</v>
      </c>
      <c r="B1652" s="1" t="s">
        <v>4139</v>
      </c>
      <c r="C1652" s="580" t="s">
        <v>3643</v>
      </c>
      <c r="D1652" s="1">
        <v>382.3</v>
      </c>
      <c r="E1652" t="s">
        <v>8125</v>
      </c>
      <c r="F1652" t="s">
        <v>21198</v>
      </c>
      <c r="G1652" s="580">
        <v>93.800600000000003</v>
      </c>
      <c r="H1652" s="1" t="s">
        <v>4160</v>
      </c>
      <c r="I1652" s="1"/>
      <c r="J1652" s="1"/>
      <c r="K1652" s="1"/>
      <c r="L1652" s="1"/>
      <c r="M1652" s="1"/>
      <c r="N1652" s="1"/>
      <c r="Q1652"/>
    </row>
    <row r="1653" spans="1:17" ht="13.15" customHeight="1" x14ac:dyDescent="0.2">
      <c r="A1653" s="1" t="s">
        <v>4161</v>
      </c>
      <c r="B1653" s="1" t="s">
        <v>4139</v>
      </c>
      <c r="C1653" s="580" t="s">
        <v>3646</v>
      </c>
      <c r="D1653" s="1">
        <v>477.88</v>
      </c>
      <c r="E1653" t="s">
        <v>8125</v>
      </c>
      <c r="F1653" t="s">
        <v>21200</v>
      </c>
      <c r="G1653" s="580">
        <v>95.382599999999996</v>
      </c>
      <c r="H1653" s="1" t="s">
        <v>4162</v>
      </c>
      <c r="I1653" s="1"/>
      <c r="J1653" s="1"/>
      <c r="K1653" s="1"/>
      <c r="L1653" s="1"/>
      <c r="M1653" s="1"/>
      <c r="N1653" s="1"/>
      <c r="Q1653"/>
    </row>
    <row r="1654" spans="1:17" ht="13.15" customHeight="1" x14ac:dyDescent="0.2">
      <c r="A1654" s="1" t="s">
        <v>4163</v>
      </c>
      <c r="B1654" s="1" t="s">
        <v>4139</v>
      </c>
      <c r="C1654" s="580" t="s">
        <v>3649</v>
      </c>
      <c r="D1654" s="1">
        <v>552.32000000000005</v>
      </c>
      <c r="E1654" t="s">
        <v>8125</v>
      </c>
      <c r="F1654" t="s">
        <v>21202</v>
      </c>
      <c r="G1654" s="580">
        <v>173.4289</v>
      </c>
      <c r="H1654" s="1" t="s">
        <v>4164</v>
      </c>
      <c r="I1654" s="1"/>
      <c r="J1654" s="1"/>
      <c r="K1654" s="1"/>
      <c r="L1654" s="1"/>
      <c r="M1654" s="1"/>
      <c r="N1654" s="1"/>
      <c r="Q1654"/>
    </row>
    <row r="1655" spans="1:17" ht="13.15" customHeight="1" x14ac:dyDescent="0.2">
      <c r="A1655" s="1" t="s">
        <v>4165</v>
      </c>
      <c r="B1655" s="1" t="s">
        <v>4139</v>
      </c>
      <c r="C1655" s="580" t="s">
        <v>3652</v>
      </c>
      <c r="D1655" s="1">
        <v>382.3</v>
      </c>
      <c r="E1655" t="s">
        <v>8125</v>
      </c>
      <c r="F1655" t="s">
        <v>21204</v>
      </c>
      <c r="G1655" s="580">
        <v>93.800600000000003</v>
      </c>
      <c r="H1655" s="1" t="s">
        <v>4166</v>
      </c>
      <c r="I1655" s="1"/>
      <c r="J1655" s="1"/>
      <c r="K1655" s="1"/>
      <c r="L1655" s="1"/>
      <c r="M1655" s="1"/>
      <c r="N1655" s="1"/>
      <c r="Q1655"/>
    </row>
    <row r="1656" spans="1:17" ht="13.15" customHeight="1" x14ac:dyDescent="0.2">
      <c r="A1656" s="1" t="s">
        <v>4167</v>
      </c>
      <c r="B1656" s="1" t="s">
        <v>4139</v>
      </c>
      <c r="C1656" s="580" t="s">
        <v>3655</v>
      </c>
      <c r="D1656" s="1">
        <v>477.88</v>
      </c>
      <c r="E1656" t="s">
        <v>8125</v>
      </c>
      <c r="F1656" t="s">
        <v>21206</v>
      </c>
      <c r="G1656" s="580">
        <v>126.6275</v>
      </c>
      <c r="H1656" s="1" t="s">
        <v>4168</v>
      </c>
      <c r="I1656" s="1"/>
      <c r="J1656" s="1"/>
      <c r="K1656" s="1"/>
      <c r="L1656" s="1"/>
      <c r="M1656" s="1"/>
      <c r="N1656" s="1"/>
      <c r="Q1656"/>
    </row>
    <row r="1657" spans="1:17" ht="13.15" customHeight="1" x14ac:dyDescent="0.2">
      <c r="A1657" s="1" t="s">
        <v>4169</v>
      </c>
      <c r="B1657" s="1" t="s">
        <v>4139</v>
      </c>
      <c r="C1657" s="580" t="s">
        <v>3658</v>
      </c>
      <c r="D1657" s="1">
        <v>552.32000000000005</v>
      </c>
      <c r="E1657" t="s">
        <v>8125</v>
      </c>
      <c r="F1657" t="s">
        <v>21208</v>
      </c>
      <c r="G1657" s="580">
        <v>175.07689999999999</v>
      </c>
      <c r="H1657" s="1" t="s">
        <v>4170</v>
      </c>
      <c r="I1657" s="1"/>
      <c r="J1657" s="1"/>
      <c r="K1657" s="1"/>
      <c r="L1657" s="1"/>
      <c r="M1657" s="1"/>
      <c r="N1657" s="1"/>
      <c r="Q1657"/>
    </row>
    <row r="1658" spans="1:17" ht="13.15" customHeight="1" x14ac:dyDescent="0.2">
      <c r="A1658" s="1" t="s">
        <v>4171</v>
      </c>
      <c r="B1658" s="1" t="s">
        <v>4139</v>
      </c>
      <c r="C1658" s="580" t="s">
        <v>3429</v>
      </c>
      <c r="D1658" s="1">
        <v>382.3</v>
      </c>
      <c r="E1658" t="s">
        <v>8125</v>
      </c>
      <c r="F1658" t="s">
        <v>21210</v>
      </c>
      <c r="G1658" s="580">
        <v>94.525700000000001</v>
      </c>
      <c r="H1658" s="1" t="s">
        <v>4172</v>
      </c>
      <c r="I1658" s="1"/>
      <c r="J1658" s="1"/>
      <c r="K1658" s="1"/>
      <c r="L1658" s="1"/>
      <c r="M1658" s="1"/>
      <c r="N1658" s="1"/>
      <c r="Q1658"/>
    </row>
    <row r="1659" spans="1:17" ht="13.15" customHeight="1" x14ac:dyDescent="0.2">
      <c r="A1659" s="1" t="s">
        <v>4173</v>
      </c>
      <c r="B1659" s="1" t="s">
        <v>4139</v>
      </c>
      <c r="C1659" s="580" t="s">
        <v>3663</v>
      </c>
      <c r="D1659" s="1">
        <v>477.88</v>
      </c>
      <c r="E1659" t="s">
        <v>8125</v>
      </c>
      <c r="F1659" t="s">
        <v>21212</v>
      </c>
      <c r="G1659" s="580">
        <v>128.20949999999999</v>
      </c>
      <c r="H1659" s="1" t="s">
        <v>4174</v>
      </c>
      <c r="I1659" s="1"/>
      <c r="J1659" s="1"/>
      <c r="K1659" s="1"/>
      <c r="L1659" s="1"/>
      <c r="M1659" s="1"/>
      <c r="N1659" s="1"/>
      <c r="Q1659"/>
    </row>
    <row r="1660" spans="1:17" ht="13.15" customHeight="1" x14ac:dyDescent="0.2">
      <c r="A1660" s="1" t="s">
        <v>4175</v>
      </c>
      <c r="B1660" s="1" t="s">
        <v>4139</v>
      </c>
      <c r="C1660" s="580" t="s">
        <v>3666</v>
      </c>
      <c r="D1660" s="1">
        <v>552.32000000000005</v>
      </c>
      <c r="E1660" t="s">
        <v>8125</v>
      </c>
      <c r="F1660" t="s">
        <v>21214</v>
      </c>
      <c r="G1660" s="580">
        <v>176.65889999999999</v>
      </c>
      <c r="H1660" s="1" t="s">
        <v>4176</v>
      </c>
      <c r="I1660" s="1"/>
      <c r="J1660" s="1"/>
      <c r="K1660" s="1"/>
      <c r="L1660" s="1"/>
      <c r="M1660" s="1"/>
      <c r="N1660" s="1"/>
      <c r="Q1660"/>
    </row>
    <row r="1661" spans="1:17" ht="13.15" customHeight="1" x14ac:dyDescent="0.2">
      <c r="A1661" s="1" t="s">
        <v>4177</v>
      </c>
      <c r="B1661" s="1" t="s">
        <v>4139</v>
      </c>
      <c r="C1661" s="580" t="s">
        <v>3669</v>
      </c>
      <c r="D1661" s="1">
        <v>477.88</v>
      </c>
      <c r="E1661" t="s">
        <v>8125</v>
      </c>
      <c r="F1661" t="s">
        <v>21216</v>
      </c>
      <c r="G1661" s="580">
        <v>94.525700000000001</v>
      </c>
      <c r="H1661" s="1" t="s">
        <v>4178</v>
      </c>
      <c r="I1661" s="1"/>
      <c r="J1661" s="1"/>
      <c r="K1661" s="1"/>
      <c r="L1661" s="1"/>
      <c r="M1661" s="1"/>
      <c r="N1661" s="1"/>
      <c r="Q1661"/>
    </row>
    <row r="1662" spans="1:17" ht="13.15" customHeight="1" x14ac:dyDescent="0.2">
      <c r="A1662" s="1" t="s">
        <v>4179</v>
      </c>
      <c r="B1662" s="1" t="s">
        <v>4139</v>
      </c>
      <c r="C1662" s="580" t="s">
        <v>3672</v>
      </c>
      <c r="D1662" s="1">
        <v>477.88</v>
      </c>
      <c r="E1662" t="s">
        <v>8125</v>
      </c>
      <c r="F1662" t="s">
        <v>21218</v>
      </c>
      <c r="G1662" s="580">
        <v>128.20949999999999</v>
      </c>
      <c r="H1662" s="1" t="s">
        <v>4180</v>
      </c>
      <c r="I1662" s="1"/>
      <c r="J1662" s="1"/>
      <c r="K1662" s="1"/>
      <c r="L1662" s="1"/>
      <c r="M1662" s="1"/>
      <c r="N1662" s="1"/>
      <c r="Q1662"/>
    </row>
    <row r="1663" spans="1:17" ht="13.15" customHeight="1" x14ac:dyDescent="0.2">
      <c r="A1663" s="1" t="s">
        <v>4181</v>
      </c>
      <c r="B1663" s="1" t="s">
        <v>4139</v>
      </c>
      <c r="C1663" s="580" t="s">
        <v>3675</v>
      </c>
      <c r="D1663" s="1">
        <v>552.32000000000005</v>
      </c>
      <c r="E1663" t="s">
        <v>8125</v>
      </c>
      <c r="F1663" t="s">
        <v>21220</v>
      </c>
      <c r="G1663" s="580">
        <v>221.0873</v>
      </c>
      <c r="H1663" s="1" t="s">
        <v>4182</v>
      </c>
      <c r="I1663" s="1"/>
      <c r="J1663" s="1"/>
      <c r="K1663" s="1"/>
      <c r="L1663" s="1"/>
      <c r="M1663" s="1"/>
      <c r="N1663" s="1"/>
      <c r="Q1663"/>
    </row>
    <row r="1664" spans="1:17" ht="13.15" customHeight="1" x14ac:dyDescent="0.2">
      <c r="A1664" s="1" t="s">
        <v>4183</v>
      </c>
      <c r="B1664" s="1" t="s">
        <v>4139</v>
      </c>
      <c r="C1664" s="580" t="s">
        <v>3678</v>
      </c>
      <c r="D1664" s="1">
        <v>458.75</v>
      </c>
      <c r="E1664" t="s">
        <v>8125</v>
      </c>
      <c r="F1664" t="s">
        <v>21222</v>
      </c>
      <c r="G1664" s="580">
        <v>125.8365</v>
      </c>
      <c r="H1664" s="1" t="s">
        <v>4184</v>
      </c>
      <c r="I1664" s="1"/>
      <c r="J1664" s="1"/>
      <c r="K1664" s="1"/>
      <c r="L1664" s="1"/>
      <c r="M1664" s="1"/>
      <c r="N1664" s="1"/>
      <c r="Q1664"/>
    </row>
    <row r="1665" spans="1:17" ht="13.15" customHeight="1" x14ac:dyDescent="0.2">
      <c r="A1665" s="1" t="s">
        <v>4185</v>
      </c>
      <c r="B1665" s="1" t="s">
        <v>4139</v>
      </c>
      <c r="C1665" s="580" t="s">
        <v>3681</v>
      </c>
      <c r="D1665" s="1">
        <v>573.44000000000005</v>
      </c>
      <c r="E1665" t="s">
        <v>8125</v>
      </c>
      <c r="F1665" t="s">
        <v>21224</v>
      </c>
      <c r="G1665" s="580">
        <v>128.20949999999999</v>
      </c>
      <c r="H1665" s="1" t="s">
        <v>4186</v>
      </c>
      <c r="I1665" s="1"/>
      <c r="J1665" s="1"/>
      <c r="K1665" s="1"/>
      <c r="L1665" s="1"/>
      <c r="M1665" s="1"/>
      <c r="N1665" s="1"/>
      <c r="Q1665"/>
    </row>
    <row r="1666" spans="1:17" ht="13.15" customHeight="1" x14ac:dyDescent="0.2">
      <c r="A1666" s="1" t="s">
        <v>4187</v>
      </c>
      <c r="B1666" s="1" t="s">
        <v>4139</v>
      </c>
      <c r="C1666" s="580" t="s">
        <v>3684</v>
      </c>
      <c r="D1666" s="1">
        <v>594.79999999999995</v>
      </c>
      <c r="E1666" t="s">
        <v>8125</v>
      </c>
      <c r="F1666" t="s">
        <v>21226</v>
      </c>
      <c r="G1666" s="580">
        <v>221.0873</v>
      </c>
      <c r="H1666" s="1" t="s">
        <v>4188</v>
      </c>
      <c r="I1666" s="1"/>
      <c r="J1666" s="1"/>
      <c r="K1666" s="1"/>
      <c r="L1666" s="1"/>
      <c r="M1666" s="1"/>
      <c r="N1666" s="1"/>
      <c r="Q1666"/>
    </row>
    <row r="1667" spans="1:17" ht="13.15" customHeight="1" x14ac:dyDescent="0.2">
      <c r="A1667" s="1" t="s">
        <v>4189</v>
      </c>
      <c r="B1667" s="1" t="s">
        <v>4139</v>
      </c>
      <c r="C1667" s="580" t="s">
        <v>3687</v>
      </c>
      <c r="D1667" s="1">
        <v>458.75</v>
      </c>
      <c r="E1667" t="s">
        <v>8125</v>
      </c>
      <c r="F1667" t="s">
        <v>21228</v>
      </c>
      <c r="G1667" s="580">
        <v>125.8365</v>
      </c>
      <c r="H1667" s="1" t="s">
        <v>4190</v>
      </c>
      <c r="I1667" s="1"/>
      <c r="J1667" s="1"/>
      <c r="K1667" s="1"/>
      <c r="L1667" s="1"/>
      <c r="M1667" s="1"/>
      <c r="N1667" s="1"/>
      <c r="Q1667"/>
    </row>
    <row r="1668" spans="1:17" ht="13.15" customHeight="1" x14ac:dyDescent="0.2">
      <c r="A1668" s="1" t="s">
        <v>4191</v>
      </c>
      <c r="B1668" s="1" t="s">
        <v>4139</v>
      </c>
      <c r="C1668" s="580" t="s">
        <v>3690</v>
      </c>
      <c r="D1668" s="1">
        <v>573.44000000000005</v>
      </c>
      <c r="E1668" t="s">
        <v>8125</v>
      </c>
      <c r="F1668" t="s">
        <v>21230</v>
      </c>
      <c r="G1668" s="580">
        <v>128.80279999999999</v>
      </c>
      <c r="H1668" s="1" t="s">
        <v>4192</v>
      </c>
      <c r="I1668" s="1"/>
      <c r="J1668" s="1"/>
      <c r="K1668" s="1"/>
      <c r="L1668" s="1"/>
      <c r="M1668" s="1"/>
      <c r="N1668" s="1"/>
      <c r="Q1668"/>
    </row>
    <row r="1669" spans="1:17" ht="13.15" customHeight="1" x14ac:dyDescent="0.2">
      <c r="A1669" s="1" t="s">
        <v>4193</v>
      </c>
      <c r="B1669" s="1" t="s">
        <v>4139</v>
      </c>
      <c r="C1669" s="580" t="s">
        <v>3693</v>
      </c>
      <c r="D1669" s="1">
        <v>594.79999999999995</v>
      </c>
      <c r="E1669" t="s">
        <v>8125</v>
      </c>
      <c r="F1669" t="s">
        <v>8353</v>
      </c>
      <c r="G1669" s="580">
        <v>0</v>
      </c>
      <c r="H1669" s="1" t="s">
        <v>4194</v>
      </c>
      <c r="I1669" s="1"/>
      <c r="J1669" s="1"/>
      <c r="K1669" s="1"/>
      <c r="L1669" s="1"/>
      <c r="M1669" s="1"/>
      <c r="N1669" s="1"/>
      <c r="Q1669"/>
    </row>
    <row r="1670" spans="1:17" ht="13.15" customHeight="1" x14ac:dyDescent="0.2">
      <c r="A1670" s="1" t="s">
        <v>4195</v>
      </c>
      <c r="B1670" s="1" t="s">
        <v>4139</v>
      </c>
      <c r="C1670" s="580" t="s">
        <v>3441</v>
      </c>
      <c r="D1670" s="1">
        <v>458.75</v>
      </c>
      <c r="E1670" t="s">
        <v>8125</v>
      </c>
      <c r="F1670" t="s">
        <v>21232</v>
      </c>
      <c r="G1670" s="580">
        <v>125.8365</v>
      </c>
      <c r="H1670" s="1" t="s">
        <v>4196</v>
      </c>
      <c r="I1670" s="1"/>
      <c r="J1670" s="1"/>
      <c r="K1670" s="1"/>
      <c r="L1670" s="1"/>
      <c r="M1670" s="1"/>
      <c r="N1670" s="1"/>
      <c r="Q1670"/>
    </row>
    <row r="1671" spans="1:17" ht="13.15" customHeight="1" x14ac:dyDescent="0.2">
      <c r="A1671" s="1" t="s">
        <v>4197</v>
      </c>
      <c r="B1671" s="1" t="s">
        <v>4139</v>
      </c>
      <c r="C1671" s="580" t="s">
        <v>3574</v>
      </c>
      <c r="D1671" s="1">
        <v>573.44000000000005</v>
      </c>
      <c r="E1671" t="s">
        <v>8125</v>
      </c>
      <c r="F1671" t="s">
        <v>21234</v>
      </c>
      <c r="G1671" s="580">
        <v>170.39670000000001</v>
      </c>
      <c r="H1671" s="1" t="s">
        <v>4198</v>
      </c>
      <c r="I1671" s="1"/>
      <c r="J1671" s="1"/>
      <c r="K1671" s="1"/>
      <c r="L1671" s="1"/>
      <c r="M1671" s="1"/>
      <c r="N1671" s="1"/>
      <c r="Q1671"/>
    </row>
    <row r="1672" spans="1:17" ht="13.15" customHeight="1" x14ac:dyDescent="0.2">
      <c r="A1672" s="1" t="s">
        <v>4199</v>
      </c>
      <c r="B1672" s="1" t="s">
        <v>4139</v>
      </c>
      <c r="C1672" s="580" t="s">
        <v>3700</v>
      </c>
      <c r="D1672" s="1">
        <v>594.79999999999995</v>
      </c>
      <c r="E1672" t="s">
        <v>8125</v>
      </c>
      <c r="F1672" t="s">
        <v>21236</v>
      </c>
      <c r="G1672" s="580">
        <v>223.65809999999999</v>
      </c>
      <c r="H1672" s="1" t="s">
        <v>4200</v>
      </c>
      <c r="I1672" s="1"/>
      <c r="J1672" s="1"/>
      <c r="K1672" s="1"/>
      <c r="L1672" s="1"/>
      <c r="M1672" s="1"/>
      <c r="N1672" s="1"/>
      <c r="Q1672"/>
    </row>
    <row r="1673" spans="1:17" ht="13.15" customHeight="1" x14ac:dyDescent="0.2">
      <c r="A1673" s="1" t="s">
        <v>4201</v>
      </c>
      <c r="B1673" s="1" t="s">
        <v>4139</v>
      </c>
      <c r="C1673" s="580" t="s">
        <v>3444</v>
      </c>
      <c r="D1673" s="1">
        <v>573.44000000000005</v>
      </c>
      <c r="E1673" t="s">
        <v>8125</v>
      </c>
      <c r="F1673" t="s">
        <v>21238</v>
      </c>
      <c r="G1673" s="580">
        <v>126.6275</v>
      </c>
      <c r="H1673" s="1" t="s">
        <v>4202</v>
      </c>
      <c r="I1673" s="1"/>
      <c r="J1673" s="1"/>
      <c r="K1673" s="1"/>
      <c r="L1673" s="1"/>
      <c r="M1673" s="1"/>
      <c r="N1673" s="1"/>
      <c r="Q1673"/>
    </row>
    <row r="1674" spans="1:17" ht="13.15" customHeight="1" x14ac:dyDescent="0.2">
      <c r="A1674" s="1" t="s">
        <v>4203</v>
      </c>
      <c r="B1674" s="1" t="s">
        <v>4139</v>
      </c>
      <c r="C1674" s="580" t="s">
        <v>3705</v>
      </c>
      <c r="D1674" s="1">
        <v>573.44000000000005</v>
      </c>
      <c r="E1674" t="s">
        <v>8125</v>
      </c>
      <c r="F1674" t="s">
        <v>21240</v>
      </c>
      <c r="G1674" s="580">
        <v>170.39670000000001</v>
      </c>
      <c r="H1674" s="1" t="s">
        <v>4204</v>
      </c>
      <c r="I1674" s="1"/>
      <c r="J1674" s="1"/>
      <c r="K1674" s="1"/>
      <c r="L1674" s="1"/>
      <c r="M1674" s="1"/>
      <c r="N1674" s="1"/>
      <c r="Q1674"/>
    </row>
    <row r="1675" spans="1:17" ht="13.15" customHeight="1" x14ac:dyDescent="0.2">
      <c r="A1675" s="1" t="s">
        <v>4205</v>
      </c>
      <c r="B1675" s="1" t="s">
        <v>4139</v>
      </c>
      <c r="C1675" s="580" t="s">
        <v>3708</v>
      </c>
      <c r="D1675" s="1">
        <v>594.79999999999995</v>
      </c>
      <c r="E1675" t="s">
        <v>8125</v>
      </c>
      <c r="F1675" t="s">
        <v>21242</v>
      </c>
      <c r="G1675" s="580">
        <v>223.65809999999999</v>
      </c>
      <c r="H1675" s="1" t="s">
        <v>4206</v>
      </c>
      <c r="I1675" s="1"/>
      <c r="J1675" s="1"/>
      <c r="K1675" s="1"/>
      <c r="L1675" s="1"/>
      <c r="M1675" s="1"/>
      <c r="N1675" s="1"/>
      <c r="Q1675"/>
    </row>
    <row r="1676" spans="1:17" ht="13.15" customHeight="1" x14ac:dyDescent="0.2">
      <c r="A1676" s="1" t="s">
        <v>4207</v>
      </c>
      <c r="B1676" s="1" t="s">
        <v>4139</v>
      </c>
      <c r="C1676" s="580" t="s">
        <v>3447</v>
      </c>
      <c r="D1676" s="1">
        <v>621.24</v>
      </c>
      <c r="E1676" t="s">
        <v>8125</v>
      </c>
      <c r="F1676" t="s">
        <v>21244</v>
      </c>
      <c r="G1676" s="580">
        <v>126.6275</v>
      </c>
      <c r="H1676" s="1" t="s">
        <v>4208</v>
      </c>
      <c r="I1676" s="1"/>
      <c r="J1676" s="1"/>
      <c r="K1676" s="1"/>
      <c r="L1676" s="1"/>
      <c r="M1676" s="1"/>
      <c r="N1676" s="1"/>
      <c r="Q1676"/>
    </row>
    <row r="1677" spans="1:17" ht="13.15" customHeight="1" x14ac:dyDescent="0.2">
      <c r="A1677" s="1" t="s">
        <v>4209</v>
      </c>
      <c r="B1677" s="1" t="s">
        <v>4139</v>
      </c>
      <c r="C1677" s="580" t="s">
        <v>3713</v>
      </c>
      <c r="D1677" s="1">
        <v>621.24</v>
      </c>
      <c r="E1677" t="s">
        <v>8125</v>
      </c>
      <c r="F1677" t="s">
        <v>21246</v>
      </c>
      <c r="G1677" s="580">
        <v>171.12180000000001</v>
      </c>
      <c r="H1677" s="1" t="s">
        <v>4210</v>
      </c>
      <c r="I1677" s="1"/>
      <c r="J1677" s="1"/>
      <c r="K1677" s="1"/>
      <c r="L1677" s="1"/>
      <c r="M1677" s="1"/>
      <c r="N1677" s="1"/>
      <c r="Q1677"/>
    </row>
    <row r="1678" spans="1:17" ht="13.15" customHeight="1" x14ac:dyDescent="0.2">
      <c r="A1678" s="1" t="s">
        <v>4211</v>
      </c>
      <c r="B1678" s="1" t="s">
        <v>4139</v>
      </c>
      <c r="C1678" s="580" t="s">
        <v>3716</v>
      </c>
      <c r="D1678" s="1">
        <v>594.79999999999995</v>
      </c>
      <c r="E1678" t="s">
        <v>8125</v>
      </c>
      <c r="F1678" t="s">
        <v>21248</v>
      </c>
      <c r="G1678" s="580">
        <v>293.79430000000002</v>
      </c>
      <c r="H1678" s="1" t="s">
        <v>4212</v>
      </c>
      <c r="I1678" s="1"/>
      <c r="J1678" s="1"/>
      <c r="K1678" s="1"/>
      <c r="L1678" s="1"/>
      <c r="M1678" s="1"/>
      <c r="N1678" s="1"/>
      <c r="Q1678"/>
    </row>
    <row r="1679" spans="1:17" ht="13.15" customHeight="1" x14ac:dyDescent="0.2">
      <c r="A1679" s="1" t="s">
        <v>4213</v>
      </c>
      <c r="B1679" s="1" t="s">
        <v>4139</v>
      </c>
      <c r="C1679" s="580" t="s">
        <v>3450</v>
      </c>
      <c r="D1679" s="1">
        <v>621.24</v>
      </c>
      <c r="E1679" t="s">
        <v>8125</v>
      </c>
      <c r="F1679" t="s">
        <v>21250</v>
      </c>
      <c r="G1679" s="580">
        <v>164.13460000000001</v>
      </c>
      <c r="H1679" s="1" t="s">
        <v>4214</v>
      </c>
      <c r="I1679" s="1"/>
      <c r="J1679" s="1"/>
      <c r="K1679" s="1"/>
      <c r="L1679" s="1"/>
      <c r="M1679" s="1"/>
      <c r="N1679" s="1"/>
      <c r="Q1679"/>
    </row>
    <row r="1680" spans="1:17" ht="13.15" customHeight="1" x14ac:dyDescent="0.2">
      <c r="A1680" s="1" t="s">
        <v>4215</v>
      </c>
      <c r="B1680" s="1" t="s">
        <v>4139</v>
      </c>
      <c r="C1680" s="580" t="s">
        <v>3721</v>
      </c>
      <c r="D1680" s="1">
        <v>621.24</v>
      </c>
      <c r="E1680" t="s">
        <v>8125</v>
      </c>
      <c r="F1680" t="s">
        <v>21252</v>
      </c>
      <c r="G1680" s="580">
        <v>171.12180000000001</v>
      </c>
      <c r="H1680" s="1" t="s">
        <v>4216</v>
      </c>
      <c r="I1680" s="1"/>
      <c r="J1680" s="1"/>
      <c r="K1680" s="1"/>
      <c r="L1680" s="1"/>
      <c r="M1680" s="1"/>
      <c r="N1680" s="1"/>
      <c r="Q1680"/>
    </row>
    <row r="1681" spans="1:17" ht="13.15" customHeight="1" x14ac:dyDescent="0.2">
      <c r="A1681" s="1" t="s">
        <v>4217</v>
      </c>
      <c r="B1681" s="1" t="s">
        <v>4139</v>
      </c>
      <c r="C1681" s="580" t="s">
        <v>3724</v>
      </c>
      <c r="D1681" s="1">
        <v>594.79999999999995</v>
      </c>
      <c r="E1681" t="s">
        <v>8125</v>
      </c>
      <c r="F1681" t="s">
        <v>21254</v>
      </c>
      <c r="G1681" s="580">
        <v>294.65120000000002</v>
      </c>
      <c r="H1681" s="1" t="s">
        <v>4218</v>
      </c>
      <c r="I1681" s="1"/>
      <c r="J1681" s="1"/>
      <c r="K1681" s="1"/>
      <c r="L1681" s="1"/>
      <c r="M1681" s="1"/>
      <c r="N1681" s="1"/>
      <c r="Q1681"/>
    </row>
    <row r="1682" spans="1:17" ht="13.15" customHeight="1" x14ac:dyDescent="0.2">
      <c r="A1682" s="1" t="s">
        <v>4219</v>
      </c>
      <c r="B1682" s="1" t="s">
        <v>4139</v>
      </c>
      <c r="C1682" s="580" t="s">
        <v>3727</v>
      </c>
      <c r="D1682" s="1">
        <v>621.24</v>
      </c>
      <c r="E1682" t="s">
        <v>8125</v>
      </c>
      <c r="F1682" t="s">
        <v>21256</v>
      </c>
      <c r="G1682" s="580">
        <v>164.13460000000001</v>
      </c>
      <c r="H1682" s="1" t="s">
        <v>4220</v>
      </c>
      <c r="I1682" s="1"/>
      <c r="J1682" s="1"/>
      <c r="K1682" s="1"/>
      <c r="L1682" s="1"/>
      <c r="M1682" s="1"/>
      <c r="N1682" s="1"/>
      <c r="Q1682"/>
    </row>
    <row r="1683" spans="1:17" ht="13.15" customHeight="1" x14ac:dyDescent="0.2">
      <c r="A1683" s="1" t="s">
        <v>4221</v>
      </c>
      <c r="B1683" s="1" t="s">
        <v>4139</v>
      </c>
      <c r="C1683" s="580" t="s">
        <v>3730</v>
      </c>
      <c r="D1683" s="1">
        <v>621.24</v>
      </c>
      <c r="E1683" t="s">
        <v>8125</v>
      </c>
      <c r="F1683" t="s">
        <v>21258</v>
      </c>
      <c r="G1683" s="580">
        <v>171.12180000000001</v>
      </c>
      <c r="H1683" s="1" t="s">
        <v>4222</v>
      </c>
      <c r="I1683" s="1"/>
      <c r="J1683" s="1"/>
      <c r="K1683" s="1"/>
      <c r="L1683" s="1"/>
      <c r="M1683" s="1"/>
      <c r="N1683" s="1"/>
      <c r="Q1683"/>
    </row>
    <row r="1684" spans="1:17" ht="13.15" customHeight="1" x14ac:dyDescent="0.2">
      <c r="A1684" s="1" t="s">
        <v>4223</v>
      </c>
      <c r="B1684" s="1" t="s">
        <v>4139</v>
      </c>
      <c r="C1684" s="580" t="s">
        <v>3733</v>
      </c>
      <c r="D1684" s="1">
        <v>594.79999999999995</v>
      </c>
      <c r="E1684" t="s">
        <v>8125</v>
      </c>
      <c r="F1684" t="s">
        <v>21260</v>
      </c>
      <c r="G1684" s="580">
        <v>294.65120000000002</v>
      </c>
      <c r="H1684" s="1" t="s">
        <v>4224</v>
      </c>
      <c r="I1684" s="1"/>
      <c r="J1684" s="1"/>
      <c r="K1684" s="1"/>
      <c r="L1684" s="1"/>
      <c r="M1684" s="1"/>
      <c r="N1684" s="1"/>
      <c r="Q1684"/>
    </row>
    <row r="1685" spans="1:17" ht="13.15" customHeight="1" x14ac:dyDescent="0.2">
      <c r="A1685" s="1" t="s">
        <v>4225</v>
      </c>
      <c r="B1685" s="1" t="s">
        <v>4139</v>
      </c>
      <c r="C1685" s="580" t="s">
        <v>3738</v>
      </c>
      <c r="D1685" s="1">
        <v>669</v>
      </c>
      <c r="E1685" t="s">
        <v>8125</v>
      </c>
      <c r="F1685" t="s">
        <v>21262</v>
      </c>
      <c r="G1685" s="580">
        <v>216.34119999999999</v>
      </c>
      <c r="H1685" s="1" t="s">
        <v>4226</v>
      </c>
      <c r="I1685" s="1"/>
      <c r="J1685" s="1"/>
      <c r="K1685" s="1"/>
      <c r="L1685" s="1"/>
      <c r="M1685" s="1"/>
      <c r="N1685" s="1"/>
      <c r="Q1685"/>
    </row>
    <row r="1686" spans="1:17" ht="13.15" customHeight="1" x14ac:dyDescent="0.2">
      <c r="A1686" s="1" t="s">
        <v>4227</v>
      </c>
      <c r="B1686" s="1" t="s">
        <v>4139</v>
      </c>
      <c r="C1686" s="580" t="s">
        <v>3741</v>
      </c>
      <c r="D1686" s="1">
        <v>679.76</v>
      </c>
      <c r="E1686" t="s">
        <v>8125</v>
      </c>
      <c r="F1686" t="s">
        <v>21264</v>
      </c>
      <c r="G1686" s="580">
        <v>295.44220000000001</v>
      </c>
      <c r="H1686" s="1" t="s">
        <v>4228</v>
      </c>
      <c r="I1686" s="1"/>
      <c r="J1686" s="1"/>
      <c r="K1686" s="1"/>
      <c r="L1686" s="1"/>
      <c r="M1686" s="1"/>
      <c r="N1686" s="1"/>
      <c r="Q1686"/>
    </row>
    <row r="1687" spans="1:17" ht="13.15" customHeight="1" x14ac:dyDescent="0.2">
      <c r="A1687" s="1" t="s">
        <v>4229</v>
      </c>
      <c r="B1687" s="1" t="s">
        <v>4139</v>
      </c>
      <c r="C1687" s="580" t="s">
        <v>3747</v>
      </c>
      <c r="D1687" s="1">
        <v>669</v>
      </c>
      <c r="E1687" t="s">
        <v>8125</v>
      </c>
      <c r="F1687" t="s">
        <v>21266</v>
      </c>
      <c r="G1687" s="580">
        <v>216.34119999999999</v>
      </c>
      <c r="H1687" s="1" t="s">
        <v>4230</v>
      </c>
      <c r="I1687" s="1"/>
      <c r="J1687" s="1"/>
      <c r="K1687" s="1"/>
      <c r="L1687" s="1"/>
      <c r="M1687" s="1"/>
      <c r="N1687" s="1"/>
      <c r="Q1687"/>
    </row>
    <row r="1688" spans="1:17" ht="13.15" customHeight="1" x14ac:dyDescent="0.2">
      <c r="A1688" s="1" t="s">
        <v>4231</v>
      </c>
      <c r="B1688" s="1" t="s">
        <v>4139</v>
      </c>
      <c r="C1688" s="580" t="s">
        <v>3750</v>
      </c>
      <c r="D1688" s="1">
        <v>679.76</v>
      </c>
      <c r="E1688" t="s">
        <v>8125</v>
      </c>
      <c r="F1688" t="s">
        <v>21268</v>
      </c>
      <c r="G1688" s="580">
        <v>295.44220000000001</v>
      </c>
      <c r="H1688" s="1" t="s">
        <v>4232</v>
      </c>
      <c r="I1688" s="1"/>
      <c r="J1688" s="1"/>
      <c r="K1688" s="1"/>
      <c r="L1688" s="1"/>
      <c r="M1688" s="1"/>
      <c r="N1688" s="1"/>
      <c r="Q1688"/>
    </row>
    <row r="1689" spans="1:17" ht="13.15" customHeight="1" x14ac:dyDescent="0.2">
      <c r="A1689" s="1" t="s">
        <v>4233</v>
      </c>
      <c r="B1689" s="1" t="s">
        <v>4139</v>
      </c>
      <c r="C1689" s="580" t="s">
        <v>3756</v>
      </c>
      <c r="D1689" s="1">
        <v>669</v>
      </c>
      <c r="E1689" t="s">
        <v>8125</v>
      </c>
      <c r="F1689" t="s">
        <v>21270</v>
      </c>
      <c r="G1689" s="580">
        <v>217.26410000000001</v>
      </c>
      <c r="H1689" s="1" t="s">
        <v>4234</v>
      </c>
      <c r="I1689" s="1"/>
      <c r="J1689" s="1"/>
      <c r="K1689" s="1"/>
      <c r="L1689" s="1"/>
      <c r="M1689" s="1"/>
      <c r="N1689" s="1"/>
      <c r="Q1689"/>
    </row>
    <row r="1690" spans="1:17" ht="13.15" customHeight="1" x14ac:dyDescent="0.2">
      <c r="A1690" s="1" t="s">
        <v>4235</v>
      </c>
      <c r="B1690" s="1" t="s">
        <v>4139</v>
      </c>
      <c r="C1690" s="580" t="s">
        <v>3759</v>
      </c>
      <c r="D1690" s="1">
        <v>679.76</v>
      </c>
      <c r="E1690" t="s">
        <v>8125</v>
      </c>
      <c r="F1690" t="s">
        <v>21272</v>
      </c>
      <c r="G1690" s="580">
        <v>355.49310000000003</v>
      </c>
      <c r="H1690" s="1" t="s">
        <v>4236</v>
      </c>
      <c r="I1690" s="1"/>
      <c r="J1690" s="1"/>
      <c r="K1690" s="1"/>
      <c r="L1690" s="1"/>
      <c r="M1690" s="1"/>
      <c r="N1690" s="1"/>
      <c r="Q1690"/>
    </row>
    <row r="1691" spans="1:17" ht="13.15" customHeight="1" x14ac:dyDescent="0.2">
      <c r="A1691" s="1" t="s">
        <v>4237</v>
      </c>
      <c r="B1691" s="1" t="s">
        <v>4139</v>
      </c>
      <c r="C1691" s="580" t="s">
        <v>3462</v>
      </c>
      <c r="D1691" s="1">
        <v>669</v>
      </c>
      <c r="E1691" t="s">
        <v>8125</v>
      </c>
      <c r="F1691" t="s">
        <v>21274</v>
      </c>
      <c r="G1691" s="580">
        <v>217.26410000000001</v>
      </c>
      <c r="H1691" s="1" t="s">
        <v>4238</v>
      </c>
      <c r="I1691" s="1"/>
      <c r="J1691" s="1"/>
      <c r="K1691" s="1"/>
      <c r="L1691" s="1"/>
      <c r="M1691" s="1"/>
      <c r="N1691" s="1"/>
      <c r="Q1691"/>
    </row>
    <row r="1692" spans="1:17" ht="13.15" customHeight="1" x14ac:dyDescent="0.2">
      <c r="A1692" s="1" t="s">
        <v>4239</v>
      </c>
      <c r="B1692" s="1" t="s">
        <v>4139</v>
      </c>
      <c r="C1692" s="580" t="s">
        <v>3767</v>
      </c>
      <c r="D1692" s="1">
        <v>679.76</v>
      </c>
      <c r="E1692" t="s">
        <v>8125</v>
      </c>
      <c r="F1692" t="s">
        <v>21276</v>
      </c>
      <c r="G1692" s="580">
        <v>357.14100000000002</v>
      </c>
      <c r="H1692" s="1" t="s">
        <v>4240</v>
      </c>
      <c r="I1692" s="1"/>
      <c r="J1692" s="1"/>
      <c r="K1692" s="1"/>
      <c r="L1692" s="1"/>
      <c r="M1692" s="1"/>
      <c r="N1692" s="1"/>
      <c r="Q1692"/>
    </row>
    <row r="1693" spans="1:17" ht="13.15" customHeight="1" x14ac:dyDescent="0.2">
      <c r="A1693" s="1" t="s">
        <v>4241</v>
      </c>
      <c r="B1693" s="1" t="s">
        <v>4139</v>
      </c>
      <c r="C1693" s="580" t="s">
        <v>3773</v>
      </c>
      <c r="D1693" s="1">
        <v>669</v>
      </c>
      <c r="E1693" t="s">
        <v>8125</v>
      </c>
      <c r="F1693" t="s">
        <v>21278</v>
      </c>
      <c r="G1693" s="580">
        <v>217.26410000000001</v>
      </c>
      <c r="H1693" s="1" t="s">
        <v>4242</v>
      </c>
      <c r="I1693" s="1"/>
      <c r="J1693" s="1"/>
      <c r="K1693" s="1"/>
      <c r="L1693" s="1"/>
      <c r="M1693" s="1"/>
      <c r="N1693" s="1"/>
      <c r="Q1693"/>
    </row>
    <row r="1694" spans="1:17" ht="13.15" customHeight="1" x14ac:dyDescent="0.2">
      <c r="A1694" s="1" t="s">
        <v>4243</v>
      </c>
      <c r="B1694" s="1" t="s">
        <v>4139</v>
      </c>
      <c r="C1694" s="580" t="s">
        <v>3776</v>
      </c>
      <c r="D1694" s="1">
        <v>679.76</v>
      </c>
      <c r="E1694" t="s">
        <v>8125</v>
      </c>
      <c r="F1694" t="s">
        <v>21280</v>
      </c>
      <c r="G1694" s="580">
        <v>357.14100000000002</v>
      </c>
      <c r="H1694" s="1" t="s">
        <v>4244</v>
      </c>
      <c r="I1694" s="1"/>
      <c r="J1694" s="1"/>
      <c r="K1694" s="1"/>
      <c r="L1694" s="1"/>
      <c r="M1694" s="1"/>
      <c r="N1694" s="1"/>
      <c r="Q1694"/>
    </row>
    <row r="1695" spans="1:17" ht="13.15" customHeight="1" x14ac:dyDescent="0.2">
      <c r="A1695" s="1" t="s">
        <v>4245</v>
      </c>
      <c r="B1695" s="1" t="s">
        <v>4139</v>
      </c>
      <c r="C1695" s="580" t="s">
        <v>3465</v>
      </c>
      <c r="D1695" s="1">
        <v>669</v>
      </c>
      <c r="E1695" t="s">
        <v>8125</v>
      </c>
      <c r="F1695" t="s">
        <v>21282</v>
      </c>
      <c r="G1695" s="580">
        <v>289.11419999999998</v>
      </c>
      <c r="H1695" s="1" t="s">
        <v>4246</v>
      </c>
      <c r="I1695" s="1"/>
      <c r="J1695" s="1"/>
      <c r="K1695" s="1"/>
      <c r="L1695" s="1"/>
      <c r="M1695" s="1"/>
      <c r="N1695" s="1"/>
      <c r="Q1695"/>
    </row>
    <row r="1696" spans="1:17" ht="13.15" customHeight="1" x14ac:dyDescent="0.2">
      <c r="A1696" s="1" t="s">
        <v>4247</v>
      </c>
      <c r="B1696" s="1" t="s">
        <v>4139</v>
      </c>
      <c r="C1696" s="580" t="s">
        <v>3784</v>
      </c>
      <c r="D1696" s="1">
        <v>679.76</v>
      </c>
      <c r="E1696" t="s">
        <v>8125</v>
      </c>
      <c r="F1696" t="s">
        <v>21284</v>
      </c>
      <c r="G1696" s="580">
        <v>357.86610000000002</v>
      </c>
      <c r="H1696" s="1" t="s">
        <v>4248</v>
      </c>
      <c r="I1696" s="1"/>
      <c r="J1696" s="1"/>
      <c r="K1696" s="1"/>
      <c r="L1696" s="1"/>
      <c r="M1696" s="1"/>
      <c r="N1696" s="1"/>
      <c r="Q1696"/>
    </row>
    <row r="1697" spans="1:17" ht="13.15" customHeight="1" x14ac:dyDescent="0.2">
      <c r="A1697" s="1" t="s">
        <v>4249</v>
      </c>
      <c r="B1697" s="1" t="s">
        <v>4139</v>
      </c>
      <c r="C1697" s="580" t="s">
        <v>3787</v>
      </c>
      <c r="D1697" s="1">
        <v>716.8</v>
      </c>
      <c r="E1697" t="s">
        <v>8125</v>
      </c>
      <c r="F1697" t="s">
        <v>21286</v>
      </c>
      <c r="G1697" s="580">
        <v>289.11419999999998</v>
      </c>
      <c r="H1697" s="1" t="s">
        <v>4250</v>
      </c>
      <c r="I1697" s="1"/>
      <c r="J1697" s="1"/>
      <c r="K1697" s="1"/>
      <c r="L1697" s="1"/>
      <c r="M1697" s="1"/>
      <c r="N1697" s="1"/>
      <c r="Q1697"/>
    </row>
    <row r="1698" spans="1:17" ht="13.15" customHeight="1" x14ac:dyDescent="0.2">
      <c r="A1698" s="1" t="s">
        <v>4251</v>
      </c>
      <c r="B1698" s="1" t="s">
        <v>4139</v>
      </c>
      <c r="C1698" s="580" t="s">
        <v>3790</v>
      </c>
      <c r="D1698" s="1">
        <v>722.28</v>
      </c>
      <c r="E1698" t="s">
        <v>8125</v>
      </c>
      <c r="F1698" t="s">
        <v>21288</v>
      </c>
      <c r="G1698" s="580">
        <v>357.86610000000002</v>
      </c>
      <c r="H1698" s="1" t="s">
        <v>4252</v>
      </c>
      <c r="I1698" s="1"/>
      <c r="J1698" s="1"/>
      <c r="K1698" s="1"/>
      <c r="L1698" s="1"/>
      <c r="M1698" s="1"/>
      <c r="N1698" s="1"/>
      <c r="Q1698"/>
    </row>
    <row r="1699" spans="1:17" ht="13.15" customHeight="1" x14ac:dyDescent="0.2">
      <c r="A1699" s="1" t="s">
        <v>4253</v>
      </c>
      <c r="B1699" s="1" t="s">
        <v>4139</v>
      </c>
      <c r="C1699" s="580" t="s">
        <v>3527</v>
      </c>
      <c r="D1699" s="1">
        <v>716.8</v>
      </c>
      <c r="E1699" t="s">
        <v>8125</v>
      </c>
      <c r="F1699" t="s">
        <v>21290</v>
      </c>
      <c r="G1699" s="580">
        <v>289.11419999999998</v>
      </c>
      <c r="H1699" s="1" t="s">
        <v>4254</v>
      </c>
      <c r="I1699" s="1"/>
      <c r="J1699" s="1"/>
      <c r="K1699" s="1"/>
      <c r="L1699" s="1"/>
      <c r="M1699" s="1"/>
      <c r="N1699" s="1"/>
      <c r="Q1699"/>
    </row>
    <row r="1700" spans="1:17" ht="13.15" customHeight="1" x14ac:dyDescent="0.2">
      <c r="A1700" s="1" t="s">
        <v>4255</v>
      </c>
      <c r="B1700" s="1" t="s">
        <v>4139</v>
      </c>
      <c r="C1700" s="580" t="s">
        <v>3795</v>
      </c>
      <c r="D1700" s="1">
        <v>722.28</v>
      </c>
      <c r="E1700" t="s">
        <v>8125</v>
      </c>
      <c r="F1700" t="s">
        <v>21292</v>
      </c>
      <c r="G1700" s="580">
        <v>424.37689999999998</v>
      </c>
      <c r="H1700" s="1" t="s">
        <v>4256</v>
      </c>
      <c r="I1700" s="1"/>
      <c r="J1700" s="1"/>
      <c r="K1700" s="1"/>
      <c r="L1700" s="1"/>
      <c r="M1700" s="1"/>
      <c r="N1700" s="1"/>
      <c r="Q1700"/>
    </row>
    <row r="1701" spans="1:17" ht="13.15" customHeight="1" x14ac:dyDescent="0.2">
      <c r="A1701" s="1" t="s">
        <v>4257</v>
      </c>
      <c r="B1701" s="1" t="s">
        <v>4139</v>
      </c>
      <c r="C1701" s="580" t="s">
        <v>3798</v>
      </c>
      <c r="D1701" s="1">
        <v>716.8</v>
      </c>
      <c r="E1701" t="s">
        <v>8125</v>
      </c>
      <c r="F1701" t="s">
        <v>21294</v>
      </c>
      <c r="G1701" s="580">
        <v>290.03699999999998</v>
      </c>
      <c r="H1701" s="1" t="s">
        <v>4258</v>
      </c>
      <c r="I1701" s="1"/>
      <c r="J1701" s="1"/>
      <c r="K1701" s="1"/>
      <c r="L1701" s="1"/>
      <c r="M1701" s="1"/>
      <c r="N1701" s="1"/>
      <c r="Q1701"/>
    </row>
    <row r="1702" spans="1:17" ht="13.15" customHeight="1" x14ac:dyDescent="0.2">
      <c r="A1702" s="1" t="s">
        <v>4259</v>
      </c>
      <c r="B1702" s="1" t="s">
        <v>4139</v>
      </c>
      <c r="C1702" s="580" t="s">
        <v>3801</v>
      </c>
      <c r="D1702" s="1">
        <v>722.28</v>
      </c>
      <c r="E1702" t="s">
        <v>8125</v>
      </c>
      <c r="F1702" t="s">
        <v>21296</v>
      </c>
      <c r="G1702" s="580">
        <v>424.37689999999998</v>
      </c>
      <c r="H1702" s="1" t="s">
        <v>4260</v>
      </c>
      <c r="I1702" s="1"/>
      <c r="J1702" s="1"/>
      <c r="K1702" s="1"/>
      <c r="L1702" s="1"/>
      <c r="M1702" s="1"/>
      <c r="N1702" s="1"/>
      <c r="Q1702"/>
    </row>
    <row r="1703" spans="1:17" ht="13.15" customHeight="1" x14ac:dyDescent="0.2">
      <c r="A1703" s="1" t="s">
        <v>4261</v>
      </c>
      <c r="B1703" s="1" t="s">
        <v>4139</v>
      </c>
      <c r="C1703" s="580" t="s">
        <v>3807</v>
      </c>
      <c r="D1703" s="1">
        <v>716.8</v>
      </c>
      <c r="E1703" t="s">
        <v>8125</v>
      </c>
      <c r="F1703" t="s">
        <v>21298</v>
      </c>
      <c r="G1703" s="580">
        <v>290.03699999999998</v>
      </c>
      <c r="H1703" s="1" t="s">
        <v>4262</v>
      </c>
      <c r="I1703" s="1"/>
      <c r="J1703" s="1"/>
      <c r="K1703" s="1"/>
      <c r="L1703" s="1"/>
      <c r="M1703" s="1"/>
      <c r="N1703" s="1"/>
      <c r="Q1703"/>
    </row>
    <row r="1704" spans="1:17" ht="13.15" customHeight="1" x14ac:dyDescent="0.2">
      <c r="A1704" s="1" t="s">
        <v>4263</v>
      </c>
      <c r="B1704" s="1" t="s">
        <v>4139</v>
      </c>
      <c r="C1704" s="580" t="s">
        <v>4264</v>
      </c>
      <c r="D1704" s="1">
        <v>722.28</v>
      </c>
      <c r="E1704" t="s">
        <v>8125</v>
      </c>
      <c r="F1704" t="s">
        <v>21386</v>
      </c>
      <c r="G1704" s="580">
        <v>425.89299999999997</v>
      </c>
      <c r="H1704" s="1" t="s">
        <v>4265</v>
      </c>
      <c r="I1704" s="1"/>
      <c r="J1704" s="1"/>
      <c r="K1704" s="1"/>
      <c r="L1704" s="1"/>
      <c r="M1704" s="1"/>
      <c r="N1704" s="1"/>
      <c r="Q1704"/>
    </row>
    <row r="1705" spans="1:17" ht="13.15" customHeight="1" x14ac:dyDescent="0.2">
      <c r="A1705" s="1" t="s">
        <v>4266</v>
      </c>
      <c r="B1705" s="1" t="s">
        <v>4139</v>
      </c>
      <c r="C1705" s="580" t="s">
        <v>3813</v>
      </c>
      <c r="D1705" s="1">
        <v>764.6</v>
      </c>
      <c r="E1705" t="s">
        <v>8125</v>
      </c>
      <c r="F1705" t="s">
        <v>21300</v>
      </c>
      <c r="G1705" s="580">
        <v>349.29680000000002</v>
      </c>
      <c r="H1705" s="1" t="s">
        <v>4267</v>
      </c>
      <c r="I1705" s="1"/>
      <c r="J1705" s="1"/>
      <c r="K1705" s="1"/>
      <c r="L1705" s="1"/>
      <c r="M1705" s="1"/>
      <c r="N1705" s="1"/>
      <c r="Q1705"/>
    </row>
    <row r="1706" spans="1:17" ht="13.15" customHeight="1" x14ac:dyDescent="0.2">
      <c r="A1706" s="1" t="s">
        <v>4268</v>
      </c>
      <c r="B1706" s="1" t="s">
        <v>4139</v>
      </c>
      <c r="C1706" s="580" t="s">
        <v>3816</v>
      </c>
      <c r="D1706" s="1">
        <v>722.28</v>
      </c>
      <c r="E1706" t="s">
        <v>8125</v>
      </c>
      <c r="F1706" t="s">
        <v>21302</v>
      </c>
      <c r="G1706" s="580">
        <v>426.4862</v>
      </c>
      <c r="H1706" s="1" t="s">
        <v>4269</v>
      </c>
      <c r="I1706" s="1"/>
      <c r="J1706" s="1"/>
      <c r="K1706" s="1"/>
      <c r="L1706" s="1"/>
      <c r="M1706" s="1"/>
      <c r="N1706" s="1"/>
      <c r="Q1706"/>
    </row>
    <row r="1707" spans="1:17" ht="13.15" customHeight="1" x14ac:dyDescent="0.2">
      <c r="A1707" s="1" t="s">
        <v>4270</v>
      </c>
      <c r="B1707" s="1" t="s">
        <v>4139</v>
      </c>
      <c r="C1707" s="580" t="s">
        <v>3597</v>
      </c>
      <c r="D1707" s="1">
        <v>764.6</v>
      </c>
      <c r="E1707" t="s">
        <v>8125</v>
      </c>
      <c r="F1707" t="s">
        <v>21304</v>
      </c>
      <c r="G1707" s="580">
        <v>349.29680000000002</v>
      </c>
      <c r="H1707" s="1" t="s">
        <v>4271</v>
      </c>
      <c r="I1707" s="1"/>
      <c r="J1707" s="1"/>
      <c r="K1707" s="1"/>
      <c r="L1707" s="1"/>
      <c r="M1707" s="1"/>
      <c r="N1707" s="1"/>
      <c r="Q1707"/>
    </row>
    <row r="1708" spans="1:17" ht="13.15" customHeight="1" x14ac:dyDescent="0.2">
      <c r="A1708" s="1" t="s">
        <v>4272</v>
      </c>
      <c r="B1708" s="1" t="s">
        <v>4139</v>
      </c>
      <c r="C1708" s="580" t="s">
        <v>3821</v>
      </c>
      <c r="D1708" s="1">
        <v>764.76</v>
      </c>
      <c r="E1708" t="s">
        <v>8125</v>
      </c>
      <c r="F1708" t="s">
        <v>21306</v>
      </c>
      <c r="G1708" s="580">
        <v>426.4862</v>
      </c>
      <c r="H1708" s="1" t="s">
        <v>4273</v>
      </c>
      <c r="I1708" s="1"/>
      <c r="J1708" s="1"/>
      <c r="K1708" s="1"/>
      <c r="L1708" s="1"/>
      <c r="M1708" s="1"/>
      <c r="N1708" s="1"/>
      <c r="Q1708"/>
    </row>
    <row r="1709" spans="1:17" ht="13.15" customHeight="1" x14ac:dyDescent="0.2">
      <c r="A1709" s="1" t="s">
        <v>4274</v>
      </c>
      <c r="B1709" s="1" t="s">
        <v>4139</v>
      </c>
      <c r="C1709" s="580" t="s">
        <v>3824</v>
      </c>
      <c r="D1709" s="1">
        <v>764.6</v>
      </c>
      <c r="E1709" t="s">
        <v>8125</v>
      </c>
      <c r="F1709" t="s">
        <v>21308</v>
      </c>
      <c r="G1709" s="580">
        <v>349.29680000000002</v>
      </c>
      <c r="H1709" s="1" t="s">
        <v>4275</v>
      </c>
      <c r="I1709" s="1"/>
      <c r="J1709" s="1"/>
      <c r="K1709" s="1"/>
      <c r="L1709" s="1"/>
      <c r="M1709" s="1"/>
      <c r="N1709" s="1"/>
      <c r="Q1709"/>
    </row>
    <row r="1710" spans="1:17" ht="13.15" customHeight="1" x14ac:dyDescent="0.2">
      <c r="A1710" s="1" t="s">
        <v>4276</v>
      </c>
      <c r="B1710" s="1" t="s">
        <v>4139</v>
      </c>
      <c r="C1710" s="580" t="s">
        <v>3827</v>
      </c>
      <c r="D1710" s="1">
        <v>764.76</v>
      </c>
      <c r="E1710" t="s">
        <v>8125</v>
      </c>
      <c r="F1710" t="s">
        <v>21310</v>
      </c>
      <c r="G1710" s="580">
        <v>500.18200000000002</v>
      </c>
      <c r="H1710" s="1" t="s">
        <v>4277</v>
      </c>
      <c r="I1710" s="1"/>
      <c r="J1710" s="1"/>
      <c r="K1710" s="1"/>
      <c r="L1710" s="1"/>
      <c r="M1710" s="1"/>
      <c r="N1710" s="1"/>
      <c r="Q1710"/>
    </row>
    <row r="1711" spans="1:17" ht="13.15" customHeight="1" x14ac:dyDescent="0.2">
      <c r="A1711" s="1" t="s">
        <v>4278</v>
      </c>
      <c r="B1711" s="1" t="s">
        <v>4139</v>
      </c>
      <c r="C1711" s="580" t="s">
        <v>3830</v>
      </c>
      <c r="D1711" s="1">
        <v>764.6</v>
      </c>
      <c r="E1711" t="s">
        <v>8125</v>
      </c>
      <c r="F1711" t="s">
        <v>21312</v>
      </c>
      <c r="G1711" s="580">
        <v>349.29680000000002</v>
      </c>
      <c r="H1711" s="1" t="s">
        <v>4279</v>
      </c>
      <c r="I1711" s="1"/>
      <c r="J1711" s="1"/>
      <c r="K1711" s="1"/>
      <c r="L1711" s="1"/>
      <c r="M1711" s="1"/>
      <c r="N1711" s="1"/>
      <c r="Q1711"/>
    </row>
    <row r="1712" spans="1:17" ht="13.15" customHeight="1" x14ac:dyDescent="0.2">
      <c r="A1712" s="1" t="s">
        <v>4280</v>
      </c>
      <c r="B1712" s="1" t="s">
        <v>4139</v>
      </c>
      <c r="C1712" s="580" t="s">
        <v>3833</v>
      </c>
      <c r="D1712" s="1">
        <v>764.76</v>
      </c>
      <c r="E1712" t="s">
        <v>8125</v>
      </c>
      <c r="F1712" t="s">
        <v>21314</v>
      </c>
      <c r="G1712" s="580">
        <v>500.18200000000002</v>
      </c>
      <c r="H1712" s="1" t="s">
        <v>4281</v>
      </c>
      <c r="I1712" s="1"/>
      <c r="J1712" s="1"/>
      <c r="K1712" s="1"/>
      <c r="L1712" s="1"/>
      <c r="M1712" s="1"/>
      <c r="N1712" s="1"/>
      <c r="Q1712"/>
    </row>
    <row r="1713" spans="1:17" ht="13.15" customHeight="1" x14ac:dyDescent="0.2">
      <c r="A1713" s="1" t="s">
        <v>4282</v>
      </c>
      <c r="B1713" s="1" t="s">
        <v>4139</v>
      </c>
      <c r="C1713" s="580" t="s">
        <v>3836</v>
      </c>
      <c r="D1713" s="1">
        <v>812.36</v>
      </c>
      <c r="E1713" t="s">
        <v>8125</v>
      </c>
      <c r="F1713" t="s">
        <v>21316</v>
      </c>
      <c r="G1713" s="580">
        <v>350.08780000000002</v>
      </c>
      <c r="H1713" s="1" t="s">
        <v>4283</v>
      </c>
      <c r="I1713" s="1"/>
      <c r="J1713" s="1"/>
      <c r="K1713" s="1"/>
      <c r="L1713" s="1"/>
      <c r="M1713" s="1"/>
      <c r="N1713" s="1"/>
      <c r="Q1713"/>
    </row>
    <row r="1714" spans="1:17" ht="13.15" customHeight="1" x14ac:dyDescent="0.2">
      <c r="A1714" s="1" t="s">
        <v>4284</v>
      </c>
      <c r="B1714" s="1" t="s">
        <v>4139</v>
      </c>
      <c r="C1714" s="580" t="s">
        <v>3839</v>
      </c>
      <c r="D1714" s="1">
        <v>807.24</v>
      </c>
      <c r="E1714" t="s">
        <v>8125</v>
      </c>
      <c r="F1714" t="s">
        <v>21318</v>
      </c>
      <c r="G1714" s="580">
        <v>500.77519999999998</v>
      </c>
      <c r="H1714" s="1" t="s">
        <v>4285</v>
      </c>
      <c r="I1714" s="1"/>
      <c r="J1714" s="1"/>
      <c r="K1714" s="1"/>
      <c r="L1714" s="1"/>
      <c r="M1714" s="1"/>
      <c r="N1714" s="1"/>
      <c r="Q1714"/>
    </row>
    <row r="1715" spans="1:17" ht="13.15" customHeight="1" x14ac:dyDescent="0.2">
      <c r="A1715" s="1" t="s">
        <v>4286</v>
      </c>
      <c r="B1715" s="1" t="s">
        <v>4139</v>
      </c>
      <c r="C1715" s="580" t="s">
        <v>3842</v>
      </c>
      <c r="D1715" s="1">
        <v>812.36</v>
      </c>
      <c r="E1715" t="s">
        <v>8125</v>
      </c>
      <c r="F1715" t="s">
        <v>21320</v>
      </c>
      <c r="G1715" s="580">
        <v>415.67579999999998</v>
      </c>
      <c r="H1715" s="1" t="s">
        <v>4287</v>
      </c>
      <c r="I1715" s="1"/>
      <c r="J1715" s="1"/>
      <c r="K1715" s="1"/>
      <c r="L1715" s="1"/>
      <c r="M1715" s="1"/>
      <c r="N1715" s="1"/>
      <c r="Q1715"/>
    </row>
    <row r="1716" spans="1:17" ht="13.15" customHeight="1" x14ac:dyDescent="0.2">
      <c r="A1716" s="1" t="s">
        <v>4288</v>
      </c>
      <c r="B1716" s="1" t="s">
        <v>4139</v>
      </c>
      <c r="C1716" s="580" t="s">
        <v>3845</v>
      </c>
      <c r="D1716" s="1">
        <v>807.24</v>
      </c>
      <c r="E1716" t="s">
        <v>8125</v>
      </c>
      <c r="F1716" t="s">
        <v>21322</v>
      </c>
      <c r="G1716" s="580">
        <v>500.77519999999998</v>
      </c>
      <c r="H1716" s="1" t="s">
        <v>4289</v>
      </c>
      <c r="I1716" s="1"/>
      <c r="J1716" s="1"/>
      <c r="K1716" s="1"/>
      <c r="L1716" s="1"/>
      <c r="M1716" s="1"/>
      <c r="N1716" s="1"/>
      <c r="Q1716"/>
    </row>
    <row r="1717" spans="1:17" ht="13.15" customHeight="1" x14ac:dyDescent="0.2">
      <c r="A1717" s="1" t="s">
        <v>4290</v>
      </c>
      <c r="B1717" s="1" t="s">
        <v>4139</v>
      </c>
      <c r="C1717" s="580" t="s">
        <v>3848</v>
      </c>
      <c r="D1717" s="1">
        <v>812.36</v>
      </c>
      <c r="E1717" t="s">
        <v>8125</v>
      </c>
      <c r="F1717" t="s">
        <v>21324</v>
      </c>
      <c r="G1717" s="580">
        <v>415.67579999999998</v>
      </c>
      <c r="H1717" s="1" t="s">
        <v>4291</v>
      </c>
      <c r="I1717" s="1"/>
      <c r="J1717" s="1"/>
      <c r="K1717" s="1"/>
      <c r="L1717" s="1"/>
      <c r="M1717" s="1"/>
      <c r="N1717" s="1"/>
      <c r="Q1717"/>
    </row>
    <row r="1718" spans="1:17" ht="13.15" customHeight="1" x14ac:dyDescent="0.2">
      <c r="A1718" s="1" t="s">
        <v>4292</v>
      </c>
      <c r="B1718" s="1" t="s">
        <v>4139</v>
      </c>
      <c r="C1718" s="580" t="s">
        <v>3851</v>
      </c>
      <c r="D1718" s="1">
        <v>807.24</v>
      </c>
      <c r="E1718" t="s">
        <v>8125</v>
      </c>
      <c r="F1718" t="s">
        <v>21326</v>
      </c>
      <c r="G1718" s="580">
        <v>501.63220000000001</v>
      </c>
      <c r="H1718" s="1" t="s">
        <v>4293</v>
      </c>
      <c r="I1718" s="1"/>
      <c r="J1718" s="1"/>
      <c r="K1718" s="1"/>
      <c r="L1718" s="1"/>
      <c r="M1718" s="1"/>
      <c r="N1718" s="1"/>
      <c r="Q1718"/>
    </row>
    <row r="1719" spans="1:17" ht="13.15" customHeight="1" x14ac:dyDescent="0.2">
      <c r="A1719" s="1" t="s">
        <v>4294</v>
      </c>
      <c r="B1719" s="1" t="s">
        <v>4139</v>
      </c>
      <c r="C1719" s="580" t="s">
        <v>3854</v>
      </c>
      <c r="D1719" s="1">
        <v>812.36</v>
      </c>
      <c r="E1719" t="s">
        <v>8125</v>
      </c>
      <c r="F1719" t="s">
        <v>21328</v>
      </c>
      <c r="G1719" s="580">
        <v>415.67579999999998</v>
      </c>
      <c r="H1719" s="1" t="s">
        <v>4295</v>
      </c>
      <c r="I1719" s="1"/>
      <c r="J1719" s="1"/>
      <c r="K1719" s="1"/>
      <c r="L1719" s="1"/>
      <c r="M1719" s="1"/>
      <c r="N1719" s="1"/>
      <c r="Q1719"/>
    </row>
    <row r="1720" spans="1:17" ht="13.15" customHeight="1" x14ac:dyDescent="0.2">
      <c r="A1720" s="1" t="s">
        <v>4296</v>
      </c>
      <c r="B1720" s="1" t="s">
        <v>4139</v>
      </c>
      <c r="C1720" s="580" t="s">
        <v>3857</v>
      </c>
      <c r="D1720" s="1">
        <v>849.72</v>
      </c>
      <c r="E1720" t="s">
        <v>8125</v>
      </c>
      <c r="F1720" t="s">
        <v>21330</v>
      </c>
      <c r="G1720" s="580">
        <v>582.97439999999995</v>
      </c>
      <c r="H1720" s="1" t="s">
        <v>4297</v>
      </c>
      <c r="I1720" s="1"/>
      <c r="J1720" s="1"/>
      <c r="K1720" s="1"/>
      <c r="L1720" s="1"/>
      <c r="M1720" s="1"/>
      <c r="N1720" s="1"/>
      <c r="Q1720"/>
    </row>
    <row r="1721" spans="1:17" ht="13.15" customHeight="1" x14ac:dyDescent="0.2">
      <c r="A1721" s="1" t="s">
        <v>4298</v>
      </c>
      <c r="B1721" s="1" t="s">
        <v>4139</v>
      </c>
      <c r="C1721" s="580" t="s">
        <v>3860</v>
      </c>
      <c r="D1721" s="1">
        <v>812.36</v>
      </c>
      <c r="E1721" t="s">
        <v>8125</v>
      </c>
      <c r="F1721" t="s">
        <v>21332</v>
      </c>
      <c r="G1721" s="580">
        <v>417.32369999999997</v>
      </c>
      <c r="H1721" s="1" t="s">
        <v>4299</v>
      </c>
      <c r="I1721" s="1"/>
      <c r="J1721" s="1"/>
      <c r="K1721" s="1"/>
      <c r="L1721" s="1"/>
      <c r="M1721" s="1"/>
      <c r="N1721" s="1"/>
      <c r="Q1721"/>
    </row>
    <row r="1722" spans="1:17" ht="13.15" customHeight="1" x14ac:dyDescent="0.2">
      <c r="A1722" s="1" t="s">
        <v>4300</v>
      </c>
      <c r="B1722" s="1" t="s">
        <v>4139</v>
      </c>
      <c r="C1722" s="580" t="s">
        <v>3863</v>
      </c>
      <c r="D1722" s="1">
        <v>849.72</v>
      </c>
      <c r="E1722" t="s">
        <v>8125</v>
      </c>
      <c r="F1722" t="s">
        <v>21334</v>
      </c>
      <c r="G1722" s="580">
        <v>583.83130000000006</v>
      </c>
      <c r="H1722" s="1" t="s">
        <v>4301</v>
      </c>
      <c r="I1722" s="1"/>
      <c r="J1722" s="1"/>
      <c r="K1722" s="1"/>
      <c r="L1722" s="1"/>
      <c r="M1722" s="1"/>
      <c r="N1722" s="1"/>
      <c r="Q1722"/>
    </row>
    <row r="1723" spans="1:17" ht="13.15" customHeight="1" x14ac:dyDescent="0.2">
      <c r="A1723" s="1" t="s">
        <v>4302</v>
      </c>
      <c r="B1723" s="1" t="s">
        <v>4139</v>
      </c>
      <c r="C1723" s="580" t="s">
        <v>3866</v>
      </c>
      <c r="D1723" s="1">
        <v>860.16</v>
      </c>
      <c r="E1723" t="s">
        <v>8125</v>
      </c>
      <c r="F1723" t="s">
        <v>21336</v>
      </c>
      <c r="G1723" s="580">
        <v>417.32369999999997</v>
      </c>
      <c r="H1723" s="1" t="s">
        <v>4303</v>
      </c>
      <c r="I1723" s="1"/>
      <c r="J1723" s="1"/>
      <c r="K1723" s="1"/>
      <c r="L1723" s="1"/>
      <c r="M1723" s="1"/>
      <c r="N1723" s="1"/>
      <c r="Q1723"/>
    </row>
    <row r="1724" spans="1:17" ht="13.15" customHeight="1" x14ac:dyDescent="0.2">
      <c r="A1724" s="1" t="s">
        <v>4304</v>
      </c>
      <c r="B1724" s="1" t="s">
        <v>4139</v>
      </c>
      <c r="C1724" s="580" t="s">
        <v>3869</v>
      </c>
      <c r="D1724" s="1">
        <v>849.72</v>
      </c>
      <c r="E1724" t="s">
        <v>8125</v>
      </c>
      <c r="F1724" t="s">
        <v>21338</v>
      </c>
      <c r="G1724" s="580">
        <v>583.83130000000006</v>
      </c>
      <c r="H1724" s="1" t="s">
        <v>4305</v>
      </c>
      <c r="I1724" s="1"/>
      <c r="J1724" s="1"/>
      <c r="K1724" s="1"/>
      <c r="L1724" s="1"/>
      <c r="M1724" s="1"/>
      <c r="N1724" s="1"/>
      <c r="Q1724"/>
    </row>
    <row r="1725" spans="1:17" ht="13.15" customHeight="1" x14ac:dyDescent="0.2">
      <c r="A1725" s="1" t="s">
        <v>4306</v>
      </c>
      <c r="B1725" s="1" t="s">
        <v>4139</v>
      </c>
      <c r="C1725" s="580" t="s">
        <v>3872</v>
      </c>
      <c r="D1725" s="1">
        <v>860.16</v>
      </c>
      <c r="E1725" t="s">
        <v>8125</v>
      </c>
      <c r="F1725" t="s">
        <v>21340</v>
      </c>
      <c r="G1725" s="580">
        <v>490.03070000000002</v>
      </c>
      <c r="H1725" s="1" t="s">
        <v>4307</v>
      </c>
      <c r="I1725" s="1"/>
      <c r="J1725" s="1"/>
      <c r="K1725" s="1"/>
      <c r="L1725" s="1"/>
      <c r="M1725" s="1"/>
      <c r="N1725" s="1"/>
      <c r="Q1725"/>
    </row>
    <row r="1726" spans="1:17" ht="13.15" customHeight="1" x14ac:dyDescent="0.2">
      <c r="A1726" s="1" t="s">
        <v>4308</v>
      </c>
      <c r="B1726" s="1" t="s">
        <v>4139</v>
      </c>
      <c r="C1726" s="580" t="s">
        <v>3875</v>
      </c>
      <c r="D1726" s="1">
        <v>934.68</v>
      </c>
      <c r="E1726" t="s">
        <v>8125</v>
      </c>
      <c r="F1726" t="s">
        <v>21342</v>
      </c>
      <c r="G1726" s="580">
        <v>584.42460000000005</v>
      </c>
      <c r="H1726" s="1" t="s">
        <v>4309</v>
      </c>
      <c r="I1726" s="1"/>
      <c r="J1726" s="1"/>
      <c r="K1726" s="1"/>
      <c r="L1726" s="1"/>
      <c r="M1726" s="1"/>
      <c r="N1726" s="1"/>
      <c r="Q1726"/>
    </row>
    <row r="1727" spans="1:17" ht="13.15" customHeight="1" x14ac:dyDescent="0.2">
      <c r="A1727" s="1" t="s">
        <v>4310</v>
      </c>
      <c r="B1727" s="1" t="s">
        <v>4139</v>
      </c>
      <c r="C1727" s="580" t="s">
        <v>3878</v>
      </c>
      <c r="D1727" s="1">
        <v>860.16</v>
      </c>
      <c r="E1727" t="s">
        <v>8125</v>
      </c>
      <c r="F1727" t="s">
        <v>21344</v>
      </c>
      <c r="G1727" s="580">
        <v>490.55799999999999</v>
      </c>
      <c r="H1727" s="1" t="s">
        <v>4311</v>
      </c>
      <c r="I1727" s="1"/>
      <c r="J1727" s="1"/>
      <c r="K1727" s="1"/>
      <c r="L1727" s="1"/>
      <c r="M1727" s="1"/>
      <c r="N1727" s="1"/>
      <c r="Q1727"/>
    </row>
    <row r="1728" spans="1:17" ht="13.15" customHeight="1" x14ac:dyDescent="0.2">
      <c r="A1728" s="1" t="s">
        <v>4312</v>
      </c>
      <c r="B1728" s="1" t="s">
        <v>4139</v>
      </c>
      <c r="C1728" s="580" t="s">
        <v>3881</v>
      </c>
      <c r="D1728" s="1">
        <v>934.68</v>
      </c>
      <c r="E1728" t="s">
        <v>8125</v>
      </c>
      <c r="F1728" t="s">
        <v>21346</v>
      </c>
      <c r="G1728" s="580">
        <v>584.42460000000005</v>
      </c>
      <c r="H1728" s="1" t="s">
        <v>4313</v>
      </c>
      <c r="I1728" s="1"/>
      <c r="J1728" s="1"/>
      <c r="K1728" s="1"/>
      <c r="L1728" s="1"/>
      <c r="M1728" s="1"/>
      <c r="N1728" s="1"/>
      <c r="Q1728"/>
    </row>
    <row r="1729" spans="1:17" ht="13.15" customHeight="1" x14ac:dyDescent="0.2">
      <c r="A1729" s="1" t="s">
        <v>4314</v>
      </c>
      <c r="B1729" s="1" t="s">
        <v>4139</v>
      </c>
      <c r="C1729" s="580" t="s">
        <v>3884</v>
      </c>
      <c r="D1729" s="1">
        <v>1019.68</v>
      </c>
      <c r="E1729" t="s">
        <v>8125</v>
      </c>
      <c r="F1729" t="s">
        <v>21348</v>
      </c>
      <c r="G1729" s="580">
        <v>671.10609999999997</v>
      </c>
      <c r="H1729" s="1" t="s">
        <v>4315</v>
      </c>
      <c r="I1729" s="1"/>
      <c r="J1729" s="1"/>
      <c r="K1729" s="1"/>
      <c r="L1729" s="1"/>
      <c r="M1729" s="1"/>
      <c r="N1729" s="1"/>
      <c r="Q1729"/>
    </row>
    <row r="1730" spans="1:17" ht="13.15" customHeight="1" x14ac:dyDescent="0.2">
      <c r="A1730" s="1" t="s">
        <v>4316</v>
      </c>
      <c r="B1730" s="1" t="s">
        <v>4139</v>
      </c>
      <c r="C1730" s="580" t="s">
        <v>3887</v>
      </c>
      <c r="D1730" s="1">
        <v>1019.68</v>
      </c>
      <c r="E1730" t="s">
        <v>8125</v>
      </c>
      <c r="F1730" t="s">
        <v>21350</v>
      </c>
      <c r="G1730" s="580">
        <v>671.10609999999997</v>
      </c>
      <c r="H1730" s="1" t="s">
        <v>4317</v>
      </c>
      <c r="I1730" s="1"/>
      <c r="J1730" s="1"/>
      <c r="K1730" s="1"/>
      <c r="L1730" s="1"/>
      <c r="M1730" s="1"/>
      <c r="N1730" s="1"/>
      <c r="Q1730"/>
    </row>
    <row r="1731" spans="1:17" ht="13.15" customHeight="1" x14ac:dyDescent="0.2">
      <c r="A1731" s="1" t="s">
        <v>4318</v>
      </c>
      <c r="B1731" s="1" t="s">
        <v>4139</v>
      </c>
      <c r="C1731" s="580" t="s">
        <v>3890</v>
      </c>
      <c r="D1731" s="1">
        <v>1019.68</v>
      </c>
      <c r="E1731" t="s">
        <v>8125</v>
      </c>
      <c r="F1731" t="s">
        <v>21352</v>
      </c>
      <c r="G1731" s="580">
        <v>671.96299999999997</v>
      </c>
      <c r="H1731" s="1" t="s">
        <v>4319</v>
      </c>
      <c r="I1731" s="1"/>
      <c r="J1731" s="1"/>
      <c r="K1731" s="1"/>
      <c r="L1731" s="1"/>
      <c r="M1731" s="1"/>
      <c r="N1731" s="1"/>
      <c r="Q1731"/>
    </row>
    <row r="1732" spans="1:17" ht="13.15" customHeight="1" x14ac:dyDescent="0.2">
      <c r="A1732" s="1" t="s">
        <v>4320</v>
      </c>
      <c r="B1732" s="1" t="s">
        <v>4139</v>
      </c>
      <c r="C1732" s="580" t="s">
        <v>3893</v>
      </c>
      <c r="D1732" s="1">
        <v>934.68</v>
      </c>
      <c r="E1732" t="s">
        <v>8125</v>
      </c>
      <c r="F1732" t="s">
        <v>21354</v>
      </c>
      <c r="G1732" s="580">
        <v>578.16240000000005</v>
      </c>
      <c r="H1732" s="1" t="s">
        <v>4321</v>
      </c>
      <c r="I1732" s="1"/>
      <c r="J1732" s="1"/>
      <c r="K1732" s="1"/>
      <c r="L1732" s="1"/>
      <c r="M1732" s="1"/>
      <c r="N1732" s="1"/>
      <c r="Q1732"/>
    </row>
    <row r="1733" spans="1:17" ht="13.15" customHeight="1" x14ac:dyDescent="0.2">
      <c r="A1733" s="1" t="s">
        <v>4322</v>
      </c>
      <c r="B1733" s="1" t="s">
        <v>4139</v>
      </c>
      <c r="C1733" s="580" t="s">
        <v>3896</v>
      </c>
      <c r="D1733" s="1">
        <v>1019.68</v>
      </c>
      <c r="E1733" t="s">
        <v>8125</v>
      </c>
      <c r="F1733" t="s">
        <v>21356</v>
      </c>
      <c r="G1733" s="580">
        <v>664.25059999999996</v>
      </c>
      <c r="H1733" s="1" t="s">
        <v>4323</v>
      </c>
      <c r="I1733" s="1"/>
      <c r="J1733" s="1"/>
      <c r="K1733" s="1"/>
      <c r="L1733" s="1"/>
      <c r="M1733" s="1"/>
      <c r="N1733" s="1"/>
      <c r="Q1733"/>
    </row>
    <row r="1734" spans="1:17" ht="13.15" customHeight="1" x14ac:dyDescent="0.2">
      <c r="A1734" s="1" t="s">
        <v>4324</v>
      </c>
      <c r="B1734" s="1" t="s">
        <v>4139</v>
      </c>
      <c r="C1734" s="580" t="s">
        <v>3899</v>
      </c>
      <c r="D1734" s="1">
        <v>1019.68</v>
      </c>
      <c r="E1734" t="s">
        <v>8125</v>
      </c>
      <c r="F1734" t="s">
        <v>21358</v>
      </c>
      <c r="G1734" s="580">
        <v>664.97569999999996</v>
      </c>
      <c r="H1734" s="1" t="s">
        <v>4325</v>
      </c>
      <c r="I1734" s="1"/>
      <c r="J1734" s="1"/>
      <c r="K1734" s="1"/>
      <c r="L1734" s="1"/>
      <c r="M1734" s="1"/>
      <c r="N1734" s="1"/>
      <c r="Q1734"/>
    </row>
    <row r="1735" spans="1:17" ht="13.15" customHeight="1" x14ac:dyDescent="0.2">
      <c r="A1735" s="1" t="s">
        <v>4326</v>
      </c>
      <c r="B1735" s="1" t="s">
        <v>4139</v>
      </c>
      <c r="C1735" s="580" t="s">
        <v>3902</v>
      </c>
      <c r="D1735" s="1">
        <v>1019.68</v>
      </c>
      <c r="E1735" t="s">
        <v>8125</v>
      </c>
      <c r="F1735" t="s">
        <v>21360</v>
      </c>
      <c r="G1735" s="580">
        <v>664.97569999999996</v>
      </c>
      <c r="H1735" s="1" t="s">
        <v>4327</v>
      </c>
      <c r="I1735" s="1"/>
      <c r="J1735" s="1"/>
      <c r="K1735" s="1"/>
      <c r="L1735" s="1"/>
      <c r="M1735" s="1"/>
      <c r="N1735" s="1"/>
      <c r="Q1735"/>
    </row>
    <row r="1736" spans="1:17" ht="13.15" customHeight="1" x14ac:dyDescent="0.2">
      <c r="A1736" s="1" t="s">
        <v>4328</v>
      </c>
      <c r="B1736" s="1" t="s">
        <v>4139</v>
      </c>
      <c r="C1736" s="580" t="s">
        <v>3905</v>
      </c>
      <c r="D1736" s="1">
        <v>1062.1600000000001</v>
      </c>
      <c r="E1736" t="s">
        <v>8125</v>
      </c>
      <c r="F1736" t="s">
        <v>21362</v>
      </c>
      <c r="G1736" s="580">
        <v>667.28290000000004</v>
      </c>
      <c r="H1736" s="1" t="s">
        <v>4329</v>
      </c>
      <c r="I1736" s="1"/>
      <c r="J1736" s="1"/>
      <c r="K1736" s="1"/>
      <c r="L1736" s="1"/>
      <c r="M1736" s="1"/>
      <c r="N1736" s="1"/>
      <c r="Q1736"/>
    </row>
    <row r="1737" spans="1:17" ht="13.15" customHeight="1" x14ac:dyDescent="0.2">
      <c r="A1737" s="1" t="s">
        <v>4330</v>
      </c>
      <c r="B1737" s="1" t="s">
        <v>4139</v>
      </c>
      <c r="C1737" s="580" t="s">
        <v>3908</v>
      </c>
      <c r="D1737" s="1">
        <v>1062.1600000000001</v>
      </c>
      <c r="E1737" t="s">
        <v>8125</v>
      </c>
      <c r="F1737" t="s">
        <v>21364</v>
      </c>
      <c r="G1737" s="580">
        <v>667.28290000000004</v>
      </c>
      <c r="H1737" s="1" t="s">
        <v>4331</v>
      </c>
      <c r="I1737" s="1"/>
      <c r="J1737" s="1"/>
      <c r="K1737" s="1"/>
      <c r="L1737" s="1"/>
      <c r="M1737" s="1"/>
      <c r="N1737" s="1"/>
      <c r="Q1737"/>
    </row>
    <row r="1738" spans="1:17" ht="13.15" customHeight="1" x14ac:dyDescent="0.2">
      <c r="A1738" s="1" t="s">
        <v>4332</v>
      </c>
      <c r="B1738" s="1" t="s">
        <v>4139</v>
      </c>
      <c r="C1738" s="580" t="s">
        <v>3911</v>
      </c>
      <c r="D1738" s="1">
        <v>1062.1600000000001</v>
      </c>
      <c r="E1738" t="s">
        <v>8125</v>
      </c>
      <c r="F1738" t="s">
        <v>21366</v>
      </c>
      <c r="G1738" s="580">
        <v>793.77850000000001</v>
      </c>
      <c r="H1738" s="1" t="s">
        <v>4333</v>
      </c>
      <c r="I1738" s="1"/>
      <c r="J1738" s="1"/>
      <c r="K1738" s="1"/>
      <c r="L1738" s="1"/>
      <c r="M1738" s="1"/>
      <c r="N1738" s="1"/>
      <c r="Q1738"/>
    </row>
    <row r="1739" spans="1:17" ht="13.15" customHeight="1" x14ac:dyDescent="0.2">
      <c r="A1739" s="1" t="s">
        <v>4334</v>
      </c>
      <c r="B1739" s="1" t="s">
        <v>4139</v>
      </c>
      <c r="C1739" s="580" t="s">
        <v>3914</v>
      </c>
      <c r="D1739" s="1">
        <v>1062.1600000000001</v>
      </c>
      <c r="E1739" t="s">
        <v>8125</v>
      </c>
      <c r="F1739" t="s">
        <v>21368</v>
      </c>
      <c r="G1739" s="580">
        <v>793.77850000000001</v>
      </c>
      <c r="H1739" s="1" t="s">
        <v>4335</v>
      </c>
      <c r="I1739" s="1"/>
      <c r="J1739" s="1"/>
      <c r="K1739" s="1"/>
      <c r="L1739" s="1"/>
      <c r="M1739" s="1"/>
      <c r="N1739" s="1"/>
      <c r="Q1739"/>
    </row>
    <row r="1740" spans="1:17" ht="13.15" customHeight="1" x14ac:dyDescent="0.2">
      <c r="A1740" s="1" t="s">
        <v>4336</v>
      </c>
      <c r="B1740" s="1" t="s">
        <v>4139</v>
      </c>
      <c r="C1740" s="580" t="s">
        <v>3917</v>
      </c>
      <c r="D1740" s="1">
        <v>1147.1199999999999</v>
      </c>
      <c r="E1740" t="s">
        <v>8125</v>
      </c>
      <c r="F1740" t="s">
        <v>21370</v>
      </c>
      <c r="G1740" s="580">
        <v>795.42650000000003</v>
      </c>
      <c r="H1740" s="1" t="s">
        <v>4337</v>
      </c>
      <c r="I1740" s="1"/>
      <c r="J1740" s="1"/>
      <c r="K1740" s="1"/>
      <c r="L1740" s="1"/>
      <c r="M1740" s="1"/>
      <c r="N1740" s="1"/>
      <c r="Q1740"/>
    </row>
    <row r="1741" spans="1:17" ht="13.15" customHeight="1" x14ac:dyDescent="0.2">
      <c r="A1741" s="1" t="s">
        <v>4338</v>
      </c>
      <c r="B1741" s="1" t="s">
        <v>4139</v>
      </c>
      <c r="C1741" s="580" t="s">
        <v>3920</v>
      </c>
      <c r="D1741" s="1">
        <v>1147.1199999999999</v>
      </c>
      <c r="E1741" t="s">
        <v>8125</v>
      </c>
      <c r="F1741" t="s">
        <v>21372</v>
      </c>
      <c r="G1741" s="580">
        <v>795.42650000000003</v>
      </c>
      <c r="H1741" s="1" t="s">
        <v>4339</v>
      </c>
      <c r="I1741" s="1"/>
      <c r="J1741" s="1"/>
      <c r="K1741" s="1"/>
      <c r="L1741" s="1"/>
      <c r="M1741" s="1"/>
      <c r="N1741" s="1"/>
      <c r="Q1741"/>
    </row>
    <row r="1742" spans="1:17" ht="13.15" customHeight="1" x14ac:dyDescent="0.2">
      <c r="A1742" s="1" t="s">
        <v>4340</v>
      </c>
      <c r="B1742" s="1" t="s">
        <v>4139</v>
      </c>
      <c r="C1742" s="580" t="s">
        <v>3923</v>
      </c>
      <c r="D1742" s="1">
        <v>1189.5999999999999</v>
      </c>
      <c r="E1742" t="s">
        <v>8125</v>
      </c>
      <c r="F1742" t="s">
        <v>21374</v>
      </c>
      <c r="G1742" s="580">
        <v>796.28340000000003</v>
      </c>
      <c r="H1742" s="1" t="s">
        <v>4341</v>
      </c>
      <c r="I1742" s="1"/>
      <c r="J1742" s="1"/>
      <c r="K1742" s="1"/>
      <c r="L1742" s="1"/>
      <c r="M1742" s="1"/>
      <c r="N1742" s="1"/>
      <c r="Q1742"/>
    </row>
    <row r="1743" spans="1:17" ht="13.15" customHeight="1" x14ac:dyDescent="0.2">
      <c r="A1743" s="1" t="s">
        <v>4342</v>
      </c>
      <c r="B1743" s="1" t="s">
        <v>4139</v>
      </c>
      <c r="C1743" s="580" t="s">
        <v>3926</v>
      </c>
      <c r="D1743" s="1">
        <v>1189.5999999999999</v>
      </c>
      <c r="E1743" t="s">
        <v>8125</v>
      </c>
      <c r="F1743" t="s">
        <v>21376</v>
      </c>
      <c r="G1743" s="580">
        <v>896.87350000000004</v>
      </c>
      <c r="H1743" s="1" t="s">
        <v>4343</v>
      </c>
      <c r="I1743" s="1"/>
      <c r="J1743" s="1"/>
      <c r="K1743" s="1"/>
      <c r="L1743" s="1"/>
      <c r="M1743" s="1"/>
      <c r="N1743" s="1"/>
      <c r="Q1743"/>
    </row>
    <row r="1744" spans="1:17" ht="13.15" customHeight="1" x14ac:dyDescent="0.2">
      <c r="A1744" s="1" t="s">
        <v>4344</v>
      </c>
      <c r="B1744" s="1" t="s">
        <v>4139</v>
      </c>
      <c r="C1744" s="580" t="s">
        <v>3929</v>
      </c>
      <c r="D1744" s="1">
        <v>1359.56</v>
      </c>
      <c r="E1744" t="s">
        <v>8125</v>
      </c>
      <c r="F1744" t="s">
        <v>21378</v>
      </c>
      <c r="G1744" s="580">
        <v>896.87350000000004</v>
      </c>
      <c r="H1744" s="1" t="s">
        <v>4345</v>
      </c>
      <c r="I1744" s="1"/>
      <c r="J1744" s="1"/>
      <c r="K1744" s="1"/>
      <c r="L1744" s="1"/>
      <c r="M1744" s="1"/>
      <c r="N1744" s="1"/>
      <c r="Q1744"/>
    </row>
    <row r="1745" spans="1:17" ht="13.15" customHeight="1" x14ac:dyDescent="0.2">
      <c r="A1745" s="1" t="s">
        <v>4346</v>
      </c>
      <c r="B1745" s="1" t="s">
        <v>4139</v>
      </c>
      <c r="C1745" s="580" t="s">
        <v>3932</v>
      </c>
      <c r="D1745" s="1">
        <v>1359.56</v>
      </c>
      <c r="E1745" t="s">
        <v>8125</v>
      </c>
      <c r="F1745" t="s">
        <v>21380</v>
      </c>
      <c r="G1745" s="580">
        <v>896.87350000000004</v>
      </c>
      <c r="H1745" s="1" t="s">
        <v>4347</v>
      </c>
      <c r="I1745" s="1"/>
      <c r="J1745" s="1"/>
      <c r="K1745" s="1"/>
      <c r="L1745" s="1"/>
      <c r="M1745" s="1"/>
      <c r="N1745" s="1"/>
      <c r="Q1745"/>
    </row>
    <row r="1746" spans="1:17" ht="13.15" customHeight="1" x14ac:dyDescent="0.2">
      <c r="A1746" s="1" t="s">
        <v>4348</v>
      </c>
      <c r="B1746" s="1" t="s">
        <v>4139</v>
      </c>
      <c r="C1746" s="580" t="s">
        <v>3935</v>
      </c>
      <c r="D1746" s="1">
        <v>1359.56</v>
      </c>
      <c r="E1746" t="s">
        <v>8125</v>
      </c>
      <c r="F1746" t="s">
        <v>21382</v>
      </c>
      <c r="G1746" s="580">
        <v>898.52139999999997</v>
      </c>
      <c r="H1746" s="1" t="s">
        <v>4349</v>
      </c>
      <c r="I1746" s="1"/>
      <c r="J1746" s="1"/>
      <c r="K1746" s="1"/>
      <c r="L1746" s="1"/>
      <c r="M1746" s="1"/>
      <c r="N1746" s="1"/>
      <c r="Q1746"/>
    </row>
    <row r="1747" spans="1:17" ht="13.15" customHeight="1" x14ac:dyDescent="0.2">
      <c r="A1747" s="1" t="s">
        <v>4350</v>
      </c>
      <c r="B1747" s="1" t="s">
        <v>4139</v>
      </c>
      <c r="C1747" s="580" t="s">
        <v>3938</v>
      </c>
      <c r="D1747" s="1">
        <v>1359.56</v>
      </c>
      <c r="E1747" t="s">
        <v>8125</v>
      </c>
      <c r="F1747" t="s">
        <v>21384</v>
      </c>
      <c r="G1747" s="580">
        <v>898.52139999999997</v>
      </c>
      <c r="H1747" s="1" t="s">
        <v>4351</v>
      </c>
      <c r="I1747" s="1"/>
      <c r="J1747" s="1"/>
      <c r="K1747" s="1"/>
      <c r="L1747" s="1"/>
      <c r="M1747" s="1"/>
      <c r="N1747" s="1"/>
      <c r="Q1747"/>
    </row>
    <row r="1748" spans="1:17" ht="13.15" customHeight="1" x14ac:dyDescent="0.2">
      <c r="A1748" s="1" t="s">
        <v>4352</v>
      </c>
      <c r="B1748" s="1" t="s">
        <v>4353</v>
      </c>
      <c r="C1748" s="580">
        <v>1</v>
      </c>
      <c r="D1748" s="1">
        <v>2536.7109999999998</v>
      </c>
      <c r="E1748" t="s">
        <v>4354</v>
      </c>
      <c r="F1748" t="s">
        <v>4355</v>
      </c>
      <c r="G1748" s="580">
        <v>659.81209999999999</v>
      </c>
      <c r="H1748" s="1" t="s">
        <v>4356</v>
      </c>
      <c r="I1748" s="1"/>
      <c r="J1748" s="1"/>
      <c r="K1748" s="1"/>
      <c r="L1748" s="1"/>
      <c r="M1748" s="1"/>
      <c r="N1748" s="1"/>
      <c r="Q1748"/>
    </row>
    <row r="1749" spans="1:17" ht="13.15" customHeight="1" x14ac:dyDescent="0.2">
      <c r="A1749" s="1" t="s">
        <v>4357</v>
      </c>
      <c r="B1749" s="1" t="s">
        <v>4353</v>
      </c>
      <c r="C1749" s="580">
        <v>2</v>
      </c>
      <c r="D1749" s="1">
        <v>3253.1043</v>
      </c>
      <c r="E1749" t="s">
        <v>4354</v>
      </c>
      <c r="F1749" t="s">
        <v>4358</v>
      </c>
      <c r="G1749" s="580">
        <v>846.14980000000003</v>
      </c>
      <c r="H1749" s="1" t="s">
        <v>4359</v>
      </c>
      <c r="I1749" s="1"/>
      <c r="J1749" s="1"/>
      <c r="K1749" s="1"/>
      <c r="L1749" s="1"/>
      <c r="M1749" s="1"/>
      <c r="N1749" s="1"/>
      <c r="Q1749"/>
    </row>
    <row r="1750" spans="1:17" ht="13.15" customHeight="1" x14ac:dyDescent="0.2">
      <c r="A1750" s="1" t="s">
        <v>4360</v>
      </c>
      <c r="B1750" s="1" t="s">
        <v>4353</v>
      </c>
      <c r="C1750" s="580">
        <v>3</v>
      </c>
      <c r="D1750" s="1">
        <v>3253.1043</v>
      </c>
      <c r="E1750" t="s">
        <v>4354</v>
      </c>
      <c r="F1750" t="s">
        <v>4361</v>
      </c>
      <c r="G1750" s="580">
        <v>846.14980000000003</v>
      </c>
      <c r="H1750" s="1" t="s">
        <v>4362</v>
      </c>
      <c r="I1750" s="1"/>
      <c r="J1750" s="1"/>
      <c r="K1750" s="1"/>
      <c r="L1750" s="1"/>
      <c r="M1750" s="1"/>
      <c r="N1750" s="1"/>
      <c r="Q1750"/>
    </row>
    <row r="1751" spans="1:17" ht="13.15" customHeight="1" x14ac:dyDescent="0.2">
      <c r="A1751" s="1" t="s">
        <v>4363</v>
      </c>
      <c r="B1751" s="1" t="s">
        <v>4353</v>
      </c>
      <c r="C1751" s="580">
        <v>4</v>
      </c>
      <c r="D1751" s="1">
        <v>4812.2632999999996</v>
      </c>
      <c r="E1751" t="s">
        <v>4354</v>
      </c>
      <c r="F1751" t="s">
        <v>4364</v>
      </c>
      <c r="G1751" s="580">
        <v>1251.6954000000001</v>
      </c>
      <c r="H1751" s="1" t="s">
        <v>4365</v>
      </c>
      <c r="I1751" s="1"/>
      <c r="J1751" s="1"/>
      <c r="K1751" s="1"/>
      <c r="L1751" s="1"/>
      <c r="M1751" s="1"/>
      <c r="N1751" s="1"/>
      <c r="Q1751"/>
    </row>
    <row r="1752" spans="1:17" ht="13.15" customHeight="1" x14ac:dyDescent="0.2">
      <c r="A1752" s="1" t="s">
        <v>4366</v>
      </c>
      <c r="B1752" s="1" t="s">
        <v>4353</v>
      </c>
      <c r="C1752" s="580">
        <v>5</v>
      </c>
      <c r="D1752" s="1">
        <v>5291.6689999999999</v>
      </c>
      <c r="E1752" t="s">
        <v>4354</v>
      </c>
      <c r="F1752" t="s">
        <v>4367</v>
      </c>
      <c r="G1752" s="580">
        <v>1376.3914</v>
      </c>
      <c r="H1752" s="1" t="s">
        <v>4368</v>
      </c>
      <c r="I1752" s="1"/>
      <c r="J1752" s="1"/>
      <c r="K1752" s="1"/>
      <c r="L1752" s="1"/>
      <c r="M1752" s="1"/>
      <c r="N1752" s="1"/>
      <c r="Q1752"/>
    </row>
    <row r="1753" spans="1:17" ht="13.15" customHeight="1" x14ac:dyDescent="0.2">
      <c r="A1753" s="1" t="s">
        <v>4369</v>
      </c>
      <c r="B1753" s="1" t="s">
        <v>4353</v>
      </c>
      <c r="C1753" s="580">
        <v>6</v>
      </c>
      <c r="D1753" s="1">
        <v>1782.1551999999999</v>
      </c>
      <c r="E1753" t="s">
        <v>4354</v>
      </c>
      <c r="F1753" t="s">
        <v>4370</v>
      </c>
      <c r="G1753" s="580">
        <v>463.54820000000001</v>
      </c>
      <c r="H1753" s="1" t="s">
        <v>4371</v>
      </c>
      <c r="I1753" s="1"/>
      <c r="J1753" s="1"/>
      <c r="K1753" s="1"/>
      <c r="L1753" s="1"/>
      <c r="M1753" s="1"/>
      <c r="N1753" s="1"/>
      <c r="Q1753"/>
    </row>
    <row r="1754" spans="1:17" ht="13.15" customHeight="1" x14ac:dyDescent="0.2">
      <c r="A1754" s="1" t="s">
        <v>4372</v>
      </c>
      <c r="B1754" s="1" t="s">
        <v>4353</v>
      </c>
      <c r="C1754" s="580">
        <v>7</v>
      </c>
      <c r="D1754" s="1">
        <v>1785.5362</v>
      </c>
      <c r="E1754" t="s">
        <v>4354</v>
      </c>
      <c r="F1754" t="s">
        <v>4373</v>
      </c>
      <c r="G1754" s="580">
        <v>464.42759999999998</v>
      </c>
      <c r="H1754" s="1" t="s">
        <v>4374</v>
      </c>
      <c r="I1754" s="1"/>
      <c r="J1754" s="1"/>
      <c r="K1754" s="1"/>
      <c r="L1754" s="1"/>
      <c r="M1754" s="1"/>
      <c r="N1754" s="1"/>
      <c r="Q1754"/>
    </row>
    <row r="1755" spans="1:17" ht="13.15" customHeight="1" x14ac:dyDescent="0.2">
      <c r="A1755" s="1" t="s">
        <v>4375</v>
      </c>
      <c r="B1755" s="1" t="s">
        <v>4353</v>
      </c>
      <c r="C1755" s="580">
        <v>8</v>
      </c>
      <c r="D1755" s="1">
        <v>2608.4852000000001</v>
      </c>
      <c r="E1755" t="s">
        <v>4354</v>
      </c>
      <c r="F1755" t="s">
        <v>4376</v>
      </c>
      <c r="G1755" s="580">
        <v>678.48099999999999</v>
      </c>
      <c r="H1755" s="1" t="s">
        <v>4377</v>
      </c>
      <c r="I1755" s="1"/>
      <c r="J1755" s="1"/>
      <c r="K1755" s="1"/>
      <c r="L1755" s="1"/>
      <c r="M1755" s="1"/>
      <c r="N1755" s="1"/>
      <c r="Q1755"/>
    </row>
    <row r="1756" spans="1:17" ht="13.15" customHeight="1" x14ac:dyDescent="0.2">
      <c r="A1756" s="1" t="s">
        <v>4378</v>
      </c>
      <c r="B1756" s="1" t="s">
        <v>4353</v>
      </c>
      <c r="C1756" s="580">
        <v>9</v>
      </c>
      <c r="D1756" s="1">
        <v>3153.3013999999998</v>
      </c>
      <c r="E1756" t="s">
        <v>4354</v>
      </c>
      <c r="F1756" t="s">
        <v>4379</v>
      </c>
      <c r="G1756" s="580">
        <v>820.19060000000002</v>
      </c>
      <c r="H1756" s="1" t="s">
        <v>4380</v>
      </c>
      <c r="I1756" s="1"/>
      <c r="J1756" s="1"/>
      <c r="K1756" s="1"/>
      <c r="L1756" s="1"/>
      <c r="M1756" s="1"/>
      <c r="N1756" s="1"/>
      <c r="Q1756"/>
    </row>
    <row r="1757" spans="1:17" ht="13.15" customHeight="1" x14ac:dyDescent="0.2">
      <c r="A1757" s="1" t="s">
        <v>4381</v>
      </c>
      <c r="B1757" s="1" t="s">
        <v>4353</v>
      </c>
      <c r="C1757" s="580">
        <v>10</v>
      </c>
      <c r="D1757" s="1">
        <v>1951.2924</v>
      </c>
      <c r="E1757" t="s">
        <v>4354</v>
      </c>
      <c r="F1757" t="s">
        <v>4382</v>
      </c>
      <c r="G1757" s="580">
        <v>507.54160000000002</v>
      </c>
      <c r="H1757" s="1" t="s">
        <v>4383</v>
      </c>
      <c r="I1757" s="1"/>
      <c r="J1757" s="1"/>
      <c r="K1757" s="1"/>
      <c r="L1757" s="1"/>
      <c r="M1757" s="1"/>
      <c r="N1757" s="1"/>
      <c r="Q1757"/>
    </row>
    <row r="1758" spans="1:17" ht="13.15" customHeight="1" x14ac:dyDescent="0.2">
      <c r="A1758" s="1" t="s">
        <v>4384</v>
      </c>
      <c r="B1758" s="1" t="s">
        <v>4353</v>
      </c>
      <c r="C1758" s="580">
        <v>11</v>
      </c>
      <c r="D1758" s="1">
        <v>1954.6732999999999</v>
      </c>
      <c r="E1758" t="s">
        <v>4354</v>
      </c>
      <c r="F1758" t="s">
        <v>4385</v>
      </c>
      <c r="G1758" s="580">
        <v>508.42099999999999</v>
      </c>
      <c r="H1758" s="1" t="s">
        <v>4386</v>
      </c>
      <c r="I1758" s="1"/>
      <c r="J1758" s="1"/>
      <c r="K1758" s="1"/>
      <c r="L1758" s="1"/>
      <c r="M1758" s="1"/>
      <c r="N1758" s="1"/>
      <c r="Q1758"/>
    </row>
    <row r="1759" spans="1:17" ht="13.15" customHeight="1" x14ac:dyDescent="0.2">
      <c r="A1759" s="1" t="s">
        <v>4387</v>
      </c>
      <c r="B1759" s="1" t="s">
        <v>4353</v>
      </c>
      <c r="C1759" s="580">
        <v>12</v>
      </c>
      <c r="D1759" s="1">
        <v>2438.3105</v>
      </c>
      <c r="E1759" t="s">
        <v>4354</v>
      </c>
      <c r="F1759" t="s">
        <v>4388</v>
      </c>
      <c r="G1759" s="580">
        <v>634.21759999999995</v>
      </c>
      <c r="H1759" s="1" t="s">
        <v>4389</v>
      </c>
      <c r="I1759" s="1"/>
      <c r="J1759" s="1"/>
      <c r="K1759" s="1"/>
      <c r="L1759" s="1"/>
      <c r="M1759" s="1"/>
      <c r="N1759" s="1"/>
      <c r="Q1759"/>
    </row>
    <row r="1760" spans="1:17" ht="13.15" customHeight="1" x14ac:dyDescent="0.2">
      <c r="A1760" s="1" t="s">
        <v>4390</v>
      </c>
      <c r="B1760" s="1" t="s">
        <v>4353</v>
      </c>
      <c r="C1760" s="580">
        <v>13</v>
      </c>
      <c r="D1760" s="1">
        <v>3131.5666999999999</v>
      </c>
      <c r="E1760" t="s">
        <v>4354</v>
      </c>
      <c r="F1760" t="s">
        <v>4391</v>
      </c>
      <c r="G1760" s="580">
        <v>814.53729999999996</v>
      </c>
      <c r="H1760" s="1" t="s">
        <v>4392</v>
      </c>
      <c r="I1760" s="1"/>
      <c r="J1760" s="1"/>
      <c r="K1760" s="1"/>
      <c r="L1760" s="1"/>
      <c r="M1760" s="1"/>
      <c r="N1760" s="1"/>
      <c r="Q1760"/>
    </row>
    <row r="1761" spans="1:17" ht="13.15" customHeight="1" x14ac:dyDescent="0.2">
      <c r="A1761" s="1" t="s">
        <v>4393</v>
      </c>
      <c r="B1761" s="1" t="s">
        <v>4353</v>
      </c>
      <c r="C1761" s="580">
        <v>16</v>
      </c>
      <c r="D1761" s="1">
        <v>4098.8181000000004</v>
      </c>
      <c r="E1761" t="s">
        <v>4354</v>
      </c>
      <c r="F1761" t="s">
        <v>4394</v>
      </c>
      <c r="G1761" s="580">
        <v>1066.1244999999999</v>
      </c>
      <c r="H1761" s="1" t="s">
        <v>4395</v>
      </c>
      <c r="I1761" s="1"/>
      <c r="J1761" s="1"/>
      <c r="K1761" s="1"/>
      <c r="L1761" s="1"/>
      <c r="M1761" s="1"/>
      <c r="N1761" s="1"/>
      <c r="Q1761"/>
    </row>
    <row r="1762" spans="1:17" ht="13.15" customHeight="1" x14ac:dyDescent="0.2">
      <c r="A1762" s="1" t="s">
        <v>4396</v>
      </c>
      <c r="B1762" s="1" t="s">
        <v>4353</v>
      </c>
      <c r="C1762" s="580">
        <v>17</v>
      </c>
      <c r="D1762" s="1">
        <v>4029.7732999999998</v>
      </c>
      <c r="E1762" t="s">
        <v>4354</v>
      </c>
      <c r="F1762" t="s">
        <v>4397</v>
      </c>
      <c r="G1762" s="580">
        <v>1048.1656</v>
      </c>
      <c r="H1762" s="1" t="s">
        <v>4398</v>
      </c>
      <c r="I1762" s="1"/>
      <c r="J1762" s="1"/>
      <c r="K1762" s="1"/>
      <c r="L1762" s="1"/>
      <c r="M1762" s="1"/>
      <c r="N1762" s="1"/>
      <c r="Q1762"/>
    </row>
    <row r="1763" spans="1:17" ht="13.15" customHeight="1" x14ac:dyDescent="0.2">
      <c r="A1763" s="1" t="s">
        <v>4399</v>
      </c>
      <c r="B1763" s="1" t="s">
        <v>4353</v>
      </c>
      <c r="C1763" s="580">
        <v>18</v>
      </c>
      <c r="D1763" s="1">
        <v>4036.5351999999998</v>
      </c>
      <c r="E1763" t="s">
        <v>4354</v>
      </c>
      <c r="F1763" t="s">
        <v>4400</v>
      </c>
      <c r="G1763" s="580">
        <v>1049.9244000000001</v>
      </c>
      <c r="H1763" s="1" t="s">
        <v>4401</v>
      </c>
      <c r="I1763" s="1"/>
      <c r="J1763" s="1"/>
      <c r="K1763" s="1"/>
      <c r="L1763" s="1"/>
      <c r="M1763" s="1"/>
      <c r="N1763" s="1"/>
      <c r="Q1763"/>
    </row>
    <row r="1764" spans="1:17" ht="13.15" customHeight="1" x14ac:dyDescent="0.2">
      <c r="A1764" s="1" t="s">
        <v>4402</v>
      </c>
      <c r="B1764" s="1" t="s">
        <v>4353</v>
      </c>
      <c r="C1764" s="580">
        <v>19</v>
      </c>
      <c r="D1764" s="1">
        <v>5097.0271000000002</v>
      </c>
      <c r="E1764" t="s">
        <v>4354</v>
      </c>
      <c r="F1764" t="s">
        <v>4403</v>
      </c>
      <c r="G1764" s="580">
        <v>1325.7639999999999</v>
      </c>
      <c r="H1764" s="1" t="s">
        <v>4404</v>
      </c>
      <c r="I1764" s="1"/>
      <c r="J1764" s="1"/>
      <c r="K1764" s="1"/>
      <c r="L1764" s="1"/>
      <c r="M1764" s="1"/>
      <c r="N1764" s="1"/>
      <c r="Q1764"/>
    </row>
    <row r="1765" spans="1:17" ht="13.15" customHeight="1" x14ac:dyDescent="0.2">
      <c r="A1765" s="1" t="s">
        <v>4405</v>
      </c>
      <c r="B1765" s="1" t="s">
        <v>4353</v>
      </c>
      <c r="C1765" s="580">
        <v>20</v>
      </c>
      <c r="D1765" s="1">
        <v>5600.1451999999999</v>
      </c>
      <c r="E1765" t="s">
        <v>4354</v>
      </c>
      <c r="F1765" t="s">
        <v>4406</v>
      </c>
      <c r="G1765" s="580">
        <v>1456.6277</v>
      </c>
      <c r="H1765" s="1" t="s">
        <v>4407</v>
      </c>
      <c r="I1765" s="1"/>
      <c r="J1765" s="1"/>
      <c r="K1765" s="1"/>
      <c r="L1765" s="1"/>
      <c r="M1765" s="1"/>
      <c r="N1765" s="1"/>
      <c r="Q1765"/>
    </row>
    <row r="1766" spans="1:17" ht="13.15" customHeight="1" x14ac:dyDescent="0.2">
      <c r="A1766" s="1" t="s">
        <v>4408</v>
      </c>
      <c r="B1766" s="1" t="s">
        <v>4353</v>
      </c>
      <c r="C1766" s="580">
        <v>21</v>
      </c>
      <c r="D1766" s="1">
        <v>8199.7757000000001</v>
      </c>
      <c r="E1766" t="s">
        <v>4354</v>
      </c>
      <c r="F1766" t="s">
        <v>4409</v>
      </c>
      <c r="G1766" s="580">
        <v>2132.8054000000002</v>
      </c>
      <c r="H1766" s="1" t="s">
        <v>4410</v>
      </c>
      <c r="I1766" s="1"/>
      <c r="J1766" s="1"/>
      <c r="K1766" s="1"/>
      <c r="L1766" s="1"/>
      <c r="M1766" s="1"/>
      <c r="N1766" s="1"/>
      <c r="Q1766"/>
    </row>
    <row r="1767" spans="1:17" ht="13.15" customHeight="1" x14ac:dyDescent="0.2">
      <c r="A1767" s="1" t="s">
        <v>4411</v>
      </c>
      <c r="B1767" s="1" t="s">
        <v>4353</v>
      </c>
      <c r="C1767" s="580">
        <v>22</v>
      </c>
      <c r="D1767" s="1">
        <v>10815.183800000001</v>
      </c>
      <c r="E1767" t="s">
        <v>4354</v>
      </c>
      <c r="F1767" t="s">
        <v>4412</v>
      </c>
      <c r="G1767" s="580">
        <v>2813.0871000000002</v>
      </c>
      <c r="H1767" s="1" t="s">
        <v>4413</v>
      </c>
      <c r="I1767" s="1"/>
      <c r="J1767" s="1"/>
      <c r="K1767" s="1"/>
      <c r="L1767" s="1"/>
      <c r="M1767" s="1"/>
      <c r="N1767" s="1"/>
      <c r="Q1767"/>
    </row>
    <row r="1768" spans="1:17" ht="13.15" customHeight="1" x14ac:dyDescent="0.2">
      <c r="A1768" s="1" t="s">
        <v>4414</v>
      </c>
      <c r="B1768" s="1" t="s">
        <v>4353</v>
      </c>
      <c r="C1768" s="580">
        <v>23</v>
      </c>
      <c r="D1768" s="1">
        <v>14656.635700000001</v>
      </c>
      <c r="E1768" t="s">
        <v>4354</v>
      </c>
      <c r="F1768" t="s">
        <v>4415</v>
      </c>
      <c r="G1768" s="580">
        <v>3812.2692000000002</v>
      </c>
      <c r="H1768" s="1" t="s">
        <v>4416</v>
      </c>
      <c r="I1768" s="1"/>
      <c r="J1768" s="1"/>
      <c r="K1768" s="1"/>
      <c r="L1768" s="1"/>
      <c r="M1768" s="1"/>
      <c r="N1768" s="1"/>
      <c r="Q1768"/>
    </row>
    <row r="1769" spans="1:17" ht="13.15" customHeight="1" x14ac:dyDescent="0.2">
      <c r="A1769" s="1" t="s">
        <v>4417</v>
      </c>
      <c r="B1769" s="1" t="s">
        <v>4353</v>
      </c>
      <c r="C1769" s="580">
        <v>25</v>
      </c>
      <c r="D1769" s="1">
        <v>4104.8576000000003</v>
      </c>
      <c r="E1769" t="s">
        <v>4354</v>
      </c>
      <c r="F1769" t="s">
        <v>4418</v>
      </c>
      <c r="G1769" s="580">
        <v>1067.6955</v>
      </c>
      <c r="H1769" s="1" t="s">
        <v>4419</v>
      </c>
      <c r="I1769" s="1"/>
      <c r="J1769" s="1"/>
      <c r="K1769" s="1"/>
      <c r="L1769" s="1"/>
      <c r="M1769" s="1"/>
      <c r="N1769" s="1"/>
      <c r="Q1769"/>
    </row>
    <row r="1770" spans="1:17" ht="13.15" customHeight="1" x14ac:dyDescent="0.2">
      <c r="A1770" s="1" t="s">
        <v>4420</v>
      </c>
      <c r="B1770" s="1" t="s">
        <v>4353</v>
      </c>
      <c r="C1770" s="580">
        <v>26</v>
      </c>
      <c r="D1770" s="1">
        <v>2148.8948</v>
      </c>
      <c r="E1770" t="s">
        <v>4354</v>
      </c>
      <c r="F1770" t="s">
        <v>4421</v>
      </c>
      <c r="G1770" s="580">
        <v>558.93899999999996</v>
      </c>
      <c r="H1770" s="1" t="s">
        <v>4422</v>
      </c>
      <c r="I1770" s="1"/>
      <c r="J1770" s="1"/>
      <c r="K1770" s="1"/>
      <c r="L1770" s="1"/>
      <c r="M1770" s="1"/>
      <c r="N1770" s="1"/>
      <c r="Q1770"/>
    </row>
    <row r="1771" spans="1:17" ht="13.15" customHeight="1" x14ac:dyDescent="0.2">
      <c r="A1771" s="1" t="s">
        <v>4423</v>
      </c>
      <c r="B1771" s="1" t="s">
        <v>4353</v>
      </c>
      <c r="C1771" s="580">
        <v>27</v>
      </c>
      <c r="D1771" s="1">
        <v>2148.8948</v>
      </c>
      <c r="E1771" t="s">
        <v>4354</v>
      </c>
      <c r="F1771" t="s">
        <v>4424</v>
      </c>
      <c r="G1771" s="580">
        <v>558.93899999999996</v>
      </c>
      <c r="H1771" s="1" t="s">
        <v>4425</v>
      </c>
      <c r="I1771" s="1"/>
      <c r="J1771" s="1"/>
      <c r="K1771" s="1"/>
      <c r="L1771" s="1"/>
      <c r="M1771" s="1"/>
      <c r="N1771" s="1"/>
      <c r="Q1771"/>
    </row>
    <row r="1772" spans="1:17" ht="13.15" customHeight="1" x14ac:dyDescent="0.2">
      <c r="A1772" s="1" t="s">
        <v>4426</v>
      </c>
      <c r="B1772" s="1" t="s">
        <v>4353</v>
      </c>
      <c r="C1772" s="580">
        <v>30</v>
      </c>
      <c r="D1772" s="1">
        <v>2588.4429</v>
      </c>
      <c r="E1772" t="s">
        <v>4354</v>
      </c>
      <c r="F1772" t="s">
        <v>4427</v>
      </c>
      <c r="G1772" s="580">
        <v>673.26779999999997</v>
      </c>
      <c r="H1772" s="1" t="s">
        <v>4428</v>
      </c>
      <c r="I1772" s="1"/>
      <c r="J1772" s="1"/>
      <c r="K1772" s="1"/>
      <c r="L1772" s="1"/>
      <c r="M1772" s="1"/>
      <c r="N1772" s="1"/>
      <c r="Q1772"/>
    </row>
    <row r="1773" spans="1:17" ht="13.15" customHeight="1" x14ac:dyDescent="0.2">
      <c r="A1773" s="1" t="s">
        <v>4429</v>
      </c>
      <c r="B1773" s="1" t="s">
        <v>4353</v>
      </c>
      <c r="C1773" s="580">
        <v>31</v>
      </c>
      <c r="D1773" s="1">
        <v>2588.4429</v>
      </c>
      <c r="E1773" t="s">
        <v>4354</v>
      </c>
      <c r="F1773" t="s">
        <v>4430</v>
      </c>
      <c r="G1773" s="580">
        <v>673.26779999999997</v>
      </c>
      <c r="H1773" s="1" t="s">
        <v>4431</v>
      </c>
      <c r="I1773" s="1"/>
      <c r="J1773" s="1"/>
      <c r="K1773" s="1"/>
      <c r="L1773" s="1"/>
      <c r="M1773" s="1"/>
      <c r="N1773" s="1"/>
      <c r="Q1773"/>
    </row>
    <row r="1774" spans="1:17" ht="13.15" customHeight="1" x14ac:dyDescent="0.2">
      <c r="A1774" s="1" t="s">
        <v>4432</v>
      </c>
      <c r="B1774" s="1" t="s">
        <v>4353</v>
      </c>
      <c r="C1774" s="580">
        <v>32</v>
      </c>
      <c r="D1774" s="1">
        <v>3848.5985999999998</v>
      </c>
      <c r="E1774" t="s">
        <v>4354</v>
      </c>
      <c r="F1774" t="s">
        <v>4433</v>
      </c>
      <c r="G1774" s="580">
        <v>1001.0410000000001</v>
      </c>
      <c r="H1774" s="1" t="s">
        <v>4434</v>
      </c>
      <c r="I1774" s="1"/>
      <c r="J1774" s="1"/>
      <c r="K1774" s="1"/>
      <c r="L1774" s="1"/>
      <c r="M1774" s="1"/>
      <c r="N1774" s="1"/>
      <c r="Q1774"/>
    </row>
    <row r="1775" spans="1:17" ht="13.15" customHeight="1" x14ac:dyDescent="0.2">
      <c r="A1775" s="1" t="s">
        <v>4435</v>
      </c>
      <c r="B1775" s="1" t="s">
        <v>4353</v>
      </c>
      <c r="C1775" s="580">
        <v>33</v>
      </c>
      <c r="D1775" s="1">
        <v>4362.6243000000004</v>
      </c>
      <c r="E1775" t="s">
        <v>4354</v>
      </c>
      <c r="F1775" t="s">
        <v>4436</v>
      </c>
      <c r="G1775" s="580">
        <v>1134.7419</v>
      </c>
      <c r="H1775" s="1" t="s">
        <v>4437</v>
      </c>
      <c r="I1775" s="1"/>
      <c r="J1775" s="1"/>
      <c r="K1775" s="1"/>
      <c r="L1775" s="1"/>
      <c r="M1775" s="1"/>
      <c r="N1775" s="1"/>
      <c r="Q1775"/>
    </row>
    <row r="1776" spans="1:17" ht="13.15" customHeight="1" x14ac:dyDescent="0.2">
      <c r="A1776" s="1" t="s">
        <v>4438</v>
      </c>
      <c r="B1776" s="1" t="s">
        <v>4353</v>
      </c>
      <c r="C1776" s="580">
        <v>95</v>
      </c>
      <c r="D1776" s="1">
        <v>4455</v>
      </c>
      <c r="E1776" t="s">
        <v>2780</v>
      </c>
      <c r="F1776" t="s">
        <v>4439</v>
      </c>
      <c r="G1776" s="580">
        <v>0</v>
      </c>
      <c r="H1776" s="1" t="s">
        <v>4440</v>
      </c>
      <c r="I1776" s="1"/>
      <c r="J1776" s="1"/>
      <c r="K1776" s="1"/>
      <c r="L1776" s="1"/>
      <c r="M1776" s="1"/>
      <c r="N1776" s="1"/>
      <c r="Q1776"/>
    </row>
    <row r="1777" spans="1:17" ht="13.15" customHeight="1" x14ac:dyDescent="0.2">
      <c r="A1777" s="1" t="s">
        <v>4441</v>
      </c>
      <c r="B1777" s="1" t="s">
        <v>4353</v>
      </c>
      <c r="C1777" s="580">
        <v>96</v>
      </c>
      <c r="D1777" s="1">
        <v>4455</v>
      </c>
      <c r="E1777" t="s">
        <v>2780</v>
      </c>
      <c r="F1777" t="s">
        <v>4442</v>
      </c>
      <c r="G1777" s="580">
        <v>0</v>
      </c>
      <c r="H1777" s="1" t="s">
        <v>4443</v>
      </c>
      <c r="I1777" s="1"/>
      <c r="J1777" s="1"/>
      <c r="K1777" s="1"/>
      <c r="L1777" s="1"/>
      <c r="M1777" s="1"/>
      <c r="N1777" s="1"/>
      <c r="Q1777"/>
    </row>
    <row r="1778" spans="1:17" ht="13.15" customHeight="1" x14ac:dyDescent="0.2">
      <c r="A1778" s="1" t="s">
        <v>4444</v>
      </c>
      <c r="B1778" s="1" t="s">
        <v>4353</v>
      </c>
      <c r="C1778" s="580">
        <v>97</v>
      </c>
      <c r="D1778" s="1">
        <v>4455</v>
      </c>
      <c r="E1778" t="s">
        <v>2780</v>
      </c>
      <c r="F1778" t="s">
        <v>4445</v>
      </c>
      <c r="G1778" s="580">
        <v>0</v>
      </c>
      <c r="H1778" s="1" t="s">
        <v>4446</v>
      </c>
      <c r="I1778" s="1"/>
      <c r="J1778" s="1"/>
      <c r="K1778" s="1"/>
      <c r="L1778" s="1"/>
      <c r="M1778" s="1"/>
      <c r="N1778" s="1"/>
      <c r="Q1778"/>
    </row>
    <row r="1779" spans="1:17" ht="13.15" customHeight="1" x14ac:dyDescent="0.2">
      <c r="A1779" s="1" t="s">
        <v>4447</v>
      </c>
      <c r="B1779" s="1" t="s">
        <v>4353</v>
      </c>
      <c r="C1779" s="580">
        <v>98</v>
      </c>
      <c r="D1779" s="1">
        <v>4455</v>
      </c>
      <c r="E1779" t="s">
        <v>2780</v>
      </c>
      <c r="F1779" t="s">
        <v>4448</v>
      </c>
      <c r="G1779" s="580">
        <v>0</v>
      </c>
      <c r="H1779" s="1" t="s">
        <v>4449</v>
      </c>
      <c r="I1779" s="1"/>
      <c r="J1779" s="1"/>
      <c r="K1779" s="1"/>
      <c r="L1779" s="1"/>
      <c r="M1779" s="1"/>
      <c r="N1779" s="1"/>
      <c r="Q1779"/>
    </row>
    <row r="1780" spans="1:17" ht="13.15" customHeight="1" x14ac:dyDescent="0.2">
      <c r="A1780" s="1" t="s">
        <v>4450</v>
      </c>
      <c r="B1780" s="1" t="s">
        <v>4353</v>
      </c>
      <c r="C1780" s="580">
        <v>40</v>
      </c>
      <c r="D1780" s="1">
        <v>2540.3281000000002</v>
      </c>
      <c r="E1780" t="s">
        <v>4354</v>
      </c>
      <c r="F1780" t="s">
        <v>4451</v>
      </c>
      <c r="G1780" s="580">
        <v>660.75300000000004</v>
      </c>
      <c r="H1780" s="1" t="s">
        <v>4452</v>
      </c>
      <c r="I1780" s="1"/>
      <c r="J1780" s="1"/>
      <c r="K1780" s="1"/>
      <c r="L1780" s="1"/>
      <c r="M1780" s="1"/>
      <c r="N1780" s="1"/>
      <c r="Q1780"/>
    </row>
    <row r="1781" spans="1:17" ht="13.15" customHeight="1" x14ac:dyDescent="0.2">
      <c r="A1781" s="1" t="s">
        <v>4453</v>
      </c>
      <c r="B1781" s="1" t="s">
        <v>4353</v>
      </c>
      <c r="C1781" s="580">
        <v>41</v>
      </c>
      <c r="D1781" s="1">
        <v>2229.1118999999999</v>
      </c>
      <c r="E1781" t="s">
        <v>4354</v>
      </c>
      <c r="F1781" t="s">
        <v>4454</v>
      </c>
      <c r="G1781" s="580">
        <v>579.8039</v>
      </c>
      <c r="H1781" s="1" t="s">
        <v>4455</v>
      </c>
      <c r="I1781" s="1"/>
      <c r="J1781" s="1"/>
      <c r="K1781" s="1"/>
      <c r="L1781" s="1"/>
      <c r="M1781" s="1"/>
      <c r="N1781" s="1"/>
      <c r="Q1781"/>
    </row>
    <row r="1782" spans="1:17" ht="13.15" customHeight="1" x14ac:dyDescent="0.2">
      <c r="A1782" s="1" t="s">
        <v>4456</v>
      </c>
      <c r="B1782" s="1" t="s">
        <v>4353</v>
      </c>
      <c r="C1782" s="580">
        <v>42</v>
      </c>
      <c r="D1782" s="1">
        <v>2448.6543000000001</v>
      </c>
      <c r="E1782" t="s">
        <v>4354</v>
      </c>
      <c r="F1782" t="s">
        <v>4457</v>
      </c>
      <c r="G1782" s="580">
        <v>636.90809999999999</v>
      </c>
      <c r="H1782" s="1" t="s">
        <v>4458</v>
      </c>
      <c r="I1782" s="1"/>
      <c r="J1782" s="1"/>
      <c r="K1782" s="1"/>
      <c r="L1782" s="1"/>
      <c r="M1782" s="1"/>
      <c r="N1782" s="1"/>
      <c r="Q1782"/>
    </row>
    <row r="1783" spans="1:17" ht="13.15" customHeight="1" x14ac:dyDescent="0.2">
      <c r="A1783" s="1" t="s">
        <v>4459</v>
      </c>
      <c r="B1783" s="1" t="s">
        <v>4353</v>
      </c>
      <c r="C1783" s="580">
        <v>43</v>
      </c>
      <c r="D1783" s="1">
        <v>2852.0023999999999</v>
      </c>
      <c r="E1783" t="s">
        <v>4354</v>
      </c>
      <c r="F1783" t="s">
        <v>4460</v>
      </c>
      <c r="G1783" s="580">
        <v>741.8211</v>
      </c>
      <c r="H1783" s="1" t="s">
        <v>4461</v>
      </c>
      <c r="I1783" s="1"/>
      <c r="J1783" s="1"/>
      <c r="K1783" s="1"/>
      <c r="L1783" s="1"/>
      <c r="M1783" s="1"/>
      <c r="N1783" s="1"/>
      <c r="Q1783"/>
    </row>
    <row r="1784" spans="1:17" ht="13.15" customHeight="1" x14ac:dyDescent="0.2">
      <c r="A1784" s="1" t="s">
        <v>4462</v>
      </c>
      <c r="B1784" s="1" t="s">
        <v>4353</v>
      </c>
      <c r="C1784" s="580">
        <v>44</v>
      </c>
      <c r="D1784" s="1">
        <v>3600</v>
      </c>
      <c r="E1784" t="s">
        <v>4354</v>
      </c>
      <c r="F1784" t="s">
        <v>4463</v>
      </c>
      <c r="G1784" s="580">
        <v>0</v>
      </c>
      <c r="H1784" s="1" t="s">
        <v>4463</v>
      </c>
      <c r="I1784" s="1"/>
      <c r="J1784" s="1"/>
      <c r="K1784" s="1"/>
      <c r="L1784" s="1"/>
      <c r="M1784" s="1"/>
      <c r="N1784" s="1"/>
      <c r="Q1784"/>
    </row>
    <row r="1785" spans="1:17" ht="13.15" customHeight="1" x14ac:dyDescent="0.2">
      <c r="A1785" s="1" t="s">
        <v>4464</v>
      </c>
      <c r="B1785" s="1" t="s">
        <v>4353</v>
      </c>
      <c r="C1785" s="580">
        <v>45</v>
      </c>
      <c r="D1785" s="1">
        <v>4210.5366999999997</v>
      </c>
      <c r="E1785" t="s">
        <v>4354</v>
      </c>
      <c r="F1785" t="s">
        <v>4465</v>
      </c>
      <c r="G1785" s="580">
        <v>1095.1831</v>
      </c>
      <c r="H1785" s="1" t="s">
        <v>4466</v>
      </c>
      <c r="I1785" s="1"/>
      <c r="J1785" s="1"/>
      <c r="K1785" s="1"/>
      <c r="L1785" s="1"/>
      <c r="M1785" s="1"/>
      <c r="N1785" s="1"/>
      <c r="Q1785"/>
    </row>
    <row r="1786" spans="1:17" ht="13.15" customHeight="1" x14ac:dyDescent="0.2">
      <c r="A1786" s="1" t="s">
        <v>4467</v>
      </c>
      <c r="B1786" s="1" t="s">
        <v>4353</v>
      </c>
      <c r="C1786" s="580">
        <v>46</v>
      </c>
      <c r="D1786" s="1">
        <v>9079.5280999999995</v>
      </c>
      <c r="E1786" t="s">
        <v>4354</v>
      </c>
      <c r="F1786" t="s">
        <v>4468</v>
      </c>
      <c r="G1786" s="580">
        <v>2361.6336999999999</v>
      </c>
      <c r="H1786" s="1" t="s">
        <v>4469</v>
      </c>
      <c r="I1786" s="1"/>
      <c r="J1786" s="1"/>
      <c r="K1786" s="1"/>
      <c r="L1786" s="1"/>
      <c r="M1786" s="1"/>
      <c r="N1786" s="1"/>
      <c r="Q1786"/>
    </row>
    <row r="1787" spans="1:17" ht="13.15" customHeight="1" x14ac:dyDescent="0.2">
      <c r="A1787" s="1" t="s">
        <v>4470</v>
      </c>
      <c r="B1787" s="1" t="s">
        <v>4353</v>
      </c>
      <c r="C1787" s="580">
        <v>47</v>
      </c>
      <c r="D1787" s="1">
        <v>13437.145200000001</v>
      </c>
      <c r="E1787" t="s">
        <v>4354</v>
      </c>
      <c r="F1787" t="s">
        <v>4471</v>
      </c>
      <c r="G1787" s="580">
        <v>3495.0733</v>
      </c>
      <c r="H1787" s="1" t="s">
        <v>4472</v>
      </c>
      <c r="I1787" s="1"/>
      <c r="J1787" s="1"/>
      <c r="K1787" s="1"/>
      <c r="L1787" s="1"/>
      <c r="M1787" s="1"/>
      <c r="N1787" s="1"/>
      <c r="Q1787"/>
    </row>
    <row r="1788" spans="1:17" ht="13.15" customHeight="1" x14ac:dyDescent="0.2">
      <c r="A1788" s="1" t="s">
        <v>4473</v>
      </c>
      <c r="B1788" s="1" t="s">
        <v>4353</v>
      </c>
      <c r="C1788" s="580">
        <v>50</v>
      </c>
      <c r="D1788" s="1">
        <v>6670.6094999999996</v>
      </c>
      <c r="E1788" t="s">
        <v>4354</v>
      </c>
      <c r="F1788" t="s">
        <v>4474</v>
      </c>
      <c r="G1788" s="580">
        <v>1735.0612000000001</v>
      </c>
      <c r="H1788" s="1" t="s">
        <v>4475</v>
      </c>
      <c r="I1788" s="1"/>
      <c r="J1788" s="1"/>
      <c r="K1788" s="1"/>
      <c r="L1788" s="1"/>
      <c r="M1788" s="1"/>
      <c r="N1788" s="1"/>
      <c r="Q1788"/>
    </row>
    <row r="1789" spans="1:17" ht="13.15" customHeight="1" x14ac:dyDescent="0.2">
      <c r="A1789" s="1" t="s">
        <v>4476</v>
      </c>
      <c r="B1789" s="1" t="s">
        <v>4353</v>
      </c>
      <c r="C1789" s="580">
        <v>51</v>
      </c>
      <c r="D1789" s="1">
        <v>6670.6094999999996</v>
      </c>
      <c r="E1789" t="s">
        <v>4354</v>
      </c>
      <c r="F1789" t="s">
        <v>4477</v>
      </c>
      <c r="G1789" s="580">
        <v>1735.0612000000001</v>
      </c>
      <c r="H1789" s="1" t="s">
        <v>4478</v>
      </c>
      <c r="I1789" s="1"/>
      <c r="J1789" s="1"/>
      <c r="K1789" s="1"/>
      <c r="L1789" s="1"/>
      <c r="M1789" s="1"/>
      <c r="N1789" s="1"/>
      <c r="Q1789"/>
    </row>
    <row r="1790" spans="1:17" ht="13.15" customHeight="1" x14ac:dyDescent="0.2">
      <c r="A1790" s="1" t="s">
        <v>4479</v>
      </c>
      <c r="B1790" s="1" t="s">
        <v>4353</v>
      </c>
      <c r="C1790" s="580">
        <v>52</v>
      </c>
      <c r="D1790" s="1">
        <v>8159.2852000000003</v>
      </c>
      <c r="E1790" t="s">
        <v>4354</v>
      </c>
      <c r="F1790" t="s">
        <v>4480</v>
      </c>
      <c r="G1790" s="580">
        <v>2122.2737000000002</v>
      </c>
      <c r="H1790" s="1" t="s">
        <v>4481</v>
      </c>
      <c r="I1790" s="1"/>
      <c r="J1790" s="1"/>
      <c r="K1790" s="1"/>
      <c r="L1790" s="1"/>
      <c r="M1790" s="1"/>
      <c r="N1790" s="1"/>
      <c r="Q1790"/>
    </row>
    <row r="1791" spans="1:17" ht="13.15" customHeight="1" x14ac:dyDescent="0.2">
      <c r="A1791" s="1" t="s">
        <v>4482</v>
      </c>
      <c r="B1791" s="1" t="s">
        <v>4353</v>
      </c>
      <c r="C1791" s="580">
        <v>55</v>
      </c>
      <c r="D1791" s="1">
        <v>4105.9457000000002</v>
      </c>
      <c r="E1791" t="s">
        <v>4354</v>
      </c>
      <c r="F1791" t="s">
        <v>4483</v>
      </c>
      <c r="G1791" s="580">
        <v>1067.9784</v>
      </c>
      <c r="H1791" s="1" t="s">
        <v>4484</v>
      </c>
      <c r="I1791" s="1"/>
      <c r="J1791" s="1"/>
      <c r="K1791" s="1"/>
      <c r="L1791" s="1"/>
      <c r="M1791" s="1"/>
      <c r="N1791" s="1"/>
      <c r="Q1791"/>
    </row>
    <row r="1792" spans="1:17" ht="13.15" customHeight="1" x14ac:dyDescent="0.2">
      <c r="A1792" s="1" t="s">
        <v>4485</v>
      </c>
      <c r="B1792" s="1" t="s">
        <v>4353</v>
      </c>
      <c r="C1792" s="580">
        <v>56</v>
      </c>
      <c r="D1792" s="1">
        <v>6589.2732999999998</v>
      </c>
      <c r="E1792" t="s">
        <v>4354</v>
      </c>
      <c r="F1792" t="s">
        <v>4486</v>
      </c>
      <c r="G1792" s="580">
        <v>1713.9051999999999</v>
      </c>
      <c r="H1792" s="1" t="s">
        <v>4487</v>
      </c>
      <c r="I1792" s="1"/>
      <c r="J1792" s="1"/>
      <c r="K1792" s="1"/>
      <c r="L1792" s="1"/>
      <c r="M1792" s="1"/>
      <c r="N1792" s="1"/>
      <c r="Q1792"/>
    </row>
    <row r="1793" spans="1:17" ht="13.15" customHeight="1" x14ac:dyDescent="0.2">
      <c r="A1793" s="1" t="s">
        <v>4488</v>
      </c>
      <c r="B1793" s="1" t="s">
        <v>4353</v>
      </c>
      <c r="C1793" s="580">
        <v>58</v>
      </c>
      <c r="D1793" s="1">
        <v>6502.5056999999997</v>
      </c>
      <c r="E1793" t="s">
        <v>4354</v>
      </c>
      <c r="F1793" t="s">
        <v>4489</v>
      </c>
      <c r="G1793" s="580">
        <v>1691.3364999999999</v>
      </c>
      <c r="H1793" s="1" t="s">
        <v>4490</v>
      </c>
      <c r="I1793" s="1"/>
      <c r="J1793" s="1"/>
      <c r="K1793" s="1"/>
      <c r="L1793" s="1"/>
      <c r="M1793" s="1"/>
      <c r="N1793" s="1"/>
      <c r="Q1793"/>
    </row>
    <row r="1794" spans="1:17" ht="13.15" customHeight="1" x14ac:dyDescent="0.2">
      <c r="A1794" s="1" t="s">
        <v>4491</v>
      </c>
      <c r="B1794" s="1" t="s">
        <v>4353</v>
      </c>
      <c r="C1794" s="580">
        <v>62</v>
      </c>
      <c r="D1794" s="1">
        <v>8091.8405000000002</v>
      </c>
      <c r="E1794" t="s">
        <v>4354</v>
      </c>
      <c r="F1794" t="s">
        <v>4492</v>
      </c>
      <c r="G1794" s="580">
        <v>2104.7309</v>
      </c>
      <c r="H1794" s="1" t="s">
        <v>4493</v>
      </c>
      <c r="I1794" s="1"/>
      <c r="J1794" s="1"/>
      <c r="K1794" s="1"/>
      <c r="L1794" s="1"/>
      <c r="M1794" s="1"/>
      <c r="N1794" s="1"/>
      <c r="Q1794"/>
    </row>
    <row r="1795" spans="1:17" ht="13.15" customHeight="1" x14ac:dyDescent="0.2">
      <c r="A1795" s="1" t="s">
        <v>4494</v>
      </c>
      <c r="B1795" s="1" t="s">
        <v>4353</v>
      </c>
      <c r="C1795" s="580">
        <v>64</v>
      </c>
      <c r="D1795" s="1">
        <v>3947.8252000000002</v>
      </c>
      <c r="E1795" t="s">
        <v>4354</v>
      </c>
      <c r="F1795" t="s">
        <v>4495</v>
      </c>
      <c r="G1795" s="580">
        <v>1026.8505</v>
      </c>
      <c r="H1795" s="1" t="s">
        <v>4496</v>
      </c>
      <c r="I1795" s="1"/>
      <c r="J1795" s="1"/>
      <c r="K1795" s="1"/>
      <c r="L1795" s="1"/>
      <c r="M1795" s="1"/>
      <c r="N1795" s="1"/>
      <c r="Q1795"/>
    </row>
    <row r="1796" spans="1:17" ht="13.15" customHeight="1" x14ac:dyDescent="0.2">
      <c r="A1796" s="1" t="s">
        <v>4497</v>
      </c>
      <c r="B1796" s="1" t="s">
        <v>4353</v>
      </c>
      <c r="C1796" s="580">
        <v>65</v>
      </c>
      <c r="D1796" s="1">
        <v>2964.3438000000001</v>
      </c>
      <c r="E1796" t="s">
        <v>4354</v>
      </c>
      <c r="F1796" t="s">
        <v>4498</v>
      </c>
      <c r="G1796" s="580">
        <v>771.04169999999999</v>
      </c>
      <c r="H1796" s="1" t="s">
        <v>4499</v>
      </c>
      <c r="I1796" s="1"/>
      <c r="J1796" s="1"/>
      <c r="K1796" s="1"/>
      <c r="L1796" s="1"/>
      <c r="M1796" s="1"/>
      <c r="N1796" s="1"/>
      <c r="Q1796"/>
    </row>
    <row r="1797" spans="1:17" ht="13.15" customHeight="1" x14ac:dyDescent="0.2">
      <c r="A1797" s="1" t="s">
        <v>4500</v>
      </c>
      <c r="B1797" s="1" t="s">
        <v>4353</v>
      </c>
      <c r="C1797" s="580">
        <v>68</v>
      </c>
      <c r="D1797" s="1">
        <v>3336.2485999999999</v>
      </c>
      <c r="E1797" t="s">
        <v>4354</v>
      </c>
      <c r="F1797" t="s">
        <v>4501</v>
      </c>
      <c r="G1797" s="580">
        <v>867.77610000000004</v>
      </c>
      <c r="H1797" s="1" t="s">
        <v>4502</v>
      </c>
      <c r="I1797" s="1"/>
      <c r="J1797" s="1"/>
      <c r="K1797" s="1"/>
      <c r="L1797" s="1"/>
      <c r="M1797" s="1"/>
      <c r="N1797" s="1"/>
      <c r="Q1797"/>
    </row>
    <row r="1798" spans="1:17" ht="13.15" customHeight="1" x14ac:dyDescent="0.2">
      <c r="A1798" s="1" t="s">
        <v>4503</v>
      </c>
      <c r="B1798" s="1" t="s">
        <v>4353</v>
      </c>
      <c r="C1798" s="580">
        <v>71</v>
      </c>
      <c r="D1798" s="1">
        <v>4101.0933000000005</v>
      </c>
      <c r="E1798" t="s">
        <v>4354</v>
      </c>
      <c r="F1798" t="s">
        <v>4504</v>
      </c>
      <c r="G1798" s="580">
        <v>1066.7162000000001</v>
      </c>
      <c r="H1798" s="1" t="s">
        <v>4505</v>
      </c>
      <c r="I1798" s="1"/>
      <c r="J1798" s="1"/>
      <c r="K1798" s="1"/>
      <c r="L1798" s="1"/>
      <c r="M1798" s="1"/>
      <c r="N1798" s="1"/>
      <c r="Q1798"/>
    </row>
    <row r="1799" spans="1:17" ht="13.15" customHeight="1" x14ac:dyDescent="0.2">
      <c r="A1799" s="1" t="s">
        <v>4506</v>
      </c>
      <c r="B1799" s="1" t="s">
        <v>4353</v>
      </c>
      <c r="C1799" s="580">
        <v>74</v>
      </c>
      <c r="D1799" s="1">
        <v>7446.7262000000001</v>
      </c>
      <c r="E1799" t="s">
        <v>4354</v>
      </c>
      <c r="F1799" t="s">
        <v>4507</v>
      </c>
      <c r="G1799" s="580">
        <v>1936.9331999999999</v>
      </c>
      <c r="H1799" s="1" t="s">
        <v>4508</v>
      </c>
      <c r="I1799" s="1"/>
      <c r="J1799" s="1"/>
      <c r="K1799" s="1"/>
      <c r="L1799" s="1"/>
      <c r="M1799" s="1"/>
      <c r="N1799" s="1"/>
      <c r="Q1799"/>
    </row>
    <row r="1800" spans="1:17" ht="13.15" customHeight="1" x14ac:dyDescent="0.2">
      <c r="A1800" s="1" t="s">
        <v>4509</v>
      </c>
      <c r="B1800" s="1" t="s">
        <v>4353</v>
      </c>
      <c r="C1800" s="580">
        <v>77</v>
      </c>
      <c r="D1800" s="1">
        <v>2280.1943000000001</v>
      </c>
      <c r="E1800" t="s">
        <v>4354</v>
      </c>
      <c r="F1800" t="s">
        <v>4510</v>
      </c>
      <c r="G1800" s="580">
        <v>593.09069999999997</v>
      </c>
      <c r="H1800" s="1" t="s">
        <v>4511</v>
      </c>
      <c r="I1800" s="1"/>
      <c r="J1800" s="1"/>
      <c r="K1800" s="1"/>
      <c r="L1800" s="1"/>
      <c r="M1800" s="1"/>
      <c r="N1800" s="1"/>
      <c r="Q1800"/>
    </row>
    <row r="1801" spans="1:17" ht="13.15" customHeight="1" x14ac:dyDescent="0.2">
      <c r="A1801" s="1" t="s">
        <v>4512</v>
      </c>
      <c r="B1801" s="1" t="s">
        <v>4353</v>
      </c>
      <c r="C1801" s="580">
        <v>78</v>
      </c>
      <c r="D1801" s="1">
        <v>2965.569</v>
      </c>
      <c r="E1801" t="s">
        <v>4354</v>
      </c>
      <c r="F1801" t="s">
        <v>4513</v>
      </c>
      <c r="G1801" s="580">
        <v>771.36030000000005</v>
      </c>
      <c r="H1801" s="1" t="s">
        <v>4514</v>
      </c>
      <c r="I1801" s="1"/>
      <c r="J1801" s="1"/>
      <c r="K1801" s="1"/>
      <c r="L1801" s="1"/>
      <c r="M1801" s="1"/>
      <c r="N1801" s="1"/>
      <c r="Q1801"/>
    </row>
    <row r="1802" spans="1:17" ht="13.15" customHeight="1" x14ac:dyDescent="0.2">
      <c r="A1802" s="1" t="s">
        <v>4515</v>
      </c>
      <c r="B1802" s="1" t="s">
        <v>4353</v>
      </c>
      <c r="C1802" s="580">
        <v>79</v>
      </c>
      <c r="D1802" s="1">
        <v>4466.5132999999996</v>
      </c>
      <c r="E1802" t="s">
        <v>4354</v>
      </c>
      <c r="F1802" t="s">
        <v>4516</v>
      </c>
      <c r="G1802" s="580">
        <v>1161.7639999999999</v>
      </c>
      <c r="H1802" s="1" t="s">
        <v>4517</v>
      </c>
      <c r="I1802" s="1"/>
      <c r="J1802" s="1"/>
      <c r="K1802" s="1"/>
      <c r="L1802" s="1"/>
      <c r="M1802" s="1"/>
      <c r="N1802" s="1"/>
      <c r="Q1802"/>
    </row>
    <row r="1803" spans="1:17" ht="13.15" customHeight="1" x14ac:dyDescent="0.2">
      <c r="A1803" s="1" t="s">
        <v>4518</v>
      </c>
      <c r="B1803" s="1" t="s">
        <v>4353</v>
      </c>
      <c r="C1803" s="580">
        <v>82</v>
      </c>
      <c r="D1803" s="1">
        <v>1400.0486000000001</v>
      </c>
      <c r="E1803" t="s">
        <v>4354</v>
      </c>
      <c r="F1803" t="s">
        <v>4519</v>
      </c>
      <c r="G1803" s="580">
        <v>364.1601</v>
      </c>
      <c r="H1803" s="1" t="s">
        <v>4520</v>
      </c>
      <c r="I1803" s="1"/>
      <c r="J1803" s="1"/>
      <c r="K1803" s="1"/>
      <c r="L1803" s="1"/>
      <c r="M1803" s="1"/>
      <c r="N1803" s="1"/>
      <c r="Q1803"/>
    </row>
    <row r="1804" spans="1:17" ht="13.15" customHeight="1" x14ac:dyDescent="0.2">
      <c r="A1804" s="1" t="s">
        <v>4521</v>
      </c>
      <c r="B1804" s="1" t="s">
        <v>4353</v>
      </c>
      <c r="C1804" s="580">
        <v>83</v>
      </c>
      <c r="D1804" s="1">
        <v>1874.6451999999999</v>
      </c>
      <c r="E1804" t="s">
        <v>4354</v>
      </c>
      <c r="F1804" t="s">
        <v>4522</v>
      </c>
      <c r="G1804" s="580">
        <v>487.60520000000002</v>
      </c>
      <c r="H1804" s="1" t="s">
        <v>4523</v>
      </c>
      <c r="I1804" s="1"/>
      <c r="J1804" s="1"/>
      <c r="K1804" s="1"/>
      <c r="L1804" s="1"/>
      <c r="M1804" s="1"/>
      <c r="N1804" s="1"/>
      <c r="Q1804"/>
    </row>
    <row r="1805" spans="1:17" ht="13.15" customHeight="1" x14ac:dyDescent="0.2">
      <c r="A1805" s="1" t="s">
        <v>4524</v>
      </c>
      <c r="B1805" s="1" t="s">
        <v>4353</v>
      </c>
      <c r="C1805" s="580">
        <v>84</v>
      </c>
      <c r="D1805" s="1">
        <v>2642.9014000000002</v>
      </c>
      <c r="E1805" t="s">
        <v>4354</v>
      </c>
      <c r="F1805" t="s">
        <v>4525</v>
      </c>
      <c r="G1805" s="580">
        <v>687.43280000000004</v>
      </c>
      <c r="H1805" s="1" t="s">
        <v>4526</v>
      </c>
      <c r="I1805" s="1"/>
      <c r="J1805" s="1"/>
      <c r="K1805" s="1"/>
      <c r="L1805" s="1"/>
      <c r="M1805" s="1"/>
      <c r="N1805" s="1"/>
      <c r="Q1805"/>
    </row>
    <row r="1806" spans="1:17" ht="13.15" customHeight="1" x14ac:dyDescent="0.2">
      <c r="A1806" s="1" t="s">
        <v>4527</v>
      </c>
      <c r="B1806" s="1" t="s">
        <v>4353</v>
      </c>
      <c r="C1806" s="580">
        <v>90</v>
      </c>
      <c r="D1806" s="1">
        <v>11130.4233</v>
      </c>
      <c r="E1806" t="s">
        <v>4354</v>
      </c>
      <c r="F1806" t="s">
        <v>4528</v>
      </c>
      <c r="G1806" s="580">
        <v>2851.2669999999998</v>
      </c>
      <c r="H1806" s="1" t="s">
        <v>4529</v>
      </c>
      <c r="I1806" s="1"/>
      <c r="J1806" s="1"/>
      <c r="K1806" s="1"/>
      <c r="L1806" s="1"/>
      <c r="M1806" s="1"/>
      <c r="N1806" s="1"/>
      <c r="Q1806"/>
    </row>
    <row r="1807" spans="1:17" ht="13.15" customHeight="1" x14ac:dyDescent="0.2">
      <c r="A1807" s="1" t="s">
        <v>4530</v>
      </c>
      <c r="B1807" s="1" t="s">
        <v>4353</v>
      </c>
      <c r="C1807" s="580">
        <v>91</v>
      </c>
      <c r="D1807" s="1">
        <v>11130.4233</v>
      </c>
      <c r="E1807" t="s">
        <v>4354</v>
      </c>
      <c r="F1807" t="s">
        <v>4531</v>
      </c>
      <c r="G1807" s="580">
        <v>2851.2669999999998</v>
      </c>
      <c r="H1807" s="1" t="s">
        <v>4532</v>
      </c>
      <c r="I1807" s="1"/>
      <c r="J1807" s="1"/>
      <c r="K1807" s="1"/>
      <c r="L1807" s="1"/>
      <c r="M1807" s="1"/>
      <c r="N1807" s="1"/>
      <c r="Q1807"/>
    </row>
    <row r="1808" spans="1:17" ht="13.15" customHeight="1" x14ac:dyDescent="0.2">
      <c r="A1808" s="1" t="s">
        <v>4533</v>
      </c>
      <c r="B1808" s="1" t="s">
        <v>4353</v>
      </c>
      <c r="C1808" s="580">
        <v>92</v>
      </c>
      <c r="D1808" s="1">
        <v>11949.7886</v>
      </c>
      <c r="E1808" t="s">
        <v>4354</v>
      </c>
      <c r="F1808" t="s">
        <v>4534</v>
      </c>
      <c r="G1808" s="580">
        <v>3780</v>
      </c>
      <c r="H1808" s="1" t="s">
        <v>4535</v>
      </c>
      <c r="I1808" s="1"/>
      <c r="J1808" s="1"/>
      <c r="K1808" s="1"/>
      <c r="L1808" s="1"/>
      <c r="M1808" s="1"/>
      <c r="N1808" s="1"/>
      <c r="Q1808"/>
    </row>
    <row r="1809" spans="1:17" ht="13.15" customHeight="1" x14ac:dyDescent="0.2">
      <c r="A1809" s="1" t="s">
        <v>4536</v>
      </c>
      <c r="B1809" s="1" t="s">
        <v>4353</v>
      </c>
      <c r="C1809" s="580">
        <v>93</v>
      </c>
      <c r="D1809" s="1">
        <v>10645.639499999999</v>
      </c>
      <c r="E1809" t="s">
        <v>4354</v>
      </c>
      <c r="F1809" t="s">
        <v>4537</v>
      </c>
      <c r="G1809" s="580">
        <v>3073.5763999999999</v>
      </c>
      <c r="H1809" s="1" t="s">
        <v>4538</v>
      </c>
      <c r="I1809" s="1"/>
      <c r="J1809" s="1"/>
      <c r="K1809" s="1"/>
      <c r="L1809" s="1"/>
      <c r="M1809" s="1"/>
      <c r="N1809" s="1"/>
      <c r="Q1809"/>
    </row>
    <row r="1810" spans="1:17" ht="13.15" customHeight="1" x14ac:dyDescent="0.2">
      <c r="A1810" s="1" t="s">
        <v>4539</v>
      </c>
      <c r="B1810" s="1" t="s">
        <v>4540</v>
      </c>
      <c r="C1810" s="580" t="s">
        <v>4541</v>
      </c>
      <c r="D1810" s="1">
        <v>144.65899999999999</v>
      </c>
      <c r="E1810" t="s">
        <v>4542</v>
      </c>
      <c r="F1810" t="s">
        <v>4543</v>
      </c>
      <c r="G1810" s="580">
        <v>35.814</v>
      </c>
      <c r="H1810" s="1" t="s">
        <v>4544</v>
      </c>
      <c r="I1810" s="1"/>
      <c r="J1810" s="1"/>
      <c r="K1810" s="1"/>
      <c r="L1810" s="1"/>
      <c r="M1810" s="1"/>
      <c r="N1810" s="1"/>
      <c r="Q1810"/>
    </row>
    <row r="1811" spans="1:17" ht="13.15" customHeight="1" x14ac:dyDescent="0.2">
      <c r="A1811" s="1" t="s">
        <v>4545</v>
      </c>
      <c r="B1811" s="1" t="s">
        <v>4540</v>
      </c>
      <c r="C1811" s="580" t="s">
        <v>4546</v>
      </c>
      <c r="D1811" s="1">
        <v>152.63239999999999</v>
      </c>
      <c r="E1811" t="s">
        <v>4542</v>
      </c>
      <c r="F1811" t="s">
        <v>4547</v>
      </c>
      <c r="G1811" s="580">
        <v>37.787999999999997</v>
      </c>
      <c r="H1811" s="1" t="s">
        <v>4544</v>
      </c>
      <c r="I1811" s="1"/>
      <c r="J1811" s="1"/>
      <c r="K1811" s="1"/>
      <c r="L1811" s="1"/>
      <c r="M1811" s="1"/>
      <c r="N1811" s="1"/>
      <c r="Q1811"/>
    </row>
    <row r="1812" spans="1:17" ht="13.15" customHeight="1" x14ac:dyDescent="0.2">
      <c r="A1812" s="1" t="s">
        <v>4548</v>
      </c>
      <c r="B1812" s="1" t="s">
        <v>4540</v>
      </c>
      <c r="C1812" s="580" t="s">
        <v>4549</v>
      </c>
      <c r="D1812" s="1">
        <v>152.63239999999999</v>
      </c>
      <c r="E1812" t="s">
        <v>4542</v>
      </c>
      <c r="F1812" t="s">
        <v>4550</v>
      </c>
      <c r="G1812" s="580">
        <v>37.787999999999997</v>
      </c>
      <c r="H1812" s="1" t="s">
        <v>4551</v>
      </c>
      <c r="I1812" s="1"/>
      <c r="J1812" s="1"/>
      <c r="K1812" s="1"/>
      <c r="L1812" s="1"/>
      <c r="M1812" s="1"/>
      <c r="N1812" s="1"/>
      <c r="Q1812"/>
    </row>
    <row r="1813" spans="1:17" ht="13.15" customHeight="1" x14ac:dyDescent="0.2">
      <c r="A1813" s="1" t="s">
        <v>4552</v>
      </c>
      <c r="B1813" s="1" t="s">
        <v>4540</v>
      </c>
      <c r="C1813" s="580" t="s">
        <v>4553</v>
      </c>
      <c r="D1813" s="1">
        <v>177.12190000000001</v>
      </c>
      <c r="E1813" t="s">
        <v>4542</v>
      </c>
      <c r="F1813" t="s">
        <v>4554</v>
      </c>
      <c r="G1813" s="580">
        <v>43.850999999999999</v>
      </c>
      <c r="H1813" s="1" t="s">
        <v>4551</v>
      </c>
      <c r="I1813" s="1"/>
      <c r="J1813" s="1"/>
      <c r="K1813" s="1"/>
      <c r="L1813" s="1"/>
      <c r="M1813" s="1"/>
      <c r="N1813" s="1"/>
      <c r="Q1813"/>
    </row>
    <row r="1814" spans="1:17" ht="13.15" customHeight="1" x14ac:dyDescent="0.2">
      <c r="A1814" s="1" t="s">
        <v>4555</v>
      </c>
      <c r="B1814" s="1" t="s">
        <v>4540</v>
      </c>
      <c r="C1814" s="580">
        <v>32</v>
      </c>
      <c r="D1814" s="1">
        <v>178.8305</v>
      </c>
      <c r="E1814" t="s">
        <v>4542</v>
      </c>
      <c r="F1814" t="s">
        <v>4556</v>
      </c>
      <c r="G1814" s="580">
        <v>44.274000000000001</v>
      </c>
      <c r="H1814" s="1" t="s">
        <v>4557</v>
      </c>
      <c r="I1814" s="1"/>
      <c r="J1814" s="1"/>
      <c r="K1814" s="1"/>
      <c r="L1814" s="1"/>
      <c r="M1814" s="1"/>
      <c r="N1814" s="1"/>
      <c r="Q1814"/>
    </row>
    <row r="1815" spans="1:17" ht="13.15" customHeight="1" x14ac:dyDescent="0.2">
      <c r="A1815" s="1" t="s">
        <v>4558</v>
      </c>
      <c r="B1815" s="1" t="s">
        <v>4540</v>
      </c>
      <c r="C1815" s="580">
        <v>33</v>
      </c>
      <c r="D1815" s="1">
        <v>250.59049999999999</v>
      </c>
      <c r="E1815" t="s">
        <v>4542</v>
      </c>
      <c r="F1815" t="s">
        <v>4559</v>
      </c>
      <c r="G1815" s="580">
        <v>62.04</v>
      </c>
      <c r="H1815" s="1" t="s">
        <v>4560</v>
      </c>
      <c r="I1815" s="1"/>
      <c r="J1815" s="1"/>
      <c r="K1815" s="1"/>
      <c r="L1815" s="1"/>
      <c r="M1815" s="1"/>
      <c r="N1815" s="1"/>
      <c r="Q1815"/>
    </row>
    <row r="1816" spans="1:17" ht="13.15" customHeight="1" x14ac:dyDescent="0.2">
      <c r="A1816" s="1" t="s">
        <v>4561</v>
      </c>
      <c r="B1816" s="1" t="s">
        <v>4540</v>
      </c>
      <c r="C1816" s="580">
        <v>34</v>
      </c>
      <c r="D1816" s="1">
        <v>85.428600000000003</v>
      </c>
      <c r="E1816" t="s">
        <v>4542</v>
      </c>
      <c r="F1816" t="s">
        <v>4562</v>
      </c>
      <c r="G1816" s="580">
        <v>21.15</v>
      </c>
      <c r="H1816" s="1" t="s">
        <v>4563</v>
      </c>
      <c r="I1816" s="1"/>
      <c r="J1816" s="1"/>
      <c r="K1816" s="1"/>
      <c r="L1816" s="1"/>
      <c r="M1816" s="1"/>
      <c r="N1816" s="1"/>
      <c r="Q1816"/>
    </row>
    <row r="1817" spans="1:17" ht="13.15" customHeight="1" x14ac:dyDescent="0.2">
      <c r="A1817" s="1" t="s">
        <v>4564</v>
      </c>
      <c r="B1817" s="1" t="s">
        <v>4540</v>
      </c>
      <c r="C1817" s="580">
        <v>35</v>
      </c>
      <c r="D1817" s="1">
        <v>141.24189999999999</v>
      </c>
      <c r="E1817" t="s">
        <v>4542</v>
      </c>
      <c r="F1817" t="s">
        <v>4565</v>
      </c>
      <c r="G1817" s="580">
        <v>34.968000000000004</v>
      </c>
      <c r="H1817" s="1" t="s">
        <v>4566</v>
      </c>
      <c r="I1817" s="1"/>
      <c r="J1817" s="1"/>
      <c r="K1817" s="1"/>
      <c r="L1817" s="1"/>
      <c r="M1817" s="1"/>
      <c r="N1817" s="1"/>
      <c r="Q1817"/>
    </row>
    <row r="1818" spans="1:17" ht="13.15" customHeight="1" x14ac:dyDescent="0.2">
      <c r="A1818" s="1" t="s">
        <v>4567</v>
      </c>
      <c r="B1818" s="1" t="s">
        <v>4540</v>
      </c>
      <c r="C1818" s="580">
        <v>36</v>
      </c>
      <c r="D1818" s="1">
        <v>179.4</v>
      </c>
      <c r="E1818" t="s">
        <v>4542</v>
      </c>
      <c r="F1818" t="s">
        <v>4568</v>
      </c>
      <c r="G1818" s="580">
        <v>44.414999999999999</v>
      </c>
      <c r="H1818" s="1" t="s">
        <v>4569</v>
      </c>
      <c r="I1818" s="1"/>
      <c r="J1818" s="1"/>
      <c r="K1818" s="1"/>
      <c r="L1818" s="1"/>
      <c r="M1818" s="1"/>
      <c r="N1818" s="1"/>
      <c r="Q1818"/>
    </row>
    <row r="1819" spans="1:17" ht="13.15" customHeight="1" x14ac:dyDescent="0.2">
      <c r="A1819" s="1" t="s">
        <v>4570</v>
      </c>
      <c r="B1819" s="1" t="s">
        <v>4540</v>
      </c>
      <c r="C1819" s="580">
        <v>37</v>
      </c>
      <c r="D1819" s="1">
        <v>179.4</v>
      </c>
      <c r="E1819" t="s">
        <v>4542</v>
      </c>
      <c r="F1819" t="s">
        <v>4571</v>
      </c>
      <c r="G1819" s="580">
        <v>44.414999999999999</v>
      </c>
      <c r="H1819" s="1" t="s">
        <v>4572</v>
      </c>
      <c r="I1819" s="1"/>
      <c r="J1819" s="1"/>
      <c r="K1819" s="1"/>
      <c r="L1819" s="1"/>
      <c r="M1819" s="1"/>
      <c r="N1819" s="1"/>
      <c r="Q1819"/>
    </row>
    <row r="1820" spans="1:17" ht="13.15" customHeight="1" x14ac:dyDescent="0.2">
      <c r="A1820" s="1" t="s">
        <v>4573</v>
      </c>
      <c r="B1820" s="1" t="s">
        <v>4540</v>
      </c>
      <c r="C1820" s="580">
        <v>38</v>
      </c>
      <c r="D1820" s="1">
        <v>131.56</v>
      </c>
      <c r="E1820" t="s">
        <v>4542</v>
      </c>
      <c r="F1820" t="s">
        <v>4574</v>
      </c>
      <c r="G1820" s="580">
        <v>32.570999999999998</v>
      </c>
      <c r="H1820" s="1" t="s">
        <v>4575</v>
      </c>
      <c r="I1820" s="1"/>
      <c r="J1820" s="1"/>
      <c r="K1820" s="1"/>
      <c r="L1820" s="1"/>
      <c r="M1820" s="1"/>
      <c r="N1820" s="1"/>
      <c r="Q1820"/>
    </row>
    <row r="1821" spans="1:17" ht="13.15" customHeight="1" x14ac:dyDescent="0.2">
      <c r="A1821" s="1" t="s">
        <v>4576</v>
      </c>
      <c r="B1821" s="1" t="s">
        <v>4540</v>
      </c>
      <c r="C1821" s="580">
        <v>40</v>
      </c>
      <c r="D1821" s="1">
        <v>150.35429999999999</v>
      </c>
      <c r="E1821" t="s">
        <v>4542</v>
      </c>
      <c r="F1821" t="s">
        <v>4577</v>
      </c>
      <c r="G1821" s="580">
        <v>37.223999999999997</v>
      </c>
      <c r="H1821" s="1" t="s">
        <v>4578</v>
      </c>
      <c r="I1821" s="1"/>
      <c r="J1821" s="1"/>
      <c r="K1821" s="1"/>
      <c r="L1821" s="1"/>
      <c r="M1821" s="1"/>
      <c r="N1821" s="1"/>
      <c r="Q1821"/>
    </row>
    <row r="1822" spans="1:17" ht="13.15" customHeight="1" x14ac:dyDescent="0.2">
      <c r="A1822" s="1" t="s">
        <v>4579</v>
      </c>
      <c r="B1822" s="1" t="s">
        <v>4540</v>
      </c>
      <c r="C1822" s="580">
        <v>41</v>
      </c>
      <c r="D1822" s="1">
        <v>161.7448</v>
      </c>
      <c r="E1822" t="s">
        <v>4542</v>
      </c>
      <c r="F1822" t="s">
        <v>4580</v>
      </c>
      <c r="G1822" s="580">
        <v>40.043999999999997</v>
      </c>
      <c r="H1822" s="1" t="s">
        <v>4581</v>
      </c>
      <c r="I1822" s="1"/>
      <c r="J1822" s="1"/>
      <c r="K1822" s="1"/>
      <c r="L1822" s="1"/>
      <c r="M1822" s="1"/>
      <c r="N1822" s="1"/>
      <c r="Q1822"/>
    </row>
    <row r="1823" spans="1:17" ht="13.15" customHeight="1" x14ac:dyDescent="0.2">
      <c r="A1823" s="1" t="s">
        <v>4582</v>
      </c>
      <c r="B1823" s="1" t="s">
        <v>4540</v>
      </c>
      <c r="C1823" s="580">
        <v>42</v>
      </c>
      <c r="D1823" s="1">
        <v>238.06100000000001</v>
      </c>
      <c r="E1823" t="s">
        <v>4542</v>
      </c>
      <c r="F1823" t="s">
        <v>4583</v>
      </c>
      <c r="G1823" s="580">
        <v>58.938000000000002</v>
      </c>
      <c r="H1823" s="1" t="s">
        <v>4584</v>
      </c>
      <c r="I1823" s="1"/>
      <c r="J1823" s="1"/>
      <c r="K1823" s="1"/>
      <c r="L1823" s="1"/>
      <c r="M1823" s="1"/>
      <c r="N1823" s="1"/>
      <c r="Q1823"/>
    </row>
    <row r="1824" spans="1:17" ht="13.15" customHeight="1" x14ac:dyDescent="0.2">
      <c r="A1824" s="1" t="s">
        <v>4585</v>
      </c>
      <c r="B1824" s="1" t="s">
        <v>4540</v>
      </c>
      <c r="C1824" s="580">
        <v>43</v>
      </c>
      <c r="D1824" s="1">
        <v>78.099000000000004</v>
      </c>
      <c r="E1824" t="s">
        <v>4542</v>
      </c>
      <c r="F1824" t="s">
        <v>4586</v>
      </c>
      <c r="G1824" s="580">
        <v>23.405999999999999</v>
      </c>
      <c r="H1824" s="1" t="s">
        <v>4587</v>
      </c>
      <c r="I1824" s="1"/>
      <c r="J1824" s="1"/>
      <c r="K1824" s="1"/>
      <c r="L1824" s="1"/>
      <c r="M1824" s="1"/>
      <c r="N1824" s="1"/>
      <c r="Q1824"/>
    </row>
    <row r="1825" spans="1:17" ht="13.15" customHeight="1" x14ac:dyDescent="0.2">
      <c r="A1825" s="1" t="s">
        <v>4588</v>
      </c>
      <c r="B1825" s="1" t="s">
        <v>4540</v>
      </c>
      <c r="C1825" s="580">
        <v>44</v>
      </c>
      <c r="D1825" s="1">
        <v>114.7962</v>
      </c>
      <c r="E1825" t="s">
        <v>4542</v>
      </c>
      <c r="F1825" t="s">
        <v>4589</v>
      </c>
      <c r="G1825" s="580">
        <v>34.404000000000003</v>
      </c>
      <c r="H1825" s="1" t="s">
        <v>4590</v>
      </c>
      <c r="I1825" s="1"/>
      <c r="J1825" s="1"/>
      <c r="K1825" s="1"/>
      <c r="L1825" s="1"/>
      <c r="M1825" s="1"/>
      <c r="N1825" s="1"/>
      <c r="Q1825"/>
    </row>
    <row r="1826" spans="1:17" ht="13.15" customHeight="1" x14ac:dyDescent="0.2">
      <c r="A1826" s="1" t="s">
        <v>4591</v>
      </c>
      <c r="B1826" s="1" t="s">
        <v>4540</v>
      </c>
      <c r="C1826" s="580">
        <v>45</v>
      </c>
      <c r="D1826" s="1">
        <v>120.91240000000001</v>
      </c>
      <c r="E1826" t="s">
        <v>4542</v>
      </c>
      <c r="F1826" t="s">
        <v>4592</v>
      </c>
      <c r="G1826" s="580">
        <v>36.237000000000002</v>
      </c>
      <c r="H1826" s="1" t="s">
        <v>4593</v>
      </c>
      <c r="I1826" s="1"/>
      <c r="J1826" s="1"/>
      <c r="K1826" s="1"/>
      <c r="L1826" s="1"/>
      <c r="M1826" s="1"/>
      <c r="N1826" s="1"/>
      <c r="Q1826"/>
    </row>
    <row r="1827" spans="1:17" ht="13.15" customHeight="1" x14ac:dyDescent="0.2">
      <c r="A1827" s="1" t="s">
        <v>4594</v>
      </c>
      <c r="B1827" s="1" t="s">
        <v>4540</v>
      </c>
      <c r="C1827" s="580">
        <v>46</v>
      </c>
      <c r="D1827" s="1">
        <v>166.4</v>
      </c>
      <c r="E1827" t="s">
        <v>4542</v>
      </c>
      <c r="F1827" t="s">
        <v>4595</v>
      </c>
      <c r="G1827" s="580">
        <v>47.375999999999998</v>
      </c>
      <c r="H1827" s="1" t="s">
        <v>4590</v>
      </c>
      <c r="I1827" s="1"/>
      <c r="J1827" s="1"/>
      <c r="K1827" s="1"/>
      <c r="L1827" s="1"/>
      <c r="M1827" s="1"/>
      <c r="N1827" s="1"/>
      <c r="Q1827"/>
    </row>
    <row r="1828" spans="1:17" ht="13.15" customHeight="1" x14ac:dyDescent="0.2">
      <c r="A1828" s="1" t="s">
        <v>4596</v>
      </c>
      <c r="B1828" s="1" t="s">
        <v>4540</v>
      </c>
      <c r="C1828" s="580">
        <v>47</v>
      </c>
      <c r="D1828" s="1">
        <v>184.42670000000001</v>
      </c>
      <c r="E1828" t="s">
        <v>4542</v>
      </c>
      <c r="F1828" t="s">
        <v>4597</v>
      </c>
      <c r="G1828" s="580">
        <v>55.271999999999998</v>
      </c>
      <c r="H1828" s="1" t="s">
        <v>4598</v>
      </c>
      <c r="I1828" s="1"/>
      <c r="J1828" s="1"/>
      <c r="K1828" s="1"/>
      <c r="L1828" s="1"/>
      <c r="M1828" s="1"/>
      <c r="N1828" s="1"/>
      <c r="Q1828"/>
    </row>
    <row r="1829" spans="1:17" ht="13.15" customHeight="1" x14ac:dyDescent="0.2">
      <c r="A1829" s="1" t="s">
        <v>4599</v>
      </c>
      <c r="B1829" s="1" t="s">
        <v>4540</v>
      </c>
      <c r="C1829" s="580">
        <v>51</v>
      </c>
      <c r="D1829" s="1">
        <v>191.36</v>
      </c>
      <c r="E1829" t="s">
        <v>4542</v>
      </c>
      <c r="F1829" t="s">
        <v>4600</v>
      </c>
      <c r="G1829" s="580">
        <v>47.375999999999998</v>
      </c>
      <c r="H1829" s="1" t="s">
        <v>4601</v>
      </c>
      <c r="I1829" s="1"/>
      <c r="J1829" s="1"/>
      <c r="K1829" s="1"/>
      <c r="L1829" s="1"/>
      <c r="M1829" s="1"/>
      <c r="N1829" s="1"/>
      <c r="Q1829"/>
    </row>
    <row r="1830" spans="1:17" ht="13.15" customHeight="1" x14ac:dyDescent="0.2">
      <c r="A1830" s="1" t="s">
        <v>4602</v>
      </c>
      <c r="B1830" s="1" t="s">
        <v>4540</v>
      </c>
      <c r="C1830" s="580">
        <v>52</v>
      </c>
      <c r="D1830" s="1">
        <v>221.54480000000001</v>
      </c>
      <c r="E1830" t="s">
        <v>4542</v>
      </c>
      <c r="F1830" t="s">
        <v>4603</v>
      </c>
      <c r="G1830" s="580">
        <v>54.848999999999997</v>
      </c>
      <c r="H1830" s="1" t="s">
        <v>4604</v>
      </c>
      <c r="I1830" s="1"/>
      <c r="J1830" s="1"/>
      <c r="K1830" s="1"/>
      <c r="L1830" s="1"/>
      <c r="M1830" s="1"/>
      <c r="N1830" s="1"/>
      <c r="Q1830"/>
    </row>
    <row r="1831" spans="1:17" ht="13.15" customHeight="1" x14ac:dyDescent="0.2">
      <c r="A1831" s="1" t="s">
        <v>4605</v>
      </c>
      <c r="B1831" s="1" t="s">
        <v>4540</v>
      </c>
      <c r="C1831" s="580">
        <v>53</v>
      </c>
      <c r="D1831" s="1">
        <v>376.45519999999999</v>
      </c>
      <c r="E1831" t="s">
        <v>4542</v>
      </c>
      <c r="F1831" t="s">
        <v>4606</v>
      </c>
      <c r="G1831" s="580">
        <v>93.200999999999993</v>
      </c>
      <c r="H1831" s="1" t="s">
        <v>4607</v>
      </c>
      <c r="I1831" s="1"/>
      <c r="J1831" s="1"/>
      <c r="K1831" s="1"/>
      <c r="L1831" s="1"/>
      <c r="M1831" s="1"/>
      <c r="N1831" s="1"/>
      <c r="Q1831"/>
    </row>
    <row r="1832" spans="1:17" ht="13.15" customHeight="1" x14ac:dyDescent="0.2">
      <c r="A1832" s="1" t="s">
        <v>4608</v>
      </c>
      <c r="B1832" s="1" t="s">
        <v>4540</v>
      </c>
      <c r="C1832" s="580">
        <v>54</v>
      </c>
      <c r="D1832" s="1">
        <v>227.80950000000001</v>
      </c>
      <c r="E1832" t="s">
        <v>4542</v>
      </c>
      <c r="F1832" t="s">
        <v>4609</v>
      </c>
      <c r="G1832" s="580">
        <v>56.4</v>
      </c>
      <c r="H1832" s="1" t="s">
        <v>4610</v>
      </c>
      <c r="I1832" s="1"/>
      <c r="J1832" s="1"/>
      <c r="K1832" s="1"/>
      <c r="L1832" s="1"/>
      <c r="M1832" s="1"/>
      <c r="N1832" s="1"/>
      <c r="Q1832"/>
    </row>
    <row r="1833" spans="1:17" ht="13.15" customHeight="1" x14ac:dyDescent="0.2">
      <c r="A1833" s="1" t="s">
        <v>4611</v>
      </c>
      <c r="B1833" s="1" t="s">
        <v>4540</v>
      </c>
      <c r="C1833" s="580" t="s">
        <v>4612</v>
      </c>
      <c r="D1833" s="1">
        <v>43.283799999999999</v>
      </c>
      <c r="E1833" t="s">
        <v>4542</v>
      </c>
      <c r="F1833" t="s">
        <v>4613</v>
      </c>
      <c r="G1833" s="580">
        <v>10.715999999999999</v>
      </c>
      <c r="H1833" s="1" t="s">
        <v>4614</v>
      </c>
      <c r="I1833" s="1"/>
      <c r="J1833" s="1"/>
      <c r="K1833" s="1"/>
      <c r="L1833" s="1"/>
      <c r="M1833" s="1"/>
      <c r="N1833" s="1"/>
      <c r="Q1833"/>
    </row>
    <row r="1834" spans="1:17" ht="13.15" customHeight="1" x14ac:dyDescent="0.2">
      <c r="A1834" s="1" t="s">
        <v>4615</v>
      </c>
      <c r="B1834" s="1" t="s">
        <v>4540</v>
      </c>
      <c r="C1834" s="580" t="s">
        <v>4616</v>
      </c>
      <c r="D1834" s="1">
        <v>44.992400000000004</v>
      </c>
      <c r="E1834" t="s">
        <v>4542</v>
      </c>
      <c r="F1834" t="s">
        <v>4617</v>
      </c>
      <c r="G1834" s="580">
        <v>11.138999999999999</v>
      </c>
      <c r="H1834" s="1" t="s">
        <v>4618</v>
      </c>
      <c r="I1834" s="1"/>
      <c r="J1834" s="1"/>
      <c r="K1834" s="1"/>
      <c r="L1834" s="1"/>
      <c r="M1834" s="1"/>
      <c r="N1834" s="1"/>
      <c r="Q1834"/>
    </row>
    <row r="1835" spans="1:17" ht="13.15" customHeight="1" x14ac:dyDescent="0.2">
      <c r="A1835" s="1" t="s">
        <v>4619</v>
      </c>
      <c r="B1835" s="1" t="s">
        <v>4540</v>
      </c>
      <c r="C1835" s="580">
        <v>59</v>
      </c>
      <c r="D1835" s="1">
        <v>36.884399999999999</v>
      </c>
      <c r="E1835" t="s">
        <v>4542</v>
      </c>
      <c r="F1835">
        <v>0</v>
      </c>
      <c r="G1835" s="580">
        <v>0</v>
      </c>
      <c r="H1835" s="1" t="s">
        <v>4620</v>
      </c>
      <c r="I1835" s="1"/>
      <c r="J1835" s="1"/>
      <c r="K1835" s="1"/>
      <c r="L1835" s="1"/>
      <c r="M1835" s="1"/>
      <c r="N1835" s="1"/>
      <c r="Q1835"/>
    </row>
    <row r="1836" spans="1:17" ht="13.15" customHeight="1" x14ac:dyDescent="0.2">
      <c r="A1836" s="1" t="s">
        <v>4621</v>
      </c>
      <c r="B1836" s="1" t="s">
        <v>4540</v>
      </c>
      <c r="C1836" s="580">
        <v>60</v>
      </c>
      <c r="D1836" s="1">
        <v>50.118099999999998</v>
      </c>
      <c r="E1836" t="s">
        <v>4542</v>
      </c>
      <c r="F1836" t="s">
        <v>4622</v>
      </c>
      <c r="G1836" s="580">
        <v>12.407999999999999</v>
      </c>
      <c r="H1836" s="1" t="s">
        <v>4614</v>
      </c>
      <c r="I1836" s="1"/>
      <c r="J1836" s="1"/>
      <c r="K1836" s="1"/>
      <c r="L1836" s="1"/>
      <c r="M1836" s="1"/>
      <c r="N1836" s="1"/>
      <c r="Q1836"/>
    </row>
    <row r="1837" spans="1:17" ht="13.15" customHeight="1" x14ac:dyDescent="0.2">
      <c r="A1837" s="1" t="s">
        <v>4623</v>
      </c>
      <c r="B1837" s="1" t="s">
        <v>4540</v>
      </c>
      <c r="C1837" s="580">
        <v>61</v>
      </c>
      <c r="D1837" s="1">
        <v>2672.4560000000001</v>
      </c>
      <c r="E1837" t="s">
        <v>4624</v>
      </c>
      <c r="F1837">
        <v>61</v>
      </c>
      <c r="G1837" s="580">
        <v>150</v>
      </c>
      <c r="H1837" s="1" t="s">
        <v>4625</v>
      </c>
      <c r="I1837" s="1"/>
      <c r="J1837" s="1"/>
      <c r="K1837" s="1"/>
      <c r="L1837" s="1"/>
      <c r="M1837" s="1"/>
      <c r="N1837" s="1"/>
      <c r="Q1837"/>
    </row>
    <row r="1838" spans="1:17" ht="13.15" customHeight="1" x14ac:dyDescent="0.2">
      <c r="A1838" s="1" t="s">
        <v>4626</v>
      </c>
      <c r="B1838" s="1" t="s">
        <v>4540</v>
      </c>
      <c r="C1838" s="580">
        <v>62</v>
      </c>
      <c r="D1838" s="1">
        <v>2672.4560000000001</v>
      </c>
      <c r="E1838" t="s">
        <v>4624</v>
      </c>
      <c r="F1838">
        <v>62</v>
      </c>
      <c r="G1838" s="580">
        <v>150</v>
      </c>
      <c r="H1838" s="1" t="s">
        <v>4627</v>
      </c>
      <c r="I1838" s="1"/>
      <c r="J1838" s="1"/>
      <c r="K1838" s="1"/>
      <c r="L1838" s="1"/>
      <c r="M1838" s="1"/>
      <c r="N1838" s="1"/>
      <c r="Q1838"/>
    </row>
    <row r="1839" spans="1:17" ht="13.15" customHeight="1" x14ac:dyDescent="0.2">
      <c r="A1839" s="1" t="s">
        <v>4628</v>
      </c>
      <c r="B1839" s="1" t="s">
        <v>4540</v>
      </c>
      <c r="C1839" s="580">
        <v>63</v>
      </c>
      <c r="D1839" s="1">
        <v>2785.0320000000002</v>
      </c>
      <c r="E1839" t="s">
        <v>4624</v>
      </c>
      <c r="F1839">
        <v>63</v>
      </c>
      <c r="G1839" s="580">
        <v>180</v>
      </c>
      <c r="H1839" s="1" t="s">
        <v>4629</v>
      </c>
      <c r="I1839" s="1"/>
      <c r="J1839" s="1"/>
      <c r="K1839" s="1"/>
      <c r="L1839" s="1"/>
      <c r="M1839" s="1"/>
      <c r="N1839" s="1"/>
      <c r="Q1839"/>
    </row>
    <row r="1840" spans="1:17" ht="13.15" customHeight="1" x14ac:dyDescent="0.2">
      <c r="A1840" s="1" t="s">
        <v>4630</v>
      </c>
      <c r="B1840" s="1" t="s">
        <v>4540</v>
      </c>
      <c r="C1840" s="580">
        <v>64</v>
      </c>
      <c r="D1840" s="1">
        <v>250.59049999999999</v>
      </c>
      <c r="E1840" t="s">
        <v>4542</v>
      </c>
      <c r="F1840" t="s">
        <v>4631</v>
      </c>
      <c r="G1840" s="580">
        <v>62.04</v>
      </c>
      <c r="H1840" s="1" t="s">
        <v>4632</v>
      </c>
      <c r="I1840" s="1"/>
      <c r="J1840" s="1"/>
      <c r="K1840" s="1"/>
      <c r="L1840" s="1"/>
      <c r="M1840" s="1"/>
      <c r="N1840" s="1"/>
      <c r="Q1840"/>
    </row>
    <row r="1841" spans="1:17" ht="13.15" customHeight="1" x14ac:dyDescent="0.2">
      <c r="A1841" s="1" t="s">
        <v>4633</v>
      </c>
      <c r="B1841" s="1" t="s">
        <v>4540</v>
      </c>
      <c r="C1841" s="580">
        <v>65</v>
      </c>
      <c r="D1841" s="1">
        <v>424.29520000000002</v>
      </c>
      <c r="E1841" t="s">
        <v>4542</v>
      </c>
      <c r="F1841" t="s">
        <v>4634</v>
      </c>
      <c r="G1841" s="580">
        <v>105.045</v>
      </c>
      <c r="H1841" s="1" t="s">
        <v>4635</v>
      </c>
      <c r="I1841" s="1"/>
      <c r="J1841" s="1"/>
      <c r="K1841" s="1"/>
      <c r="L1841" s="1"/>
      <c r="M1841" s="1"/>
      <c r="N1841" s="1"/>
      <c r="Q1841"/>
    </row>
    <row r="1842" spans="1:17" ht="13.15" customHeight="1" x14ac:dyDescent="0.2">
      <c r="A1842" s="1" t="s">
        <v>4636</v>
      </c>
      <c r="B1842" s="1" t="s">
        <v>4540</v>
      </c>
      <c r="C1842" s="580">
        <v>66</v>
      </c>
      <c r="D1842" s="1">
        <v>424.29520000000002</v>
      </c>
      <c r="E1842" t="s">
        <v>4542</v>
      </c>
      <c r="F1842" t="s">
        <v>4637</v>
      </c>
      <c r="G1842" s="580">
        <v>105.045</v>
      </c>
      <c r="H1842" s="1" t="s">
        <v>4638</v>
      </c>
      <c r="I1842" s="1"/>
      <c r="J1842" s="1"/>
      <c r="K1842" s="1"/>
      <c r="L1842" s="1"/>
      <c r="M1842" s="1"/>
      <c r="N1842" s="1"/>
      <c r="Q1842"/>
    </row>
    <row r="1843" spans="1:17" ht="13.15" customHeight="1" x14ac:dyDescent="0.2">
      <c r="A1843" s="1" t="s">
        <v>4639</v>
      </c>
      <c r="B1843" s="1" t="s">
        <v>4540</v>
      </c>
      <c r="C1843" s="580">
        <v>67</v>
      </c>
      <c r="D1843" s="1">
        <v>719.30859999999996</v>
      </c>
      <c r="E1843" t="s">
        <v>4542</v>
      </c>
      <c r="F1843" t="s">
        <v>4640</v>
      </c>
      <c r="G1843" s="580">
        <v>178.083</v>
      </c>
      <c r="H1843" s="1" t="s">
        <v>4641</v>
      </c>
      <c r="I1843" s="1"/>
      <c r="J1843" s="1"/>
      <c r="K1843" s="1"/>
      <c r="L1843" s="1"/>
      <c r="M1843" s="1"/>
      <c r="N1843" s="1"/>
      <c r="Q1843"/>
    </row>
    <row r="1844" spans="1:17" ht="13.15" customHeight="1" x14ac:dyDescent="0.2">
      <c r="A1844" s="1" t="s">
        <v>4642</v>
      </c>
      <c r="B1844" s="1" t="s">
        <v>4540</v>
      </c>
      <c r="C1844" s="580">
        <v>68</v>
      </c>
      <c r="D1844" s="1">
        <v>719.30859999999996</v>
      </c>
      <c r="E1844" t="s">
        <v>4542</v>
      </c>
      <c r="F1844" t="s">
        <v>4643</v>
      </c>
      <c r="G1844" s="580">
        <v>178.083</v>
      </c>
      <c r="H1844" s="1" t="s">
        <v>4644</v>
      </c>
      <c r="I1844" s="1"/>
      <c r="J1844" s="1"/>
      <c r="K1844" s="1"/>
      <c r="L1844" s="1"/>
      <c r="M1844" s="1"/>
      <c r="N1844" s="1"/>
      <c r="Q1844"/>
    </row>
    <row r="1845" spans="1:17" ht="13.15" customHeight="1" x14ac:dyDescent="0.2">
      <c r="A1845" s="1" t="s">
        <v>4645</v>
      </c>
      <c r="B1845" s="1" t="s">
        <v>4540</v>
      </c>
      <c r="C1845" s="580">
        <v>69</v>
      </c>
      <c r="D1845" s="1">
        <v>719.30859999999996</v>
      </c>
      <c r="E1845" t="s">
        <v>4542</v>
      </c>
      <c r="F1845" t="s">
        <v>4646</v>
      </c>
      <c r="G1845" s="580">
        <v>178.083</v>
      </c>
      <c r="H1845" s="1" t="s">
        <v>4647</v>
      </c>
      <c r="I1845" s="1"/>
      <c r="J1845" s="1"/>
      <c r="K1845" s="1"/>
      <c r="L1845" s="1"/>
      <c r="M1845" s="1"/>
      <c r="N1845" s="1"/>
      <c r="Q1845"/>
    </row>
    <row r="1846" spans="1:17" ht="13.15" customHeight="1" x14ac:dyDescent="0.2">
      <c r="A1846" s="1" t="s">
        <v>4648</v>
      </c>
      <c r="B1846" s="1" t="s">
        <v>4540</v>
      </c>
      <c r="C1846" s="580">
        <v>70</v>
      </c>
      <c r="D1846" s="1">
        <v>726.14290000000005</v>
      </c>
      <c r="E1846" t="s">
        <v>4542</v>
      </c>
      <c r="F1846" t="s">
        <v>4649</v>
      </c>
      <c r="G1846" s="580">
        <v>179.77500000000001</v>
      </c>
      <c r="H1846" s="1" t="s">
        <v>4650</v>
      </c>
      <c r="I1846" s="1"/>
      <c r="J1846" s="1"/>
      <c r="K1846" s="1"/>
      <c r="L1846" s="1"/>
      <c r="M1846" s="1"/>
      <c r="N1846" s="1"/>
      <c r="Q1846"/>
    </row>
    <row r="1847" spans="1:17" ht="13.15" customHeight="1" x14ac:dyDescent="0.2">
      <c r="A1847" s="1" t="s">
        <v>4651</v>
      </c>
      <c r="B1847" s="1" t="s">
        <v>4540</v>
      </c>
      <c r="C1847" s="580">
        <v>71</v>
      </c>
      <c r="D1847" s="1">
        <v>732.4076</v>
      </c>
      <c r="E1847" t="s">
        <v>4542</v>
      </c>
      <c r="F1847" t="s">
        <v>4652</v>
      </c>
      <c r="G1847" s="580">
        <v>181.32599999999999</v>
      </c>
      <c r="H1847" s="1" t="s">
        <v>4653</v>
      </c>
      <c r="I1847" s="1"/>
      <c r="J1847" s="1"/>
      <c r="K1847" s="1"/>
      <c r="L1847" s="1"/>
      <c r="M1847" s="1"/>
      <c r="N1847" s="1"/>
      <c r="Q1847"/>
    </row>
    <row r="1848" spans="1:17" ht="13.15" customHeight="1" x14ac:dyDescent="0.2">
      <c r="A1848" s="1" t="s">
        <v>4654</v>
      </c>
      <c r="B1848" s="1" t="s">
        <v>4540</v>
      </c>
      <c r="C1848" s="580">
        <v>72</v>
      </c>
      <c r="D1848" s="1">
        <v>732.4076</v>
      </c>
      <c r="E1848" t="s">
        <v>4542</v>
      </c>
      <c r="F1848" t="s">
        <v>4655</v>
      </c>
      <c r="G1848" s="580">
        <v>181.32599999999999</v>
      </c>
      <c r="H1848" s="1" t="s">
        <v>4656</v>
      </c>
      <c r="I1848" s="1"/>
      <c r="J1848" s="1"/>
      <c r="K1848" s="1"/>
      <c r="L1848" s="1"/>
      <c r="M1848" s="1"/>
      <c r="N1848" s="1"/>
      <c r="Q1848"/>
    </row>
    <row r="1849" spans="1:17" ht="13.15" customHeight="1" x14ac:dyDescent="0.2">
      <c r="A1849" s="1" t="s">
        <v>4657</v>
      </c>
      <c r="B1849" s="1" t="s">
        <v>4540</v>
      </c>
      <c r="C1849" s="580">
        <v>73</v>
      </c>
      <c r="D1849" s="1">
        <v>1016.6</v>
      </c>
      <c r="E1849" t="s">
        <v>4542</v>
      </c>
      <c r="F1849" t="s">
        <v>4658</v>
      </c>
      <c r="G1849" s="580">
        <v>251.685</v>
      </c>
      <c r="H1849" s="1" t="s">
        <v>4659</v>
      </c>
      <c r="I1849" s="1"/>
      <c r="J1849" s="1"/>
      <c r="K1849" s="1"/>
      <c r="L1849" s="1"/>
      <c r="M1849" s="1"/>
      <c r="N1849" s="1"/>
      <c r="Q1849"/>
    </row>
    <row r="1850" spans="1:17" ht="13.15" customHeight="1" x14ac:dyDescent="0.2">
      <c r="A1850" s="1" t="s">
        <v>4660</v>
      </c>
      <c r="B1850" s="1" t="s">
        <v>4540</v>
      </c>
      <c r="C1850" s="580">
        <v>74</v>
      </c>
      <c r="D1850" s="1">
        <v>1016.6</v>
      </c>
      <c r="E1850" t="s">
        <v>4542</v>
      </c>
      <c r="F1850" t="s">
        <v>4661</v>
      </c>
      <c r="G1850" s="580">
        <v>251.685</v>
      </c>
      <c r="H1850" s="1" t="s">
        <v>4662</v>
      </c>
      <c r="I1850" s="1"/>
      <c r="J1850" s="1"/>
      <c r="K1850" s="1"/>
      <c r="L1850" s="1"/>
      <c r="M1850" s="1"/>
      <c r="N1850" s="1"/>
      <c r="Q1850"/>
    </row>
    <row r="1851" spans="1:17" ht="13.15" customHeight="1" x14ac:dyDescent="0.2">
      <c r="A1851" s="1" t="s">
        <v>4663</v>
      </c>
      <c r="B1851" s="1" t="s">
        <v>4540</v>
      </c>
      <c r="C1851" s="580">
        <v>75</v>
      </c>
      <c r="D1851" s="1">
        <v>1012.0438</v>
      </c>
      <c r="E1851" t="s">
        <v>4542</v>
      </c>
      <c r="F1851" t="s">
        <v>4664</v>
      </c>
      <c r="G1851" s="580">
        <v>250.55699999999999</v>
      </c>
      <c r="H1851" s="1" t="s">
        <v>4665</v>
      </c>
      <c r="I1851" s="1"/>
      <c r="J1851" s="1"/>
      <c r="K1851" s="1"/>
      <c r="L1851" s="1"/>
      <c r="M1851" s="1"/>
      <c r="N1851" s="1"/>
      <c r="Q1851"/>
    </row>
    <row r="1852" spans="1:17" ht="13.15" customHeight="1" x14ac:dyDescent="0.2">
      <c r="A1852" s="1" t="s">
        <v>4666</v>
      </c>
      <c r="B1852" s="1" t="s">
        <v>4540</v>
      </c>
      <c r="C1852" s="580">
        <v>1</v>
      </c>
      <c r="D1852" s="1">
        <v>697.67</v>
      </c>
      <c r="E1852" t="s">
        <v>4667</v>
      </c>
      <c r="F1852">
        <v>2004</v>
      </c>
      <c r="G1852" s="580">
        <v>225.964</v>
      </c>
      <c r="H1852" s="1" t="s">
        <v>4668</v>
      </c>
      <c r="I1852" s="1"/>
      <c r="J1852" s="1"/>
      <c r="K1852" s="1"/>
      <c r="L1852" s="1"/>
      <c r="M1852" s="1"/>
      <c r="N1852" s="1"/>
      <c r="Q1852"/>
    </row>
    <row r="1853" spans="1:17" ht="13.15" customHeight="1" x14ac:dyDescent="0.2">
      <c r="A1853" s="1" t="s">
        <v>4669</v>
      </c>
      <c r="B1853" s="1" t="s">
        <v>4540</v>
      </c>
      <c r="C1853" s="580">
        <v>2</v>
      </c>
      <c r="D1853" s="1">
        <v>697.67</v>
      </c>
      <c r="E1853" t="s">
        <v>4667</v>
      </c>
      <c r="F1853">
        <v>2005</v>
      </c>
      <c r="G1853" s="580">
        <v>220.88</v>
      </c>
      <c r="H1853" s="1" t="s">
        <v>4670</v>
      </c>
      <c r="I1853" s="1"/>
      <c r="J1853" s="1"/>
      <c r="K1853" s="1"/>
      <c r="L1853" s="1"/>
      <c r="M1853" s="1"/>
      <c r="N1853" s="1"/>
      <c r="Q1853"/>
    </row>
    <row r="1854" spans="1:17" ht="13.15" customHeight="1" x14ac:dyDescent="0.2">
      <c r="A1854" s="1" t="s">
        <v>4671</v>
      </c>
      <c r="B1854" s="1" t="s">
        <v>4540</v>
      </c>
      <c r="C1854" s="580">
        <v>3</v>
      </c>
      <c r="D1854" s="1">
        <v>930.26</v>
      </c>
      <c r="E1854" t="s">
        <v>4667</v>
      </c>
      <c r="F1854">
        <v>2006</v>
      </c>
      <c r="G1854" s="580">
        <v>228.50399999999999</v>
      </c>
      <c r="H1854" s="1" t="s">
        <v>4672</v>
      </c>
      <c r="I1854" s="1"/>
      <c r="J1854" s="1"/>
      <c r="K1854" s="1"/>
      <c r="L1854" s="1"/>
      <c r="M1854" s="1"/>
      <c r="N1854" s="1"/>
      <c r="Q1854"/>
    </row>
    <row r="1855" spans="1:17" ht="13.15" customHeight="1" x14ac:dyDescent="0.2">
      <c r="A1855" s="1" t="s">
        <v>4673</v>
      </c>
      <c r="B1855" s="1" t="s">
        <v>4540</v>
      </c>
      <c r="C1855" s="580">
        <v>4</v>
      </c>
      <c r="D1855" s="1">
        <v>1023.29</v>
      </c>
      <c r="E1855" t="s">
        <v>4667</v>
      </c>
      <c r="F1855">
        <v>2007</v>
      </c>
      <c r="G1855" s="580">
        <v>235.048</v>
      </c>
      <c r="H1855" s="1" t="s">
        <v>4674</v>
      </c>
      <c r="I1855" s="1"/>
      <c r="J1855" s="1"/>
      <c r="K1855" s="1"/>
      <c r="L1855" s="1"/>
      <c r="M1855" s="1"/>
      <c r="N1855" s="1"/>
      <c r="Q1855"/>
    </row>
    <row r="1856" spans="1:17" ht="13.15" customHeight="1" x14ac:dyDescent="0.2">
      <c r="A1856" s="1" t="s">
        <v>4675</v>
      </c>
      <c r="B1856" s="1" t="s">
        <v>4540</v>
      </c>
      <c r="C1856" s="580">
        <v>5</v>
      </c>
      <c r="D1856" s="1">
        <v>1426.66</v>
      </c>
      <c r="E1856" t="s">
        <v>4667</v>
      </c>
      <c r="F1856">
        <v>2008</v>
      </c>
      <c r="G1856" s="580">
        <v>323.14400000000001</v>
      </c>
      <c r="H1856" s="1" t="s">
        <v>4676</v>
      </c>
      <c r="I1856" s="1"/>
      <c r="J1856" s="1"/>
      <c r="K1856" s="1"/>
      <c r="L1856" s="1"/>
      <c r="M1856" s="1"/>
      <c r="N1856" s="1"/>
      <c r="Q1856"/>
    </row>
    <row r="1857" spans="1:17" ht="13.15" customHeight="1" x14ac:dyDescent="0.2">
      <c r="A1857" s="1" t="s">
        <v>4677</v>
      </c>
      <c r="B1857" s="1" t="s">
        <v>4540</v>
      </c>
      <c r="C1857" s="580">
        <v>6</v>
      </c>
      <c r="D1857" s="1">
        <v>1426.66</v>
      </c>
      <c r="E1857" t="s">
        <v>4667</v>
      </c>
      <c r="F1857">
        <v>2009</v>
      </c>
      <c r="G1857" s="580">
        <v>319.048</v>
      </c>
      <c r="H1857" s="1" t="s">
        <v>4678</v>
      </c>
      <c r="I1857" s="1"/>
      <c r="J1857" s="1"/>
      <c r="K1857" s="1"/>
      <c r="L1857" s="1"/>
      <c r="M1857" s="1"/>
      <c r="N1857" s="1"/>
      <c r="Q1857"/>
    </row>
    <row r="1858" spans="1:17" ht="13.15" customHeight="1" x14ac:dyDescent="0.2">
      <c r="A1858" s="1" t="s">
        <v>4679</v>
      </c>
      <c r="B1858" s="1" t="s">
        <v>4540</v>
      </c>
      <c r="C1858" s="580">
        <v>7</v>
      </c>
      <c r="D1858" s="1">
        <v>2774.65</v>
      </c>
      <c r="E1858" t="s">
        <v>4667</v>
      </c>
      <c r="F1858">
        <v>2010</v>
      </c>
      <c r="G1858" s="580">
        <v>614.10400000000004</v>
      </c>
      <c r="H1858" s="1" t="s">
        <v>4680</v>
      </c>
      <c r="I1858" s="1"/>
      <c r="J1858" s="1"/>
      <c r="K1858" s="1"/>
      <c r="L1858" s="1"/>
      <c r="M1858" s="1"/>
      <c r="N1858" s="1"/>
      <c r="Q1858"/>
    </row>
    <row r="1859" spans="1:17" ht="13.15" customHeight="1" x14ac:dyDescent="0.2">
      <c r="A1859" s="1" t="s">
        <v>4681</v>
      </c>
      <c r="B1859" s="1" t="s">
        <v>4540</v>
      </c>
      <c r="C1859" s="580">
        <v>8</v>
      </c>
      <c r="D1859" s="1">
        <v>2774.65</v>
      </c>
      <c r="E1859" t="s">
        <v>4667</v>
      </c>
      <c r="F1859">
        <v>2011</v>
      </c>
      <c r="G1859" s="580">
        <v>614.10400000000004</v>
      </c>
      <c r="H1859" s="1" t="s">
        <v>4682</v>
      </c>
      <c r="I1859" s="1"/>
      <c r="J1859" s="1"/>
      <c r="K1859" s="1"/>
      <c r="L1859" s="1"/>
      <c r="M1859" s="1"/>
      <c r="N1859" s="1"/>
      <c r="Q1859"/>
    </row>
    <row r="1860" spans="1:17" ht="13.15" customHeight="1" x14ac:dyDescent="0.2">
      <c r="A1860" s="1" t="s">
        <v>4683</v>
      </c>
      <c r="B1860" s="1" t="s">
        <v>4540</v>
      </c>
      <c r="C1860" s="580">
        <v>9</v>
      </c>
      <c r="D1860" s="1">
        <v>2774.65</v>
      </c>
      <c r="E1860" t="s">
        <v>4667</v>
      </c>
      <c r="F1860">
        <v>2012</v>
      </c>
      <c r="G1860" s="580">
        <v>621.32399999999996</v>
      </c>
      <c r="H1860" s="1" t="s">
        <v>4684</v>
      </c>
      <c r="I1860" s="1"/>
      <c r="J1860" s="1"/>
      <c r="K1860" s="1"/>
      <c r="L1860" s="1"/>
      <c r="M1860" s="1"/>
      <c r="N1860" s="1"/>
      <c r="Q1860"/>
    </row>
    <row r="1861" spans="1:17" ht="13.15" customHeight="1" x14ac:dyDescent="0.2">
      <c r="A1861" s="1" t="s">
        <v>4685</v>
      </c>
      <c r="B1861" s="1" t="s">
        <v>4540</v>
      </c>
      <c r="C1861" s="580">
        <v>10</v>
      </c>
      <c r="D1861" s="1">
        <v>3506.03</v>
      </c>
      <c r="E1861" t="s">
        <v>4667</v>
      </c>
      <c r="F1861">
        <v>2013</v>
      </c>
      <c r="G1861" s="580">
        <v>764.75199999999995</v>
      </c>
      <c r="H1861" s="1" t="s">
        <v>4686</v>
      </c>
      <c r="I1861" s="1"/>
      <c r="J1861" s="1"/>
      <c r="K1861" s="1"/>
      <c r="L1861" s="1"/>
      <c r="M1861" s="1"/>
      <c r="N1861" s="1"/>
      <c r="Q1861"/>
    </row>
    <row r="1862" spans="1:17" ht="13.15" customHeight="1" x14ac:dyDescent="0.2">
      <c r="A1862" s="1" t="s">
        <v>4687</v>
      </c>
      <c r="B1862" s="1" t="s">
        <v>4540</v>
      </c>
      <c r="C1862" s="580">
        <v>11</v>
      </c>
      <c r="D1862" s="1">
        <v>3346.66</v>
      </c>
      <c r="E1862" t="s">
        <v>4667</v>
      </c>
      <c r="F1862">
        <v>2014</v>
      </c>
      <c r="G1862" s="580">
        <v>772.548</v>
      </c>
      <c r="H1862" s="1" t="s">
        <v>4688</v>
      </c>
      <c r="I1862" s="1"/>
      <c r="J1862" s="1"/>
      <c r="K1862" s="1"/>
      <c r="L1862" s="1"/>
      <c r="M1862" s="1"/>
      <c r="N1862" s="1"/>
      <c r="Q1862"/>
    </row>
    <row r="1863" spans="1:17" ht="13.15" customHeight="1" x14ac:dyDescent="0.2">
      <c r="A1863" s="1" t="s">
        <v>4689</v>
      </c>
      <c r="B1863" s="1" t="s">
        <v>4540</v>
      </c>
      <c r="C1863" s="580">
        <v>12</v>
      </c>
      <c r="D1863" s="1">
        <v>3506.03</v>
      </c>
      <c r="E1863" t="s">
        <v>4667</v>
      </c>
      <c r="F1863">
        <v>2015</v>
      </c>
      <c r="G1863" s="580">
        <v>821.4</v>
      </c>
      <c r="H1863" s="1" t="s">
        <v>4690</v>
      </c>
      <c r="I1863" s="1"/>
      <c r="J1863" s="1"/>
      <c r="K1863" s="1"/>
      <c r="L1863" s="1"/>
      <c r="M1863" s="1"/>
      <c r="N1863" s="1"/>
      <c r="Q1863"/>
    </row>
    <row r="1864" spans="1:17" ht="13.15" customHeight="1" x14ac:dyDescent="0.2">
      <c r="A1864" s="1" t="s">
        <v>4691</v>
      </c>
      <c r="B1864" s="1" t="s">
        <v>4540</v>
      </c>
      <c r="C1864" s="580">
        <v>13</v>
      </c>
      <c r="D1864" s="1">
        <v>3889.72</v>
      </c>
      <c r="E1864" t="s">
        <v>4667</v>
      </c>
      <c r="F1864">
        <v>2016</v>
      </c>
      <c r="G1864" s="580">
        <v>840.31600000000003</v>
      </c>
      <c r="H1864" s="1" t="s">
        <v>4692</v>
      </c>
      <c r="I1864" s="1"/>
      <c r="J1864" s="1"/>
      <c r="K1864" s="1"/>
      <c r="L1864" s="1"/>
      <c r="M1864" s="1"/>
      <c r="N1864" s="1"/>
      <c r="Q1864"/>
    </row>
    <row r="1865" spans="1:17" ht="13.15" customHeight="1" x14ac:dyDescent="0.2">
      <c r="A1865" s="1" t="s">
        <v>4693</v>
      </c>
      <c r="B1865" s="1" t="s">
        <v>4540</v>
      </c>
      <c r="C1865" s="580">
        <v>14</v>
      </c>
      <c r="D1865" s="1">
        <v>3889.72</v>
      </c>
      <c r="E1865" t="s">
        <v>4667</v>
      </c>
      <c r="F1865">
        <v>2017</v>
      </c>
      <c r="G1865" s="580">
        <v>840.31600000000003</v>
      </c>
      <c r="H1865" s="1" t="s">
        <v>4694</v>
      </c>
      <c r="I1865" s="1"/>
      <c r="J1865" s="1"/>
      <c r="K1865" s="1"/>
      <c r="L1865" s="1"/>
      <c r="M1865" s="1"/>
      <c r="N1865" s="1"/>
      <c r="Q1865"/>
    </row>
    <row r="1866" spans="1:17" ht="13.15" customHeight="1" x14ac:dyDescent="0.2">
      <c r="A1866" s="1" t="s">
        <v>4695</v>
      </c>
      <c r="B1866" s="1" t="s">
        <v>4540</v>
      </c>
      <c r="C1866" s="580">
        <v>15</v>
      </c>
      <c r="D1866" s="1">
        <v>3889.72</v>
      </c>
      <c r="E1866" t="s">
        <v>4667</v>
      </c>
      <c r="F1866">
        <v>2018</v>
      </c>
      <c r="G1866" s="580">
        <v>856.32399999999996</v>
      </c>
      <c r="H1866" s="1" t="s">
        <v>4696</v>
      </c>
      <c r="I1866" s="1"/>
      <c r="J1866" s="1"/>
      <c r="K1866" s="1"/>
      <c r="L1866" s="1"/>
      <c r="M1866" s="1"/>
      <c r="N1866" s="1"/>
      <c r="Q1866"/>
    </row>
    <row r="1867" spans="1:17" ht="13.15" customHeight="1" x14ac:dyDescent="0.2">
      <c r="A1867" s="1" t="s">
        <v>4697</v>
      </c>
      <c r="B1867" s="1" t="s">
        <v>4540</v>
      </c>
      <c r="C1867" s="580">
        <v>16</v>
      </c>
      <c r="D1867" s="1">
        <v>4733.54</v>
      </c>
      <c r="E1867" t="s">
        <v>4667</v>
      </c>
      <c r="F1867">
        <v>2019</v>
      </c>
      <c r="G1867" s="580">
        <v>1087</v>
      </c>
      <c r="H1867" s="1" t="s">
        <v>4698</v>
      </c>
      <c r="I1867" s="1"/>
      <c r="J1867" s="1"/>
      <c r="K1867" s="1"/>
      <c r="L1867" s="1"/>
      <c r="M1867" s="1"/>
      <c r="N1867" s="1"/>
      <c r="Q1867"/>
    </row>
    <row r="1868" spans="1:17" ht="13.15" customHeight="1" x14ac:dyDescent="0.2">
      <c r="A1868" s="1" t="s">
        <v>4699</v>
      </c>
      <c r="B1868" s="1" t="s">
        <v>4540</v>
      </c>
      <c r="C1868" s="580">
        <v>17</v>
      </c>
      <c r="D1868" s="1">
        <v>5522.45</v>
      </c>
      <c r="E1868" t="s">
        <v>4667</v>
      </c>
      <c r="F1868">
        <v>2022</v>
      </c>
      <c r="G1868" s="580">
        <v>1344.172</v>
      </c>
      <c r="H1868" s="1" t="s">
        <v>4700</v>
      </c>
      <c r="I1868" s="1"/>
      <c r="J1868" s="1"/>
      <c r="K1868" s="1"/>
      <c r="L1868" s="1"/>
      <c r="M1868" s="1"/>
      <c r="N1868" s="1"/>
      <c r="Q1868"/>
    </row>
    <row r="1869" spans="1:17" ht="13.15" customHeight="1" x14ac:dyDescent="0.2">
      <c r="A1869" s="1" t="s">
        <v>4701</v>
      </c>
      <c r="B1869" s="1" t="s">
        <v>4540</v>
      </c>
      <c r="C1869" s="580">
        <v>18</v>
      </c>
      <c r="D1869" s="1">
        <v>7137.84</v>
      </c>
      <c r="E1869" t="s">
        <v>4667</v>
      </c>
      <c r="F1869">
        <v>2024</v>
      </c>
      <c r="G1869" s="580">
        <v>1756.8040000000001</v>
      </c>
      <c r="H1869" s="1" t="s">
        <v>4702</v>
      </c>
      <c r="I1869" s="1"/>
      <c r="J1869" s="1"/>
      <c r="K1869" s="1"/>
      <c r="L1869" s="1"/>
      <c r="M1869" s="1"/>
      <c r="N1869" s="1"/>
      <c r="Q1869"/>
    </row>
    <row r="1870" spans="1:17" ht="13.15" customHeight="1" x14ac:dyDescent="0.2">
      <c r="A1870" s="1" t="s">
        <v>4703</v>
      </c>
      <c r="B1870" s="1" t="s">
        <v>4540</v>
      </c>
      <c r="C1870" s="580">
        <v>19</v>
      </c>
      <c r="D1870" s="1">
        <v>7137.84</v>
      </c>
      <c r="E1870" t="s">
        <v>4667</v>
      </c>
      <c r="F1870">
        <v>2025</v>
      </c>
      <c r="G1870" s="580">
        <v>1756.8040000000001</v>
      </c>
      <c r="H1870" s="1" t="s">
        <v>4704</v>
      </c>
      <c r="I1870" s="1"/>
      <c r="J1870" s="1"/>
      <c r="K1870" s="1"/>
      <c r="L1870" s="1"/>
      <c r="M1870" s="1"/>
      <c r="N1870" s="1"/>
      <c r="Q1870"/>
    </row>
    <row r="1871" spans="1:17" ht="13.15" customHeight="1" x14ac:dyDescent="0.2">
      <c r="A1871" s="1" t="s">
        <v>4705</v>
      </c>
      <c r="B1871" s="1" t="s">
        <v>4540</v>
      </c>
      <c r="C1871" s="580">
        <v>20</v>
      </c>
      <c r="D1871" s="1">
        <v>1009.21</v>
      </c>
      <c r="E1871" t="s">
        <v>4667</v>
      </c>
      <c r="F1871">
        <v>2170</v>
      </c>
      <c r="G1871" s="580">
        <v>358.74</v>
      </c>
      <c r="H1871" s="1" t="s">
        <v>4706</v>
      </c>
      <c r="I1871" s="1"/>
      <c r="J1871" s="1"/>
      <c r="K1871" s="1"/>
      <c r="L1871" s="1"/>
      <c r="M1871" s="1"/>
      <c r="N1871" s="1"/>
      <c r="Q1871"/>
    </row>
    <row r="1872" spans="1:17" ht="13.15" customHeight="1" x14ac:dyDescent="0.2">
      <c r="A1872" s="1" t="s">
        <v>4707</v>
      </c>
      <c r="B1872" s="1" t="s">
        <v>4540</v>
      </c>
      <c r="C1872" s="580">
        <v>21</v>
      </c>
      <c r="D1872" s="1">
        <v>1247.24</v>
      </c>
      <c r="E1872" t="s">
        <v>4667</v>
      </c>
      <c r="F1872">
        <v>2171</v>
      </c>
      <c r="G1872" s="580">
        <v>395.572</v>
      </c>
      <c r="H1872" s="1" t="s">
        <v>4708</v>
      </c>
      <c r="I1872" s="1"/>
      <c r="J1872" s="1"/>
      <c r="K1872" s="1"/>
      <c r="L1872" s="1"/>
      <c r="M1872" s="1"/>
      <c r="N1872" s="1"/>
      <c r="Q1872"/>
    </row>
    <row r="1873" spans="1:17" ht="13.15" customHeight="1" x14ac:dyDescent="0.2">
      <c r="A1873" s="1" t="s">
        <v>4709</v>
      </c>
      <c r="B1873" s="1" t="s">
        <v>4540</v>
      </c>
      <c r="C1873" s="580">
        <v>22</v>
      </c>
      <c r="D1873" s="1">
        <v>1656.42</v>
      </c>
      <c r="E1873" t="s">
        <v>4667</v>
      </c>
      <c r="F1873">
        <v>2172</v>
      </c>
      <c r="G1873" s="580">
        <v>507.04399999999998</v>
      </c>
      <c r="H1873" s="1" t="s">
        <v>4710</v>
      </c>
      <c r="I1873" s="1"/>
      <c r="J1873" s="1"/>
      <c r="K1873" s="1"/>
      <c r="L1873" s="1"/>
      <c r="M1873" s="1"/>
      <c r="N1873" s="1"/>
      <c r="Q1873"/>
    </row>
    <row r="1874" spans="1:17" ht="13.15" customHeight="1" x14ac:dyDescent="0.2">
      <c r="A1874" s="1" t="s">
        <v>4711</v>
      </c>
      <c r="B1874" s="1" t="s">
        <v>4540</v>
      </c>
      <c r="C1874" s="580">
        <v>23</v>
      </c>
      <c r="D1874" s="1">
        <v>1656.42</v>
      </c>
      <c r="E1874" t="s">
        <v>4667</v>
      </c>
      <c r="F1874">
        <v>2173</v>
      </c>
      <c r="G1874" s="580">
        <v>609.41999999999996</v>
      </c>
      <c r="H1874" s="1" t="s">
        <v>4712</v>
      </c>
      <c r="I1874" s="1"/>
      <c r="J1874" s="1"/>
      <c r="K1874" s="1"/>
      <c r="L1874" s="1"/>
      <c r="M1874" s="1"/>
      <c r="N1874" s="1"/>
      <c r="Q1874"/>
    </row>
    <row r="1875" spans="1:17" ht="13.15" customHeight="1" x14ac:dyDescent="0.2">
      <c r="A1875" s="1" t="s">
        <v>4713</v>
      </c>
      <c r="B1875" s="1" t="s">
        <v>4540</v>
      </c>
      <c r="C1875" s="580">
        <v>24</v>
      </c>
      <c r="D1875" s="1">
        <v>2598.89</v>
      </c>
      <c r="E1875" t="s">
        <v>4667</v>
      </c>
      <c r="F1875">
        <v>2174</v>
      </c>
      <c r="G1875" s="580">
        <v>1047.6120000000001</v>
      </c>
      <c r="H1875" s="1" t="s">
        <v>4714</v>
      </c>
      <c r="I1875" s="1"/>
      <c r="J1875" s="1"/>
      <c r="K1875" s="1"/>
      <c r="L1875" s="1"/>
      <c r="M1875" s="1"/>
      <c r="N1875" s="1"/>
      <c r="Q1875"/>
    </row>
    <row r="1876" spans="1:17" ht="13.15" customHeight="1" x14ac:dyDescent="0.2">
      <c r="A1876" s="1" t="s">
        <v>4715</v>
      </c>
      <c r="B1876" s="1" t="s">
        <v>4540</v>
      </c>
      <c r="C1876" s="580">
        <v>25</v>
      </c>
      <c r="D1876" s="1">
        <v>3496.3</v>
      </c>
      <c r="E1876" t="s">
        <v>4667</v>
      </c>
      <c r="F1876">
        <v>2175</v>
      </c>
      <c r="G1876" s="580">
        <v>1413.72</v>
      </c>
      <c r="H1876" s="1" t="s">
        <v>4716</v>
      </c>
      <c r="I1876" s="1"/>
      <c r="J1876" s="1"/>
      <c r="K1876" s="1"/>
      <c r="L1876" s="1"/>
      <c r="M1876" s="1"/>
      <c r="N1876" s="1"/>
      <c r="Q1876"/>
    </row>
    <row r="1877" spans="1:17" ht="13.15" customHeight="1" x14ac:dyDescent="0.2">
      <c r="A1877" s="1" t="s">
        <v>4717</v>
      </c>
      <c r="B1877" s="1" t="s">
        <v>4540</v>
      </c>
      <c r="C1877" s="580">
        <v>93</v>
      </c>
      <c r="D1877" s="1">
        <v>7270.12</v>
      </c>
      <c r="E1877" t="s">
        <v>4667</v>
      </c>
      <c r="F1877">
        <v>0</v>
      </c>
      <c r="G1877" s="580">
        <v>0</v>
      </c>
      <c r="H1877" s="1">
        <v>0</v>
      </c>
      <c r="I1877" s="1"/>
      <c r="J1877" s="1"/>
      <c r="K1877" s="1"/>
      <c r="L1877" s="1"/>
      <c r="M1877" s="1"/>
      <c r="N1877" s="1"/>
      <c r="Q1877"/>
    </row>
    <row r="1878" spans="1:17" ht="13.15" customHeight="1" x14ac:dyDescent="0.2">
      <c r="A1878" s="1" t="s">
        <v>4718</v>
      </c>
      <c r="B1878" s="1" t="s">
        <v>4540</v>
      </c>
      <c r="C1878" s="580">
        <v>94</v>
      </c>
      <c r="D1878" s="1">
        <v>7270.12</v>
      </c>
      <c r="E1878" t="s">
        <v>4667</v>
      </c>
      <c r="F1878">
        <v>0</v>
      </c>
      <c r="G1878" s="580">
        <v>0</v>
      </c>
      <c r="H1878" s="1">
        <v>0</v>
      </c>
      <c r="I1878" s="1"/>
      <c r="J1878" s="1"/>
      <c r="K1878" s="1"/>
      <c r="L1878" s="1"/>
      <c r="M1878" s="1"/>
      <c r="N1878" s="1"/>
      <c r="Q1878"/>
    </row>
    <row r="1879" spans="1:17" ht="13.15" customHeight="1" x14ac:dyDescent="0.2">
      <c r="A1879" s="1" t="s">
        <v>4719</v>
      </c>
      <c r="B1879" s="1" t="s">
        <v>4540</v>
      </c>
      <c r="C1879" s="580">
        <v>95</v>
      </c>
      <c r="D1879" s="1">
        <v>8197.3799999999992</v>
      </c>
      <c r="E1879" t="s">
        <v>4667</v>
      </c>
      <c r="F1879">
        <v>0</v>
      </c>
      <c r="G1879" s="580">
        <v>0</v>
      </c>
      <c r="H1879" s="1">
        <v>0</v>
      </c>
      <c r="I1879" s="1"/>
      <c r="J1879" s="1"/>
      <c r="K1879" s="1"/>
      <c r="L1879" s="1"/>
      <c r="M1879" s="1"/>
      <c r="N1879" s="1"/>
      <c r="Q1879"/>
    </row>
    <row r="1880" spans="1:17" ht="13.15" customHeight="1" x14ac:dyDescent="0.2">
      <c r="A1880" s="1" t="s">
        <v>4720</v>
      </c>
      <c r="B1880" s="1" t="s">
        <v>4540</v>
      </c>
      <c r="C1880" s="580">
        <v>96</v>
      </c>
      <c r="D1880" s="1">
        <v>8197.3799999999992</v>
      </c>
      <c r="E1880" t="s">
        <v>4667</v>
      </c>
      <c r="F1880">
        <v>0</v>
      </c>
      <c r="G1880" s="580">
        <v>0</v>
      </c>
      <c r="H1880" s="1">
        <v>0</v>
      </c>
      <c r="I1880" s="1"/>
      <c r="J1880" s="1"/>
      <c r="K1880" s="1"/>
      <c r="L1880" s="1"/>
      <c r="M1880" s="1"/>
      <c r="N1880" s="1"/>
      <c r="Q1880"/>
    </row>
    <row r="1881" spans="1:17" ht="13.15" customHeight="1" x14ac:dyDescent="0.2">
      <c r="A1881" s="1" t="s">
        <v>4721</v>
      </c>
      <c r="B1881" s="1" t="s">
        <v>4540</v>
      </c>
      <c r="C1881" s="580">
        <v>80</v>
      </c>
      <c r="D1881" s="1">
        <v>271.26</v>
      </c>
      <c r="E1881" t="s">
        <v>4667</v>
      </c>
      <c r="F1881">
        <v>3001</v>
      </c>
      <c r="G1881" s="580">
        <v>65.927999999999997</v>
      </c>
      <c r="H1881" s="1" t="s">
        <v>4722</v>
      </c>
      <c r="I1881" s="1"/>
      <c r="J1881" s="1"/>
      <c r="K1881" s="1"/>
      <c r="L1881" s="1"/>
      <c r="M1881" s="1"/>
      <c r="N1881" s="1"/>
      <c r="Q1881"/>
    </row>
    <row r="1882" spans="1:17" ht="13.15" customHeight="1" x14ac:dyDescent="0.2">
      <c r="A1882" s="1" t="s">
        <v>4723</v>
      </c>
      <c r="B1882" s="1" t="s">
        <v>4540</v>
      </c>
      <c r="C1882" s="580">
        <v>81</v>
      </c>
      <c r="D1882" s="1">
        <v>277.41000000000003</v>
      </c>
      <c r="E1882" t="s">
        <v>4667</v>
      </c>
      <c r="F1882">
        <v>3002</v>
      </c>
      <c r="G1882" s="580">
        <v>66.975999999999999</v>
      </c>
      <c r="H1882" s="1" t="s">
        <v>4724</v>
      </c>
      <c r="I1882" s="1"/>
      <c r="J1882" s="1"/>
      <c r="K1882" s="1"/>
      <c r="L1882" s="1"/>
      <c r="M1882" s="1"/>
      <c r="N1882" s="1"/>
      <c r="Q1882"/>
    </row>
    <row r="1883" spans="1:17" ht="13.15" customHeight="1" x14ac:dyDescent="0.2">
      <c r="A1883" s="1" t="s">
        <v>4725</v>
      </c>
      <c r="B1883" s="1" t="s">
        <v>4540</v>
      </c>
      <c r="C1883" s="580">
        <v>82</v>
      </c>
      <c r="D1883" s="1">
        <v>431.53</v>
      </c>
      <c r="E1883" t="s">
        <v>4667</v>
      </c>
      <c r="F1883">
        <v>3003</v>
      </c>
      <c r="G1883" s="580">
        <v>104.648</v>
      </c>
      <c r="H1883" s="1" t="s">
        <v>4726</v>
      </c>
      <c r="I1883" s="1"/>
      <c r="J1883" s="1"/>
      <c r="K1883" s="1"/>
      <c r="L1883" s="1"/>
      <c r="M1883" s="1"/>
      <c r="N1883" s="1"/>
      <c r="Q1883"/>
    </row>
    <row r="1884" spans="1:17" ht="13.15" customHeight="1" x14ac:dyDescent="0.2">
      <c r="A1884" s="1" t="s">
        <v>4727</v>
      </c>
      <c r="B1884" s="1" t="s">
        <v>4540</v>
      </c>
      <c r="C1884" s="580">
        <v>83</v>
      </c>
      <c r="D1884" s="1">
        <v>321.08</v>
      </c>
      <c r="E1884" t="s">
        <v>4667</v>
      </c>
      <c r="F1884">
        <v>3004</v>
      </c>
      <c r="G1884" s="580">
        <v>87.287999999999997</v>
      </c>
      <c r="H1884" s="1" t="s">
        <v>4726</v>
      </c>
      <c r="I1884" s="1"/>
      <c r="J1884" s="1"/>
      <c r="K1884" s="1"/>
      <c r="L1884" s="1"/>
      <c r="M1884" s="1"/>
      <c r="N1884" s="1"/>
      <c r="Q1884"/>
    </row>
    <row r="1885" spans="1:17" ht="13.15" customHeight="1" x14ac:dyDescent="0.2">
      <c r="A1885" s="1" t="s">
        <v>4728</v>
      </c>
      <c r="B1885" s="1" t="s">
        <v>4540</v>
      </c>
      <c r="C1885" s="580">
        <v>84</v>
      </c>
      <c r="D1885" s="1">
        <v>321.08</v>
      </c>
      <c r="E1885" t="s">
        <v>4667</v>
      </c>
      <c r="F1885">
        <v>3005</v>
      </c>
      <c r="G1885" s="580">
        <v>102.93600000000001</v>
      </c>
      <c r="H1885" s="1" t="s">
        <v>4729</v>
      </c>
      <c r="I1885" s="1"/>
      <c r="J1885" s="1"/>
      <c r="K1885" s="1"/>
      <c r="L1885" s="1"/>
      <c r="M1885" s="1"/>
      <c r="N1885" s="1"/>
      <c r="Q1885"/>
    </row>
    <row r="1886" spans="1:17" ht="13.15" customHeight="1" x14ac:dyDescent="0.2">
      <c r="A1886" s="1" t="s">
        <v>4730</v>
      </c>
      <c r="B1886" s="1" t="s">
        <v>4540</v>
      </c>
      <c r="C1886" s="580">
        <v>85</v>
      </c>
      <c r="D1886" s="1">
        <v>246.59</v>
      </c>
      <c r="E1886" t="s">
        <v>4667</v>
      </c>
      <c r="F1886">
        <v>3006</v>
      </c>
      <c r="G1886" s="580">
        <v>59.316000000000003</v>
      </c>
      <c r="H1886" s="1" t="s">
        <v>4731</v>
      </c>
      <c r="I1886" s="1"/>
      <c r="J1886" s="1"/>
      <c r="K1886" s="1"/>
      <c r="L1886" s="1"/>
      <c r="M1886" s="1"/>
      <c r="N1886" s="1"/>
      <c r="Q1886"/>
    </row>
    <row r="1887" spans="1:17" ht="13.15" customHeight="1" x14ac:dyDescent="0.2">
      <c r="A1887" s="1" t="s">
        <v>4732</v>
      </c>
      <c r="B1887" s="1" t="s">
        <v>4540</v>
      </c>
      <c r="C1887" s="580">
        <v>86</v>
      </c>
      <c r="D1887" s="1">
        <v>252.8</v>
      </c>
      <c r="E1887" t="s">
        <v>4667</v>
      </c>
      <c r="F1887">
        <v>3007</v>
      </c>
      <c r="G1887" s="580">
        <v>60.887999999999998</v>
      </c>
      <c r="H1887" s="1" t="s">
        <v>4733</v>
      </c>
      <c r="I1887" s="1"/>
      <c r="J1887" s="1"/>
      <c r="K1887" s="1"/>
      <c r="L1887" s="1"/>
      <c r="M1887" s="1"/>
      <c r="N1887" s="1"/>
      <c r="Q1887"/>
    </row>
    <row r="1888" spans="1:17" ht="13.15" customHeight="1" x14ac:dyDescent="0.2">
      <c r="A1888" s="1" t="s">
        <v>4734</v>
      </c>
      <c r="B1888" s="1" t="s">
        <v>4540</v>
      </c>
      <c r="C1888" s="580">
        <v>87</v>
      </c>
      <c r="D1888" s="1">
        <v>275.76</v>
      </c>
      <c r="E1888" t="s">
        <v>4667</v>
      </c>
      <c r="F1888">
        <v>3008</v>
      </c>
      <c r="G1888" s="580">
        <v>66.212000000000003</v>
      </c>
      <c r="H1888" s="1" t="s">
        <v>4735</v>
      </c>
      <c r="I1888" s="1"/>
      <c r="J1888" s="1"/>
      <c r="K1888" s="1"/>
      <c r="L1888" s="1"/>
      <c r="M1888" s="1"/>
      <c r="N1888" s="1"/>
      <c r="Q1888"/>
    </row>
    <row r="1889" spans="1:17" ht="13.15" customHeight="1" x14ac:dyDescent="0.2">
      <c r="A1889" s="1" t="s">
        <v>4736</v>
      </c>
      <c r="B1889" s="1" t="s">
        <v>4540</v>
      </c>
      <c r="C1889" s="580">
        <v>88</v>
      </c>
      <c r="D1889" s="1">
        <v>321.08</v>
      </c>
      <c r="E1889" t="s">
        <v>4667</v>
      </c>
      <c r="F1889">
        <v>3012</v>
      </c>
      <c r="G1889" s="580">
        <v>57.176000000000002</v>
      </c>
      <c r="H1889" s="1" t="s">
        <v>4737</v>
      </c>
      <c r="I1889" s="1"/>
      <c r="J1889" s="1"/>
      <c r="K1889" s="1"/>
      <c r="L1889" s="1"/>
      <c r="M1889" s="1"/>
      <c r="N1889" s="1"/>
      <c r="Q1889"/>
    </row>
    <row r="1890" spans="1:17" ht="13.15" customHeight="1" x14ac:dyDescent="0.2">
      <c r="A1890" s="1" t="s">
        <v>4738</v>
      </c>
      <c r="B1890" s="1" t="s">
        <v>4540</v>
      </c>
      <c r="C1890" s="580">
        <v>89</v>
      </c>
      <c r="D1890" s="1">
        <v>308.24</v>
      </c>
      <c r="E1890" t="s">
        <v>4667</v>
      </c>
      <c r="F1890">
        <v>3014</v>
      </c>
      <c r="G1890" s="580">
        <v>75.251999999999995</v>
      </c>
      <c r="H1890" s="1" t="s">
        <v>4739</v>
      </c>
      <c r="I1890" s="1"/>
      <c r="J1890" s="1"/>
      <c r="K1890" s="1"/>
      <c r="L1890" s="1"/>
      <c r="M1890" s="1"/>
      <c r="N1890" s="1"/>
      <c r="Q1890"/>
    </row>
    <row r="1891" spans="1:17" ht="13.15" customHeight="1" x14ac:dyDescent="0.2">
      <c r="A1891" s="1" t="s">
        <v>4740</v>
      </c>
      <c r="B1891" s="1" t="s">
        <v>4540</v>
      </c>
      <c r="C1891" s="580">
        <v>90</v>
      </c>
      <c r="D1891" s="1">
        <v>321.08</v>
      </c>
      <c r="E1891" t="s">
        <v>4667</v>
      </c>
      <c r="F1891">
        <v>3015</v>
      </c>
      <c r="G1891" s="580">
        <v>120.34399999999999</v>
      </c>
      <c r="H1891" s="1" t="s">
        <v>4741</v>
      </c>
      <c r="I1891" s="1"/>
      <c r="J1891" s="1"/>
      <c r="K1891" s="1"/>
      <c r="L1891" s="1"/>
      <c r="M1891" s="1"/>
      <c r="N1891" s="1"/>
      <c r="Q1891"/>
    </row>
    <row r="1892" spans="1:17" ht="13.15" customHeight="1" x14ac:dyDescent="0.2">
      <c r="A1892" s="1" t="s">
        <v>4742</v>
      </c>
      <c r="B1892" s="1" t="s">
        <v>4540</v>
      </c>
      <c r="C1892" s="580">
        <v>91</v>
      </c>
      <c r="D1892" s="1">
        <v>321.08</v>
      </c>
      <c r="E1892" t="s">
        <v>4667</v>
      </c>
      <c r="F1892">
        <v>3016</v>
      </c>
      <c r="G1892" s="580">
        <v>52.372</v>
      </c>
      <c r="H1892" s="1" t="s">
        <v>4743</v>
      </c>
      <c r="I1892" s="1"/>
      <c r="J1892" s="1"/>
      <c r="K1892" s="1"/>
      <c r="L1892" s="1"/>
      <c r="M1892" s="1"/>
      <c r="N1892" s="1"/>
      <c r="Q1892"/>
    </row>
    <row r="1893" spans="1:17" ht="13.15" customHeight="1" x14ac:dyDescent="0.2">
      <c r="A1893" s="1" t="s">
        <v>4744</v>
      </c>
      <c r="B1893" s="1" t="s">
        <v>4745</v>
      </c>
      <c r="C1893" s="580" t="s">
        <v>4746</v>
      </c>
      <c r="D1893" s="1">
        <v>139.9</v>
      </c>
      <c r="E1893" t="s">
        <v>4624</v>
      </c>
      <c r="F1893" t="s">
        <v>4746</v>
      </c>
      <c r="G1893" s="580">
        <v>0</v>
      </c>
      <c r="H1893" s="1" t="s">
        <v>4746</v>
      </c>
      <c r="I1893" s="1"/>
      <c r="J1893" s="1"/>
      <c r="K1893" s="1"/>
      <c r="L1893" s="1"/>
      <c r="M1893" s="1"/>
      <c r="N1893" s="1"/>
      <c r="Q1893"/>
    </row>
    <row r="1894" spans="1:17" ht="13.15" customHeight="1" x14ac:dyDescent="0.2">
      <c r="A1894" s="1" t="s">
        <v>4747</v>
      </c>
      <c r="B1894" s="1" t="s">
        <v>4745</v>
      </c>
      <c r="C1894" s="580" t="s">
        <v>4748</v>
      </c>
      <c r="D1894" s="1">
        <v>141.97999999999999</v>
      </c>
      <c r="E1894" t="s">
        <v>4624</v>
      </c>
      <c r="F1894" t="s">
        <v>4748</v>
      </c>
      <c r="G1894" s="580">
        <v>0</v>
      </c>
      <c r="H1894" s="1" t="s">
        <v>4748</v>
      </c>
      <c r="I1894" s="1"/>
      <c r="J1894" s="1"/>
      <c r="K1894" s="1"/>
      <c r="L1894" s="1"/>
      <c r="M1894" s="1"/>
      <c r="N1894" s="1"/>
      <c r="Q1894"/>
    </row>
    <row r="1895" spans="1:17" ht="13.15" customHeight="1" x14ac:dyDescent="0.2">
      <c r="A1895" s="1" t="s">
        <v>4749</v>
      </c>
      <c r="B1895" s="1" t="s">
        <v>4745</v>
      </c>
      <c r="C1895" s="580" t="s">
        <v>4750</v>
      </c>
      <c r="D1895" s="1">
        <v>191.05</v>
      </c>
      <c r="E1895" t="s">
        <v>4624</v>
      </c>
      <c r="F1895" t="s">
        <v>4750</v>
      </c>
      <c r="G1895" s="580">
        <v>0</v>
      </c>
      <c r="H1895" s="1" t="s">
        <v>4750</v>
      </c>
      <c r="I1895" s="1"/>
      <c r="J1895" s="1"/>
      <c r="K1895" s="1"/>
      <c r="L1895" s="1"/>
      <c r="M1895" s="1"/>
      <c r="N1895" s="1"/>
      <c r="Q1895"/>
    </row>
    <row r="1896" spans="1:17" ht="13.15" customHeight="1" x14ac:dyDescent="0.2">
      <c r="A1896" s="1" t="s">
        <v>4751</v>
      </c>
      <c r="B1896" s="1" t="s">
        <v>4745</v>
      </c>
      <c r="C1896" s="580" t="s">
        <v>4752</v>
      </c>
      <c r="D1896" s="1">
        <v>139.9</v>
      </c>
      <c r="E1896" t="s">
        <v>4624</v>
      </c>
      <c r="F1896" t="s">
        <v>4752</v>
      </c>
      <c r="G1896" s="580">
        <v>0</v>
      </c>
      <c r="H1896" s="1" t="s">
        <v>4752</v>
      </c>
      <c r="I1896" s="1"/>
      <c r="J1896" s="1"/>
      <c r="K1896" s="1"/>
      <c r="L1896" s="1"/>
      <c r="M1896" s="1"/>
      <c r="N1896" s="1"/>
      <c r="Q1896"/>
    </row>
    <row r="1897" spans="1:17" ht="13.15" customHeight="1" x14ac:dyDescent="0.2">
      <c r="A1897" s="1" t="s">
        <v>4753</v>
      </c>
      <c r="B1897" s="1" t="s">
        <v>4745</v>
      </c>
      <c r="C1897" s="580" t="s">
        <v>4754</v>
      </c>
      <c r="D1897" s="1">
        <v>144.07</v>
      </c>
      <c r="E1897" t="s">
        <v>4624</v>
      </c>
      <c r="F1897" t="s">
        <v>4754</v>
      </c>
      <c r="G1897" s="580">
        <v>0</v>
      </c>
      <c r="H1897" s="1" t="s">
        <v>4754</v>
      </c>
      <c r="I1897" s="1"/>
      <c r="J1897" s="1"/>
      <c r="K1897" s="1"/>
      <c r="L1897" s="1"/>
      <c r="M1897" s="1"/>
      <c r="N1897" s="1"/>
      <c r="Q1897"/>
    </row>
    <row r="1898" spans="1:17" ht="13.15" customHeight="1" x14ac:dyDescent="0.2">
      <c r="A1898" s="1" t="s">
        <v>4755</v>
      </c>
      <c r="B1898" s="1" t="s">
        <v>4745</v>
      </c>
      <c r="C1898" s="580" t="s">
        <v>4756</v>
      </c>
      <c r="D1898" s="1">
        <v>144.07</v>
      </c>
      <c r="E1898" t="s">
        <v>4624</v>
      </c>
      <c r="F1898" t="s">
        <v>4756</v>
      </c>
      <c r="G1898" s="580">
        <v>0</v>
      </c>
      <c r="H1898" s="1" t="s">
        <v>4756</v>
      </c>
      <c r="I1898" s="1"/>
      <c r="J1898" s="1"/>
      <c r="K1898" s="1"/>
      <c r="L1898" s="1"/>
      <c r="M1898" s="1"/>
      <c r="N1898" s="1"/>
      <c r="Q1898"/>
    </row>
    <row r="1899" spans="1:17" ht="13.15" customHeight="1" x14ac:dyDescent="0.2">
      <c r="A1899" s="1" t="s">
        <v>4757</v>
      </c>
      <c r="B1899" s="1" t="s">
        <v>4745</v>
      </c>
      <c r="C1899" s="580" t="s">
        <v>4758</v>
      </c>
      <c r="D1899" s="1">
        <v>170.17</v>
      </c>
      <c r="E1899" t="s">
        <v>4624</v>
      </c>
      <c r="F1899" t="s">
        <v>4758</v>
      </c>
      <c r="G1899" s="580">
        <v>0</v>
      </c>
      <c r="H1899" s="1" t="s">
        <v>4758</v>
      </c>
      <c r="I1899" s="1"/>
      <c r="J1899" s="1"/>
      <c r="K1899" s="1"/>
      <c r="L1899" s="1"/>
      <c r="M1899" s="1"/>
      <c r="N1899" s="1"/>
      <c r="Q1899"/>
    </row>
    <row r="1900" spans="1:17" ht="13.15" customHeight="1" x14ac:dyDescent="0.2">
      <c r="A1900" s="1" t="s">
        <v>4759</v>
      </c>
      <c r="B1900" s="1" t="s">
        <v>4745</v>
      </c>
      <c r="C1900" s="580" t="s">
        <v>4760</v>
      </c>
      <c r="D1900" s="1">
        <v>191.05</v>
      </c>
      <c r="E1900" t="s">
        <v>4624</v>
      </c>
      <c r="F1900" t="s">
        <v>4760</v>
      </c>
      <c r="G1900" s="580">
        <v>0</v>
      </c>
      <c r="H1900" s="1" t="s">
        <v>4760</v>
      </c>
      <c r="I1900" s="1"/>
      <c r="J1900" s="1"/>
      <c r="K1900" s="1"/>
      <c r="L1900" s="1"/>
      <c r="M1900" s="1"/>
      <c r="N1900" s="1"/>
      <c r="Q1900"/>
    </row>
    <row r="1901" spans="1:17" ht="13.15" customHeight="1" x14ac:dyDescent="0.2">
      <c r="A1901" s="1" t="s">
        <v>4761</v>
      </c>
      <c r="B1901" s="1" t="s">
        <v>4745</v>
      </c>
      <c r="C1901" s="580" t="s">
        <v>4762</v>
      </c>
      <c r="D1901" s="1">
        <v>247.95</v>
      </c>
      <c r="E1901" t="s">
        <v>4624</v>
      </c>
      <c r="F1901" t="s">
        <v>4762</v>
      </c>
      <c r="G1901" s="580">
        <v>0</v>
      </c>
      <c r="H1901" s="1" t="s">
        <v>4762</v>
      </c>
      <c r="I1901" s="1"/>
      <c r="J1901" s="1"/>
      <c r="K1901" s="1"/>
      <c r="L1901" s="1"/>
      <c r="M1901" s="1"/>
      <c r="N1901" s="1"/>
      <c r="Q1901"/>
    </row>
    <row r="1902" spans="1:17" ht="13.15" customHeight="1" x14ac:dyDescent="0.2">
      <c r="A1902" s="1" t="s">
        <v>4763</v>
      </c>
      <c r="B1902" s="1" t="s">
        <v>4745</v>
      </c>
      <c r="C1902" s="580" t="s">
        <v>4764</v>
      </c>
      <c r="D1902" s="1">
        <v>139.9</v>
      </c>
      <c r="E1902" t="s">
        <v>4624</v>
      </c>
      <c r="F1902" t="s">
        <v>4764</v>
      </c>
      <c r="G1902" s="580">
        <v>0</v>
      </c>
      <c r="H1902" s="1" t="s">
        <v>4764</v>
      </c>
      <c r="I1902" s="1"/>
      <c r="J1902" s="1"/>
      <c r="K1902" s="1"/>
      <c r="L1902" s="1"/>
      <c r="M1902" s="1"/>
      <c r="N1902" s="1"/>
      <c r="Q1902"/>
    </row>
    <row r="1903" spans="1:17" ht="13.15" customHeight="1" x14ac:dyDescent="0.2">
      <c r="A1903" s="1" t="s">
        <v>4765</v>
      </c>
      <c r="B1903" s="1" t="s">
        <v>4745</v>
      </c>
      <c r="C1903" s="580" t="s">
        <v>4766</v>
      </c>
      <c r="D1903" s="1">
        <v>154.51</v>
      </c>
      <c r="E1903" t="s">
        <v>4624</v>
      </c>
      <c r="F1903" t="s">
        <v>4766</v>
      </c>
      <c r="G1903" s="580">
        <v>0</v>
      </c>
      <c r="H1903" s="1" t="s">
        <v>4766</v>
      </c>
      <c r="I1903" s="1"/>
      <c r="J1903" s="1"/>
      <c r="K1903" s="1"/>
      <c r="L1903" s="1"/>
      <c r="M1903" s="1"/>
      <c r="N1903" s="1"/>
      <c r="Q1903"/>
    </row>
    <row r="1904" spans="1:17" ht="13.15" customHeight="1" x14ac:dyDescent="0.2">
      <c r="A1904" s="1" t="s">
        <v>4767</v>
      </c>
      <c r="B1904" s="1" t="s">
        <v>4745</v>
      </c>
      <c r="C1904" s="580" t="s">
        <v>4768</v>
      </c>
      <c r="D1904" s="1">
        <v>170.17</v>
      </c>
      <c r="E1904" t="s">
        <v>4624</v>
      </c>
      <c r="F1904" t="s">
        <v>4768</v>
      </c>
      <c r="G1904" s="580">
        <v>0</v>
      </c>
      <c r="H1904" s="1" t="s">
        <v>4768</v>
      </c>
      <c r="I1904" s="1"/>
      <c r="J1904" s="1"/>
      <c r="K1904" s="1"/>
      <c r="L1904" s="1"/>
      <c r="M1904" s="1"/>
      <c r="N1904" s="1"/>
      <c r="Q1904"/>
    </row>
    <row r="1905" spans="1:17" ht="13.15" customHeight="1" x14ac:dyDescent="0.2">
      <c r="A1905" s="1" t="s">
        <v>4769</v>
      </c>
      <c r="B1905" s="1" t="s">
        <v>4745</v>
      </c>
      <c r="C1905" s="580" t="s">
        <v>4770</v>
      </c>
      <c r="D1905" s="1">
        <v>170.17</v>
      </c>
      <c r="E1905" t="s">
        <v>4624</v>
      </c>
      <c r="F1905" t="s">
        <v>4770</v>
      </c>
      <c r="G1905" s="580">
        <v>0</v>
      </c>
      <c r="H1905" s="1" t="s">
        <v>4770</v>
      </c>
      <c r="I1905" s="1"/>
      <c r="J1905" s="1"/>
      <c r="K1905" s="1"/>
      <c r="L1905" s="1"/>
      <c r="M1905" s="1"/>
      <c r="N1905" s="1"/>
      <c r="Q1905"/>
    </row>
    <row r="1906" spans="1:17" ht="13.15" customHeight="1" x14ac:dyDescent="0.2">
      <c r="A1906" s="1" t="s">
        <v>4771</v>
      </c>
      <c r="B1906" s="1" t="s">
        <v>4745</v>
      </c>
      <c r="C1906" s="580" t="s">
        <v>4772</v>
      </c>
      <c r="D1906" s="1">
        <v>170.17</v>
      </c>
      <c r="E1906" t="s">
        <v>4624</v>
      </c>
      <c r="F1906" t="s">
        <v>4772</v>
      </c>
      <c r="G1906" s="580">
        <v>0</v>
      </c>
      <c r="H1906" s="1" t="s">
        <v>4772</v>
      </c>
      <c r="I1906" s="1"/>
      <c r="J1906" s="1"/>
      <c r="K1906" s="1"/>
      <c r="L1906" s="1"/>
      <c r="M1906" s="1"/>
      <c r="N1906" s="1"/>
      <c r="Q1906"/>
    </row>
    <row r="1907" spans="1:17" ht="13.15" customHeight="1" x14ac:dyDescent="0.2">
      <c r="A1907" s="1" t="s">
        <v>4773</v>
      </c>
      <c r="B1907" s="1" t="s">
        <v>4745</v>
      </c>
      <c r="C1907" s="580" t="s">
        <v>4774</v>
      </c>
      <c r="D1907" s="1">
        <v>182.7</v>
      </c>
      <c r="E1907" t="s">
        <v>4624</v>
      </c>
      <c r="F1907" t="s">
        <v>4774</v>
      </c>
      <c r="G1907" s="580">
        <v>0</v>
      </c>
      <c r="H1907" s="1" t="s">
        <v>4774</v>
      </c>
      <c r="I1907" s="1"/>
      <c r="J1907" s="1"/>
      <c r="K1907" s="1"/>
      <c r="L1907" s="1"/>
      <c r="M1907" s="1"/>
      <c r="N1907" s="1"/>
      <c r="Q1907"/>
    </row>
    <row r="1908" spans="1:17" ht="13.15" customHeight="1" x14ac:dyDescent="0.2">
      <c r="A1908" s="1" t="s">
        <v>4775</v>
      </c>
      <c r="B1908" s="1" t="s">
        <v>4745</v>
      </c>
      <c r="C1908" s="580" t="s">
        <v>4776</v>
      </c>
      <c r="D1908" s="1">
        <v>269.35000000000002</v>
      </c>
      <c r="E1908" t="s">
        <v>4624</v>
      </c>
      <c r="F1908" t="s">
        <v>4776</v>
      </c>
      <c r="G1908" s="580">
        <v>0</v>
      </c>
      <c r="H1908" s="1" t="s">
        <v>4776</v>
      </c>
      <c r="I1908" s="1"/>
      <c r="J1908" s="1"/>
      <c r="K1908" s="1"/>
      <c r="L1908" s="1"/>
      <c r="M1908" s="1"/>
      <c r="N1908" s="1"/>
      <c r="Q1908"/>
    </row>
    <row r="1909" spans="1:17" ht="13.15" customHeight="1" x14ac:dyDescent="0.2">
      <c r="A1909" s="1" t="s">
        <v>4777</v>
      </c>
      <c r="B1909" s="1" t="s">
        <v>4745</v>
      </c>
      <c r="C1909" s="580" t="s">
        <v>4778</v>
      </c>
      <c r="D1909" s="1">
        <v>139.9</v>
      </c>
      <c r="E1909" t="s">
        <v>4624</v>
      </c>
      <c r="F1909" t="s">
        <v>4778</v>
      </c>
      <c r="G1909" s="580">
        <v>0</v>
      </c>
      <c r="H1909" s="1" t="s">
        <v>4778</v>
      </c>
      <c r="I1909" s="1"/>
      <c r="J1909" s="1"/>
      <c r="K1909" s="1"/>
      <c r="L1909" s="1"/>
      <c r="M1909" s="1"/>
      <c r="N1909" s="1"/>
      <c r="Q1909"/>
    </row>
    <row r="1910" spans="1:17" ht="13.15" customHeight="1" x14ac:dyDescent="0.2">
      <c r="A1910" s="1" t="s">
        <v>4779</v>
      </c>
      <c r="B1910" s="1" t="s">
        <v>4745</v>
      </c>
      <c r="C1910" s="580" t="s">
        <v>4780</v>
      </c>
      <c r="D1910" s="1">
        <v>191.05</v>
      </c>
      <c r="E1910" t="s">
        <v>4624</v>
      </c>
      <c r="F1910" t="s">
        <v>4780</v>
      </c>
      <c r="G1910" s="580">
        <v>0</v>
      </c>
      <c r="H1910" s="1" t="s">
        <v>4780</v>
      </c>
      <c r="I1910" s="1"/>
      <c r="J1910" s="1"/>
      <c r="K1910" s="1"/>
      <c r="L1910" s="1"/>
      <c r="M1910" s="1"/>
      <c r="N1910" s="1"/>
      <c r="Q1910"/>
    </row>
    <row r="1911" spans="1:17" ht="13.15" customHeight="1" x14ac:dyDescent="0.2">
      <c r="A1911" s="1" t="s">
        <v>4781</v>
      </c>
      <c r="B1911" s="1" t="s">
        <v>4745</v>
      </c>
      <c r="C1911" s="580" t="s">
        <v>4782</v>
      </c>
      <c r="D1911" s="1">
        <v>148.25</v>
      </c>
      <c r="E1911" t="s">
        <v>4624</v>
      </c>
      <c r="F1911" t="s">
        <v>4782</v>
      </c>
      <c r="G1911" s="580">
        <v>0</v>
      </c>
      <c r="H1911" s="1" t="s">
        <v>4782</v>
      </c>
      <c r="I1911" s="1"/>
      <c r="J1911" s="1"/>
      <c r="K1911" s="1"/>
      <c r="L1911" s="1"/>
      <c r="M1911" s="1"/>
      <c r="N1911" s="1"/>
      <c r="Q1911"/>
    </row>
    <row r="1912" spans="1:17" ht="13.15" customHeight="1" x14ac:dyDescent="0.2">
      <c r="A1912" s="1" t="s">
        <v>4783</v>
      </c>
      <c r="B1912" s="1" t="s">
        <v>4745</v>
      </c>
      <c r="C1912" s="580" t="s">
        <v>4784</v>
      </c>
      <c r="D1912" s="1">
        <v>170.17</v>
      </c>
      <c r="E1912" t="s">
        <v>4624</v>
      </c>
      <c r="F1912" t="s">
        <v>4784</v>
      </c>
      <c r="G1912" s="580">
        <v>0</v>
      </c>
      <c r="H1912" s="1" t="s">
        <v>4784</v>
      </c>
      <c r="I1912" s="1"/>
      <c r="J1912" s="1"/>
      <c r="K1912" s="1"/>
      <c r="L1912" s="1"/>
      <c r="M1912" s="1"/>
      <c r="N1912" s="1"/>
      <c r="Q1912"/>
    </row>
    <row r="1913" spans="1:17" ht="13.15" customHeight="1" x14ac:dyDescent="0.2">
      <c r="A1913" s="1" t="s">
        <v>4785</v>
      </c>
      <c r="B1913" s="1" t="s">
        <v>4745</v>
      </c>
      <c r="C1913" s="580" t="s">
        <v>4786</v>
      </c>
      <c r="D1913" s="1">
        <v>191.05</v>
      </c>
      <c r="E1913" t="s">
        <v>4624</v>
      </c>
      <c r="F1913" t="s">
        <v>4786</v>
      </c>
      <c r="G1913" s="580">
        <v>0</v>
      </c>
      <c r="H1913" s="1" t="s">
        <v>4786</v>
      </c>
      <c r="I1913" s="1"/>
      <c r="J1913" s="1"/>
      <c r="K1913" s="1"/>
      <c r="L1913" s="1"/>
      <c r="M1913" s="1"/>
      <c r="N1913" s="1"/>
      <c r="Q1913"/>
    </row>
    <row r="1914" spans="1:17" ht="13.15" customHeight="1" x14ac:dyDescent="0.2">
      <c r="A1914" s="1" t="s">
        <v>4787</v>
      </c>
      <c r="B1914" s="1" t="s">
        <v>4745</v>
      </c>
      <c r="C1914" s="580" t="s">
        <v>4788</v>
      </c>
      <c r="D1914" s="1">
        <v>170.17</v>
      </c>
      <c r="E1914" t="s">
        <v>4624</v>
      </c>
      <c r="F1914" t="s">
        <v>4788</v>
      </c>
      <c r="G1914" s="580">
        <v>0</v>
      </c>
      <c r="H1914" s="1" t="s">
        <v>4788</v>
      </c>
      <c r="I1914" s="1"/>
      <c r="J1914" s="1"/>
      <c r="K1914" s="1"/>
      <c r="L1914" s="1"/>
      <c r="M1914" s="1"/>
      <c r="N1914" s="1"/>
      <c r="Q1914"/>
    </row>
    <row r="1915" spans="1:17" ht="13.15" customHeight="1" x14ac:dyDescent="0.2">
      <c r="A1915" s="1" t="s">
        <v>4789</v>
      </c>
      <c r="B1915" s="1" t="s">
        <v>4745</v>
      </c>
      <c r="C1915" s="580" t="s">
        <v>4790</v>
      </c>
      <c r="D1915" s="1">
        <v>191.05</v>
      </c>
      <c r="E1915" t="s">
        <v>4624</v>
      </c>
      <c r="F1915" t="s">
        <v>4790</v>
      </c>
      <c r="G1915" s="580">
        <v>0</v>
      </c>
      <c r="H1915" s="1" t="s">
        <v>4790</v>
      </c>
      <c r="I1915" s="1"/>
      <c r="J1915" s="1"/>
      <c r="K1915" s="1"/>
      <c r="L1915" s="1"/>
      <c r="M1915" s="1"/>
      <c r="N1915" s="1"/>
      <c r="Q1915"/>
    </row>
    <row r="1916" spans="1:17" ht="13.15" customHeight="1" x14ac:dyDescent="0.2">
      <c r="A1916" s="1" t="s">
        <v>4791</v>
      </c>
      <c r="B1916" s="1" t="s">
        <v>4745</v>
      </c>
      <c r="C1916" s="580" t="s">
        <v>4792</v>
      </c>
      <c r="D1916" s="1">
        <v>298.58</v>
      </c>
      <c r="E1916" t="s">
        <v>4624</v>
      </c>
      <c r="F1916" t="s">
        <v>4792</v>
      </c>
      <c r="G1916" s="580">
        <v>0</v>
      </c>
      <c r="H1916" s="1" t="s">
        <v>4792</v>
      </c>
      <c r="I1916" s="1"/>
      <c r="J1916" s="1"/>
      <c r="K1916" s="1"/>
      <c r="L1916" s="1"/>
      <c r="M1916" s="1"/>
      <c r="N1916" s="1"/>
      <c r="Q1916"/>
    </row>
    <row r="1917" spans="1:17" ht="13.15" customHeight="1" x14ac:dyDescent="0.2">
      <c r="A1917" s="1" t="s">
        <v>4793</v>
      </c>
      <c r="B1917" s="1" t="s">
        <v>4745</v>
      </c>
      <c r="C1917" s="580" t="s">
        <v>4794</v>
      </c>
      <c r="D1917" s="1">
        <v>339.3</v>
      </c>
      <c r="E1917" t="s">
        <v>4624</v>
      </c>
      <c r="F1917" t="s">
        <v>4794</v>
      </c>
      <c r="G1917" s="580">
        <v>0</v>
      </c>
      <c r="H1917" s="1" t="s">
        <v>4794</v>
      </c>
      <c r="I1917" s="1"/>
      <c r="J1917" s="1"/>
      <c r="K1917" s="1"/>
      <c r="L1917" s="1"/>
      <c r="M1917" s="1"/>
      <c r="N1917" s="1"/>
      <c r="Q1917"/>
    </row>
    <row r="1918" spans="1:17" ht="13.15" customHeight="1" x14ac:dyDescent="0.2">
      <c r="A1918" s="1" t="s">
        <v>4795</v>
      </c>
      <c r="B1918" s="1" t="s">
        <v>4745</v>
      </c>
      <c r="C1918" s="580" t="s">
        <v>4796</v>
      </c>
      <c r="D1918" s="1">
        <v>182.7</v>
      </c>
      <c r="E1918" t="s">
        <v>4624</v>
      </c>
      <c r="F1918" t="s">
        <v>4796</v>
      </c>
      <c r="G1918" s="580">
        <v>0</v>
      </c>
      <c r="H1918" s="1" t="s">
        <v>4796</v>
      </c>
      <c r="I1918" s="1"/>
      <c r="J1918" s="1"/>
      <c r="K1918" s="1"/>
      <c r="L1918" s="1"/>
      <c r="M1918" s="1"/>
      <c r="N1918" s="1"/>
      <c r="Q1918"/>
    </row>
    <row r="1919" spans="1:17" ht="13.15" customHeight="1" x14ac:dyDescent="0.2">
      <c r="A1919" s="1" t="s">
        <v>4797</v>
      </c>
      <c r="B1919" s="1" t="s">
        <v>4745</v>
      </c>
      <c r="C1919" s="580" t="s">
        <v>4798</v>
      </c>
      <c r="D1919" s="1">
        <v>182.7</v>
      </c>
      <c r="E1919" t="s">
        <v>4624</v>
      </c>
      <c r="F1919" t="s">
        <v>4798</v>
      </c>
      <c r="G1919" s="580">
        <v>0</v>
      </c>
      <c r="H1919" s="1" t="s">
        <v>4798</v>
      </c>
      <c r="I1919" s="1"/>
      <c r="J1919" s="1"/>
      <c r="K1919" s="1"/>
      <c r="L1919" s="1"/>
      <c r="M1919" s="1"/>
      <c r="N1919" s="1"/>
      <c r="Q1919"/>
    </row>
    <row r="1920" spans="1:17" ht="13.15" customHeight="1" x14ac:dyDescent="0.2">
      <c r="A1920" s="1" t="s">
        <v>4799</v>
      </c>
      <c r="B1920" s="1" t="s">
        <v>4745</v>
      </c>
      <c r="C1920" s="580" t="s">
        <v>4800</v>
      </c>
      <c r="D1920" s="1">
        <v>250.56</v>
      </c>
      <c r="E1920" t="s">
        <v>4624</v>
      </c>
      <c r="F1920" t="s">
        <v>4800</v>
      </c>
      <c r="G1920" s="580">
        <v>0</v>
      </c>
      <c r="H1920" s="1" t="s">
        <v>4800</v>
      </c>
      <c r="I1920" s="1"/>
      <c r="J1920" s="1"/>
      <c r="K1920" s="1"/>
      <c r="L1920" s="1"/>
      <c r="M1920" s="1"/>
      <c r="N1920" s="1"/>
      <c r="Q1920"/>
    </row>
    <row r="1921" spans="1:17" ht="13.15" customHeight="1" x14ac:dyDescent="0.2">
      <c r="A1921" s="1" t="s">
        <v>4801</v>
      </c>
      <c r="B1921" s="1" t="s">
        <v>4745</v>
      </c>
      <c r="C1921" s="580" t="s">
        <v>4802</v>
      </c>
      <c r="D1921" s="1">
        <v>279.79000000000002</v>
      </c>
      <c r="E1921" t="s">
        <v>4624</v>
      </c>
      <c r="F1921" t="s">
        <v>4802</v>
      </c>
      <c r="G1921" s="580">
        <v>0</v>
      </c>
      <c r="H1921" s="1" t="s">
        <v>4802</v>
      </c>
      <c r="I1921" s="1"/>
      <c r="J1921" s="1"/>
      <c r="K1921" s="1"/>
      <c r="L1921" s="1"/>
      <c r="M1921" s="1"/>
      <c r="N1921" s="1"/>
      <c r="Q1921"/>
    </row>
    <row r="1922" spans="1:17" ht="13.15" customHeight="1" x14ac:dyDescent="0.2">
      <c r="A1922" s="1" t="s">
        <v>4803</v>
      </c>
      <c r="B1922" s="1" t="s">
        <v>4745</v>
      </c>
      <c r="C1922" s="580" t="s">
        <v>4804</v>
      </c>
      <c r="D1922" s="1">
        <v>339.3</v>
      </c>
      <c r="E1922" t="s">
        <v>4624</v>
      </c>
      <c r="F1922" t="s">
        <v>4804</v>
      </c>
      <c r="G1922" s="580">
        <v>0</v>
      </c>
      <c r="H1922" s="1" t="s">
        <v>4804</v>
      </c>
      <c r="I1922" s="1"/>
      <c r="J1922" s="1"/>
      <c r="K1922" s="1"/>
      <c r="L1922" s="1"/>
      <c r="M1922" s="1"/>
      <c r="N1922" s="1"/>
      <c r="Q1922"/>
    </row>
    <row r="1923" spans="1:17" ht="13.15" customHeight="1" x14ac:dyDescent="0.2">
      <c r="A1923" s="1" t="s">
        <v>4805</v>
      </c>
      <c r="B1923" s="1" t="s">
        <v>4745</v>
      </c>
      <c r="C1923" s="580" t="s">
        <v>4806</v>
      </c>
      <c r="D1923" s="1">
        <v>367.49</v>
      </c>
      <c r="E1923" t="s">
        <v>4624</v>
      </c>
      <c r="F1923" t="s">
        <v>4806</v>
      </c>
      <c r="G1923" s="580">
        <v>0</v>
      </c>
      <c r="H1923" s="1" t="s">
        <v>4806</v>
      </c>
      <c r="I1923" s="1"/>
      <c r="J1923" s="1"/>
      <c r="K1923" s="1"/>
      <c r="L1923" s="1"/>
      <c r="M1923" s="1"/>
      <c r="N1923" s="1"/>
      <c r="Q1923"/>
    </row>
    <row r="1924" spans="1:17" ht="13.15" customHeight="1" x14ac:dyDescent="0.2">
      <c r="A1924" s="1" t="s">
        <v>4807</v>
      </c>
      <c r="B1924" s="1" t="s">
        <v>4745</v>
      </c>
      <c r="C1924" s="580" t="s">
        <v>4808</v>
      </c>
      <c r="D1924" s="1">
        <v>228.64</v>
      </c>
      <c r="E1924" t="s">
        <v>4624</v>
      </c>
      <c r="F1924" t="s">
        <v>4808</v>
      </c>
      <c r="G1924" s="580">
        <v>0</v>
      </c>
      <c r="H1924" s="1" t="s">
        <v>4808</v>
      </c>
      <c r="I1924" s="1"/>
      <c r="J1924" s="1"/>
      <c r="K1924" s="1"/>
      <c r="L1924" s="1"/>
      <c r="M1924" s="1"/>
      <c r="N1924" s="1"/>
      <c r="Q1924"/>
    </row>
    <row r="1925" spans="1:17" ht="13.15" customHeight="1" x14ac:dyDescent="0.2">
      <c r="A1925" s="1" t="s">
        <v>4809</v>
      </c>
      <c r="B1925" s="1" t="s">
        <v>4745</v>
      </c>
      <c r="C1925" s="580" t="s">
        <v>4810</v>
      </c>
      <c r="D1925" s="1">
        <v>271.44</v>
      </c>
      <c r="E1925" t="s">
        <v>4624</v>
      </c>
      <c r="F1925" t="s">
        <v>4810</v>
      </c>
      <c r="G1925" s="580">
        <v>0</v>
      </c>
      <c r="H1925" s="1" t="s">
        <v>4810</v>
      </c>
      <c r="I1925" s="1"/>
      <c r="J1925" s="1"/>
      <c r="K1925" s="1"/>
      <c r="L1925" s="1"/>
      <c r="M1925" s="1"/>
      <c r="N1925" s="1"/>
      <c r="Q1925"/>
    </row>
    <row r="1926" spans="1:17" ht="13.15" customHeight="1" x14ac:dyDescent="0.2">
      <c r="A1926" s="1" t="s">
        <v>4811</v>
      </c>
      <c r="B1926" s="1" t="s">
        <v>4745</v>
      </c>
      <c r="C1926" s="580" t="s">
        <v>4812</v>
      </c>
      <c r="D1926" s="1">
        <v>191.05</v>
      </c>
      <c r="E1926" t="s">
        <v>4624</v>
      </c>
      <c r="F1926" t="s">
        <v>4812</v>
      </c>
      <c r="G1926" s="580">
        <v>0</v>
      </c>
      <c r="H1926" s="1" t="s">
        <v>4812</v>
      </c>
      <c r="I1926" s="1"/>
      <c r="J1926" s="1"/>
      <c r="K1926" s="1"/>
      <c r="L1926" s="1"/>
      <c r="M1926" s="1"/>
      <c r="N1926" s="1"/>
      <c r="Q1926"/>
    </row>
    <row r="1927" spans="1:17" ht="13.15" customHeight="1" x14ac:dyDescent="0.2">
      <c r="A1927" s="1" t="s">
        <v>4813</v>
      </c>
      <c r="B1927" s="1" t="s">
        <v>4745</v>
      </c>
      <c r="C1927" s="580" t="s">
        <v>4814</v>
      </c>
      <c r="D1927" s="1">
        <v>339.3</v>
      </c>
      <c r="E1927" t="s">
        <v>4624</v>
      </c>
      <c r="F1927" t="s">
        <v>4814</v>
      </c>
      <c r="G1927" s="580">
        <v>0</v>
      </c>
      <c r="H1927" s="1" t="s">
        <v>4814</v>
      </c>
      <c r="I1927" s="1"/>
      <c r="J1927" s="1"/>
      <c r="K1927" s="1"/>
      <c r="L1927" s="1"/>
      <c r="M1927" s="1"/>
      <c r="N1927" s="1"/>
      <c r="Q1927"/>
    </row>
    <row r="1928" spans="1:17" ht="13.15" customHeight="1" x14ac:dyDescent="0.2">
      <c r="A1928" s="1" t="s">
        <v>4815</v>
      </c>
      <c r="B1928" s="1" t="s">
        <v>4745</v>
      </c>
      <c r="C1928" s="580" t="s">
        <v>4816</v>
      </c>
      <c r="D1928" s="1">
        <v>367.49</v>
      </c>
      <c r="E1928" t="s">
        <v>4624</v>
      </c>
      <c r="F1928" t="s">
        <v>4816</v>
      </c>
      <c r="G1928" s="580">
        <v>0</v>
      </c>
      <c r="H1928" s="1" t="s">
        <v>4816</v>
      </c>
      <c r="I1928" s="1"/>
      <c r="J1928" s="1"/>
      <c r="K1928" s="1"/>
      <c r="L1928" s="1"/>
      <c r="M1928" s="1"/>
      <c r="N1928" s="1"/>
      <c r="Q1928"/>
    </row>
    <row r="1929" spans="1:17" ht="13.15" customHeight="1" x14ac:dyDescent="0.2">
      <c r="A1929" s="1" t="s">
        <v>4817</v>
      </c>
      <c r="B1929" s="1" t="s">
        <v>4745</v>
      </c>
      <c r="C1929" s="580" t="s">
        <v>4818</v>
      </c>
      <c r="D1929" s="1">
        <v>250.56</v>
      </c>
      <c r="E1929" t="s">
        <v>4624</v>
      </c>
      <c r="F1929" t="s">
        <v>4818</v>
      </c>
      <c r="G1929" s="580">
        <v>0</v>
      </c>
      <c r="H1929" s="1" t="s">
        <v>4818</v>
      </c>
      <c r="I1929" s="1"/>
      <c r="J1929" s="1"/>
      <c r="K1929" s="1"/>
      <c r="L1929" s="1"/>
      <c r="M1929" s="1"/>
      <c r="N1929" s="1"/>
      <c r="Q1929"/>
    </row>
    <row r="1930" spans="1:17" ht="13.15" customHeight="1" x14ac:dyDescent="0.2">
      <c r="A1930" s="1" t="s">
        <v>4819</v>
      </c>
      <c r="B1930" s="1" t="s">
        <v>4745</v>
      </c>
      <c r="C1930" s="580" t="s">
        <v>4820</v>
      </c>
      <c r="D1930" s="1">
        <v>250.56</v>
      </c>
      <c r="E1930" t="s">
        <v>4624</v>
      </c>
      <c r="F1930" t="s">
        <v>4820</v>
      </c>
      <c r="G1930" s="580">
        <v>0</v>
      </c>
      <c r="H1930" s="1" t="s">
        <v>4820</v>
      </c>
      <c r="I1930" s="1"/>
      <c r="J1930" s="1"/>
      <c r="K1930" s="1"/>
      <c r="L1930" s="1"/>
      <c r="M1930" s="1"/>
      <c r="N1930" s="1"/>
      <c r="Q1930"/>
    </row>
    <row r="1931" spans="1:17" ht="13.15" customHeight="1" x14ac:dyDescent="0.2">
      <c r="A1931" s="1" t="s">
        <v>4821</v>
      </c>
      <c r="B1931" s="1" t="s">
        <v>4745</v>
      </c>
      <c r="C1931" s="580" t="s">
        <v>4822</v>
      </c>
      <c r="D1931" s="1">
        <v>312.16000000000003</v>
      </c>
      <c r="E1931" t="s">
        <v>4624</v>
      </c>
      <c r="F1931" t="s">
        <v>4822</v>
      </c>
      <c r="G1931" s="580">
        <v>0</v>
      </c>
      <c r="H1931" s="1" t="s">
        <v>4822</v>
      </c>
      <c r="I1931" s="1"/>
      <c r="J1931" s="1"/>
      <c r="K1931" s="1"/>
      <c r="L1931" s="1"/>
      <c r="M1931" s="1"/>
      <c r="N1931" s="1"/>
      <c r="Q1931"/>
    </row>
    <row r="1932" spans="1:17" ht="13.15" customHeight="1" x14ac:dyDescent="0.2">
      <c r="A1932" s="1" t="s">
        <v>4823</v>
      </c>
      <c r="B1932" s="1" t="s">
        <v>4745</v>
      </c>
      <c r="C1932" s="580" t="s">
        <v>4824</v>
      </c>
      <c r="D1932" s="1">
        <v>367.49</v>
      </c>
      <c r="E1932" t="s">
        <v>4624</v>
      </c>
      <c r="F1932" t="s">
        <v>4824</v>
      </c>
      <c r="G1932" s="580">
        <v>0</v>
      </c>
      <c r="H1932" s="1" t="s">
        <v>4824</v>
      </c>
      <c r="I1932" s="1"/>
      <c r="J1932" s="1"/>
      <c r="K1932" s="1"/>
      <c r="L1932" s="1"/>
      <c r="M1932" s="1"/>
      <c r="N1932" s="1"/>
      <c r="Q1932"/>
    </row>
    <row r="1933" spans="1:17" ht="13.15" customHeight="1" x14ac:dyDescent="0.2">
      <c r="A1933" s="1" t="s">
        <v>4825</v>
      </c>
      <c r="B1933" s="1" t="s">
        <v>4745</v>
      </c>
      <c r="C1933" s="580" t="s">
        <v>4826</v>
      </c>
      <c r="D1933" s="1">
        <v>312.16000000000003</v>
      </c>
      <c r="E1933" t="s">
        <v>4624</v>
      </c>
      <c r="F1933" t="s">
        <v>4826</v>
      </c>
      <c r="G1933" s="580">
        <v>0</v>
      </c>
      <c r="H1933" s="1" t="s">
        <v>4826</v>
      </c>
      <c r="I1933" s="1"/>
      <c r="J1933" s="1"/>
      <c r="K1933" s="1"/>
      <c r="L1933" s="1"/>
      <c r="M1933" s="1"/>
      <c r="N1933" s="1"/>
      <c r="Q1933"/>
    </row>
    <row r="1934" spans="1:17" ht="13.15" customHeight="1" x14ac:dyDescent="0.2">
      <c r="A1934" s="1" t="s">
        <v>4827</v>
      </c>
      <c r="B1934" s="1" t="s">
        <v>4745</v>
      </c>
      <c r="C1934" s="580" t="s">
        <v>4828</v>
      </c>
      <c r="D1934" s="1">
        <v>292.32</v>
      </c>
      <c r="E1934" t="s">
        <v>4624</v>
      </c>
      <c r="F1934" t="s">
        <v>4828</v>
      </c>
      <c r="G1934" s="580">
        <v>0</v>
      </c>
      <c r="H1934" s="1" t="s">
        <v>4828</v>
      </c>
      <c r="I1934" s="1"/>
      <c r="J1934" s="1"/>
      <c r="K1934" s="1"/>
      <c r="L1934" s="1"/>
      <c r="M1934" s="1"/>
      <c r="N1934" s="1"/>
      <c r="Q1934"/>
    </row>
    <row r="1935" spans="1:17" ht="13.15" customHeight="1" x14ac:dyDescent="0.2">
      <c r="A1935" s="1" t="s">
        <v>4829</v>
      </c>
      <c r="B1935" s="1" t="s">
        <v>4745</v>
      </c>
      <c r="C1935" s="580" t="s">
        <v>4830</v>
      </c>
      <c r="D1935" s="1">
        <v>339.3</v>
      </c>
      <c r="E1935" t="s">
        <v>4624</v>
      </c>
      <c r="F1935" t="s">
        <v>4831</v>
      </c>
      <c r="G1935" s="580">
        <v>0</v>
      </c>
      <c r="H1935" s="1" t="s">
        <v>4831</v>
      </c>
      <c r="I1935" s="1"/>
      <c r="J1935" s="1"/>
      <c r="K1935" s="1"/>
      <c r="L1935" s="1"/>
      <c r="M1935" s="1"/>
      <c r="N1935" s="1"/>
      <c r="Q1935"/>
    </row>
    <row r="1936" spans="1:17" ht="13.15" customHeight="1" x14ac:dyDescent="0.2">
      <c r="A1936" s="1" t="s">
        <v>4832</v>
      </c>
      <c r="B1936" s="1" t="s">
        <v>4745</v>
      </c>
      <c r="C1936" s="580" t="s">
        <v>4833</v>
      </c>
      <c r="D1936" s="1">
        <v>250.56</v>
      </c>
      <c r="E1936" t="s">
        <v>4624</v>
      </c>
      <c r="F1936" t="s">
        <v>4833</v>
      </c>
      <c r="G1936" s="580">
        <v>0</v>
      </c>
      <c r="H1936" s="1" t="s">
        <v>4833</v>
      </c>
      <c r="I1936" s="1"/>
      <c r="J1936" s="1"/>
      <c r="K1936" s="1"/>
      <c r="L1936" s="1"/>
      <c r="M1936" s="1"/>
      <c r="N1936" s="1"/>
      <c r="Q1936"/>
    </row>
    <row r="1937" spans="1:17" ht="13.15" customHeight="1" x14ac:dyDescent="0.2">
      <c r="A1937" s="1" t="s">
        <v>4834</v>
      </c>
      <c r="B1937" s="1" t="s">
        <v>4745</v>
      </c>
      <c r="C1937" s="580" t="s">
        <v>4835</v>
      </c>
      <c r="D1937" s="1">
        <v>339.3</v>
      </c>
      <c r="E1937" t="s">
        <v>4624</v>
      </c>
      <c r="F1937" t="s">
        <v>4835</v>
      </c>
      <c r="G1937" s="580">
        <v>0</v>
      </c>
      <c r="H1937" s="1" t="s">
        <v>4835</v>
      </c>
      <c r="I1937" s="1"/>
      <c r="J1937" s="1"/>
      <c r="K1937" s="1"/>
      <c r="L1937" s="1"/>
      <c r="M1937" s="1"/>
      <c r="N1937" s="1"/>
      <c r="Q1937"/>
    </row>
    <row r="1938" spans="1:17" ht="13.15" customHeight="1" x14ac:dyDescent="0.2">
      <c r="A1938" s="1" t="s">
        <v>4836</v>
      </c>
      <c r="B1938" s="1" t="s">
        <v>4745</v>
      </c>
      <c r="C1938" s="580" t="s">
        <v>4837</v>
      </c>
      <c r="D1938" s="1">
        <v>367.49</v>
      </c>
      <c r="E1938" t="s">
        <v>4624</v>
      </c>
      <c r="F1938" t="s">
        <v>4837</v>
      </c>
      <c r="G1938" s="580">
        <v>0</v>
      </c>
      <c r="H1938" s="1" t="s">
        <v>4837</v>
      </c>
      <c r="I1938" s="1"/>
      <c r="J1938" s="1"/>
      <c r="K1938" s="1"/>
      <c r="L1938" s="1"/>
      <c r="M1938" s="1"/>
      <c r="N1938" s="1"/>
      <c r="Q1938"/>
    </row>
    <row r="1939" spans="1:17" ht="13.15" customHeight="1" x14ac:dyDescent="0.2">
      <c r="A1939" s="1" t="s">
        <v>4838</v>
      </c>
      <c r="B1939" s="1" t="s">
        <v>4745</v>
      </c>
      <c r="C1939" s="580" t="s">
        <v>4839</v>
      </c>
      <c r="D1939" s="1">
        <v>339.3</v>
      </c>
      <c r="E1939" t="s">
        <v>4624</v>
      </c>
      <c r="F1939" t="s">
        <v>4839</v>
      </c>
      <c r="G1939" s="580">
        <v>0</v>
      </c>
      <c r="H1939" s="1" t="s">
        <v>4839</v>
      </c>
      <c r="I1939" s="1"/>
      <c r="J1939" s="1"/>
      <c r="K1939" s="1"/>
      <c r="L1939" s="1"/>
      <c r="M1939" s="1"/>
      <c r="N1939" s="1"/>
      <c r="Q1939"/>
    </row>
    <row r="1940" spans="1:17" ht="13.15" customHeight="1" x14ac:dyDescent="0.2">
      <c r="A1940" s="1" t="s">
        <v>4840</v>
      </c>
      <c r="B1940" s="1" t="s">
        <v>4745</v>
      </c>
      <c r="C1940" s="580" t="s">
        <v>4841</v>
      </c>
      <c r="D1940" s="1">
        <v>367.49</v>
      </c>
      <c r="E1940" t="s">
        <v>4624</v>
      </c>
      <c r="F1940" t="s">
        <v>4841</v>
      </c>
      <c r="G1940" s="580">
        <v>0</v>
      </c>
      <c r="H1940" s="1" t="s">
        <v>4841</v>
      </c>
      <c r="I1940" s="1"/>
      <c r="J1940" s="1"/>
      <c r="K1940" s="1"/>
      <c r="L1940" s="1"/>
      <c r="M1940" s="1"/>
      <c r="N1940" s="1"/>
      <c r="Q1940"/>
    </row>
    <row r="1941" spans="1:17" ht="13.15" customHeight="1" x14ac:dyDescent="0.2">
      <c r="A1941" s="1" t="s">
        <v>4842</v>
      </c>
      <c r="B1941" s="1" t="s">
        <v>4745</v>
      </c>
      <c r="C1941" s="580" t="s">
        <v>4843</v>
      </c>
      <c r="D1941" s="1">
        <v>367.49</v>
      </c>
      <c r="E1941" t="s">
        <v>4624</v>
      </c>
      <c r="F1941" t="s">
        <v>4843</v>
      </c>
      <c r="G1941" s="580">
        <v>0</v>
      </c>
      <c r="H1941" s="1" t="s">
        <v>4843</v>
      </c>
      <c r="I1941" s="1"/>
      <c r="J1941" s="1"/>
      <c r="K1941" s="1"/>
      <c r="L1941" s="1"/>
      <c r="M1941" s="1"/>
      <c r="N1941" s="1"/>
      <c r="Q1941"/>
    </row>
    <row r="1942" spans="1:17" ht="13.15" customHeight="1" x14ac:dyDescent="0.2">
      <c r="A1942" s="1" t="s">
        <v>4844</v>
      </c>
      <c r="B1942" s="1" t="s">
        <v>4745</v>
      </c>
      <c r="C1942" s="580" t="s">
        <v>4845</v>
      </c>
      <c r="D1942" s="1">
        <v>367.49</v>
      </c>
      <c r="E1942" t="s">
        <v>4624</v>
      </c>
      <c r="F1942" t="s">
        <v>4845</v>
      </c>
      <c r="G1942" s="580">
        <v>0</v>
      </c>
      <c r="H1942" s="1" t="s">
        <v>4845</v>
      </c>
      <c r="I1942" s="1"/>
      <c r="J1942" s="1"/>
      <c r="K1942" s="1"/>
      <c r="L1942" s="1"/>
      <c r="M1942" s="1"/>
      <c r="N1942" s="1"/>
      <c r="Q1942"/>
    </row>
    <row r="1943" spans="1:17" ht="13.15" customHeight="1" x14ac:dyDescent="0.2">
      <c r="A1943" s="1" t="s">
        <v>4846</v>
      </c>
      <c r="B1943" s="1" t="s">
        <v>4745</v>
      </c>
      <c r="C1943" s="580" t="s">
        <v>4847</v>
      </c>
      <c r="D1943" s="1">
        <v>367.49</v>
      </c>
      <c r="E1943" t="s">
        <v>4624</v>
      </c>
      <c r="F1943" t="s">
        <v>4847</v>
      </c>
      <c r="G1943" s="580">
        <v>0</v>
      </c>
      <c r="H1943" s="1" t="s">
        <v>4847</v>
      </c>
      <c r="I1943" s="1"/>
      <c r="J1943" s="1"/>
      <c r="K1943" s="1"/>
      <c r="L1943" s="1"/>
      <c r="M1943" s="1"/>
      <c r="N1943" s="1"/>
      <c r="Q1943"/>
    </row>
    <row r="1944" spans="1:17" ht="13.15" customHeight="1" x14ac:dyDescent="0.2">
      <c r="A1944" s="1" t="s">
        <v>4848</v>
      </c>
      <c r="B1944" s="1" t="s">
        <v>4745</v>
      </c>
      <c r="C1944" s="580" t="s">
        <v>4849</v>
      </c>
      <c r="D1944" s="1">
        <v>367.49</v>
      </c>
      <c r="E1944" t="s">
        <v>4624</v>
      </c>
      <c r="F1944" t="s">
        <v>4849</v>
      </c>
      <c r="G1944" s="580">
        <v>0</v>
      </c>
      <c r="H1944" s="1" t="s">
        <v>4849</v>
      </c>
      <c r="I1944" s="1"/>
      <c r="J1944" s="1"/>
      <c r="K1944" s="1"/>
      <c r="L1944" s="1"/>
      <c r="M1944" s="1"/>
      <c r="N1944" s="1"/>
      <c r="Q1944"/>
    </row>
    <row r="1945" spans="1:17" ht="13.15" customHeight="1" x14ac:dyDescent="0.2">
      <c r="A1945" s="1" t="s">
        <v>4850</v>
      </c>
      <c r="B1945" s="1" t="s">
        <v>4745</v>
      </c>
      <c r="C1945" s="580" t="s">
        <v>4851</v>
      </c>
      <c r="D1945" s="1">
        <v>367.49</v>
      </c>
      <c r="E1945" t="s">
        <v>4624</v>
      </c>
      <c r="F1945" t="s">
        <v>4851</v>
      </c>
      <c r="G1945" s="580">
        <v>0</v>
      </c>
      <c r="H1945" s="1" t="s">
        <v>4851</v>
      </c>
      <c r="I1945" s="1"/>
      <c r="J1945" s="1"/>
      <c r="K1945" s="1"/>
      <c r="L1945" s="1"/>
      <c r="M1945" s="1"/>
      <c r="N1945" s="1"/>
      <c r="Q1945"/>
    </row>
    <row r="1946" spans="1:17" ht="13.15" customHeight="1" x14ac:dyDescent="0.2">
      <c r="A1946" s="1" t="s">
        <v>4852</v>
      </c>
      <c r="B1946" s="1" t="s">
        <v>4745</v>
      </c>
      <c r="C1946" s="580" t="s">
        <v>4853</v>
      </c>
      <c r="D1946" s="1">
        <v>1788.41</v>
      </c>
      <c r="E1946" t="s">
        <v>4624</v>
      </c>
      <c r="F1946" t="s">
        <v>4853</v>
      </c>
      <c r="G1946" s="580">
        <v>0</v>
      </c>
      <c r="H1946" s="1" t="s">
        <v>4854</v>
      </c>
      <c r="I1946" s="1"/>
      <c r="J1946" s="1"/>
      <c r="K1946" s="1"/>
      <c r="L1946" s="1"/>
      <c r="M1946" s="1"/>
      <c r="N1946" s="1"/>
      <c r="Q1946"/>
    </row>
    <row r="1947" spans="1:17" ht="13.15" customHeight="1" x14ac:dyDescent="0.2">
      <c r="A1947" s="1" t="s">
        <v>4855</v>
      </c>
      <c r="B1947" s="1" t="s">
        <v>4745</v>
      </c>
      <c r="C1947" s="580" t="s">
        <v>4856</v>
      </c>
      <c r="D1947" s="1">
        <v>2299.83</v>
      </c>
      <c r="E1947" t="s">
        <v>4624</v>
      </c>
      <c r="F1947" t="s">
        <v>4856</v>
      </c>
      <c r="G1947" s="580">
        <v>0</v>
      </c>
      <c r="H1947" s="1" t="s">
        <v>4854</v>
      </c>
      <c r="I1947" s="1"/>
      <c r="J1947" s="1"/>
      <c r="K1947" s="1"/>
      <c r="L1947" s="1"/>
      <c r="M1947" s="1"/>
      <c r="N1947" s="1"/>
      <c r="Q1947"/>
    </row>
    <row r="1948" spans="1:17" ht="13.15" customHeight="1" x14ac:dyDescent="0.2">
      <c r="A1948" s="1" t="s">
        <v>4857</v>
      </c>
      <c r="B1948" s="1" t="s">
        <v>4745</v>
      </c>
      <c r="C1948" s="580" t="s">
        <v>4858</v>
      </c>
      <c r="D1948" s="1">
        <v>3210.13</v>
      </c>
      <c r="E1948" t="s">
        <v>4624</v>
      </c>
      <c r="F1948" t="s">
        <v>4858</v>
      </c>
      <c r="G1948" s="580">
        <v>0</v>
      </c>
      <c r="H1948" s="1" t="s">
        <v>4854</v>
      </c>
      <c r="I1948" s="1"/>
      <c r="J1948" s="1"/>
      <c r="K1948" s="1"/>
      <c r="L1948" s="1"/>
      <c r="M1948" s="1"/>
      <c r="N1948" s="1"/>
      <c r="Q1948"/>
    </row>
    <row r="1949" spans="1:17" ht="13.15" customHeight="1" x14ac:dyDescent="0.2">
      <c r="A1949" s="1" t="s">
        <v>4859</v>
      </c>
      <c r="B1949" s="1" t="s">
        <v>4745</v>
      </c>
      <c r="C1949" s="580">
        <v>53</v>
      </c>
      <c r="D1949" s="1">
        <v>2293.42</v>
      </c>
      <c r="E1949" t="s">
        <v>4624</v>
      </c>
      <c r="F1949">
        <v>53</v>
      </c>
      <c r="G1949" s="580">
        <v>0</v>
      </c>
      <c r="H1949" s="1" t="s">
        <v>4860</v>
      </c>
      <c r="I1949" s="1"/>
      <c r="J1949" s="1"/>
      <c r="K1949" s="1"/>
      <c r="L1949" s="1"/>
      <c r="M1949" s="1"/>
      <c r="N1949" s="1"/>
      <c r="Q1949"/>
    </row>
    <row r="1950" spans="1:17" ht="13.15" customHeight="1" x14ac:dyDescent="0.2">
      <c r="A1950" s="1" t="s">
        <v>4861</v>
      </c>
      <c r="B1950" s="1" t="s">
        <v>4745</v>
      </c>
      <c r="C1950" s="580">
        <v>54</v>
      </c>
      <c r="D1950" s="1">
        <v>2293.42</v>
      </c>
      <c r="E1950" t="s">
        <v>4624</v>
      </c>
      <c r="F1950">
        <v>54</v>
      </c>
      <c r="G1950" s="580">
        <v>0</v>
      </c>
      <c r="H1950" s="1" t="s">
        <v>4862</v>
      </c>
      <c r="I1950" s="1"/>
      <c r="J1950" s="1"/>
      <c r="K1950" s="1"/>
      <c r="L1950" s="1"/>
      <c r="M1950" s="1"/>
      <c r="N1950" s="1"/>
      <c r="Q1950"/>
    </row>
    <row r="1951" spans="1:17" ht="13.15" customHeight="1" x14ac:dyDescent="0.2">
      <c r="A1951" s="1" t="s">
        <v>4863</v>
      </c>
      <c r="B1951" s="1" t="s">
        <v>4745</v>
      </c>
      <c r="C1951" s="580">
        <v>55</v>
      </c>
      <c r="D1951" s="1">
        <v>2293.42</v>
      </c>
      <c r="E1951" t="s">
        <v>4624</v>
      </c>
      <c r="F1951">
        <v>55</v>
      </c>
      <c r="G1951" s="580">
        <v>0</v>
      </c>
      <c r="H1951" s="1" t="s">
        <v>4864</v>
      </c>
      <c r="I1951" s="1"/>
      <c r="J1951" s="1"/>
      <c r="K1951" s="1"/>
      <c r="L1951" s="1"/>
      <c r="M1951" s="1"/>
      <c r="N1951" s="1"/>
      <c r="Q1951"/>
    </row>
    <row r="1952" spans="1:17" ht="13.15" customHeight="1" x14ac:dyDescent="0.2">
      <c r="A1952" s="1" t="s">
        <v>4865</v>
      </c>
      <c r="B1952" s="1" t="s">
        <v>4745</v>
      </c>
      <c r="C1952" s="580">
        <v>56</v>
      </c>
      <c r="D1952" s="1">
        <v>2293.42</v>
      </c>
      <c r="E1952" t="s">
        <v>4624</v>
      </c>
      <c r="F1952">
        <v>56</v>
      </c>
      <c r="G1952" s="580">
        <v>0</v>
      </c>
      <c r="H1952" s="1" t="s">
        <v>4866</v>
      </c>
      <c r="I1952" s="1"/>
      <c r="J1952" s="1"/>
      <c r="K1952" s="1"/>
      <c r="L1952" s="1"/>
      <c r="M1952" s="1"/>
      <c r="N1952" s="1"/>
      <c r="Q1952"/>
    </row>
    <row r="1953" spans="1:17" ht="13.15" customHeight="1" x14ac:dyDescent="0.2">
      <c r="A1953" s="1" t="s">
        <v>4867</v>
      </c>
      <c r="B1953" s="1" t="s">
        <v>4745</v>
      </c>
      <c r="C1953" s="580">
        <v>57</v>
      </c>
      <c r="D1953" s="1">
        <v>2293.42</v>
      </c>
      <c r="E1953" t="s">
        <v>4624</v>
      </c>
      <c r="F1953">
        <v>57</v>
      </c>
      <c r="G1953" s="580">
        <v>0</v>
      </c>
      <c r="H1953" s="1" t="s">
        <v>3149</v>
      </c>
      <c r="I1953" s="1"/>
      <c r="J1953" s="1"/>
      <c r="K1953" s="1"/>
      <c r="L1953" s="1"/>
      <c r="M1953" s="1"/>
      <c r="N1953" s="1"/>
      <c r="Q1953"/>
    </row>
    <row r="1954" spans="1:17" ht="13.15" customHeight="1" x14ac:dyDescent="0.2">
      <c r="A1954" s="1" t="s">
        <v>4868</v>
      </c>
      <c r="B1954" s="1" t="s">
        <v>4745</v>
      </c>
      <c r="C1954" s="580">
        <v>58</v>
      </c>
      <c r="D1954" s="1">
        <v>2293.42</v>
      </c>
      <c r="E1954" t="s">
        <v>4624</v>
      </c>
      <c r="F1954">
        <v>58</v>
      </c>
      <c r="G1954" s="580">
        <v>0</v>
      </c>
      <c r="H1954" s="1" t="s">
        <v>3152</v>
      </c>
      <c r="I1954" s="1"/>
      <c r="J1954" s="1"/>
      <c r="K1954" s="1"/>
      <c r="L1954" s="1"/>
      <c r="M1954" s="1"/>
      <c r="N1954" s="1"/>
      <c r="Q1954"/>
    </row>
    <row r="1955" spans="1:17" ht="13.15" customHeight="1" x14ac:dyDescent="0.2">
      <c r="A1955" s="1" t="s">
        <v>4869</v>
      </c>
      <c r="B1955" s="1" t="s">
        <v>4745</v>
      </c>
      <c r="C1955" s="580">
        <v>59</v>
      </c>
      <c r="D1955" s="1">
        <v>2293.42</v>
      </c>
      <c r="E1955" t="s">
        <v>4624</v>
      </c>
      <c r="F1955">
        <v>59</v>
      </c>
      <c r="G1955" s="580">
        <v>0</v>
      </c>
      <c r="H1955" s="1" t="s">
        <v>3155</v>
      </c>
      <c r="I1955" s="1"/>
      <c r="J1955" s="1"/>
      <c r="K1955" s="1"/>
      <c r="L1955" s="1"/>
      <c r="M1955" s="1"/>
      <c r="N1955" s="1"/>
      <c r="Q1955"/>
    </row>
    <row r="1956" spans="1:17" ht="13.15" customHeight="1" x14ac:dyDescent="0.2">
      <c r="A1956" s="1" t="s">
        <v>4870</v>
      </c>
      <c r="B1956" s="1" t="s">
        <v>4871</v>
      </c>
      <c r="C1956" s="580" t="s">
        <v>4872</v>
      </c>
      <c r="D1956" s="1">
        <v>671.29</v>
      </c>
      <c r="E1956" t="s">
        <v>4624</v>
      </c>
      <c r="F1956" t="s">
        <v>4873</v>
      </c>
      <c r="G1956" s="580">
        <v>0</v>
      </c>
      <c r="H1956" s="1" t="s">
        <v>4874</v>
      </c>
      <c r="I1956" s="1"/>
      <c r="J1956" s="1"/>
      <c r="K1956" s="1"/>
      <c r="L1956" s="1"/>
      <c r="M1956" s="1"/>
      <c r="N1956" s="1"/>
      <c r="Q1956"/>
    </row>
    <row r="1957" spans="1:17" ht="13.15" customHeight="1" x14ac:dyDescent="0.2">
      <c r="A1957" s="1" t="s">
        <v>4875</v>
      </c>
      <c r="B1957" s="1" t="s">
        <v>4871</v>
      </c>
      <c r="C1957" s="580" t="s">
        <v>4876</v>
      </c>
      <c r="D1957" s="1">
        <v>671.29</v>
      </c>
      <c r="E1957" t="s">
        <v>4624</v>
      </c>
      <c r="F1957" t="s">
        <v>4877</v>
      </c>
      <c r="G1957" s="580">
        <v>0</v>
      </c>
      <c r="H1957" s="1" t="s">
        <v>4874</v>
      </c>
      <c r="I1957" s="1"/>
      <c r="J1957" s="1"/>
      <c r="K1957" s="1"/>
      <c r="L1957" s="1"/>
      <c r="M1957" s="1"/>
      <c r="N1957" s="1"/>
      <c r="Q1957"/>
    </row>
    <row r="1958" spans="1:17" ht="13.15" customHeight="1" x14ac:dyDescent="0.2">
      <c r="A1958" s="1" t="s">
        <v>4878</v>
      </c>
      <c r="B1958" s="1" t="s">
        <v>4871</v>
      </c>
      <c r="C1958" s="580" t="s">
        <v>4879</v>
      </c>
      <c r="D1958" s="1">
        <v>671.29</v>
      </c>
      <c r="E1958" t="s">
        <v>4624</v>
      </c>
      <c r="F1958" t="s">
        <v>4880</v>
      </c>
      <c r="G1958" s="580">
        <v>0</v>
      </c>
      <c r="H1958" s="1" t="s">
        <v>4874</v>
      </c>
      <c r="I1958" s="1"/>
      <c r="J1958" s="1"/>
      <c r="K1958" s="1"/>
      <c r="L1958" s="1"/>
      <c r="M1958" s="1"/>
      <c r="N1958" s="1"/>
      <c r="Q1958"/>
    </row>
    <row r="1959" spans="1:17" ht="13.15" customHeight="1" x14ac:dyDescent="0.2">
      <c r="A1959" s="1" t="s">
        <v>4881</v>
      </c>
      <c r="B1959" s="1" t="s">
        <v>4871</v>
      </c>
      <c r="C1959" s="580" t="s">
        <v>4882</v>
      </c>
      <c r="D1959" s="1">
        <v>671.29</v>
      </c>
      <c r="E1959" t="s">
        <v>4624</v>
      </c>
      <c r="F1959" t="s">
        <v>4883</v>
      </c>
      <c r="G1959" s="580">
        <v>0</v>
      </c>
      <c r="H1959" s="1" t="s">
        <v>4874</v>
      </c>
      <c r="I1959" s="1"/>
      <c r="J1959" s="1"/>
      <c r="K1959" s="1"/>
      <c r="L1959" s="1"/>
      <c r="M1959" s="1"/>
      <c r="N1959" s="1"/>
      <c r="Q1959"/>
    </row>
    <row r="1960" spans="1:17" ht="13.15" customHeight="1" x14ac:dyDescent="0.2">
      <c r="A1960" s="1" t="s">
        <v>4884</v>
      </c>
      <c r="B1960" s="1" t="s">
        <v>4871</v>
      </c>
      <c r="C1960" s="580" t="s">
        <v>4885</v>
      </c>
      <c r="D1960" s="1">
        <v>671.29</v>
      </c>
      <c r="E1960" t="s">
        <v>4624</v>
      </c>
      <c r="F1960" t="s">
        <v>4886</v>
      </c>
      <c r="G1960" s="580">
        <v>0</v>
      </c>
      <c r="H1960" s="1" t="s">
        <v>4874</v>
      </c>
      <c r="I1960" s="1"/>
      <c r="J1960" s="1"/>
      <c r="K1960" s="1"/>
      <c r="L1960" s="1"/>
      <c r="M1960" s="1"/>
      <c r="N1960" s="1"/>
      <c r="Q1960"/>
    </row>
    <row r="1961" spans="1:17" ht="13.15" customHeight="1" x14ac:dyDescent="0.2">
      <c r="A1961" s="1" t="s">
        <v>4887</v>
      </c>
      <c r="B1961" s="1" t="s">
        <v>4871</v>
      </c>
      <c r="C1961" s="580" t="s">
        <v>4888</v>
      </c>
      <c r="D1961" s="1">
        <v>671.29</v>
      </c>
      <c r="E1961" t="s">
        <v>4624</v>
      </c>
      <c r="F1961" t="s">
        <v>4889</v>
      </c>
      <c r="G1961" s="580">
        <v>0</v>
      </c>
      <c r="H1961" s="1" t="s">
        <v>4874</v>
      </c>
      <c r="I1961" s="1"/>
      <c r="J1961" s="1"/>
      <c r="K1961" s="1"/>
      <c r="L1961" s="1"/>
      <c r="M1961" s="1"/>
      <c r="N1961" s="1"/>
      <c r="Q1961"/>
    </row>
    <row r="1962" spans="1:17" ht="13.15" customHeight="1" x14ac:dyDescent="0.2">
      <c r="A1962" s="1" t="s">
        <v>4890</v>
      </c>
      <c r="B1962" s="1" t="s">
        <v>4871</v>
      </c>
      <c r="C1962" s="580" t="s">
        <v>4891</v>
      </c>
      <c r="D1962" s="1">
        <v>671.29</v>
      </c>
      <c r="E1962" t="s">
        <v>4624</v>
      </c>
      <c r="F1962" t="s">
        <v>4892</v>
      </c>
      <c r="G1962" s="580">
        <v>0</v>
      </c>
      <c r="H1962" s="1" t="s">
        <v>4874</v>
      </c>
      <c r="I1962" s="1"/>
      <c r="J1962" s="1"/>
      <c r="K1962" s="1"/>
      <c r="L1962" s="1"/>
      <c r="M1962" s="1"/>
      <c r="N1962" s="1"/>
      <c r="Q1962"/>
    </row>
    <row r="1963" spans="1:17" ht="13.15" customHeight="1" x14ac:dyDescent="0.2">
      <c r="A1963" s="1" t="s">
        <v>4893</v>
      </c>
      <c r="B1963" s="1" t="s">
        <v>4871</v>
      </c>
      <c r="C1963" s="580" t="s">
        <v>4894</v>
      </c>
      <c r="D1963" s="1">
        <v>671.29</v>
      </c>
      <c r="E1963" t="s">
        <v>4624</v>
      </c>
      <c r="F1963" t="s">
        <v>4895</v>
      </c>
      <c r="G1963" s="580">
        <v>0</v>
      </c>
      <c r="H1963" s="1" t="s">
        <v>4874</v>
      </c>
      <c r="I1963" s="1"/>
      <c r="J1963" s="1"/>
      <c r="K1963" s="1"/>
      <c r="L1963" s="1"/>
      <c r="M1963" s="1"/>
      <c r="N1963" s="1"/>
      <c r="Q1963"/>
    </row>
    <row r="1964" spans="1:17" ht="13.15" customHeight="1" x14ac:dyDescent="0.2">
      <c r="A1964" s="1" t="s">
        <v>4896</v>
      </c>
      <c r="B1964" s="1" t="s">
        <v>4871</v>
      </c>
      <c r="C1964" s="580" t="s">
        <v>4897</v>
      </c>
      <c r="D1964" s="1">
        <v>671.29</v>
      </c>
      <c r="E1964" t="s">
        <v>4624</v>
      </c>
      <c r="F1964" t="s">
        <v>4898</v>
      </c>
      <c r="G1964" s="580">
        <v>0</v>
      </c>
      <c r="H1964" s="1" t="s">
        <v>4874</v>
      </c>
      <c r="I1964" s="1"/>
      <c r="J1964" s="1"/>
      <c r="K1964" s="1"/>
      <c r="L1964" s="1"/>
      <c r="M1964" s="1"/>
      <c r="N1964" s="1"/>
      <c r="Q1964"/>
    </row>
    <row r="1965" spans="1:17" ht="13.15" customHeight="1" x14ac:dyDescent="0.2">
      <c r="A1965" s="1" t="s">
        <v>4899</v>
      </c>
      <c r="B1965" s="1" t="s">
        <v>4871</v>
      </c>
      <c r="C1965" s="580" t="s">
        <v>4900</v>
      </c>
      <c r="D1965" s="1">
        <v>671.29</v>
      </c>
      <c r="E1965" t="s">
        <v>4624</v>
      </c>
      <c r="F1965" t="s">
        <v>4901</v>
      </c>
      <c r="G1965" s="580">
        <v>0</v>
      </c>
      <c r="H1965" s="1" t="s">
        <v>4874</v>
      </c>
      <c r="I1965" s="1"/>
      <c r="J1965" s="1"/>
      <c r="K1965" s="1"/>
      <c r="L1965" s="1"/>
      <c r="M1965" s="1"/>
      <c r="N1965" s="1"/>
      <c r="Q1965"/>
    </row>
    <row r="1966" spans="1:17" ht="13.15" customHeight="1" x14ac:dyDescent="0.2">
      <c r="A1966" s="1" t="s">
        <v>4902</v>
      </c>
      <c r="B1966" s="1" t="s">
        <v>4871</v>
      </c>
      <c r="C1966" s="580" t="s">
        <v>4903</v>
      </c>
      <c r="D1966" s="1">
        <v>671.29</v>
      </c>
      <c r="E1966" t="s">
        <v>4624</v>
      </c>
      <c r="F1966" t="s">
        <v>4904</v>
      </c>
      <c r="G1966" s="580">
        <v>0</v>
      </c>
      <c r="H1966" s="1" t="s">
        <v>4874</v>
      </c>
      <c r="I1966" s="1"/>
      <c r="J1966" s="1"/>
      <c r="K1966" s="1"/>
      <c r="L1966" s="1"/>
      <c r="M1966" s="1"/>
      <c r="N1966" s="1"/>
      <c r="Q1966"/>
    </row>
    <row r="1967" spans="1:17" ht="13.15" customHeight="1" x14ac:dyDescent="0.2">
      <c r="A1967" s="1" t="s">
        <v>4905</v>
      </c>
      <c r="B1967" s="1" t="s">
        <v>4871</v>
      </c>
      <c r="C1967" s="580" t="s">
        <v>4906</v>
      </c>
      <c r="D1967" s="1">
        <v>264.13</v>
      </c>
      <c r="E1967" t="s">
        <v>4624</v>
      </c>
      <c r="F1967" t="s">
        <v>4907</v>
      </c>
      <c r="G1967" s="580">
        <v>0</v>
      </c>
      <c r="H1967" s="1" t="s">
        <v>4908</v>
      </c>
      <c r="I1967" s="1"/>
      <c r="J1967" s="1"/>
      <c r="K1967" s="1"/>
      <c r="L1967" s="1"/>
      <c r="M1967" s="1"/>
      <c r="N1967" s="1"/>
      <c r="Q1967"/>
    </row>
    <row r="1968" spans="1:17" ht="13.15" customHeight="1" x14ac:dyDescent="0.2">
      <c r="A1968" s="1" t="s">
        <v>4909</v>
      </c>
      <c r="B1968" s="1" t="s">
        <v>4871</v>
      </c>
      <c r="C1968" s="580" t="s">
        <v>4910</v>
      </c>
      <c r="D1968" s="1">
        <v>264.13</v>
      </c>
      <c r="E1968" t="s">
        <v>4624</v>
      </c>
      <c r="F1968" t="s">
        <v>4911</v>
      </c>
      <c r="G1968" s="580">
        <v>0</v>
      </c>
      <c r="H1968" s="1" t="s">
        <v>4908</v>
      </c>
      <c r="I1968" s="1"/>
      <c r="J1968" s="1"/>
      <c r="K1968" s="1"/>
      <c r="L1968" s="1"/>
      <c r="M1968" s="1"/>
      <c r="N1968" s="1"/>
      <c r="Q1968"/>
    </row>
    <row r="1969" spans="1:17" ht="13.15" customHeight="1" x14ac:dyDescent="0.2">
      <c r="A1969" s="1" t="s">
        <v>4912</v>
      </c>
      <c r="B1969" s="1" t="s">
        <v>4871</v>
      </c>
      <c r="C1969" s="580" t="s">
        <v>4913</v>
      </c>
      <c r="D1969" s="1">
        <v>331.99</v>
      </c>
      <c r="E1969" t="s">
        <v>4624</v>
      </c>
      <c r="F1969" t="s">
        <v>4914</v>
      </c>
      <c r="G1969" s="580">
        <v>0</v>
      </c>
      <c r="H1969" s="1" t="s">
        <v>4908</v>
      </c>
      <c r="I1969" s="1"/>
      <c r="J1969" s="1"/>
      <c r="K1969" s="1"/>
      <c r="L1969" s="1"/>
      <c r="M1969" s="1"/>
      <c r="N1969" s="1"/>
      <c r="Q1969"/>
    </row>
    <row r="1970" spans="1:17" ht="13.15" customHeight="1" x14ac:dyDescent="0.2">
      <c r="A1970" s="1" t="s">
        <v>4915</v>
      </c>
      <c r="B1970" s="1" t="s">
        <v>4871</v>
      </c>
      <c r="C1970" s="580" t="s">
        <v>4916</v>
      </c>
      <c r="D1970" s="1">
        <v>331.99</v>
      </c>
      <c r="E1970" t="s">
        <v>4624</v>
      </c>
      <c r="F1970" t="s">
        <v>4917</v>
      </c>
      <c r="G1970" s="580">
        <v>0</v>
      </c>
      <c r="H1970" s="1" t="s">
        <v>4908</v>
      </c>
      <c r="I1970" s="1"/>
      <c r="J1970" s="1"/>
      <c r="K1970" s="1"/>
      <c r="L1970" s="1"/>
      <c r="M1970" s="1"/>
      <c r="N1970" s="1"/>
      <c r="Q1970"/>
    </row>
    <row r="1971" spans="1:17" ht="13.15" customHeight="1" x14ac:dyDescent="0.2">
      <c r="A1971" s="1" t="s">
        <v>4918</v>
      </c>
      <c r="B1971" s="1" t="s">
        <v>4871</v>
      </c>
      <c r="C1971" s="580" t="s">
        <v>4919</v>
      </c>
      <c r="D1971" s="1">
        <v>371.66</v>
      </c>
      <c r="E1971" t="s">
        <v>4624</v>
      </c>
      <c r="F1971" t="s">
        <v>4873</v>
      </c>
      <c r="G1971" s="580">
        <v>0</v>
      </c>
      <c r="H1971" s="1" t="s">
        <v>4908</v>
      </c>
      <c r="I1971" s="1"/>
      <c r="J1971" s="1"/>
      <c r="K1971" s="1"/>
      <c r="L1971" s="1"/>
      <c r="M1971" s="1"/>
      <c r="N1971" s="1"/>
      <c r="Q1971"/>
    </row>
    <row r="1972" spans="1:17" ht="13.15" customHeight="1" x14ac:dyDescent="0.2">
      <c r="A1972" s="1" t="s">
        <v>4920</v>
      </c>
      <c r="B1972" s="1" t="s">
        <v>4871</v>
      </c>
      <c r="C1972" s="580" t="s">
        <v>4921</v>
      </c>
      <c r="D1972" s="1">
        <v>903.06</v>
      </c>
      <c r="E1972" t="s">
        <v>4624</v>
      </c>
      <c r="F1972" t="s">
        <v>4922</v>
      </c>
      <c r="G1972" s="580">
        <v>0</v>
      </c>
      <c r="H1972" s="1" t="s">
        <v>4908</v>
      </c>
      <c r="I1972" s="1"/>
      <c r="J1972" s="1"/>
      <c r="K1972" s="1"/>
      <c r="L1972" s="1"/>
      <c r="M1972" s="1"/>
      <c r="N1972" s="1"/>
      <c r="Q1972"/>
    </row>
    <row r="1973" spans="1:17" ht="13.15" customHeight="1" x14ac:dyDescent="0.2">
      <c r="A1973" s="1" t="s">
        <v>4923</v>
      </c>
      <c r="B1973" s="1" t="s">
        <v>4871</v>
      </c>
      <c r="C1973" s="580" t="s">
        <v>4924</v>
      </c>
      <c r="D1973" s="1">
        <v>903.06</v>
      </c>
      <c r="E1973" t="s">
        <v>4624</v>
      </c>
      <c r="F1973" t="s">
        <v>4877</v>
      </c>
      <c r="G1973" s="580">
        <v>0</v>
      </c>
      <c r="H1973" s="1" t="s">
        <v>4908</v>
      </c>
      <c r="I1973" s="1"/>
      <c r="J1973" s="1"/>
      <c r="K1973" s="1"/>
      <c r="L1973" s="1"/>
      <c r="M1973" s="1"/>
      <c r="N1973" s="1"/>
      <c r="Q1973"/>
    </row>
    <row r="1974" spans="1:17" ht="13.15" customHeight="1" x14ac:dyDescent="0.2">
      <c r="A1974" s="1" t="s">
        <v>4925</v>
      </c>
      <c r="B1974" s="1" t="s">
        <v>4871</v>
      </c>
      <c r="C1974" s="580" t="s">
        <v>4926</v>
      </c>
      <c r="D1974" s="1">
        <v>903.06</v>
      </c>
      <c r="E1974" t="s">
        <v>4624</v>
      </c>
      <c r="F1974" t="s">
        <v>4927</v>
      </c>
      <c r="G1974" s="580">
        <v>0</v>
      </c>
      <c r="H1974" s="1" t="s">
        <v>4908</v>
      </c>
      <c r="I1974" s="1"/>
      <c r="J1974" s="1"/>
      <c r="K1974" s="1"/>
      <c r="L1974" s="1"/>
      <c r="M1974" s="1"/>
      <c r="N1974" s="1"/>
      <c r="Q1974"/>
    </row>
    <row r="1975" spans="1:17" ht="13.15" customHeight="1" x14ac:dyDescent="0.2">
      <c r="A1975" s="1" t="s">
        <v>4928</v>
      </c>
      <c r="B1975" s="1" t="s">
        <v>4871</v>
      </c>
      <c r="C1975" s="580" t="s">
        <v>4929</v>
      </c>
      <c r="D1975" s="1">
        <v>903.06</v>
      </c>
      <c r="E1975" t="s">
        <v>4624</v>
      </c>
      <c r="F1975" t="s">
        <v>4880</v>
      </c>
      <c r="G1975" s="580">
        <v>0</v>
      </c>
      <c r="H1975" s="1" t="s">
        <v>4908</v>
      </c>
      <c r="I1975" s="1"/>
      <c r="J1975" s="1"/>
      <c r="K1975" s="1"/>
      <c r="L1975" s="1"/>
      <c r="M1975" s="1"/>
      <c r="N1975" s="1"/>
      <c r="Q1975"/>
    </row>
    <row r="1976" spans="1:17" ht="13.15" customHeight="1" x14ac:dyDescent="0.2">
      <c r="A1976" s="1" t="s">
        <v>4930</v>
      </c>
      <c r="B1976" s="1" t="s">
        <v>4871</v>
      </c>
      <c r="C1976" s="580" t="s">
        <v>4931</v>
      </c>
      <c r="D1976" s="1">
        <v>903.06</v>
      </c>
      <c r="E1976" t="s">
        <v>4624</v>
      </c>
      <c r="F1976" t="s">
        <v>4932</v>
      </c>
      <c r="G1976" s="580">
        <v>0</v>
      </c>
      <c r="H1976" s="1" t="s">
        <v>4908</v>
      </c>
      <c r="I1976" s="1"/>
      <c r="J1976" s="1"/>
      <c r="K1976" s="1"/>
      <c r="L1976" s="1"/>
      <c r="M1976" s="1"/>
      <c r="N1976" s="1"/>
      <c r="Q1976"/>
    </row>
    <row r="1977" spans="1:17" ht="13.15" customHeight="1" x14ac:dyDescent="0.2">
      <c r="A1977" s="1" t="s">
        <v>4933</v>
      </c>
      <c r="B1977" s="1" t="s">
        <v>4871</v>
      </c>
      <c r="C1977" s="580" t="s">
        <v>4934</v>
      </c>
      <c r="D1977" s="1">
        <v>903.06</v>
      </c>
      <c r="E1977" t="s">
        <v>4624</v>
      </c>
      <c r="F1977" t="s">
        <v>4883</v>
      </c>
      <c r="G1977" s="580">
        <v>0</v>
      </c>
      <c r="H1977" s="1" t="s">
        <v>4908</v>
      </c>
      <c r="I1977" s="1"/>
      <c r="J1977" s="1"/>
      <c r="K1977" s="1"/>
      <c r="L1977" s="1"/>
      <c r="M1977" s="1"/>
      <c r="N1977" s="1"/>
      <c r="Q1977"/>
    </row>
    <row r="1978" spans="1:17" ht="13.15" customHeight="1" x14ac:dyDescent="0.2">
      <c r="A1978" s="1" t="s">
        <v>4935</v>
      </c>
      <c r="B1978" s="1" t="s">
        <v>4871</v>
      </c>
      <c r="C1978" s="580" t="s">
        <v>4936</v>
      </c>
      <c r="D1978" s="1">
        <v>903.06</v>
      </c>
      <c r="E1978" t="s">
        <v>4624</v>
      </c>
      <c r="F1978" t="s">
        <v>4886</v>
      </c>
      <c r="G1978" s="580">
        <v>0</v>
      </c>
      <c r="H1978" s="1" t="s">
        <v>4908</v>
      </c>
      <c r="I1978" s="1"/>
      <c r="J1978" s="1"/>
      <c r="K1978" s="1"/>
      <c r="L1978" s="1"/>
      <c r="M1978" s="1"/>
      <c r="N1978" s="1"/>
      <c r="Q1978"/>
    </row>
    <row r="1979" spans="1:17" ht="13.15" customHeight="1" x14ac:dyDescent="0.2">
      <c r="A1979" s="1" t="s">
        <v>4937</v>
      </c>
      <c r="B1979" s="1" t="s">
        <v>4871</v>
      </c>
      <c r="C1979" s="580" t="s">
        <v>4938</v>
      </c>
      <c r="D1979" s="1">
        <v>903.06</v>
      </c>
      <c r="E1979" t="s">
        <v>4624</v>
      </c>
      <c r="F1979" t="s">
        <v>4889</v>
      </c>
      <c r="G1979" s="580">
        <v>0</v>
      </c>
      <c r="H1979" s="1" t="s">
        <v>4908</v>
      </c>
      <c r="I1979" s="1"/>
      <c r="J1979" s="1"/>
      <c r="K1979" s="1"/>
      <c r="L1979" s="1"/>
      <c r="M1979" s="1"/>
      <c r="N1979" s="1"/>
      <c r="Q1979"/>
    </row>
    <row r="1980" spans="1:17" ht="13.15" customHeight="1" x14ac:dyDescent="0.2">
      <c r="A1980" s="1" t="s">
        <v>4939</v>
      </c>
      <c r="B1980" s="1" t="s">
        <v>4871</v>
      </c>
      <c r="C1980" s="580" t="s">
        <v>4940</v>
      </c>
      <c r="D1980" s="1">
        <v>903.06</v>
      </c>
      <c r="E1980" t="s">
        <v>4624</v>
      </c>
      <c r="F1980" t="s">
        <v>4892</v>
      </c>
      <c r="G1980" s="580">
        <v>0</v>
      </c>
      <c r="H1980" s="1" t="s">
        <v>4908</v>
      </c>
      <c r="I1980" s="1"/>
      <c r="J1980" s="1"/>
      <c r="K1980" s="1"/>
      <c r="L1980" s="1"/>
      <c r="M1980" s="1"/>
      <c r="N1980" s="1"/>
      <c r="Q1980"/>
    </row>
    <row r="1981" spans="1:17" ht="13.15" customHeight="1" x14ac:dyDescent="0.2">
      <c r="A1981" s="1" t="s">
        <v>4941</v>
      </c>
      <c r="B1981" s="1" t="s">
        <v>4871</v>
      </c>
      <c r="C1981" s="580" t="s">
        <v>4942</v>
      </c>
      <c r="D1981" s="1">
        <v>903.06</v>
      </c>
      <c r="E1981" t="s">
        <v>4624</v>
      </c>
      <c r="F1981" t="s">
        <v>4895</v>
      </c>
      <c r="G1981" s="580">
        <v>0</v>
      </c>
      <c r="H1981" s="1" t="s">
        <v>4908</v>
      </c>
      <c r="I1981" s="1"/>
      <c r="J1981" s="1"/>
      <c r="K1981" s="1"/>
      <c r="L1981" s="1"/>
      <c r="M1981" s="1"/>
      <c r="N1981" s="1"/>
      <c r="Q1981"/>
    </row>
    <row r="1982" spans="1:17" ht="13.15" customHeight="1" x14ac:dyDescent="0.2">
      <c r="A1982" s="1" t="s">
        <v>4943</v>
      </c>
      <c r="B1982" s="1" t="s">
        <v>4871</v>
      </c>
      <c r="C1982" s="580" t="s">
        <v>4944</v>
      </c>
      <c r="D1982" s="1">
        <v>903.06</v>
      </c>
      <c r="E1982" t="s">
        <v>4624</v>
      </c>
      <c r="F1982" t="s">
        <v>4898</v>
      </c>
      <c r="G1982" s="580">
        <v>0</v>
      </c>
      <c r="H1982" s="1" t="s">
        <v>4908</v>
      </c>
      <c r="I1982" s="1"/>
      <c r="J1982" s="1"/>
      <c r="K1982" s="1"/>
      <c r="L1982" s="1"/>
      <c r="M1982" s="1"/>
      <c r="N1982" s="1"/>
      <c r="Q1982"/>
    </row>
    <row r="1983" spans="1:17" ht="13.15" customHeight="1" x14ac:dyDescent="0.2">
      <c r="A1983" s="1" t="s">
        <v>4945</v>
      </c>
      <c r="B1983" s="1" t="s">
        <v>4871</v>
      </c>
      <c r="C1983" s="580" t="s">
        <v>4946</v>
      </c>
      <c r="D1983" s="1">
        <v>903.06</v>
      </c>
      <c r="E1983" t="s">
        <v>4624</v>
      </c>
      <c r="F1983" t="s">
        <v>4901</v>
      </c>
      <c r="G1983" s="580">
        <v>0</v>
      </c>
      <c r="H1983" s="1" t="s">
        <v>4908</v>
      </c>
      <c r="I1983" s="1"/>
      <c r="J1983" s="1"/>
      <c r="K1983" s="1"/>
      <c r="L1983" s="1"/>
      <c r="M1983" s="1"/>
      <c r="N1983" s="1"/>
      <c r="Q1983"/>
    </row>
    <row r="1984" spans="1:17" ht="13.15" customHeight="1" x14ac:dyDescent="0.2">
      <c r="A1984" s="1" t="s">
        <v>4947</v>
      </c>
      <c r="B1984" s="1" t="s">
        <v>4948</v>
      </c>
      <c r="C1984" s="580" t="s">
        <v>4949</v>
      </c>
      <c r="D1984" s="1">
        <v>195.07499999999999</v>
      </c>
      <c r="E1984" t="s">
        <v>4624</v>
      </c>
      <c r="F1984" t="s">
        <v>4949</v>
      </c>
      <c r="G1984" s="580">
        <v>0</v>
      </c>
      <c r="H1984" s="1" t="s">
        <v>4950</v>
      </c>
      <c r="I1984" s="1"/>
      <c r="J1984" s="1"/>
      <c r="K1984" s="1"/>
      <c r="L1984" s="1"/>
      <c r="M1984" s="1"/>
      <c r="N1984" s="1"/>
      <c r="Q1984"/>
    </row>
    <row r="1985" spans="1:17" ht="13.15" customHeight="1" x14ac:dyDescent="0.2">
      <c r="A1985" s="1" t="s">
        <v>4951</v>
      </c>
      <c r="B1985" s="1" t="s">
        <v>4948</v>
      </c>
      <c r="C1985" s="580" t="s">
        <v>4952</v>
      </c>
      <c r="D1985" s="1">
        <v>298.35000000000002</v>
      </c>
      <c r="E1985" t="s">
        <v>4624</v>
      </c>
      <c r="F1985" t="s">
        <v>4952</v>
      </c>
      <c r="G1985" s="580">
        <v>0</v>
      </c>
      <c r="H1985" s="1" t="s">
        <v>4953</v>
      </c>
      <c r="I1985" s="1"/>
      <c r="J1985" s="1"/>
      <c r="K1985" s="1"/>
      <c r="L1985" s="1"/>
      <c r="M1985" s="1"/>
      <c r="N1985" s="1"/>
      <c r="Q1985"/>
    </row>
    <row r="1986" spans="1:17" ht="13.15" customHeight="1" x14ac:dyDescent="0.2">
      <c r="A1986" s="1" t="s">
        <v>4954</v>
      </c>
      <c r="B1986" s="1" t="s">
        <v>4948</v>
      </c>
      <c r="C1986" s="580" t="s">
        <v>4955</v>
      </c>
      <c r="D1986" s="1">
        <v>470.47500000000002</v>
      </c>
      <c r="E1986" t="s">
        <v>4624</v>
      </c>
      <c r="F1986" t="s">
        <v>4955</v>
      </c>
      <c r="G1986" s="580">
        <v>0</v>
      </c>
      <c r="H1986" s="1" t="s">
        <v>4956</v>
      </c>
      <c r="I1986" s="1"/>
      <c r="J1986" s="1"/>
      <c r="K1986" s="1"/>
      <c r="L1986" s="1"/>
      <c r="M1986" s="1"/>
      <c r="N1986" s="1"/>
      <c r="Q1986"/>
    </row>
    <row r="1987" spans="1:17" ht="13.15" customHeight="1" x14ac:dyDescent="0.2">
      <c r="A1987" s="1" t="s">
        <v>4957</v>
      </c>
      <c r="B1987" s="1" t="s">
        <v>4948</v>
      </c>
      <c r="C1987" s="580" t="s">
        <v>4958</v>
      </c>
      <c r="D1987" s="1">
        <v>775.54</v>
      </c>
      <c r="E1987" t="s">
        <v>4624</v>
      </c>
      <c r="F1987" t="s">
        <v>4958</v>
      </c>
      <c r="G1987" s="580">
        <v>0</v>
      </c>
      <c r="H1987" s="1" t="s">
        <v>4959</v>
      </c>
      <c r="I1987" s="1"/>
      <c r="J1987" s="1"/>
      <c r="K1987" s="1"/>
      <c r="L1987" s="1"/>
      <c r="M1987" s="1"/>
      <c r="N1987" s="1"/>
      <c r="Q1987"/>
    </row>
    <row r="1988" spans="1:17" ht="13.15" customHeight="1" x14ac:dyDescent="0.2">
      <c r="A1988" s="1" t="s">
        <v>4960</v>
      </c>
      <c r="B1988" s="1" t="s">
        <v>4948</v>
      </c>
      <c r="C1988" s="580" t="s">
        <v>4961</v>
      </c>
      <c r="D1988" s="1">
        <v>481.95</v>
      </c>
      <c r="E1988" t="s">
        <v>4624</v>
      </c>
      <c r="F1988" t="s">
        <v>4961</v>
      </c>
      <c r="G1988" s="580">
        <v>0</v>
      </c>
      <c r="H1988" s="1" t="s">
        <v>4962</v>
      </c>
      <c r="I1988" s="1"/>
      <c r="J1988" s="1"/>
      <c r="K1988" s="1"/>
      <c r="L1988" s="1"/>
      <c r="M1988" s="1"/>
      <c r="N1988" s="1"/>
      <c r="Q1988"/>
    </row>
    <row r="1989" spans="1:17" ht="13.15" customHeight="1" x14ac:dyDescent="0.2">
      <c r="A1989" s="1" t="s">
        <v>4963</v>
      </c>
      <c r="B1989" s="1" t="s">
        <v>4948</v>
      </c>
      <c r="C1989" s="580" t="s">
        <v>4964</v>
      </c>
      <c r="D1989" s="1">
        <v>580.02750000000003</v>
      </c>
      <c r="E1989" t="s">
        <v>4624</v>
      </c>
      <c r="F1989">
        <v>0</v>
      </c>
      <c r="G1989" s="580">
        <v>0</v>
      </c>
      <c r="H1989" s="1">
        <v>0</v>
      </c>
      <c r="I1989" s="1"/>
      <c r="J1989" s="1"/>
      <c r="K1989" s="1"/>
      <c r="L1989" s="1"/>
      <c r="M1989" s="1"/>
      <c r="N1989" s="1"/>
      <c r="Q1989"/>
    </row>
    <row r="1990" spans="1:17" ht="13.15" customHeight="1" x14ac:dyDescent="0.2">
      <c r="A1990" s="1" t="s">
        <v>4965</v>
      </c>
      <c r="B1990" s="1" t="s">
        <v>4948</v>
      </c>
      <c r="C1990" s="580" t="s">
        <v>4966</v>
      </c>
      <c r="D1990" s="1">
        <v>678.10500000000002</v>
      </c>
      <c r="E1990" t="s">
        <v>4624</v>
      </c>
      <c r="F1990" t="s">
        <v>4966</v>
      </c>
      <c r="G1990" s="580">
        <v>0</v>
      </c>
      <c r="H1990" s="1" t="s">
        <v>4967</v>
      </c>
      <c r="I1990" s="1"/>
      <c r="J1990" s="1"/>
      <c r="K1990" s="1"/>
      <c r="L1990" s="1"/>
      <c r="M1990" s="1"/>
      <c r="N1990" s="1"/>
      <c r="Q1990"/>
    </row>
    <row r="1991" spans="1:17" ht="13.15" customHeight="1" x14ac:dyDescent="0.2">
      <c r="A1991" s="1" t="s">
        <v>4968</v>
      </c>
      <c r="B1991" s="1" t="s">
        <v>4948</v>
      </c>
      <c r="C1991" s="580" t="s">
        <v>4969</v>
      </c>
      <c r="D1991" s="1">
        <v>1042.605</v>
      </c>
      <c r="E1991" t="s">
        <v>4624</v>
      </c>
      <c r="F1991" t="s">
        <v>4969</v>
      </c>
      <c r="G1991" s="580">
        <v>0</v>
      </c>
      <c r="H1991" s="1" t="s">
        <v>4970</v>
      </c>
      <c r="I1991" s="1"/>
      <c r="J1991" s="1"/>
      <c r="K1991" s="1"/>
      <c r="L1991" s="1"/>
      <c r="M1991" s="1"/>
      <c r="N1991" s="1"/>
      <c r="Q1991"/>
    </row>
    <row r="1992" spans="1:17" ht="13.15" customHeight="1" x14ac:dyDescent="0.2">
      <c r="A1992" s="1" t="s">
        <v>4971</v>
      </c>
      <c r="B1992" s="1" t="s">
        <v>4948</v>
      </c>
      <c r="C1992" s="580" t="s">
        <v>4972</v>
      </c>
      <c r="D1992" s="1">
        <v>1228.5</v>
      </c>
      <c r="E1992" t="s">
        <v>4624</v>
      </c>
      <c r="F1992" t="s">
        <v>4972</v>
      </c>
      <c r="G1992" s="580">
        <v>0</v>
      </c>
      <c r="H1992" s="1" t="s">
        <v>4973</v>
      </c>
      <c r="I1992" s="1"/>
      <c r="J1992" s="1"/>
      <c r="K1992" s="1"/>
      <c r="L1992" s="1"/>
      <c r="M1992" s="1"/>
      <c r="N1992" s="1"/>
      <c r="Q1992"/>
    </row>
    <row r="1993" spans="1:17" ht="13.15" customHeight="1" x14ac:dyDescent="0.2">
      <c r="A1993" s="1" t="s">
        <v>4974</v>
      </c>
      <c r="B1993" s="1" t="s">
        <v>4948</v>
      </c>
      <c r="C1993" s="580" t="s">
        <v>4975</v>
      </c>
      <c r="D1993" s="1">
        <v>1461.0105000000001</v>
      </c>
      <c r="E1993" t="s">
        <v>4624</v>
      </c>
      <c r="F1993" t="s">
        <v>4975</v>
      </c>
      <c r="G1993" s="580">
        <v>0</v>
      </c>
      <c r="H1993" s="1" t="s">
        <v>4976</v>
      </c>
      <c r="I1993" s="1"/>
      <c r="J1993" s="1"/>
      <c r="K1993" s="1"/>
      <c r="L1993" s="1"/>
      <c r="M1993" s="1"/>
      <c r="N1993" s="1"/>
      <c r="Q1993"/>
    </row>
    <row r="1994" spans="1:17" ht="13.15" customHeight="1" x14ac:dyDescent="0.2">
      <c r="A1994" s="1" t="s">
        <v>4977</v>
      </c>
      <c r="B1994" s="1" t="s">
        <v>4948</v>
      </c>
      <c r="C1994" s="580" t="s">
        <v>4978</v>
      </c>
      <c r="D1994" s="1">
        <v>4049.62</v>
      </c>
      <c r="E1994" t="s">
        <v>4624</v>
      </c>
      <c r="F1994" t="s">
        <v>4978</v>
      </c>
      <c r="G1994" s="580">
        <v>0</v>
      </c>
      <c r="H1994" s="1" t="s">
        <v>4979</v>
      </c>
      <c r="I1994" s="1"/>
      <c r="J1994" s="1"/>
      <c r="K1994" s="1"/>
      <c r="L1994" s="1"/>
      <c r="M1994" s="1"/>
      <c r="N1994" s="1"/>
      <c r="Q1994"/>
    </row>
    <row r="1995" spans="1:17" ht="13.15" customHeight="1" x14ac:dyDescent="0.2">
      <c r="A1995" s="1" t="s">
        <v>4980</v>
      </c>
      <c r="B1995" s="1" t="s">
        <v>4948</v>
      </c>
      <c r="C1995" s="580" t="s">
        <v>4981</v>
      </c>
      <c r="D1995" s="1">
        <v>6176.06</v>
      </c>
      <c r="E1995" t="s">
        <v>4624</v>
      </c>
      <c r="F1995" t="s">
        <v>4981</v>
      </c>
      <c r="G1995" s="580">
        <v>0</v>
      </c>
      <c r="H1995" s="1" t="s">
        <v>4982</v>
      </c>
      <c r="I1995" s="1"/>
      <c r="J1995" s="1"/>
      <c r="K1995" s="1"/>
      <c r="L1995" s="1"/>
      <c r="M1995" s="1"/>
      <c r="N1995" s="1"/>
      <c r="Q1995"/>
    </row>
    <row r="1996" spans="1:17" ht="13.15" customHeight="1" x14ac:dyDescent="0.2">
      <c r="A1996" s="1" t="s">
        <v>4983</v>
      </c>
      <c r="B1996" s="1" t="s">
        <v>4948</v>
      </c>
      <c r="C1996" s="580" t="s">
        <v>4984</v>
      </c>
      <c r="D1996" s="1">
        <v>8278.7900000000009</v>
      </c>
      <c r="E1996" t="s">
        <v>4624</v>
      </c>
      <c r="F1996" t="s">
        <v>4984</v>
      </c>
      <c r="G1996" s="580">
        <v>0</v>
      </c>
      <c r="H1996" s="1" t="s">
        <v>4985</v>
      </c>
      <c r="I1996" s="1"/>
      <c r="J1996" s="1"/>
      <c r="K1996" s="1"/>
      <c r="L1996" s="1"/>
      <c r="M1996" s="1"/>
      <c r="N1996" s="1"/>
      <c r="Q1996"/>
    </row>
    <row r="1997" spans="1:17" ht="13.15" customHeight="1" x14ac:dyDescent="0.2">
      <c r="A1997" s="1" t="s">
        <v>4986</v>
      </c>
      <c r="B1997" s="1" t="s">
        <v>4948</v>
      </c>
      <c r="C1997" s="580" t="s">
        <v>4987</v>
      </c>
      <c r="D1997" s="1">
        <v>1209.06</v>
      </c>
      <c r="E1997" t="s">
        <v>4624</v>
      </c>
      <c r="F1997" t="s">
        <v>4987</v>
      </c>
      <c r="G1997" s="580">
        <v>0</v>
      </c>
      <c r="H1997" s="1" t="s">
        <v>4988</v>
      </c>
      <c r="I1997" s="1"/>
      <c r="J1997" s="1"/>
      <c r="K1997" s="1"/>
      <c r="L1997" s="1"/>
      <c r="M1997" s="1"/>
      <c r="N1997" s="1"/>
      <c r="Q1997"/>
    </row>
    <row r="1998" spans="1:17" ht="13.15" customHeight="1" x14ac:dyDescent="0.2">
      <c r="A1998" s="1" t="s">
        <v>4989</v>
      </c>
      <c r="B1998" s="1" t="s">
        <v>4948</v>
      </c>
      <c r="C1998" s="580" t="s">
        <v>4990</v>
      </c>
      <c r="D1998" s="1">
        <v>1323</v>
      </c>
      <c r="E1998" t="s">
        <v>4624</v>
      </c>
      <c r="F1998" t="s">
        <v>4990</v>
      </c>
      <c r="G1998" s="580">
        <v>0</v>
      </c>
      <c r="H1998" s="1" t="s">
        <v>4991</v>
      </c>
      <c r="I1998" s="1"/>
      <c r="J1998" s="1"/>
      <c r="K1998" s="1"/>
      <c r="L1998" s="1"/>
      <c r="M1998" s="1"/>
      <c r="N1998" s="1"/>
      <c r="Q1998"/>
    </row>
    <row r="1999" spans="1:17" ht="13.15" customHeight="1" x14ac:dyDescent="0.2">
      <c r="A1999" s="1" t="s">
        <v>4992</v>
      </c>
      <c r="B1999" s="1" t="s">
        <v>4948</v>
      </c>
      <c r="C1999" s="580" t="s">
        <v>4993</v>
      </c>
      <c r="D1999" s="1">
        <v>1344.06</v>
      </c>
      <c r="E1999" t="s">
        <v>4624</v>
      </c>
      <c r="F1999" t="s">
        <v>4993</v>
      </c>
      <c r="G1999" s="580">
        <v>0</v>
      </c>
      <c r="H1999" s="1" t="s">
        <v>4994</v>
      </c>
      <c r="I1999" s="1"/>
      <c r="J1999" s="1"/>
      <c r="K1999" s="1"/>
      <c r="L1999" s="1"/>
      <c r="M1999" s="1"/>
      <c r="N1999" s="1"/>
      <c r="Q1999"/>
    </row>
    <row r="2000" spans="1:17" ht="13.15" customHeight="1" x14ac:dyDescent="0.2">
      <c r="A2000" s="1" t="s">
        <v>4995</v>
      </c>
      <c r="B2000" s="1" t="s">
        <v>4948</v>
      </c>
      <c r="C2000" s="580" t="s">
        <v>4996</v>
      </c>
      <c r="D2000" s="1">
        <v>1545.75</v>
      </c>
      <c r="E2000" t="s">
        <v>4624</v>
      </c>
      <c r="F2000" t="s">
        <v>4996</v>
      </c>
      <c r="G2000" s="580">
        <v>0</v>
      </c>
      <c r="H2000" s="1" t="s">
        <v>4997</v>
      </c>
      <c r="I2000" s="1"/>
      <c r="J2000" s="1"/>
      <c r="K2000" s="1"/>
      <c r="L2000" s="1"/>
      <c r="M2000" s="1"/>
      <c r="N2000" s="1"/>
      <c r="Q2000"/>
    </row>
    <row r="2001" spans="1:17" ht="13.15" customHeight="1" x14ac:dyDescent="0.2">
      <c r="A2001" s="1" t="s">
        <v>4998</v>
      </c>
      <c r="B2001" s="1" t="s">
        <v>4948</v>
      </c>
      <c r="C2001" s="580" t="s">
        <v>4999</v>
      </c>
      <c r="D2001" s="1">
        <v>1728.8775000000001</v>
      </c>
      <c r="E2001" t="s">
        <v>4624</v>
      </c>
      <c r="F2001" t="s">
        <v>4999</v>
      </c>
      <c r="G2001" s="580">
        <v>0</v>
      </c>
      <c r="H2001" s="1" t="s">
        <v>5000</v>
      </c>
      <c r="I2001" s="1"/>
      <c r="J2001" s="1"/>
      <c r="K2001" s="1"/>
      <c r="L2001" s="1"/>
      <c r="M2001" s="1"/>
      <c r="N2001" s="1"/>
      <c r="Q2001"/>
    </row>
    <row r="2002" spans="1:17" ht="13.15" customHeight="1" x14ac:dyDescent="0.2">
      <c r="A2002" s="1" t="s">
        <v>5001</v>
      </c>
      <c r="B2002" s="1" t="s">
        <v>4948</v>
      </c>
      <c r="C2002" s="580" t="s">
        <v>5002</v>
      </c>
      <c r="D2002" s="1">
        <v>1687.5</v>
      </c>
      <c r="E2002" t="s">
        <v>4624</v>
      </c>
      <c r="F2002" t="s">
        <v>5002</v>
      </c>
      <c r="G2002" s="580">
        <v>0</v>
      </c>
      <c r="H2002" s="1" t="s">
        <v>5003</v>
      </c>
      <c r="I2002" s="1"/>
      <c r="J2002" s="1"/>
      <c r="K2002" s="1"/>
      <c r="L2002" s="1"/>
      <c r="M2002" s="1"/>
      <c r="N2002" s="1"/>
      <c r="Q2002"/>
    </row>
    <row r="2003" spans="1:17" ht="13.15" customHeight="1" x14ac:dyDescent="0.2">
      <c r="A2003" s="1" t="s">
        <v>5004</v>
      </c>
      <c r="B2003" s="1" t="s">
        <v>4948</v>
      </c>
      <c r="C2003" s="580" t="s">
        <v>5005</v>
      </c>
      <c r="D2003" s="1">
        <v>1909.9224999999999</v>
      </c>
      <c r="E2003" t="s">
        <v>4624</v>
      </c>
      <c r="F2003" t="s">
        <v>5005</v>
      </c>
      <c r="G2003" s="580">
        <v>0</v>
      </c>
      <c r="H2003" s="1" t="s">
        <v>5006</v>
      </c>
      <c r="I2003" s="1"/>
      <c r="J2003" s="1"/>
      <c r="K2003" s="1"/>
      <c r="L2003" s="1"/>
      <c r="M2003" s="1"/>
      <c r="N2003" s="1"/>
      <c r="Q2003"/>
    </row>
    <row r="2004" spans="1:17" ht="13.15" customHeight="1" x14ac:dyDescent="0.2">
      <c r="A2004" s="1" t="s">
        <v>5007</v>
      </c>
      <c r="B2004" s="1" t="s">
        <v>4948</v>
      </c>
      <c r="C2004" s="580" t="s">
        <v>5008</v>
      </c>
      <c r="D2004" s="1">
        <v>2254.2172</v>
      </c>
      <c r="E2004" t="s">
        <v>4624</v>
      </c>
      <c r="F2004" t="s">
        <v>5008</v>
      </c>
      <c r="G2004" s="580">
        <v>0</v>
      </c>
      <c r="H2004" s="1" t="s">
        <v>5009</v>
      </c>
      <c r="I2004" s="1"/>
      <c r="J2004" s="1"/>
      <c r="K2004" s="1"/>
      <c r="L2004" s="1"/>
      <c r="M2004" s="1"/>
      <c r="N2004" s="1"/>
      <c r="Q2004"/>
    </row>
    <row r="2005" spans="1:17" ht="13.15" customHeight="1" x14ac:dyDescent="0.2">
      <c r="A2005" s="1" t="s">
        <v>5010</v>
      </c>
      <c r="B2005" s="1" t="s">
        <v>4948</v>
      </c>
      <c r="C2005" s="580" t="s">
        <v>5011</v>
      </c>
      <c r="D2005" s="1">
        <v>3337.192</v>
      </c>
      <c r="E2005" t="s">
        <v>4624</v>
      </c>
      <c r="F2005" t="s">
        <v>5011</v>
      </c>
      <c r="G2005" s="580">
        <v>0</v>
      </c>
      <c r="H2005" s="1" t="s">
        <v>5012</v>
      </c>
      <c r="I2005" s="1"/>
      <c r="J2005" s="1"/>
      <c r="K2005" s="1"/>
      <c r="L2005" s="1"/>
      <c r="M2005" s="1"/>
      <c r="N2005" s="1"/>
      <c r="Q2005"/>
    </row>
    <row r="2006" spans="1:17" ht="13.15" customHeight="1" x14ac:dyDescent="0.2">
      <c r="A2006" s="1" t="s">
        <v>5013</v>
      </c>
      <c r="B2006" s="1" t="s">
        <v>4948</v>
      </c>
      <c r="C2006" s="580" t="s">
        <v>5014</v>
      </c>
      <c r="D2006" s="1">
        <v>4839.2991000000002</v>
      </c>
      <c r="E2006" t="s">
        <v>4624</v>
      </c>
      <c r="F2006" t="s">
        <v>5014</v>
      </c>
      <c r="G2006" s="580">
        <v>0</v>
      </c>
      <c r="H2006" s="1" t="s">
        <v>5015</v>
      </c>
      <c r="I2006" s="1"/>
      <c r="J2006" s="1"/>
      <c r="K2006" s="1"/>
      <c r="L2006" s="1"/>
      <c r="M2006" s="1"/>
      <c r="N2006" s="1"/>
      <c r="Q2006"/>
    </row>
    <row r="2007" spans="1:17" ht="13.15" customHeight="1" x14ac:dyDescent="0.2">
      <c r="A2007" s="1" t="s">
        <v>5016</v>
      </c>
      <c r="B2007" s="1" t="s">
        <v>4948</v>
      </c>
      <c r="C2007" s="580" t="s">
        <v>5017</v>
      </c>
      <c r="D2007" s="1">
        <v>5641.4061000000002</v>
      </c>
      <c r="E2007" t="s">
        <v>4624</v>
      </c>
      <c r="F2007">
        <v>0</v>
      </c>
      <c r="G2007" s="580">
        <v>0</v>
      </c>
      <c r="H2007" s="1">
        <v>0</v>
      </c>
      <c r="I2007" s="1"/>
      <c r="J2007" s="1"/>
      <c r="K2007" s="1"/>
      <c r="L2007" s="1"/>
      <c r="M2007" s="1"/>
      <c r="N2007" s="1"/>
      <c r="Q2007"/>
    </row>
    <row r="2008" spans="1:17" ht="13.15" customHeight="1" x14ac:dyDescent="0.2">
      <c r="A2008" s="1" t="s">
        <v>5018</v>
      </c>
      <c r="B2008" s="1" t="s">
        <v>4948</v>
      </c>
      <c r="C2008" s="580" t="s">
        <v>5019</v>
      </c>
      <c r="D2008" s="1">
        <v>6743.5132000000003</v>
      </c>
      <c r="E2008" t="s">
        <v>4624</v>
      </c>
      <c r="F2008">
        <v>0</v>
      </c>
      <c r="G2008" s="580">
        <v>0</v>
      </c>
      <c r="H2008" s="1">
        <v>0</v>
      </c>
      <c r="I2008" s="1"/>
      <c r="J2008" s="1"/>
      <c r="K2008" s="1"/>
      <c r="L2008" s="1"/>
      <c r="M2008" s="1"/>
      <c r="N2008" s="1"/>
      <c r="Q2008"/>
    </row>
    <row r="2009" spans="1:17" ht="13.15" customHeight="1" x14ac:dyDescent="0.2">
      <c r="A2009" s="1" t="s">
        <v>5020</v>
      </c>
      <c r="B2009" s="1" t="s">
        <v>4948</v>
      </c>
      <c r="C2009" s="580" t="s">
        <v>5021</v>
      </c>
      <c r="D2009" s="1">
        <v>1444.77</v>
      </c>
      <c r="E2009" t="s">
        <v>4624</v>
      </c>
      <c r="F2009" t="s">
        <v>5022</v>
      </c>
      <c r="G2009" s="580">
        <v>0</v>
      </c>
      <c r="H2009" s="1" t="s">
        <v>5023</v>
      </c>
      <c r="I2009" s="1"/>
      <c r="J2009" s="1"/>
      <c r="K2009" s="1"/>
      <c r="L2009" s="1"/>
      <c r="M2009" s="1"/>
      <c r="N2009" s="1"/>
      <c r="Q2009"/>
    </row>
    <row r="2010" spans="1:17" ht="13.15" customHeight="1" x14ac:dyDescent="0.2">
      <c r="A2010" s="1" t="s">
        <v>5024</v>
      </c>
      <c r="B2010" s="1" t="s">
        <v>4948</v>
      </c>
      <c r="C2010" s="580" t="s">
        <v>5025</v>
      </c>
      <c r="D2010" s="1">
        <v>2093.7150000000001</v>
      </c>
      <c r="E2010" t="s">
        <v>4624</v>
      </c>
      <c r="F2010" t="s">
        <v>5026</v>
      </c>
      <c r="G2010" s="580">
        <v>0</v>
      </c>
      <c r="H2010" s="1" t="s">
        <v>5027</v>
      </c>
      <c r="I2010" s="1"/>
      <c r="J2010" s="1"/>
      <c r="K2010" s="1"/>
      <c r="L2010" s="1"/>
      <c r="M2010" s="1"/>
      <c r="N2010" s="1"/>
      <c r="Q2010"/>
    </row>
    <row r="2011" spans="1:17" ht="13.15" customHeight="1" x14ac:dyDescent="0.2">
      <c r="A2011" s="1" t="s">
        <v>5028</v>
      </c>
      <c r="B2011" s="1" t="s">
        <v>4948</v>
      </c>
      <c r="C2011" s="580" t="s">
        <v>5029</v>
      </c>
      <c r="D2011" s="1">
        <v>2322</v>
      </c>
      <c r="E2011" t="s">
        <v>4624</v>
      </c>
      <c r="F2011" t="s">
        <v>5030</v>
      </c>
      <c r="G2011" s="580">
        <v>0</v>
      </c>
      <c r="H2011" s="1" t="s">
        <v>5031</v>
      </c>
      <c r="I2011" s="1"/>
      <c r="J2011" s="1"/>
      <c r="K2011" s="1"/>
      <c r="L2011" s="1"/>
      <c r="M2011" s="1"/>
      <c r="N2011" s="1"/>
      <c r="Q2011"/>
    </row>
    <row r="2012" spans="1:17" ht="13.15" customHeight="1" x14ac:dyDescent="0.2">
      <c r="A2012" s="1" t="s">
        <v>5032</v>
      </c>
      <c r="B2012" s="1" t="s">
        <v>4948</v>
      </c>
      <c r="C2012" s="580" t="s">
        <v>5022</v>
      </c>
      <c r="D2012" s="1">
        <v>1444.77</v>
      </c>
      <c r="E2012" t="s">
        <v>4624</v>
      </c>
      <c r="F2012" t="s">
        <v>5022</v>
      </c>
      <c r="G2012" s="580">
        <v>0</v>
      </c>
      <c r="H2012" s="1" t="s">
        <v>5033</v>
      </c>
      <c r="I2012" s="1"/>
      <c r="J2012" s="1"/>
      <c r="K2012" s="1"/>
      <c r="L2012" s="1"/>
      <c r="M2012" s="1"/>
      <c r="N2012" s="1"/>
      <c r="Q2012"/>
    </row>
    <row r="2013" spans="1:17" ht="13.15" customHeight="1" x14ac:dyDescent="0.2">
      <c r="A2013" s="1" t="s">
        <v>5034</v>
      </c>
      <c r="B2013" s="1" t="s">
        <v>4948</v>
      </c>
      <c r="C2013" s="580" t="s">
        <v>5026</v>
      </c>
      <c r="D2013" s="1">
        <v>2093.7150000000001</v>
      </c>
      <c r="E2013" t="s">
        <v>4624</v>
      </c>
      <c r="F2013" t="s">
        <v>5026</v>
      </c>
      <c r="G2013" s="580">
        <v>0</v>
      </c>
      <c r="H2013" s="1" t="s">
        <v>5035</v>
      </c>
      <c r="I2013" s="1"/>
      <c r="J2013" s="1"/>
      <c r="K2013" s="1"/>
      <c r="L2013" s="1"/>
      <c r="M2013" s="1"/>
      <c r="N2013" s="1"/>
      <c r="Q2013"/>
    </row>
    <row r="2014" spans="1:17" ht="13.15" customHeight="1" x14ac:dyDescent="0.2">
      <c r="A2014" s="1" t="s">
        <v>5036</v>
      </c>
      <c r="B2014" s="1" t="s">
        <v>4948</v>
      </c>
      <c r="C2014" s="580" t="s">
        <v>5030</v>
      </c>
      <c r="D2014" s="1">
        <v>2322</v>
      </c>
      <c r="E2014" t="s">
        <v>4624</v>
      </c>
      <c r="F2014" t="s">
        <v>5030</v>
      </c>
      <c r="G2014" s="580">
        <v>0</v>
      </c>
      <c r="H2014" s="1" t="s">
        <v>5037</v>
      </c>
      <c r="I2014" s="1"/>
      <c r="J2014" s="1"/>
      <c r="K2014" s="1"/>
      <c r="L2014" s="1"/>
      <c r="M2014" s="1"/>
      <c r="N2014" s="1"/>
      <c r="Q2014"/>
    </row>
    <row r="2015" spans="1:17" ht="13.15" customHeight="1" x14ac:dyDescent="0.2">
      <c r="A2015" s="1" t="s">
        <v>5038</v>
      </c>
      <c r="B2015" s="1" t="s">
        <v>5039</v>
      </c>
      <c r="C2015" s="580" t="s">
        <v>5040</v>
      </c>
      <c r="D2015" s="1">
        <v>279.3</v>
      </c>
      <c r="E2015" t="s">
        <v>4624</v>
      </c>
      <c r="F2015" t="s">
        <v>5040</v>
      </c>
      <c r="G2015" s="580">
        <v>0</v>
      </c>
      <c r="H2015" s="1" t="s">
        <v>5041</v>
      </c>
      <c r="I2015" s="1"/>
      <c r="J2015" s="1"/>
      <c r="K2015" s="1"/>
      <c r="L2015" s="1"/>
      <c r="M2015" s="1"/>
      <c r="N2015" s="1"/>
      <c r="Q2015"/>
    </row>
    <row r="2016" spans="1:17" ht="13.15" customHeight="1" x14ac:dyDescent="0.2">
      <c r="A2016" s="1" t="s">
        <v>5042</v>
      </c>
      <c r="B2016" s="1" t="s">
        <v>5039</v>
      </c>
      <c r="C2016" s="580" t="s">
        <v>5043</v>
      </c>
      <c r="D2016" s="1">
        <v>399</v>
      </c>
      <c r="E2016" t="s">
        <v>4624</v>
      </c>
      <c r="F2016" t="s">
        <v>5043</v>
      </c>
      <c r="G2016" s="580">
        <v>0</v>
      </c>
      <c r="H2016" s="1" t="s">
        <v>5044</v>
      </c>
      <c r="I2016" s="1"/>
      <c r="J2016" s="1"/>
      <c r="K2016" s="1"/>
      <c r="L2016" s="1"/>
      <c r="M2016" s="1"/>
      <c r="N2016" s="1"/>
      <c r="Q2016"/>
    </row>
    <row r="2017" spans="1:17" ht="13.15" customHeight="1" x14ac:dyDescent="0.2">
      <c r="A2017" s="1" t="s">
        <v>5045</v>
      </c>
      <c r="B2017" s="1" t="s">
        <v>5039</v>
      </c>
      <c r="C2017" s="580" t="s">
        <v>5046</v>
      </c>
      <c r="D2017" s="1">
        <v>359.1</v>
      </c>
      <c r="E2017" t="s">
        <v>4624</v>
      </c>
      <c r="F2017" t="s">
        <v>5046</v>
      </c>
      <c r="G2017" s="580">
        <v>0</v>
      </c>
      <c r="H2017" s="1" t="s">
        <v>5047</v>
      </c>
      <c r="I2017" s="1"/>
      <c r="J2017" s="1"/>
      <c r="K2017" s="1"/>
      <c r="L2017" s="1"/>
      <c r="M2017" s="1"/>
      <c r="N2017" s="1"/>
      <c r="Q2017"/>
    </row>
    <row r="2018" spans="1:17" ht="13.15" customHeight="1" x14ac:dyDescent="0.2">
      <c r="A2018" s="1" t="s">
        <v>5048</v>
      </c>
      <c r="B2018" s="1" t="s">
        <v>5039</v>
      </c>
      <c r="C2018" s="580" t="s">
        <v>5049</v>
      </c>
      <c r="D2018" s="1">
        <v>798</v>
      </c>
      <c r="E2018" t="s">
        <v>4624</v>
      </c>
      <c r="F2018" t="s">
        <v>5049</v>
      </c>
      <c r="G2018" s="580">
        <v>0</v>
      </c>
      <c r="H2018" s="1" t="s">
        <v>5050</v>
      </c>
      <c r="I2018" s="1"/>
      <c r="J2018" s="1"/>
      <c r="K2018" s="1"/>
      <c r="L2018" s="1"/>
      <c r="M2018" s="1"/>
      <c r="N2018" s="1"/>
      <c r="Q2018"/>
    </row>
    <row r="2019" spans="1:17" ht="13.15" customHeight="1" x14ac:dyDescent="0.2">
      <c r="A2019" s="1" t="s">
        <v>5051</v>
      </c>
      <c r="B2019" s="1" t="s">
        <v>5039</v>
      </c>
      <c r="C2019" s="580" t="s">
        <v>5052</v>
      </c>
      <c r="D2019" s="1">
        <v>598.5</v>
      </c>
      <c r="E2019" t="s">
        <v>4624</v>
      </c>
      <c r="F2019" t="s">
        <v>5052</v>
      </c>
      <c r="G2019" s="580">
        <v>0</v>
      </c>
      <c r="H2019" s="1" t="s">
        <v>5053</v>
      </c>
      <c r="I2019" s="1"/>
      <c r="J2019" s="1"/>
      <c r="K2019" s="1"/>
      <c r="L2019" s="1"/>
      <c r="M2019" s="1"/>
      <c r="N2019" s="1"/>
      <c r="Q2019"/>
    </row>
    <row r="2020" spans="1:17" ht="13.15" customHeight="1" x14ac:dyDescent="0.2">
      <c r="A2020" s="1" t="s">
        <v>5054</v>
      </c>
      <c r="B2020" s="1" t="s">
        <v>5039</v>
      </c>
      <c r="C2020" s="580" t="s">
        <v>5055</v>
      </c>
      <c r="D2020" s="1">
        <v>798</v>
      </c>
      <c r="E2020" t="s">
        <v>4624</v>
      </c>
      <c r="F2020" t="s">
        <v>5055</v>
      </c>
      <c r="G2020" s="580">
        <v>0</v>
      </c>
      <c r="H2020" s="1" t="s">
        <v>5056</v>
      </c>
      <c r="I2020" s="1"/>
      <c r="J2020" s="1"/>
      <c r="K2020" s="1"/>
      <c r="L2020" s="1"/>
      <c r="M2020" s="1"/>
      <c r="N2020" s="1"/>
      <c r="Q2020"/>
    </row>
    <row r="2021" spans="1:17" ht="13.15" customHeight="1" x14ac:dyDescent="0.2">
      <c r="A2021" s="1" t="s">
        <v>5057</v>
      </c>
      <c r="B2021" s="1" t="s">
        <v>5039</v>
      </c>
      <c r="C2021" s="580" t="s">
        <v>5058</v>
      </c>
      <c r="D2021" s="1">
        <v>957.6</v>
      </c>
      <c r="E2021" t="s">
        <v>4624</v>
      </c>
      <c r="F2021" t="s">
        <v>5058</v>
      </c>
      <c r="G2021" s="580">
        <v>0</v>
      </c>
      <c r="H2021" s="1" t="s">
        <v>5059</v>
      </c>
      <c r="I2021" s="1"/>
      <c r="J2021" s="1"/>
      <c r="K2021" s="1"/>
      <c r="L2021" s="1"/>
      <c r="M2021" s="1"/>
      <c r="N2021" s="1"/>
      <c r="Q2021"/>
    </row>
    <row r="2022" spans="1:17" ht="13.15" customHeight="1" x14ac:dyDescent="0.2">
      <c r="A2022" s="1" t="s">
        <v>5060</v>
      </c>
      <c r="B2022" s="1" t="s">
        <v>5039</v>
      </c>
      <c r="C2022" s="580" t="s">
        <v>5061</v>
      </c>
      <c r="D2022" s="1">
        <v>1516.2</v>
      </c>
      <c r="E2022" t="s">
        <v>4624</v>
      </c>
      <c r="F2022" t="s">
        <v>5061</v>
      </c>
      <c r="G2022" s="580">
        <v>0</v>
      </c>
      <c r="H2022" s="1" t="s">
        <v>5062</v>
      </c>
      <c r="I2022" s="1"/>
      <c r="J2022" s="1"/>
      <c r="K2022" s="1"/>
      <c r="L2022" s="1"/>
      <c r="M2022" s="1"/>
      <c r="N2022" s="1"/>
      <c r="Q2022"/>
    </row>
    <row r="2023" spans="1:17" ht="13.15" customHeight="1" x14ac:dyDescent="0.2">
      <c r="A2023" s="1" t="s">
        <v>5063</v>
      </c>
      <c r="B2023" s="1" t="s">
        <v>5039</v>
      </c>
      <c r="C2023" s="580" t="s">
        <v>5064</v>
      </c>
      <c r="D2023" s="1">
        <v>1276.8</v>
      </c>
      <c r="E2023" t="s">
        <v>4624</v>
      </c>
      <c r="F2023" t="s">
        <v>5064</v>
      </c>
      <c r="G2023" s="580">
        <v>0</v>
      </c>
      <c r="H2023" s="1" t="s">
        <v>5065</v>
      </c>
      <c r="I2023" s="1"/>
      <c r="J2023" s="1"/>
      <c r="K2023" s="1"/>
      <c r="L2023" s="1"/>
      <c r="M2023" s="1"/>
      <c r="N2023" s="1"/>
      <c r="Q2023"/>
    </row>
    <row r="2024" spans="1:17" ht="13.15" customHeight="1" x14ac:dyDescent="0.2">
      <c r="A2024" s="1" t="s">
        <v>5066</v>
      </c>
      <c r="B2024" s="1" t="s">
        <v>5039</v>
      </c>
      <c r="C2024" s="580" t="s">
        <v>5067</v>
      </c>
      <c r="D2024" s="1">
        <v>1596</v>
      </c>
      <c r="E2024" t="s">
        <v>4624</v>
      </c>
      <c r="F2024" t="s">
        <v>5067</v>
      </c>
      <c r="G2024" s="580">
        <v>0</v>
      </c>
      <c r="H2024" s="1" t="s">
        <v>5068</v>
      </c>
      <c r="I2024" s="1"/>
      <c r="J2024" s="1"/>
      <c r="K2024" s="1"/>
      <c r="L2024" s="1"/>
      <c r="M2024" s="1"/>
      <c r="N2024" s="1"/>
      <c r="Q2024"/>
    </row>
    <row r="2025" spans="1:17" ht="13.15" customHeight="1" x14ac:dyDescent="0.2">
      <c r="A2025" s="1" t="s">
        <v>5069</v>
      </c>
      <c r="B2025" s="1" t="s">
        <v>5039</v>
      </c>
      <c r="C2025" s="580" t="s">
        <v>5070</v>
      </c>
      <c r="D2025" s="1">
        <v>2354.1</v>
      </c>
      <c r="E2025" t="s">
        <v>4624</v>
      </c>
      <c r="F2025" t="s">
        <v>5070</v>
      </c>
      <c r="G2025" s="580">
        <v>0</v>
      </c>
      <c r="H2025" s="1" t="s">
        <v>5071</v>
      </c>
      <c r="I2025" s="1"/>
      <c r="J2025" s="1"/>
      <c r="K2025" s="1"/>
      <c r="L2025" s="1"/>
      <c r="M2025" s="1"/>
      <c r="N2025" s="1"/>
      <c r="Q2025"/>
    </row>
    <row r="2026" spans="1:17" ht="13.15" customHeight="1" x14ac:dyDescent="0.2">
      <c r="A2026" s="1" t="s">
        <v>5072</v>
      </c>
      <c r="B2026" s="1" t="s">
        <v>5039</v>
      </c>
      <c r="C2026" s="580" t="s">
        <v>5073</v>
      </c>
      <c r="D2026" s="1">
        <v>1875.3</v>
      </c>
      <c r="E2026" t="s">
        <v>4624</v>
      </c>
      <c r="F2026" t="s">
        <v>5073</v>
      </c>
      <c r="G2026" s="580">
        <v>0</v>
      </c>
      <c r="H2026" s="1" t="s">
        <v>5074</v>
      </c>
      <c r="I2026" s="1"/>
      <c r="J2026" s="1"/>
      <c r="K2026" s="1"/>
      <c r="L2026" s="1"/>
      <c r="M2026" s="1"/>
      <c r="N2026" s="1"/>
      <c r="Q2026"/>
    </row>
    <row r="2027" spans="1:17" ht="13.15" customHeight="1" x14ac:dyDescent="0.2">
      <c r="A2027" s="1" t="s">
        <v>5075</v>
      </c>
      <c r="B2027" s="1" t="s">
        <v>5039</v>
      </c>
      <c r="C2027" s="580" t="s">
        <v>5076</v>
      </c>
      <c r="D2027" s="1">
        <v>3830.4</v>
      </c>
      <c r="E2027" t="s">
        <v>4624</v>
      </c>
      <c r="F2027" t="s">
        <v>5076</v>
      </c>
      <c r="G2027" s="580">
        <v>0</v>
      </c>
      <c r="H2027" s="1" t="s">
        <v>5077</v>
      </c>
      <c r="I2027" s="1"/>
      <c r="J2027" s="1"/>
      <c r="K2027" s="1"/>
      <c r="L2027" s="1"/>
      <c r="M2027" s="1"/>
      <c r="N2027" s="1"/>
      <c r="Q2027"/>
    </row>
    <row r="2028" spans="1:17" ht="13.15" customHeight="1" x14ac:dyDescent="0.2">
      <c r="A2028" s="1" t="s">
        <v>5078</v>
      </c>
      <c r="B2028" s="1" t="s">
        <v>5039</v>
      </c>
      <c r="C2028" s="580" t="s">
        <v>5079</v>
      </c>
      <c r="D2028" s="1">
        <v>3876</v>
      </c>
      <c r="E2028" t="s">
        <v>4624</v>
      </c>
      <c r="F2028" t="s">
        <v>5079</v>
      </c>
      <c r="G2028" s="580">
        <v>0</v>
      </c>
      <c r="H2028" s="1" t="s">
        <v>5080</v>
      </c>
      <c r="I2028" s="1"/>
      <c r="J2028" s="1"/>
      <c r="K2028" s="1"/>
      <c r="L2028" s="1"/>
      <c r="M2028" s="1"/>
      <c r="N2028" s="1"/>
      <c r="Q2028"/>
    </row>
    <row r="2029" spans="1:17" ht="13.15" customHeight="1" x14ac:dyDescent="0.2">
      <c r="A2029" s="1" t="s">
        <v>5081</v>
      </c>
      <c r="B2029" s="1" t="s">
        <v>5039</v>
      </c>
      <c r="C2029" s="580" t="s">
        <v>5082</v>
      </c>
      <c r="D2029" s="1">
        <v>798</v>
      </c>
      <c r="E2029" t="s">
        <v>4624</v>
      </c>
      <c r="F2029" t="s">
        <v>5082</v>
      </c>
      <c r="G2029" s="580">
        <v>0</v>
      </c>
      <c r="H2029" s="1" t="s">
        <v>5082</v>
      </c>
      <c r="I2029" s="1"/>
      <c r="J2029" s="1"/>
      <c r="K2029" s="1"/>
      <c r="L2029" s="1"/>
      <c r="M2029" s="1"/>
      <c r="N2029" s="1"/>
      <c r="Q2029"/>
    </row>
    <row r="2030" spans="1:17" ht="13.15" customHeight="1" x14ac:dyDescent="0.2">
      <c r="A2030" s="1" t="s">
        <v>5083</v>
      </c>
      <c r="B2030" s="1" t="s">
        <v>5039</v>
      </c>
      <c r="C2030" s="580" t="s">
        <v>5084</v>
      </c>
      <c r="D2030" s="1">
        <v>969</v>
      </c>
      <c r="E2030" t="s">
        <v>4624</v>
      </c>
      <c r="F2030" t="s">
        <v>5084</v>
      </c>
      <c r="G2030" s="580">
        <v>0</v>
      </c>
      <c r="H2030" s="1" t="s">
        <v>5084</v>
      </c>
      <c r="I2030" s="1"/>
      <c r="J2030" s="1"/>
      <c r="K2030" s="1"/>
      <c r="L2030" s="1"/>
      <c r="M2030" s="1"/>
      <c r="N2030" s="1"/>
      <c r="Q2030"/>
    </row>
    <row r="2031" spans="1:17" ht="13.15" customHeight="1" x14ac:dyDescent="0.2">
      <c r="A2031" s="1" t="s">
        <v>5085</v>
      </c>
      <c r="B2031" s="1" t="s">
        <v>5039</v>
      </c>
      <c r="C2031" s="580" t="s">
        <v>5086</v>
      </c>
      <c r="D2031" s="1">
        <v>335.8</v>
      </c>
      <c r="E2031" t="s">
        <v>4624</v>
      </c>
      <c r="F2031">
        <v>0</v>
      </c>
      <c r="G2031" s="580">
        <v>0</v>
      </c>
      <c r="H2031" s="1">
        <v>0</v>
      </c>
      <c r="I2031" s="1"/>
      <c r="J2031" s="1"/>
      <c r="K2031" s="1"/>
      <c r="L2031" s="1"/>
      <c r="M2031" s="1"/>
      <c r="N2031" s="1"/>
      <c r="Q2031"/>
    </row>
    <row r="2032" spans="1:17" ht="13.15" customHeight="1" x14ac:dyDescent="0.2">
      <c r="A2032" s="1" t="s">
        <v>5087</v>
      </c>
      <c r="B2032" s="1" t="s">
        <v>5039</v>
      </c>
      <c r="C2032" s="580" t="s">
        <v>5088</v>
      </c>
      <c r="D2032" s="1">
        <v>438.9</v>
      </c>
      <c r="E2032" t="s">
        <v>4624</v>
      </c>
      <c r="F2032" t="s">
        <v>5088</v>
      </c>
      <c r="G2032" s="580">
        <v>0</v>
      </c>
      <c r="H2032" s="1" t="s">
        <v>5089</v>
      </c>
      <c r="I2032" s="1"/>
      <c r="J2032" s="1"/>
      <c r="K2032" s="1"/>
      <c r="L2032" s="1"/>
      <c r="M2032" s="1"/>
      <c r="N2032" s="1"/>
      <c r="Q2032"/>
    </row>
    <row r="2033" spans="1:17" ht="13.15" customHeight="1" x14ac:dyDescent="0.2">
      <c r="A2033" s="1" t="s">
        <v>5090</v>
      </c>
      <c r="B2033" s="1" t="s">
        <v>5039</v>
      </c>
      <c r="C2033" s="580" t="s">
        <v>5091</v>
      </c>
      <c r="D2033" s="1">
        <v>598.5</v>
      </c>
      <c r="E2033" t="s">
        <v>4624</v>
      </c>
      <c r="F2033" t="s">
        <v>5091</v>
      </c>
      <c r="G2033" s="580">
        <v>0</v>
      </c>
      <c r="H2033" s="1" t="s">
        <v>5092</v>
      </c>
      <c r="I2033" s="1"/>
      <c r="J2033" s="1"/>
      <c r="K2033" s="1"/>
      <c r="L2033" s="1"/>
      <c r="M2033" s="1"/>
      <c r="N2033" s="1"/>
      <c r="Q2033"/>
    </row>
    <row r="2034" spans="1:17" ht="13.15" customHeight="1" x14ac:dyDescent="0.2">
      <c r="A2034" s="1" t="s">
        <v>5093</v>
      </c>
      <c r="B2034" s="1" t="s">
        <v>5039</v>
      </c>
      <c r="C2034" s="580" t="s">
        <v>5094</v>
      </c>
      <c r="D2034" s="1">
        <v>1307.58</v>
      </c>
      <c r="E2034" t="s">
        <v>4624</v>
      </c>
      <c r="F2034" t="s">
        <v>5094</v>
      </c>
      <c r="G2034" s="580">
        <v>0</v>
      </c>
      <c r="H2034" s="1" t="s">
        <v>5095</v>
      </c>
      <c r="I2034" s="1"/>
      <c r="J2034" s="1"/>
      <c r="K2034" s="1"/>
      <c r="L2034" s="1"/>
      <c r="M2034" s="1"/>
      <c r="N2034" s="1"/>
      <c r="Q2034"/>
    </row>
    <row r="2035" spans="1:17" ht="13.15" customHeight="1" x14ac:dyDescent="0.2">
      <c r="A2035" s="1" t="s">
        <v>5096</v>
      </c>
      <c r="B2035" s="1" t="s">
        <v>5039</v>
      </c>
      <c r="C2035" s="580" t="s">
        <v>5097</v>
      </c>
      <c r="D2035" s="1">
        <v>1407.9</v>
      </c>
      <c r="E2035" t="s">
        <v>4624</v>
      </c>
      <c r="F2035" t="s">
        <v>5097</v>
      </c>
      <c r="G2035" s="580">
        <v>0</v>
      </c>
      <c r="H2035" s="1" t="s">
        <v>5098</v>
      </c>
      <c r="I2035" s="1"/>
      <c r="J2035" s="1"/>
      <c r="K2035" s="1"/>
      <c r="L2035" s="1"/>
      <c r="M2035" s="1"/>
      <c r="N2035" s="1"/>
      <c r="Q2035"/>
    </row>
    <row r="2036" spans="1:17" ht="13.15" customHeight="1" x14ac:dyDescent="0.2">
      <c r="A2036" s="1" t="s">
        <v>5099</v>
      </c>
      <c r="B2036" s="1" t="s">
        <v>5039</v>
      </c>
      <c r="C2036" s="580" t="s">
        <v>5100</v>
      </c>
      <c r="D2036" s="1">
        <v>1653</v>
      </c>
      <c r="E2036" t="s">
        <v>4624</v>
      </c>
      <c r="F2036" t="s">
        <v>5100</v>
      </c>
      <c r="G2036" s="580">
        <v>0</v>
      </c>
      <c r="H2036" s="1" t="s">
        <v>5101</v>
      </c>
      <c r="I2036" s="1"/>
      <c r="J2036" s="1"/>
      <c r="K2036" s="1"/>
      <c r="L2036" s="1"/>
      <c r="M2036" s="1"/>
      <c r="N2036" s="1"/>
      <c r="Q2036"/>
    </row>
    <row r="2037" spans="1:17" ht="13.15" customHeight="1" x14ac:dyDescent="0.2">
      <c r="A2037" s="1" t="s">
        <v>5102</v>
      </c>
      <c r="B2037" s="1" t="s">
        <v>5039</v>
      </c>
      <c r="C2037" s="580" t="s">
        <v>5103</v>
      </c>
      <c r="D2037" s="1">
        <v>2225.2800000000002</v>
      </c>
      <c r="E2037" t="s">
        <v>4624</v>
      </c>
      <c r="F2037" t="s">
        <v>5103</v>
      </c>
      <c r="G2037" s="580">
        <v>0</v>
      </c>
      <c r="H2037" s="1" t="s">
        <v>5104</v>
      </c>
      <c r="I2037" s="1"/>
      <c r="J2037" s="1"/>
      <c r="K2037" s="1"/>
      <c r="L2037" s="1"/>
      <c r="M2037" s="1"/>
      <c r="N2037" s="1"/>
      <c r="Q2037"/>
    </row>
    <row r="2038" spans="1:17" ht="13.15" customHeight="1" x14ac:dyDescent="0.2">
      <c r="A2038" s="1" t="s">
        <v>5105</v>
      </c>
      <c r="B2038" s="1" t="s">
        <v>5039</v>
      </c>
      <c r="C2038" s="580" t="s">
        <v>5106</v>
      </c>
      <c r="D2038" s="1">
        <v>2455.56</v>
      </c>
      <c r="E2038" t="s">
        <v>4624</v>
      </c>
      <c r="F2038" t="s">
        <v>5106</v>
      </c>
      <c r="G2038" s="580">
        <v>0</v>
      </c>
      <c r="H2038" s="1" t="s">
        <v>5107</v>
      </c>
      <c r="I2038" s="1"/>
      <c r="J2038" s="1"/>
      <c r="K2038" s="1"/>
      <c r="L2038" s="1"/>
      <c r="M2038" s="1"/>
      <c r="N2038" s="1"/>
      <c r="Q2038"/>
    </row>
    <row r="2039" spans="1:17" ht="13.15" customHeight="1" x14ac:dyDescent="0.2">
      <c r="A2039" s="1" t="s">
        <v>5108</v>
      </c>
      <c r="B2039" s="1" t="s">
        <v>5039</v>
      </c>
      <c r="C2039" s="580" t="s">
        <v>5109</v>
      </c>
      <c r="D2039" s="1">
        <v>2876.22</v>
      </c>
      <c r="E2039" t="s">
        <v>4624</v>
      </c>
      <c r="F2039" t="s">
        <v>5109</v>
      </c>
      <c r="G2039" s="580">
        <v>0</v>
      </c>
      <c r="H2039" s="1" t="s">
        <v>5110</v>
      </c>
      <c r="I2039" s="1"/>
      <c r="J2039" s="1"/>
      <c r="K2039" s="1"/>
      <c r="L2039" s="1"/>
      <c r="M2039" s="1"/>
      <c r="N2039" s="1"/>
      <c r="Q2039"/>
    </row>
    <row r="2040" spans="1:17" ht="13.15" customHeight="1" x14ac:dyDescent="0.2">
      <c r="A2040" s="1" t="s">
        <v>5111</v>
      </c>
      <c r="B2040" s="1" t="s">
        <v>5112</v>
      </c>
      <c r="C2040" s="580" t="s">
        <v>5113</v>
      </c>
      <c r="D2040" s="1">
        <v>4773.8164999999999</v>
      </c>
      <c r="E2040" t="s">
        <v>5114</v>
      </c>
      <c r="F2040" t="s">
        <v>5113</v>
      </c>
      <c r="G2040" s="580">
        <v>1410</v>
      </c>
      <c r="H2040" s="1" t="s">
        <v>5115</v>
      </c>
      <c r="I2040" s="1"/>
      <c r="J2040" s="1"/>
      <c r="K2040" s="1"/>
      <c r="L2040" s="1"/>
      <c r="M2040" s="1"/>
      <c r="N2040" s="1"/>
      <c r="Q2040"/>
    </row>
    <row r="2041" spans="1:17" ht="13.15" customHeight="1" x14ac:dyDescent="0.2">
      <c r="A2041" s="1" t="s">
        <v>5116</v>
      </c>
      <c r="B2041" s="1" t="s">
        <v>5112</v>
      </c>
      <c r="C2041" s="580" t="s">
        <v>5117</v>
      </c>
      <c r="D2041" s="1">
        <v>4773.8164999999999</v>
      </c>
      <c r="E2041" t="s">
        <v>5114</v>
      </c>
      <c r="F2041" t="s">
        <v>5117</v>
      </c>
      <c r="G2041" s="580">
        <v>1410</v>
      </c>
      <c r="H2041" s="1" t="s">
        <v>5118</v>
      </c>
      <c r="I2041" s="1"/>
      <c r="J2041" s="1"/>
      <c r="K2041" s="1"/>
      <c r="L2041" s="1"/>
      <c r="M2041" s="1"/>
      <c r="N2041" s="1"/>
      <c r="Q2041"/>
    </row>
    <row r="2042" spans="1:17" ht="13.15" customHeight="1" x14ac:dyDescent="0.2">
      <c r="A2042" s="1" t="s">
        <v>5119</v>
      </c>
      <c r="B2042" s="1" t="s">
        <v>5112</v>
      </c>
      <c r="C2042" s="580" t="s">
        <v>5120</v>
      </c>
      <c r="D2042" s="1">
        <v>4773.8164999999999</v>
      </c>
      <c r="E2042" t="s">
        <v>5114</v>
      </c>
      <c r="F2042" t="s">
        <v>5120</v>
      </c>
      <c r="G2042" s="580">
        <v>1410</v>
      </c>
      <c r="H2042" s="1" t="s">
        <v>5121</v>
      </c>
      <c r="I2042" s="1"/>
      <c r="J2042" s="1"/>
      <c r="K2042" s="1"/>
      <c r="L2042" s="1"/>
      <c r="M2042" s="1"/>
      <c r="N2042" s="1"/>
      <c r="Q2042"/>
    </row>
    <row r="2043" spans="1:17" ht="13.15" customHeight="1" x14ac:dyDescent="0.2">
      <c r="A2043" s="1" t="s">
        <v>5122</v>
      </c>
      <c r="B2043" s="1" t="s">
        <v>5112</v>
      </c>
      <c r="C2043" s="580" t="s">
        <v>5123</v>
      </c>
      <c r="D2043" s="1">
        <v>4773.8164999999999</v>
      </c>
      <c r="E2043" t="s">
        <v>5114</v>
      </c>
      <c r="F2043" t="s">
        <v>5123</v>
      </c>
      <c r="G2043" s="580">
        <v>1410</v>
      </c>
      <c r="H2043" s="1" t="s">
        <v>5124</v>
      </c>
      <c r="I2043" s="1"/>
      <c r="J2043" s="1"/>
      <c r="K2043" s="1"/>
      <c r="L2043" s="1"/>
      <c r="M2043" s="1"/>
      <c r="N2043" s="1"/>
      <c r="Q2043"/>
    </row>
    <row r="2044" spans="1:17" ht="13.15" customHeight="1" x14ac:dyDescent="0.2">
      <c r="A2044" s="1" t="s">
        <v>5125</v>
      </c>
      <c r="B2044" s="1" t="s">
        <v>5112</v>
      </c>
      <c r="C2044" s="580" t="s">
        <v>5126</v>
      </c>
      <c r="D2044" s="1">
        <v>4773.8164999999999</v>
      </c>
      <c r="E2044" t="s">
        <v>5114</v>
      </c>
      <c r="F2044" t="s">
        <v>5126</v>
      </c>
      <c r="G2044" s="580">
        <v>1410</v>
      </c>
      <c r="H2044" s="1" t="s">
        <v>5127</v>
      </c>
      <c r="I2044" s="1"/>
      <c r="J2044" s="1"/>
      <c r="K2044" s="1"/>
      <c r="L2044" s="1"/>
      <c r="M2044" s="1"/>
      <c r="N2044" s="1"/>
      <c r="Q2044"/>
    </row>
    <row r="2045" spans="1:17" ht="13.15" customHeight="1" x14ac:dyDescent="0.2">
      <c r="A2045" s="1" t="s">
        <v>5128</v>
      </c>
      <c r="B2045" s="1" t="s">
        <v>5112</v>
      </c>
      <c r="C2045" s="580" t="s">
        <v>5129</v>
      </c>
      <c r="D2045" s="1">
        <v>4773.8164999999999</v>
      </c>
      <c r="E2045" t="s">
        <v>5114</v>
      </c>
      <c r="F2045" t="s">
        <v>5129</v>
      </c>
      <c r="G2045" s="580">
        <v>1410</v>
      </c>
      <c r="H2045" s="1" t="s">
        <v>5130</v>
      </c>
      <c r="I2045" s="1"/>
      <c r="J2045" s="1"/>
      <c r="K2045" s="1"/>
      <c r="L2045" s="1"/>
      <c r="M2045" s="1"/>
      <c r="N2045" s="1"/>
      <c r="Q2045"/>
    </row>
    <row r="2046" spans="1:17" ht="13.15" customHeight="1" x14ac:dyDescent="0.2">
      <c r="A2046" s="1" t="s">
        <v>5131</v>
      </c>
      <c r="B2046" s="1" t="s">
        <v>5112</v>
      </c>
      <c r="C2046" s="580" t="s">
        <v>5132</v>
      </c>
      <c r="D2046" s="1">
        <v>4773.8164999999999</v>
      </c>
      <c r="E2046" t="s">
        <v>5114</v>
      </c>
      <c r="F2046" t="s">
        <v>5132</v>
      </c>
      <c r="G2046" s="580">
        <v>1410</v>
      </c>
      <c r="H2046" s="1" t="s">
        <v>5133</v>
      </c>
      <c r="I2046" s="1"/>
      <c r="J2046" s="1"/>
      <c r="K2046" s="1"/>
      <c r="L2046" s="1"/>
      <c r="M2046" s="1"/>
      <c r="N2046" s="1"/>
      <c r="Q2046"/>
    </row>
    <row r="2047" spans="1:17" ht="13.15" customHeight="1" x14ac:dyDescent="0.2">
      <c r="A2047" s="1" t="s">
        <v>5134</v>
      </c>
      <c r="B2047" s="1" t="s">
        <v>5112</v>
      </c>
      <c r="C2047" s="580" t="s">
        <v>5135</v>
      </c>
      <c r="D2047" s="1">
        <v>4773.8164999999999</v>
      </c>
      <c r="E2047" t="s">
        <v>5114</v>
      </c>
      <c r="F2047" t="s">
        <v>5135</v>
      </c>
      <c r="G2047" s="580">
        <v>1410</v>
      </c>
      <c r="H2047" s="1" t="s">
        <v>5136</v>
      </c>
      <c r="I2047" s="1"/>
      <c r="J2047" s="1"/>
      <c r="K2047" s="1"/>
      <c r="L2047" s="1"/>
      <c r="M2047" s="1"/>
      <c r="N2047" s="1"/>
      <c r="Q2047"/>
    </row>
    <row r="2048" spans="1:17" ht="13.15" customHeight="1" x14ac:dyDescent="0.2">
      <c r="A2048" s="1" t="s">
        <v>5137</v>
      </c>
      <c r="B2048" s="1" t="s">
        <v>5112</v>
      </c>
      <c r="C2048" s="580" t="s">
        <v>5138</v>
      </c>
      <c r="D2048" s="1">
        <v>4773.8164999999999</v>
      </c>
      <c r="E2048" t="s">
        <v>5114</v>
      </c>
      <c r="F2048" t="s">
        <v>5138</v>
      </c>
      <c r="G2048" s="580">
        <v>1410</v>
      </c>
      <c r="H2048" s="1" t="s">
        <v>5139</v>
      </c>
      <c r="I2048" s="1"/>
      <c r="J2048" s="1"/>
      <c r="K2048" s="1"/>
      <c r="L2048" s="1"/>
      <c r="M2048" s="1"/>
      <c r="N2048" s="1"/>
      <c r="Q2048"/>
    </row>
    <row r="2049" spans="1:17" ht="13.15" customHeight="1" x14ac:dyDescent="0.2">
      <c r="A2049" s="1" t="s">
        <v>5140</v>
      </c>
      <c r="B2049" s="1" t="s">
        <v>5112</v>
      </c>
      <c r="C2049" s="580" t="s">
        <v>5141</v>
      </c>
      <c r="D2049" s="1">
        <v>4773.8164999999999</v>
      </c>
      <c r="E2049" t="s">
        <v>5114</v>
      </c>
      <c r="F2049" t="s">
        <v>5141</v>
      </c>
      <c r="G2049" s="580">
        <v>1410</v>
      </c>
      <c r="H2049" s="1" t="s">
        <v>5142</v>
      </c>
      <c r="I2049" s="1"/>
      <c r="J2049" s="1"/>
      <c r="K2049" s="1"/>
      <c r="L2049" s="1"/>
      <c r="M2049" s="1"/>
      <c r="N2049" s="1"/>
      <c r="Q2049"/>
    </row>
    <row r="2050" spans="1:17" ht="13.15" customHeight="1" x14ac:dyDescent="0.2">
      <c r="A2050" s="1" t="s">
        <v>5143</v>
      </c>
      <c r="B2050" s="1" t="s">
        <v>5112</v>
      </c>
      <c r="C2050" s="580" t="s">
        <v>5144</v>
      </c>
      <c r="D2050" s="1">
        <v>4773.8164999999999</v>
      </c>
      <c r="E2050" t="s">
        <v>5114</v>
      </c>
      <c r="F2050" t="s">
        <v>5144</v>
      </c>
      <c r="G2050" s="580">
        <v>1410</v>
      </c>
      <c r="H2050" s="1" t="s">
        <v>5145</v>
      </c>
      <c r="I2050" s="1"/>
      <c r="J2050" s="1"/>
      <c r="K2050" s="1"/>
      <c r="L2050" s="1"/>
      <c r="M2050" s="1"/>
      <c r="N2050" s="1"/>
      <c r="Q2050"/>
    </row>
    <row r="2051" spans="1:17" ht="13.15" customHeight="1" x14ac:dyDescent="0.2">
      <c r="A2051" s="1" t="s">
        <v>5146</v>
      </c>
      <c r="B2051" s="1" t="s">
        <v>5112</v>
      </c>
      <c r="C2051" s="580" t="s">
        <v>5147</v>
      </c>
      <c r="D2051" s="1">
        <v>4773.8164999999999</v>
      </c>
      <c r="E2051" t="s">
        <v>5114</v>
      </c>
      <c r="F2051" t="s">
        <v>5147</v>
      </c>
      <c r="G2051" s="580">
        <v>1410</v>
      </c>
      <c r="H2051" s="1" t="s">
        <v>5148</v>
      </c>
      <c r="I2051" s="1"/>
      <c r="J2051" s="1"/>
      <c r="K2051" s="1"/>
      <c r="L2051" s="1"/>
      <c r="M2051" s="1"/>
      <c r="N2051" s="1"/>
      <c r="Q2051"/>
    </row>
    <row r="2052" spans="1:17" ht="13.15" customHeight="1" x14ac:dyDescent="0.2">
      <c r="A2052" s="1" t="s">
        <v>5149</v>
      </c>
      <c r="B2052" s="1" t="s">
        <v>5112</v>
      </c>
      <c r="C2052" s="580" t="s">
        <v>5150</v>
      </c>
      <c r="D2052" s="1">
        <v>4773.8164999999999</v>
      </c>
      <c r="E2052" t="s">
        <v>5114</v>
      </c>
      <c r="F2052" t="s">
        <v>5150</v>
      </c>
      <c r="G2052" s="580">
        <v>1410</v>
      </c>
      <c r="H2052" s="1" t="s">
        <v>5151</v>
      </c>
      <c r="I2052" s="1"/>
      <c r="J2052" s="1"/>
      <c r="K2052" s="1"/>
      <c r="L2052" s="1"/>
      <c r="M2052" s="1"/>
      <c r="N2052" s="1"/>
      <c r="Q2052"/>
    </row>
    <row r="2053" spans="1:17" ht="13.15" customHeight="1" x14ac:dyDescent="0.2">
      <c r="A2053" s="1" t="s">
        <v>5152</v>
      </c>
      <c r="B2053" s="1" t="s">
        <v>5112</v>
      </c>
      <c r="C2053" s="580" t="s">
        <v>5153</v>
      </c>
      <c r="D2053" s="1">
        <v>4773.8164999999999</v>
      </c>
      <c r="E2053" t="s">
        <v>5114</v>
      </c>
      <c r="F2053" t="s">
        <v>5153</v>
      </c>
      <c r="G2053" s="580">
        <v>1410</v>
      </c>
      <c r="H2053" s="1" t="s">
        <v>5154</v>
      </c>
      <c r="I2053" s="1"/>
      <c r="J2053" s="1"/>
      <c r="K2053" s="1"/>
      <c r="L2053" s="1"/>
      <c r="M2053" s="1"/>
      <c r="N2053" s="1"/>
      <c r="Q2053"/>
    </row>
    <row r="2054" spans="1:17" ht="13.15" customHeight="1" x14ac:dyDescent="0.2">
      <c r="A2054" s="1" t="s">
        <v>5155</v>
      </c>
      <c r="B2054" s="1" t="s">
        <v>5112</v>
      </c>
      <c r="C2054" s="580" t="s">
        <v>5156</v>
      </c>
      <c r="D2054" s="1">
        <v>4773.8164999999999</v>
      </c>
      <c r="E2054" t="s">
        <v>5114</v>
      </c>
      <c r="F2054" t="s">
        <v>5156</v>
      </c>
      <c r="G2054" s="580">
        <v>1410</v>
      </c>
      <c r="H2054" s="1" t="s">
        <v>5157</v>
      </c>
      <c r="I2054" s="1"/>
      <c r="J2054" s="1"/>
      <c r="K2054" s="1"/>
      <c r="L2054" s="1"/>
      <c r="M2054" s="1"/>
      <c r="N2054" s="1"/>
      <c r="Q2054"/>
    </row>
    <row r="2055" spans="1:17" ht="13.15" customHeight="1" x14ac:dyDescent="0.2">
      <c r="A2055" s="1" t="s">
        <v>5158</v>
      </c>
      <c r="B2055" s="1" t="s">
        <v>5112</v>
      </c>
      <c r="C2055" s="580" t="s">
        <v>5159</v>
      </c>
      <c r="D2055" s="1">
        <v>4773.8164999999999</v>
      </c>
      <c r="E2055" t="s">
        <v>5114</v>
      </c>
      <c r="F2055" t="s">
        <v>5159</v>
      </c>
      <c r="G2055" s="580">
        <v>1410</v>
      </c>
      <c r="H2055" s="1" t="s">
        <v>5160</v>
      </c>
      <c r="I2055" s="1"/>
      <c r="J2055" s="1"/>
      <c r="K2055" s="1"/>
      <c r="L2055" s="1"/>
      <c r="M2055" s="1"/>
      <c r="N2055" s="1"/>
      <c r="Q2055"/>
    </row>
    <row r="2056" spans="1:17" ht="13.15" customHeight="1" x14ac:dyDescent="0.2">
      <c r="A2056" s="1" t="s">
        <v>5161</v>
      </c>
      <c r="B2056" s="1" t="s">
        <v>5112</v>
      </c>
      <c r="C2056" s="580" t="s">
        <v>5162</v>
      </c>
      <c r="D2056" s="1">
        <v>4773.8164999999999</v>
      </c>
      <c r="E2056" t="s">
        <v>5114</v>
      </c>
      <c r="F2056" t="s">
        <v>5162</v>
      </c>
      <c r="G2056" s="580">
        <v>1410</v>
      </c>
      <c r="H2056" s="1" t="s">
        <v>5163</v>
      </c>
      <c r="I2056" s="1"/>
      <c r="J2056" s="1"/>
      <c r="K2056" s="1"/>
      <c r="L2056" s="1"/>
      <c r="M2056" s="1"/>
      <c r="N2056" s="1"/>
      <c r="Q2056"/>
    </row>
    <row r="2057" spans="1:17" ht="13.15" customHeight="1" x14ac:dyDescent="0.2">
      <c r="A2057" s="1" t="s">
        <v>5164</v>
      </c>
      <c r="B2057" s="1" t="s">
        <v>5112</v>
      </c>
      <c r="C2057" s="580" t="s">
        <v>5165</v>
      </c>
      <c r="D2057" s="1">
        <v>4773.8164999999999</v>
      </c>
      <c r="E2057" t="s">
        <v>5114</v>
      </c>
      <c r="F2057" t="s">
        <v>5165</v>
      </c>
      <c r="G2057" s="580">
        <v>1410</v>
      </c>
      <c r="H2057" s="1" t="s">
        <v>5166</v>
      </c>
      <c r="I2057" s="1"/>
      <c r="J2057" s="1"/>
      <c r="K2057" s="1"/>
      <c r="L2057" s="1"/>
      <c r="M2057" s="1"/>
      <c r="N2057" s="1"/>
      <c r="Q2057"/>
    </row>
    <row r="2058" spans="1:17" ht="13.15" customHeight="1" x14ac:dyDescent="0.2">
      <c r="A2058" s="1" t="s">
        <v>5167</v>
      </c>
      <c r="B2058" s="1" t="s">
        <v>5112</v>
      </c>
      <c r="C2058" s="580" t="s">
        <v>5168</v>
      </c>
      <c r="D2058" s="1">
        <v>4773.8164999999999</v>
      </c>
      <c r="E2058" t="s">
        <v>5114</v>
      </c>
      <c r="F2058" t="s">
        <v>5168</v>
      </c>
      <c r="G2058" s="580">
        <v>1410</v>
      </c>
      <c r="H2058" s="1" t="s">
        <v>5169</v>
      </c>
      <c r="I2058" s="1"/>
      <c r="J2058" s="1"/>
      <c r="K2058" s="1"/>
      <c r="L2058" s="1"/>
      <c r="M2058" s="1"/>
      <c r="N2058" s="1"/>
      <c r="Q2058"/>
    </row>
    <row r="2059" spans="1:17" ht="13.15" customHeight="1" x14ac:dyDescent="0.2">
      <c r="A2059" s="1" t="s">
        <v>5170</v>
      </c>
      <c r="B2059" s="1" t="s">
        <v>5112</v>
      </c>
      <c r="C2059" s="580" t="s">
        <v>5171</v>
      </c>
      <c r="D2059" s="1">
        <v>4773.8164999999999</v>
      </c>
      <c r="E2059" t="s">
        <v>5114</v>
      </c>
      <c r="F2059" t="s">
        <v>5171</v>
      </c>
      <c r="G2059" s="580">
        <v>1410</v>
      </c>
      <c r="H2059" s="1" t="s">
        <v>5172</v>
      </c>
      <c r="I2059" s="1"/>
      <c r="J2059" s="1"/>
      <c r="K2059" s="1"/>
      <c r="L2059" s="1"/>
      <c r="M2059" s="1"/>
      <c r="N2059" s="1"/>
      <c r="Q2059"/>
    </row>
    <row r="2060" spans="1:17" ht="13.15" customHeight="1" x14ac:dyDescent="0.2">
      <c r="A2060" s="1" t="s">
        <v>5173</v>
      </c>
      <c r="B2060" s="1" t="s">
        <v>5112</v>
      </c>
      <c r="C2060" s="580" t="s">
        <v>5174</v>
      </c>
      <c r="D2060" s="1">
        <v>4773.8164999999999</v>
      </c>
      <c r="E2060" t="s">
        <v>5114</v>
      </c>
      <c r="F2060" t="s">
        <v>5174</v>
      </c>
      <c r="G2060" s="580">
        <v>1410</v>
      </c>
      <c r="H2060" s="1" t="s">
        <v>5175</v>
      </c>
      <c r="I2060" s="1"/>
      <c r="J2060" s="1"/>
      <c r="K2060" s="1"/>
      <c r="L2060" s="1"/>
      <c r="M2060" s="1"/>
      <c r="N2060" s="1"/>
      <c r="Q2060"/>
    </row>
    <row r="2061" spans="1:17" ht="13.15" customHeight="1" x14ac:dyDescent="0.2">
      <c r="A2061" s="1" t="s">
        <v>5176</v>
      </c>
      <c r="B2061" s="1" t="s">
        <v>5112</v>
      </c>
      <c r="C2061" s="580" t="s">
        <v>5177</v>
      </c>
      <c r="D2061" s="1">
        <v>4773.8164999999999</v>
      </c>
      <c r="E2061" t="s">
        <v>5114</v>
      </c>
      <c r="F2061" t="s">
        <v>5177</v>
      </c>
      <c r="G2061" s="580">
        <v>1410</v>
      </c>
      <c r="H2061" s="1" t="s">
        <v>5178</v>
      </c>
      <c r="I2061" s="1"/>
      <c r="J2061" s="1"/>
      <c r="K2061" s="1"/>
      <c r="L2061" s="1"/>
      <c r="M2061" s="1"/>
      <c r="N2061" s="1"/>
      <c r="Q2061"/>
    </row>
    <row r="2062" spans="1:17" ht="13.15" customHeight="1" x14ac:dyDescent="0.2">
      <c r="A2062" s="1" t="s">
        <v>5179</v>
      </c>
      <c r="B2062" s="1" t="s">
        <v>5112</v>
      </c>
      <c r="C2062" s="580" t="s">
        <v>5180</v>
      </c>
      <c r="D2062" s="1">
        <v>4773.8164999999999</v>
      </c>
      <c r="E2062" t="s">
        <v>5114</v>
      </c>
      <c r="F2062" t="s">
        <v>5180</v>
      </c>
      <c r="G2062" s="580">
        <v>1410</v>
      </c>
      <c r="H2062" s="1" t="s">
        <v>5181</v>
      </c>
      <c r="I2062" s="1"/>
      <c r="J2062" s="1"/>
      <c r="K2062" s="1"/>
      <c r="L2062" s="1"/>
      <c r="M2062" s="1"/>
      <c r="N2062" s="1"/>
      <c r="Q2062"/>
    </row>
    <row r="2063" spans="1:17" ht="13.15" customHeight="1" x14ac:dyDescent="0.2">
      <c r="A2063" s="1" t="s">
        <v>5182</v>
      </c>
      <c r="B2063" s="1" t="s">
        <v>5112</v>
      </c>
      <c r="C2063" s="580" t="s">
        <v>5183</v>
      </c>
      <c r="D2063" s="1">
        <v>3793.6350000000002</v>
      </c>
      <c r="E2063" t="s">
        <v>5114</v>
      </c>
      <c r="F2063" t="s">
        <v>5183</v>
      </c>
      <c r="G2063" s="580">
        <v>1410</v>
      </c>
      <c r="H2063" s="1" t="s">
        <v>5184</v>
      </c>
      <c r="I2063" s="1"/>
      <c r="J2063" s="1"/>
      <c r="K2063" s="1"/>
      <c r="L2063" s="1"/>
      <c r="M2063" s="1"/>
      <c r="N2063" s="1"/>
      <c r="Q2063"/>
    </row>
    <row r="2064" spans="1:17" ht="13.15" customHeight="1" x14ac:dyDescent="0.2">
      <c r="A2064" s="1" t="s">
        <v>5185</v>
      </c>
      <c r="B2064" s="1" t="s">
        <v>5112</v>
      </c>
      <c r="C2064" s="580" t="s">
        <v>5186</v>
      </c>
      <c r="D2064" s="1">
        <v>4773.8164999999999</v>
      </c>
      <c r="E2064" t="s">
        <v>5114</v>
      </c>
      <c r="F2064" t="s">
        <v>5186</v>
      </c>
      <c r="G2064" s="580">
        <v>1410</v>
      </c>
      <c r="H2064" s="1" t="s">
        <v>5187</v>
      </c>
      <c r="I2064" s="1"/>
      <c r="J2064" s="1"/>
      <c r="K2064" s="1"/>
      <c r="L2064" s="1"/>
      <c r="M2064" s="1"/>
      <c r="N2064" s="1"/>
      <c r="Q2064"/>
    </row>
    <row r="2065" spans="1:17" ht="13.15" customHeight="1" x14ac:dyDescent="0.2">
      <c r="A2065" s="1" t="s">
        <v>5188</v>
      </c>
      <c r="B2065" s="1" t="s">
        <v>5112</v>
      </c>
      <c r="C2065" s="580" t="s">
        <v>5189</v>
      </c>
      <c r="D2065" s="1">
        <v>4773.8164999999999</v>
      </c>
      <c r="E2065" t="s">
        <v>5114</v>
      </c>
      <c r="F2065" t="s">
        <v>5189</v>
      </c>
      <c r="G2065" s="580">
        <v>1410</v>
      </c>
      <c r="H2065" s="1" t="s">
        <v>3282</v>
      </c>
      <c r="I2065" s="1"/>
      <c r="J2065" s="1"/>
      <c r="K2065" s="1"/>
      <c r="L2065" s="1"/>
      <c r="M2065" s="1"/>
      <c r="N2065" s="1"/>
      <c r="Q2065"/>
    </row>
    <row r="2066" spans="1:17" ht="13.15" customHeight="1" x14ac:dyDescent="0.2">
      <c r="A2066" s="1" t="s">
        <v>5190</v>
      </c>
      <c r="B2066" s="1" t="s">
        <v>5112</v>
      </c>
      <c r="C2066" s="580" t="s">
        <v>5191</v>
      </c>
      <c r="D2066" s="1">
        <v>4773.8164999999999</v>
      </c>
      <c r="E2066" t="s">
        <v>5114</v>
      </c>
      <c r="F2066" t="s">
        <v>5191</v>
      </c>
      <c r="G2066" s="580">
        <v>1410</v>
      </c>
      <c r="H2066" s="1" t="s">
        <v>5192</v>
      </c>
      <c r="I2066" s="1"/>
      <c r="J2066" s="1"/>
      <c r="K2066" s="1"/>
      <c r="L2066" s="1"/>
      <c r="M2066" s="1"/>
      <c r="N2066" s="1"/>
      <c r="Q2066"/>
    </row>
    <row r="2067" spans="1:17" ht="13.15" customHeight="1" x14ac:dyDescent="0.2">
      <c r="A2067" s="1" t="s">
        <v>5193</v>
      </c>
      <c r="B2067" s="1" t="s">
        <v>5112</v>
      </c>
      <c r="C2067" s="580" t="s">
        <v>5194</v>
      </c>
      <c r="D2067" s="1">
        <v>4773.8164999999999</v>
      </c>
      <c r="E2067" t="s">
        <v>5114</v>
      </c>
      <c r="F2067" t="s">
        <v>5194</v>
      </c>
      <c r="G2067" s="580">
        <v>1410</v>
      </c>
      <c r="H2067" s="1" t="s">
        <v>5195</v>
      </c>
      <c r="I2067" s="1"/>
      <c r="J2067" s="1"/>
      <c r="K2067" s="1"/>
      <c r="L2067" s="1"/>
      <c r="M2067" s="1"/>
      <c r="N2067" s="1"/>
      <c r="Q2067"/>
    </row>
    <row r="2068" spans="1:17" ht="13.15" customHeight="1" x14ac:dyDescent="0.2">
      <c r="A2068" s="1" t="s">
        <v>5196</v>
      </c>
      <c r="B2068" s="1" t="s">
        <v>5112</v>
      </c>
      <c r="C2068" s="580" t="s">
        <v>5197</v>
      </c>
      <c r="D2068" s="1">
        <v>3793.6350000000002</v>
      </c>
      <c r="E2068" t="s">
        <v>5114</v>
      </c>
      <c r="F2068" t="s">
        <v>5197</v>
      </c>
      <c r="G2068" s="580">
        <v>1410</v>
      </c>
      <c r="H2068" s="1" t="s">
        <v>5198</v>
      </c>
      <c r="I2068" s="1"/>
      <c r="J2068" s="1"/>
      <c r="K2068" s="1"/>
      <c r="L2068" s="1"/>
      <c r="M2068" s="1"/>
      <c r="N2068" s="1"/>
      <c r="Q2068"/>
    </row>
    <row r="2069" spans="1:17" ht="13.15" customHeight="1" x14ac:dyDescent="0.2">
      <c r="A2069" s="1" t="s">
        <v>5199</v>
      </c>
      <c r="B2069" s="1" t="s">
        <v>5112</v>
      </c>
      <c r="C2069" s="580" t="s">
        <v>5200</v>
      </c>
      <c r="D2069" s="1">
        <v>4773.8164999999999</v>
      </c>
      <c r="E2069" t="s">
        <v>5114</v>
      </c>
      <c r="F2069" t="s">
        <v>5200</v>
      </c>
      <c r="G2069" s="580">
        <v>1410</v>
      </c>
      <c r="H2069" s="1" t="s">
        <v>5201</v>
      </c>
      <c r="I2069" s="1"/>
      <c r="J2069" s="1"/>
      <c r="K2069" s="1"/>
      <c r="L2069" s="1"/>
      <c r="M2069" s="1"/>
      <c r="N2069" s="1"/>
      <c r="Q2069"/>
    </row>
    <row r="2070" spans="1:17" ht="13.15" customHeight="1" x14ac:dyDescent="0.2">
      <c r="A2070" s="1" t="s">
        <v>5202</v>
      </c>
      <c r="B2070" s="1" t="s">
        <v>5112</v>
      </c>
      <c r="C2070" s="580" t="s">
        <v>5203</v>
      </c>
      <c r="D2070" s="1">
        <v>4773.8164999999999</v>
      </c>
      <c r="E2070" t="s">
        <v>5114</v>
      </c>
      <c r="F2070" t="s">
        <v>5203</v>
      </c>
      <c r="G2070" s="580">
        <v>1410</v>
      </c>
      <c r="H2070" s="1" t="s">
        <v>5204</v>
      </c>
      <c r="I2070" s="1"/>
      <c r="J2070" s="1"/>
      <c r="K2070" s="1"/>
      <c r="L2070" s="1"/>
      <c r="M2070" s="1"/>
      <c r="N2070" s="1"/>
      <c r="Q2070"/>
    </row>
    <row r="2071" spans="1:17" ht="13.15" customHeight="1" x14ac:dyDescent="0.2">
      <c r="A2071" s="1" t="s">
        <v>5205</v>
      </c>
      <c r="B2071" s="1" t="s">
        <v>5112</v>
      </c>
      <c r="C2071" s="580" t="s">
        <v>5206</v>
      </c>
      <c r="D2071" s="1">
        <v>4773.8164999999999</v>
      </c>
      <c r="E2071" t="s">
        <v>5114</v>
      </c>
      <c r="F2071" t="s">
        <v>5206</v>
      </c>
      <c r="G2071" s="580">
        <v>1410</v>
      </c>
      <c r="H2071" s="1" t="s">
        <v>5207</v>
      </c>
      <c r="I2071" s="1"/>
      <c r="J2071" s="1"/>
      <c r="K2071" s="1"/>
      <c r="L2071" s="1"/>
      <c r="M2071" s="1"/>
      <c r="N2071" s="1"/>
      <c r="Q2071"/>
    </row>
    <row r="2072" spans="1:17" ht="13.15" customHeight="1" x14ac:dyDescent="0.2">
      <c r="A2072" s="1" t="s">
        <v>5208</v>
      </c>
      <c r="B2072" s="1" t="s">
        <v>5112</v>
      </c>
      <c r="C2072" s="580" t="s">
        <v>5209</v>
      </c>
      <c r="D2072" s="1">
        <v>4773.8164999999999</v>
      </c>
      <c r="E2072" t="s">
        <v>5114</v>
      </c>
      <c r="F2072" t="s">
        <v>5209</v>
      </c>
      <c r="G2072" s="580">
        <v>1410</v>
      </c>
      <c r="H2072" s="1" t="s">
        <v>5210</v>
      </c>
      <c r="I2072" s="1"/>
      <c r="J2072" s="1"/>
      <c r="K2072" s="1"/>
      <c r="L2072" s="1"/>
      <c r="M2072" s="1"/>
      <c r="N2072" s="1"/>
      <c r="Q2072"/>
    </row>
    <row r="2073" spans="1:17" ht="13.15" customHeight="1" x14ac:dyDescent="0.2">
      <c r="A2073" s="1" t="s">
        <v>5211</v>
      </c>
      <c r="B2073" s="1" t="s">
        <v>5112</v>
      </c>
      <c r="C2073" s="580" t="s">
        <v>5212</v>
      </c>
      <c r="D2073" s="1">
        <v>4773.8164999999999</v>
      </c>
      <c r="E2073" t="s">
        <v>5114</v>
      </c>
      <c r="F2073" t="s">
        <v>5212</v>
      </c>
      <c r="G2073" s="580">
        <v>1410</v>
      </c>
      <c r="H2073" s="1" t="s">
        <v>5213</v>
      </c>
      <c r="I2073" s="1"/>
      <c r="J2073" s="1"/>
      <c r="K2073" s="1"/>
      <c r="L2073" s="1"/>
      <c r="M2073" s="1"/>
      <c r="N2073" s="1"/>
      <c r="Q2073"/>
    </row>
    <row r="2074" spans="1:17" ht="13.15" customHeight="1" x14ac:dyDescent="0.2">
      <c r="A2074" s="1" t="s">
        <v>5214</v>
      </c>
      <c r="B2074" s="1" t="s">
        <v>5112</v>
      </c>
      <c r="C2074" s="580" t="s">
        <v>5215</v>
      </c>
      <c r="D2074" s="1">
        <v>4773.8164999999999</v>
      </c>
      <c r="E2074" t="s">
        <v>5114</v>
      </c>
      <c r="F2074" t="s">
        <v>5215</v>
      </c>
      <c r="G2074" s="580">
        <v>1410</v>
      </c>
      <c r="H2074" s="1" t="s">
        <v>5216</v>
      </c>
      <c r="I2074" s="1"/>
      <c r="J2074" s="1"/>
      <c r="K2074" s="1"/>
      <c r="L2074" s="1"/>
      <c r="M2074" s="1"/>
      <c r="N2074" s="1"/>
      <c r="Q2074"/>
    </row>
    <row r="2075" spans="1:17" ht="13.15" customHeight="1" x14ac:dyDescent="0.2">
      <c r="A2075" s="1" t="s">
        <v>5217</v>
      </c>
      <c r="B2075" s="1" t="s">
        <v>5112</v>
      </c>
      <c r="C2075" s="580" t="s">
        <v>5218</v>
      </c>
      <c r="D2075" s="1">
        <v>4773.8164999999999</v>
      </c>
      <c r="E2075" t="s">
        <v>5114</v>
      </c>
      <c r="F2075" t="s">
        <v>5218</v>
      </c>
      <c r="G2075" s="580">
        <v>1410</v>
      </c>
      <c r="H2075" s="1" t="s">
        <v>5219</v>
      </c>
      <c r="I2075" s="1"/>
      <c r="J2075" s="1"/>
      <c r="K2075" s="1"/>
      <c r="L2075" s="1"/>
      <c r="M2075" s="1"/>
      <c r="N2075" s="1"/>
      <c r="Q2075"/>
    </row>
    <row r="2076" spans="1:17" ht="13.15" customHeight="1" x14ac:dyDescent="0.2">
      <c r="A2076" s="1" t="s">
        <v>5220</v>
      </c>
      <c r="B2076" s="1" t="s">
        <v>5112</v>
      </c>
      <c r="C2076" s="580" t="s">
        <v>5221</v>
      </c>
      <c r="D2076" s="1">
        <v>4773.8164999999999</v>
      </c>
      <c r="E2076" t="s">
        <v>5114</v>
      </c>
      <c r="F2076" t="s">
        <v>5221</v>
      </c>
      <c r="G2076" s="580">
        <v>1410</v>
      </c>
      <c r="H2076" s="1" t="s">
        <v>5222</v>
      </c>
      <c r="I2076" s="1"/>
      <c r="J2076" s="1"/>
      <c r="K2076" s="1"/>
      <c r="L2076" s="1"/>
      <c r="M2076" s="1"/>
      <c r="N2076" s="1"/>
      <c r="Q2076"/>
    </row>
    <row r="2077" spans="1:17" ht="13.15" customHeight="1" x14ac:dyDescent="0.2">
      <c r="A2077" s="1" t="s">
        <v>5223</v>
      </c>
      <c r="B2077" s="1" t="s">
        <v>5112</v>
      </c>
      <c r="C2077" s="580" t="s">
        <v>5224</v>
      </c>
      <c r="D2077" s="1">
        <v>4773.8164999999999</v>
      </c>
      <c r="E2077" t="s">
        <v>5114</v>
      </c>
      <c r="F2077" t="s">
        <v>5224</v>
      </c>
      <c r="G2077" s="580">
        <v>1410</v>
      </c>
      <c r="H2077" s="1" t="s">
        <v>5225</v>
      </c>
      <c r="I2077" s="1"/>
      <c r="J2077" s="1"/>
      <c r="K2077" s="1"/>
      <c r="L2077" s="1"/>
      <c r="M2077" s="1"/>
      <c r="N2077" s="1"/>
      <c r="Q2077"/>
    </row>
    <row r="2078" spans="1:17" ht="13.15" customHeight="1" x14ac:dyDescent="0.2">
      <c r="A2078" s="1" t="s">
        <v>5226</v>
      </c>
      <c r="B2078" s="1" t="s">
        <v>5112</v>
      </c>
      <c r="C2078" s="580" t="s">
        <v>5227</v>
      </c>
      <c r="D2078" s="1">
        <v>4773.8164999999999</v>
      </c>
      <c r="E2078" t="s">
        <v>5114</v>
      </c>
      <c r="F2078" t="s">
        <v>5227</v>
      </c>
      <c r="G2078" s="580">
        <v>1410</v>
      </c>
      <c r="H2078" s="1" t="s">
        <v>5225</v>
      </c>
      <c r="I2078" s="1"/>
      <c r="J2078" s="1"/>
      <c r="K2078" s="1"/>
      <c r="L2078" s="1"/>
      <c r="M2078" s="1"/>
      <c r="N2078" s="1"/>
      <c r="Q2078"/>
    </row>
    <row r="2079" spans="1:17" ht="13.15" customHeight="1" x14ac:dyDescent="0.2">
      <c r="A2079" s="1" t="s">
        <v>5228</v>
      </c>
      <c r="B2079" s="1" t="s">
        <v>5112</v>
      </c>
      <c r="C2079" s="580" t="s">
        <v>5229</v>
      </c>
      <c r="D2079" s="1">
        <v>4783.9435000000003</v>
      </c>
      <c r="E2079" t="s">
        <v>5114</v>
      </c>
      <c r="F2079" t="s">
        <v>5229</v>
      </c>
      <c r="G2079" s="580">
        <v>1410</v>
      </c>
      <c r="H2079" s="1" t="s">
        <v>5230</v>
      </c>
      <c r="I2079" s="1"/>
      <c r="J2079" s="1"/>
      <c r="K2079" s="1"/>
      <c r="L2079" s="1"/>
      <c r="M2079" s="1"/>
      <c r="N2079" s="1"/>
      <c r="Q2079"/>
    </row>
    <row r="2080" spans="1:17" ht="13.15" customHeight="1" x14ac:dyDescent="0.2">
      <c r="A2080" s="1" t="s">
        <v>5231</v>
      </c>
      <c r="B2080" s="1" t="s">
        <v>5112</v>
      </c>
      <c r="C2080" s="580" t="s">
        <v>5232</v>
      </c>
      <c r="D2080" s="1">
        <v>100506.7</v>
      </c>
      <c r="E2080" t="s">
        <v>5114</v>
      </c>
      <c r="F2080" t="s">
        <v>5232</v>
      </c>
      <c r="G2080" s="580">
        <v>1410</v>
      </c>
      <c r="H2080" s="1" t="s">
        <v>5232</v>
      </c>
      <c r="I2080" s="1"/>
      <c r="J2080" s="1"/>
      <c r="K2080" s="1"/>
      <c r="L2080" s="1"/>
      <c r="M2080" s="1"/>
      <c r="N2080" s="1"/>
      <c r="Q2080"/>
    </row>
    <row r="2081" spans="1:17" ht="13.15" customHeight="1" x14ac:dyDescent="0.2">
      <c r="A2081" s="1" t="s">
        <v>5233</v>
      </c>
      <c r="B2081" s="1" t="s">
        <v>5234</v>
      </c>
      <c r="C2081" s="580" t="s">
        <v>5235</v>
      </c>
      <c r="D2081" s="1">
        <v>38081.160000000003</v>
      </c>
      <c r="E2081" t="s">
        <v>3282</v>
      </c>
      <c r="F2081">
        <v>0</v>
      </c>
      <c r="G2081" s="580">
        <v>0</v>
      </c>
      <c r="H2081" s="1" t="s">
        <v>5236</v>
      </c>
      <c r="I2081" s="1"/>
      <c r="J2081" s="1"/>
      <c r="K2081" s="1"/>
      <c r="L2081" s="1"/>
      <c r="M2081" s="1"/>
      <c r="N2081" s="1"/>
      <c r="Q2081"/>
    </row>
    <row r="2082" spans="1:17" ht="13.15" customHeight="1" x14ac:dyDescent="0.2">
      <c r="A2082" s="1" t="s">
        <v>5237</v>
      </c>
      <c r="B2082" s="1" t="s">
        <v>5234</v>
      </c>
      <c r="C2082" s="580" t="s">
        <v>5238</v>
      </c>
      <c r="D2082" s="1">
        <v>38081.160000000003</v>
      </c>
      <c r="E2082" t="s">
        <v>3282</v>
      </c>
      <c r="F2082">
        <v>0</v>
      </c>
      <c r="G2082" s="580">
        <v>0</v>
      </c>
      <c r="H2082" s="1" t="s">
        <v>5236</v>
      </c>
      <c r="I2082" s="1"/>
      <c r="J2082" s="1"/>
      <c r="K2082" s="1"/>
      <c r="L2082" s="1"/>
      <c r="M2082" s="1"/>
      <c r="N2082" s="1"/>
      <c r="Q2082"/>
    </row>
    <row r="2083" spans="1:17" ht="13.15" customHeight="1" x14ac:dyDescent="0.2">
      <c r="A2083" s="1" t="s">
        <v>5239</v>
      </c>
      <c r="B2083" s="1" t="s">
        <v>5234</v>
      </c>
      <c r="C2083" s="580" t="s">
        <v>5240</v>
      </c>
      <c r="D2083" s="1">
        <v>26619.84</v>
      </c>
      <c r="E2083" t="s">
        <v>3282</v>
      </c>
      <c r="F2083">
        <v>0</v>
      </c>
      <c r="G2083" s="580">
        <v>0</v>
      </c>
      <c r="H2083" s="1" t="s">
        <v>5236</v>
      </c>
      <c r="I2083" s="1"/>
      <c r="J2083" s="1"/>
      <c r="K2083" s="1"/>
      <c r="L2083" s="1"/>
      <c r="M2083" s="1"/>
      <c r="N2083" s="1"/>
      <c r="Q2083"/>
    </row>
    <row r="2084" spans="1:17" ht="13.15" customHeight="1" x14ac:dyDescent="0.2">
      <c r="A2084" s="1" t="s">
        <v>5241</v>
      </c>
      <c r="B2084" s="1" t="s">
        <v>5242</v>
      </c>
      <c r="C2084" s="580" t="s">
        <v>5243</v>
      </c>
      <c r="D2084" s="1">
        <v>52.785200000000003</v>
      </c>
      <c r="E2084" t="s">
        <v>2097</v>
      </c>
      <c r="F2084" t="s">
        <v>5244</v>
      </c>
      <c r="G2084" s="580">
        <v>8.3945000000000007</v>
      </c>
      <c r="H2084" s="1" t="s">
        <v>5245</v>
      </c>
      <c r="I2084" s="1"/>
      <c r="J2084" s="1"/>
      <c r="K2084" s="1"/>
      <c r="L2084" s="1"/>
      <c r="M2084" s="1"/>
      <c r="N2084" s="1"/>
      <c r="Q2084"/>
    </row>
    <row r="2085" spans="1:17" ht="13.15" customHeight="1" x14ac:dyDescent="0.2">
      <c r="A2085" s="1" t="s">
        <v>5246</v>
      </c>
      <c r="B2085" s="1" t="s">
        <v>5242</v>
      </c>
      <c r="C2085" s="580" t="s">
        <v>5247</v>
      </c>
      <c r="D2085" s="1">
        <v>70.388999999999996</v>
      </c>
      <c r="E2085" t="s">
        <v>2097</v>
      </c>
      <c r="F2085" t="s">
        <v>5248</v>
      </c>
      <c r="G2085" s="580">
        <v>11.194100000000001</v>
      </c>
      <c r="H2085" s="1" t="s">
        <v>5249</v>
      </c>
      <c r="I2085" s="1"/>
      <c r="J2085" s="1"/>
      <c r="K2085" s="1"/>
      <c r="L2085" s="1"/>
      <c r="M2085" s="1"/>
      <c r="N2085" s="1"/>
      <c r="Q2085"/>
    </row>
    <row r="2086" spans="1:17" ht="13.15" customHeight="1" x14ac:dyDescent="0.2">
      <c r="A2086" s="1" t="s">
        <v>5250</v>
      </c>
      <c r="B2086" s="1" t="s">
        <v>5242</v>
      </c>
      <c r="C2086" s="580" t="s">
        <v>5251</v>
      </c>
      <c r="D2086" s="1">
        <v>87.966200000000001</v>
      </c>
      <c r="E2086" t="s">
        <v>2097</v>
      </c>
      <c r="F2086" t="s">
        <v>5252</v>
      </c>
      <c r="G2086" s="580">
        <v>13.9895</v>
      </c>
      <c r="H2086" s="1" t="s">
        <v>5253</v>
      </c>
      <c r="I2086" s="1"/>
      <c r="J2086" s="1"/>
      <c r="K2086" s="1"/>
      <c r="L2086" s="1"/>
      <c r="M2086" s="1"/>
      <c r="N2086" s="1"/>
      <c r="Q2086"/>
    </row>
    <row r="2087" spans="1:17" ht="13.15" customHeight="1" x14ac:dyDescent="0.2">
      <c r="A2087" s="1" t="s">
        <v>5254</v>
      </c>
      <c r="B2087" s="1" t="s">
        <v>5242</v>
      </c>
      <c r="C2087" s="580" t="s">
        <v>5255</v>
      </c>
      <c r="D2087" s="1">
        <v>77.180000000000007</v>
      </c>
      <c r="E2087" t="s">
        <v>2097</v>
      </c>
      <c r="F2087" t="s">
        <v>5256</v>
      </c>
      <c r="G2087" s="580">
        <v>12.4076</v>
      </c>
      <c r="H2087" s="1" t="s">
        <v>5257</v>
      </c>
      <c r="I2087" s="1"/>
      <c r="J2087" s="1"/>
      <c r="K2087" s="1"/>
      <c r="L2087" s="1"/>
      <c r="M2087" s="1"/>
      <c r="N2087" s="1"/>
      <c r="Q2087"/>
    </row>
    <row r="2088" spans="1:17" ht="13.15" customHeight="1" x14ac:dyDescent="0.2">
      <c r="A2088" s="1" t="s">
        <v>5258</v>
      </c>
      <c r="B2088" s="1" t="s">
        <v>5242</v>
      </c>
      <c r="C2088" s="580" t="s">
        <v>5259</v>
      </c>
      <c r="D2088" s="1">
        <v>88.171400000000006</v>
      </c>
      <c r="E2088" t="s">
        <v>2097</v>
      </c>
      <c r="F2088" t="s">
        <v>5260</v>
      </c>
      <c r="G2088" s="580">
        <v>14.1746</v>
      </c>
      <c r="H2088" s="1" t="s">
        <v>5261</v>
      </c>
      <c r="I2088" s="1"/>
      <c r="J2088" s="1"/>
      <c r="K2088" s="1"/>
      <c r="L2088" s="1"/>
      <c r="M2088" s="1"/>
      <c r="N2088" s="1"/>
      <c r="Q2088"/>
    </row>
    <row r="2089" spans="1:17" ht="13.15" customHeight="1" x14ac:dyDescent="0.2">
      <c r="A2089" s="1" t="s">
        <v>5262</v>
      </c>
      <c r="B2089" s="1" t="s">
        <v>5242</v>
      </c>
      <c r="C2089" s="580" t="s">
        <v>5263</v>
      </c>
      <c r="D2089" s="1">
        <v>143.31479999999999</v>
      </c>
      <c r="E2089" t="s">
        <v>2097</v>
      </c>
      <c r="F2089" t="s">
        <v>5264</v>
      </c>
      <c r="G2089" s="580">
        <v>23.0396</v>
      </c>
      <c r="H2089" s="1" t="s">
        <v>5265</v>
      </c>
      <c r="I2089" s="1"/>
      <c r="J2089" s="1"/>
      <c r="K2089" s="1"/>
      <c r="L2089" s="1"/>
      <c r="M2089" s="1"/>
      <c r="N2089" s="1"/>
      <c r="Q2089"/>
    </row>
    <row r="2090" spans="1:17" ht="13.15" customHeight="1" x14ac:dyDescent="0.2">
      <c r="A2090" s="1" t="s">
        <v>5266</v>
      </c>
      <c r="B2090" s="1" t="s">
        <v>5242</v>
      </c>
      <c r="C2090" s="580" t="s">
        <v>5267</v>
      </c>
      <c r="D2090" s="1">
        <v>165.4314</v>
      </c>
      <c r="E2090" t="s">
        <v>2097</v>
      </c>
      <c r="F2090" t="s">
        <v>5268</v>
      </c>
      <c r="G2090" s="580">
        <v>26.595099999999999</v>
      </c>
      <c r="H2090" s="1" t="s">
        <v>5269</v>
      </c>
      <c r="I2090" s="1"/>
      <c r="J2090" s="1"/>
      <c r="K2090" s="1"/>
      <c r="L2090" s="1"/>
      <c r="M2090" s="1"/>
      <c r="N2090" s="1"/>
      <c r="Q2090"/>
    </row>
    <row r="2091" spans="1:17" ht="13.15" customHeight="1" x14ac:dyDescent="0.2">
      <c r="A2091" s="1" t="s">
        <v>5270</v>
      </c>
      <c r="B2091" s="1" t="s">
        <v>5242</v>
      </c>
      <c r="C2091" s="580" t="s">
        <v>5271</v>
      </c>
      <c r="D2091" s="1">
        <v>94.368600000000001</v>
      </c>
      <c r="E2091" t="s">
        <v>2097</v>
      </c>
      <c r="F2091" t="s">
        <v>5272</v>
      </c>
      <c r="G2091" s="580">
        <v>14.005100000000001</v>
      </c>
      <c r="H2091" s="1" t="s">
        <v>5273</v>
      </c>
      <c r="I2091" s="1"/>
      <c r="J2091" s="1"/>
      <c r="K2091" s="1"/>
      <c r="L2091" s="1"/>
      <c r="M2091" s="1"/>
      <c r="N2091" s="1"/>
      <c r="Q2091"/>
    </row>
    <row r="2092" spans="1:17" ht="13.15" customHeight="1" x14ac:dyDescent="0.2">
      <c r="A2092" s="1" t="s">
        <v>5274</v>
      </c>
      <c r="B2092" s="1" t="s">
        <v>5242</v>
      </c>
      <c r="C2092" s="580" t="s">
        <v>5275</v>
      </c>
      <c r="D2092" s="1">
        <v>121.35760000000001</v>
      </c>
      <c r="E2092" t="s">
        <v>2097</v>
      </c>
      <c r="F2092" t="s">
        <v>5276</v>
      </c>
      <c r="G2092" s="580">
        <v>18.0106</v>
      </c>
      <c r="H2092" s="1" t="s">
        <v>5277</v>
      </c>
      <c r="I2092" s="1"/>
      <c r="J2092" s="1"/>
      <c r="K2092" s="1"/>
      <c r="L2092" s="1"/>
      <c r="M2092" s="1"/>
      <c r="N2092" s="1"/>
      <c r="Q2092"/>
    </row>
    <row r="2093" spans="1:17" ht="13.15" customHeight="1" x14ac:dyDescent="0.2">
      <c r="A2093" s="1" t="s">
        <v>5278</v>
      </c>
      <c r="B2093" s="1" t="s">
        <v>5242</v>
      </c>
      <c r="C2093" s="580" t="s">
        <v>4750</v>
      </c>
      <c r="D2093" s="1">
        <v>134.86519999999999</v>
      </c>
      <c r="E2093" t="s">
        <v>2097</v>
      </c>
      <c r="F2093" t="s">
        <v>5279</v>
      </c>
      <c r="G2093" s="580">
        <v>20.0152</v>
      </c>
      <c r="H2093" s="1" t="s">
        <v>5280</v>
      </c>
      <c r="I2093" s="1"/>
      <c r="J2093" s="1"/>
      <c r="K2093" s="1"/>
      <c r="L2093" s="1"/>
      <c r="M2093" s="1"/>
      <c r="N2093" s="1"/>
      <c r="Q2093"/>
    </row>
    <row r="2094" spans="1:17" ht="13.15" customHeight="1" x14ac:dyDescent="0.2">
      <c r="A2094" s="1" t="s">
        <v>5281</v>
      </c>
      <c r="B2094" s="1" t="s">
        <v>5242</v>
      </c>
      <c r="C2094" s="580" t="s">
        <v>5282</v>
      </c>
      <c r="D2094" s="1">
        <v>175.33519999999999</v>
      </c>
      <c r="E2094" t="s">
        <v>2097</v>
      </c>
      <c r="F2094" t="s">
        <v>5283</v>
      </c>
      <c r="G2094" s="580">
        <v>26.0213</v>
      </c>
      <c r="H2094" s="1" t="s">
        <v>5284</v>
      </c>
      <c r="I2094" s="1"/>
      <c r="J2094" s="1"/>
      <c r="K2094" s="1"/>
      <c r="L2094" s="1"/>
      <c r="M2094" s="1"/>
      <c r="N2094" s="1"/>
      <c r="Q2094"/>
    </row>
    <row r="2095" spans="1:17" ht="13.15" customHeight="1" x14ac:dyDescent="0.2">
      <c r="A2095" s="1" t="s">
        <v>5285</v>
      </c>
      <c r="B2095" s="1" t="s">
        <v>5242</v>
      </c>
      <c r="C2095" s="580" t="s">
        <v>5286</v>
      </c>
      <c r="D2095" s="1">
        <v>202.2714</v>
      </c>
      <c r="E2095" t="s">
        <v>2097</v>
      </c>
      <c r="F2095" t="s">
        <v>5287</v>
      </c>
      <c r="G2095" s="580">
        <v>30.018899999999999</v>
      </c>
      <c r="H2095" s="1" t="s">
        <v>5288</v>
      </c>
      <c r="I2095" s="1"/>
      <c r="J2095" s="1"/>
      <c r="K2095" s="1"/>
      <c r="L2095" s="1"/>
      <c r="M2095" s="1"/>
      <c r="N2095" s="1"/>
      <c r="Q2095"/>
    </row>
    <row r="2096" spans="1:17" ht="13.15" customHeight="1" x14ac:dyDescent="0.2">
      <c r="A2096" s="1" t="s">
        <v>5289</v>
      </c>
      <c r="B2096" s="1" t="s">
        <v>5242</v>
      </c>
      <c r="C2096" s="580" t="s">
        <v>5290</v>
      </c>
      <c r="D2096" s="1">
        <v>242.79480000000001</v>
      </c>
      <c r="E2096" t="s">
        <v>2097</v>
      </c>
      <c r="F2096" t="s">
        <v>5291</v>
      </c>
      <c r="G2096" s="580">
        <v>36.032899999999998</v>
      </c>
      <c r="H2096" s="1" t="s">
        <v>5292</v>
      </c>
      <c r="I2096" s="1"/>
      <c r="J2096" s="1"/>
      <c r="K2096" s="1"/>
      <c r="L2096" s="1"/>
      <c r="M2096" s="1"/>
      <c r="N2096" s="1"/>
      <c r="Q2096"/>
    </row>
    <row r="2097" spans="1:17" ht="13.15" customHeight="1" x14ac:dyDescent="0.2">
      <c r="A2097" s="1" t="s">
        <v>5293</v>
      </c>
      <c r="B2097" s="1" t="s">
        <v>5242</v>
      </c>
      <c r="C2097" s="580" t="s">
        <v>5294</v>
      </c>
      <c r="D2097" s="1">
        <v>269.73050000000001</v>
      </c>
      <c r="E2097" t="s">
        <v>2097</v>
      </c>
      <c r="F2097" t="s">
        <v>5295</v>
      </c>
      <c r="G2097" s="580">
        <v>40.0304</v>
      </c>
      <c r="H2097" s="1" t="s">
        <v>5296</v>
      </c>
      <c r="I2097" s="1"/>
      <c r="J2097" s="1"/>
      <c r="K2097" s="1"/>
      <c r="L2097" s="1"/>
      <c r="M2097" s="1"/>
      <c r="N2097" s="1"/>
      <c r="Q2097"/>
    </row>
    <row r="2098" spans="1:17" ht="13.15" customHeight="1" x14ac:dyDescent="0.2">
      <c r="A2098" s="1" t="s">
        <v>5297</v>
      </c>
      <c r="B2098" s="1" t="s">
        <v>5242</v>
      </c>
      <c r="C2098" s="580" t="s">
        <v>5298</v>
      </c>
      <c r="D2098" s="1">
        <v>303.47329999999999</v>
      </c>
      <c r="E2098" t="s">
        <v>2097</v>
      </c>
      <c r="F2098" t="s">
        <v>5299</v>
      </c>
      <c r="G2098" s="580">
        <v>45.0381</v>
      </c>
      <c r="H2098" s="1" t="s">
        <v>5300</v>
      </c>
      <c r="I2098" s="1"/>
      <c r="J2098" s="1"/>
      <c r="K2098" s="1"/>
      <c r="L2098" s="1"/>
      <c r="M2098" s="1"/>
      <c r="N2098" s="1"/>
      <c r="Q2098"/>
    </row>
    <row r="2099" spans="1:17" ht="13.15" customHeight="1" x14ac:dyDescent="0.2">
      <c r="A2099" s="1" t="s">
        <v>5301</v>
      </c>
      <c r="B2099" s="1" t="s">
        <v>5242</v>
      </c>
      <c r="C2099" s="580" t="s">
        <v>5302</v>
      </c>
      <c r="D2099" s="1">
        <v>335.36189999999999</v>
      </c>
      <c r="E2099" t="s">
        <v>2097</v>
      </c>
      <c r="F2099" t="s">
        <v>5303</v>
      </c>
      <c r="G2099" s="580">
        <v>49.770699999999998</v>
      </c>
      <c r="H2099" s="1" t="s">
        <v>5304</v>
      </c>
      <c r="I2099" s="1"/>
      <c r="J2099" s="1"/>
      <c r="K2099" s="1"/>
      <c r="L2099" s="1"/>
      <c r="M2099" s="1"/>
      <c r="N2099" s="1"/>
      <c r="Q2099"/>
    </row>
    <row r="2100" spans="1:17" ht="13.15" customHeight="1" x14ac:dyDescent="0.2">
      <c r="A2100" s="1" t="s">
        <v>5305</v>
      </c>
      <c r="B2100" s="1" t="s">
        <v>5242</v>
      </c>
      <c r="C2100" s="580" t="s">
        <v>5306</v>
      </c>
      <c r="D2100" s="1">
        <v>140.3229</v>
      </c>
      <c r="E2100" t="s">
        <v>2097</v>
      </c>
      <c r="F2100" t="s">
        <v>5307</v>
      </c>
      <c r="G2100" s="580">
        <v>23.3401</v>
      </c>
      <c r="H2100" s="1" t="s">
        <v>5308</v>
      </c>
      <c r="I2100" s="1"/>
      <c r="J2100" s="1"/>
      <c r="K2100" s="1"/>
      <c r="L2100" s="1"/>
      <c r="M2100" s="1"/>
      <c r="N2100" s="1"/>
      <c r="Q2100"/>
    </row>
    <row r="2101" spans="1:17" ht="13.15" customHeight="1" x14ac:dyDescent="0.2">
      <c r="A2101" s="1" t="s">
        <v>5309</v>
      </c>
      <c r="B2101" s="1" t="s">
        <v>5242</v>
      </c>
      <c r="C2101" s="580" t="s">
        <v>5310</v>
      </c>
      <c r="D2101" s="1">
        <v>254.95140000000001</v>
      </c>
      <c r="E2101" t="s">
        <v>2097</v>
      </c>
      <c r="F2101" t="s">
        <v>5311</v>
      </c>
      <c r="G2101" s="580">
        <v>38.061300000000003</v>
      </c>
      <c r="H2101" s="1" t="s">
        <v>5312</v>
      </c>
      <c r="I2101" s="1"/>
      <c r="J2101" s="1"/>
      <c r="K2101" s="1"/>
      <c r="L2101" s="1"/>
      <c r="M2101" s="1"/>
      <c r="N2101" s="1"/>
      <c r="Q2101"/>
    </row>
    <row r="2102" spans="1:17" ht="13.15" customHeight="1" x14ac:dyDescent="0.2">
      <c r="A2102" s="1" t="s">
        <v>5313</v>
      </c>
      <c r="B2102" s="1" t="s">
        <v>5242</v>
      </c>
      <c r="C2102" s="580" t="s">
        <v>5314</v>
      </c>
      <c r="D2102" s="1">
        <v>339.99709999999999</v>
      </c>
      <c r="E2102" t="s">
        <v>2097</v>
      </c>
      <c r="F2102" t="s">
        <v>5315</v>
      </c>
      <c r="G2102" s="580">
        <v>50.757599999999996</v>
      </c>
      <c r="H2102" s="1" t="s">
        <v>5316</v>
      </c>
      <c r="I2102" s="1"/>
      <c r="J2102" s="1"/>
      <c r="K2102" s="1"/>
      <c r="L2102" s="1"/>
      <c r="M2102" s="1"/>
      <c r="N2102" s="1"/>
      <c r="Q2102"/>
    </row>
    <row r="2103" spans="1:17" ht="13.15" customHeight="1" x14ac:dyDescent="0.2">
      <c r="A2103" s="1" t="s">
        <v>5317</v>
      </c>
      <c r="B2103" s="1" t="s">
        <v>5242</v>
      </c>
      <c r="C2103" s="580" t="s">
        <v>5318</v>
      </c>
      <c r="D2103" s="1">
        <v>424.9633</v>
      </c>
      <c r="E2103" t="s">
        <v>2097</v>
      </c>
      <c r="F2103" t="s">
        <v>5319</v>
      </c>
      <c r="G2103" s="580">
        <v>63.444800000000001</v>
      </c>
      <c r="H2103" s="1" t="s">
        <v>5320</v>
      </c>
      <c r="I2103" s="1"/>
      <c r="J2103" s="1"/>
      <c r="K2103" s="1"/>
      <c r="L2103" s="1"/>
      <c r="M2103" s="1"/>
      <c r="N2103" s="1"/>
      <c r="Q2103"/>
    </row>
    <row r="2104" spans="1:17" ht="13.15" customHeight="1" x14ac:dyDescent="0.2">
      <c r="A2104" s="1" t="s">
        <v>5321</v>
      </c>
      <c r="B2104" s="1" t="s">
        <v>5242</v>
      </c>
      <c r="C2104" s="580" t="s">
        <v>5322</v>
      </c>
      <c r="D2104" s="1">
        <v>195.86189999999999</v>
      </c>
      <c r="E2104" t="s">
        <v>2097</v>
      </c>
      <c r="F2104" t="s">
        <v>5323</v>
      </c>
      <c r="G2104" s="580">
        <v>29.077500000000001</v>
      </c>
      <c r="H2104" s="1" t="s">
        <v>5324</v>
      </c>
      <c r="I2104" s="1"/>
      <c r="J2104" s="1"/>
      <c r="K2104" s="1"/>
      <c r="L2104" s="1"/>
      <c r="M2104" s="1"/>
      <c r="N2104" s="1"/>
      <c r="Q2104"/>
    </row>
    <row r="2105" spans="1:17" ht="13.15" customHeight="1" x14ac:dyDescent="0.2">
      <c r="A2105" s="1" t="s">
        <v>5325</v>
      </c>
      <c r="B2105" s="1" t="s">
        <v>5242</v>
      </c>
      <c r="C2105" s="580" t="s">
        <v>5326</v>
      </c>
      <c r="D2105" s="1">
        <v>254.5805</v>
      </c>
      <c r="E2105" t="s">
        <v>2097</v>
      </c>
      <c r="F2105" t="s">
        <v>5327</v>
      </c>
      <c r="G2105" s="580">
        <v>37.791400000000003</v>
      </c>
      <c r="H2105" s="1" t="s">
        <v>5328</v>
      </c>
      <c r="I2105" s="1"/>
      <c r="J2105" s="1"/>
      <c r="K2105" s="1"/>
      <c r="L2105" s="1"/>
      <c r="M2105" s="1"/>
      <c r="N2105" s="1"/>
      <c r="Q2105"/>
    </row>
    <row r="2106" spans="1:17" ht="13.15" customHeight="1" x14ac:dyDescent="0.2">
      <c r="A2106" s="1" t="s">
        <v>5329</v>
      </c>
      <c r="B2106" s="1" t="s">
        <v>5242</v>
      </c>
      <c r="C2106" s="580" t="s">
        <v>5330</v>
      </c>
      <c r="D2106" s="1">
        <v>293.77949999999998</v>
      </c>
      <c r="E2106" t="s">
        <v>2097</v>
      </c>
      <c r="F2106" t="s">
        <v>5331</v>
      </c>
      <c r="G2106" s="580">
        <v>43.611499999999999</v>
      </c>
      <c r="H2106" s="1" t="s">
        <v>5332</v>
      </c>
      <c r="I2106" s="1"/>
      <c r="J2106" s="1"/>
      <c r="K2106" s="1"/>
      <c r="L2106" s="1"/>
      <c r="M2106" s="1"/>
      <c r="N2106" s="1"/>
      <c r="Q2106"/>
    </row>
    <row r="2107" spans="1:17" ht="13.15" customHeight="1" x14ac:dyDescent="0.2">
      <c r="A2107" s="1" t="s">
        <v>5333</v>
      </c>
      <c r="B2107" s="1" t="s">
        <v>5242</v>
      </c>
      <c r="C2107" s="580" t="s">
        <v>5334</v>
      </c>
      <c r="D2107" s="1">
        <v>391.72379999999998</v>
      </c>
      <c r="E2107" t="s">
        <v>2097</v>
      </c>
      <c r="F2107" t="s">
        <v>5335</v>
      </c>
      <c r="G2107" s="580">
        <v>53.239699999999999</v>
      </c>
      <c r="H2107" s="1" t="s">
        <v>5336</v>
      </c>
      <c r="I2107" s="1"/>
      <c r="J2107" s="1"/>
      <c r="K2107" s="1"/>
      <c r="L2107" s="1"/>
      <c r="M2107" s="1"/>
      <c r="N2107" s="1"/>
      <c r="Q2107"/>
    </row>
    <row r="2108" spans="1:17" ht="13.15" customHeight="1" x14ac:dyDescent="0.2">
      <c r="A2108" s="1" t="s">
        <v>5337</v>
      </c>
      <c r="B2108" s="1" t="s">
        <v>5242</v>
      </c>
      <c r="C2108" s="580" t="s">
        <v>5338</v>
      </c>
      <c r="D2108" s="1">
        <v>489.64139999999998</v>
      </c>
      <c r="E2108" t="s">
        <v>2097</v>
      </c>
      <c r="F2108" t="s">
        <v>5339</v>
      </c>
      <c r="G2108" s="580">
        <v>72.689099999999996</v>
      </c>
      <c r="H2108" s="1" t="s">
        <v>5340</v>
      </c>
      <c r="I2108" s="1"/>
      <c r="J2108" s="1"/>
      <c r="K2108" s="1"/>
      <c r="L2108" s="1"/>
      <c r="M2108" s="1"/>
      <c r="N2108" s="1"/>
      <c r="Q2108"/>
    </row>
    <row r="2109" spans="1:17" ht="13.15" customHeight="1" x14ac:dyDescent="0.2">
      <c r="A2109" s="1" t="s">
        <v>5341</v>
      </c>
      <c r="B2109" s="1" t="s">
        <v>5242</v>
      </c>
      <c r="C2109" s="580" t="s">
        <v>5342</v>
      </c>
      <c r="D2109" s="1">
        <v>275.19</v>
      </c>
      <c r="E2109" t="s">
        <v>2097</v>
      </c>
      <c r="F2109" t="s">
        <v>5343</v>
      </c>
      <c r="G2109" s="580">
        <v>36.8538</v>
      </c>
      <c r="H2109" s="1" t="s">
        <v>5344</v>
      </c>
      <c r="I2109" s="1"/>
      <c r="J2109" s="1"/>
      <c r="K2109" s="1"/>
      <c r="L2109" s="1"/>
      <c r="M2109" s="1"/>
      <c r="N2109" s="1"/>
      <c r="Q2109"/>
    </row>
    <row r="2110" spans="1:17" ht="13.15" customHeight="1" x14ac:dyDescent="0.2">
      <c r="A2110" s="1" t="s">
        <v>5345</v>
      </c>
      <c r="B2110" s="1" t="s">
        <v>5242</v>
      </c>
      <c r="C2110" s="580" t="s">
        <v>5346</v>
      </c>
      <c r="D2110" s="1">
        <v>355.18709999999999</v>
      </c>
      <c r="E2110" t="s">
        <v>2097</v>
      </c>
      <c r="F2110" t="s">
        <v>5347</v>
      </c>
      <c r="G2110" s="580">
        <v>55.227600000000002</v>
      </c>
      <c r="H2110" s="1" t="s">
        <v>5348</v>
      </c>
      <c r="I2110" s="1"/>
      <c r="J2110" s="1"/>
      <c r="K2110" s="1"/>
      <c r="L2110" s="1"/>
      <c r="M2110" s="1"/>
      <c r="N2110" s="1"/>
      <c r="Q2110"/>
    </row>
    <row r="2111" spans="1:17" ht="13.15" customHeight="1" x14ac:dyDescent="0.2">
      <c r="A2111" s="1" t="s">
        <v>5349</v>
      </c>
      <c r="B2111" s="1" t="s">
        <v>5242</v>
      </c>
      <c r="C2111" s="580" t="s">
        <v>5350</v>
      </c>
      <c r="D2111" s="1">
        <v>447.77429999999998</v>
      </c>
      <c r="E2111" t="s">
        <v>2097</v>
      </c>
      <c r="F2111" t="s">
        <v>5351</v>
      </c>
      <c r="G2111" s="580">
        <v>73.977000000000004</v>
      </c>
      <c r="H2111" s="1" t="s">
        <v>5352</v>
      </c>
      <c r="I2111" s="1"/>
      <c r="J2111" s="1"/>
      <c r="K2111" s="1"/>
      <c r="L2111" s="1"/>
      <c r="M2111" s="1"/>
      <c r="N2111" s="1"/>
      <c r="Q2111"/>
    </row>
    <row r="2112" spans="1:17" ht="13.15" customHeight="1" x14ac:dyDescent="0.2">
      <c r="A2112" s="1" t="s">
        <v>5353</v>
      </c>
      <c r="B2112" s="1" t="s">
        <v>5242</v>
      </c>
      <c r="C2112" s="580" t="s">
        <v>5354</v>
      </c>
      <c r="D2112" s="1">
        <v>559.71759999999995</v>
      </c>
      <c r="E2112" t="s">
        <v>2097</v>
      </c>
      <c r="F2112" t="s">
        <v>5355</v>
      </c>
      <c r="G2112" s="580">
        <v>92.472499999999997</v>
      </c>
      <c r="H2112" s="1" t="s">
        <v>5356</v>
      </c>
      <c r="I2112" s="1"/>
      <c r="J2112" s="1"/>
      <c r="K2112" s="1"/>
      <c r="L2112" s="1"/>
      <c r="M2112" s="1"/>
      <c r="N2112" s="1"/>
      <c r="Q2112"/>
    </row>
    <row r="2113" spans="1:17" ht="13.15" customHeight="1" x14ac:dyDescent="0.2">
      <c r="A2113" s="1" t="s">
        <v>5357</v>
      </c>
      <c r="B2113" s="1" t="s">
        <v>5242</v>
      </c>
      <c r="C2113" s="580" t="s">
        <v>5358</v>
      </c>
      <c r="D2113" s="1">
        <v>304.82859999999999</v>
      </c>
      <c r="E2113" t="s">
        <v>2097</v>
      </c>
      <c r="F2113" t="s">
        <v>5359</v>
      </c>
      <c r="G2113" s="580">
        <v>50.372900000000001</v>
      </c>
      <c r="H2113" s="1" t="s">
        <v>5360</v>
      </c>
      <c r="I2113" s="1"/>
      <c r="J2113" s="1"/>
      <c r="K2113" s="1"/>
      <c r="L2113" s="1"/>
      <c r="M2113" s="1"/>
      <c r="N2113" s="1"/>
      <c r="Q2113"/>
    </row>
    <row r="2114" spans="1:17" ht="13.15" customHeight="1" x14ac:dyDescent="0.2">
      <c r="A2114" s="1" t="s">
        <v>5361</v>
      </c>
      <c r="B2114" s="1" t="s">
        <v>5242</v>
      </c>
      <c r="C2114" s="580" t="s">
        <v>5362</v>
      </c>
      <c r="D2114" s="1">
        <v>381.0224</v>
      </c>
      <c r="E2114" t="s">
        <v>2097</v>
      </c>
      <c r="F2114" t="s">
        <v>5363</v>
      </c>
      <c r="G2114" s="580">
        <v>62.963500000000003</v>
      </c>
      <c r="H2114" s="1" t="s">
        <v>5364</v>
      </c>
      <c r="I2114" s="1"/>
      <c r="J2114" s="1"/>
      <c r="K2114" s="1"/>
      <c r="L2114" s="1"/>
      <c r="M2114" s="1"/>
      <c r="N2114" s="1"/>
      <c r="Q2114"/>
    </row>
    <row r="2115" spans="1:17" ht="13.15" customHeight="1" x14ac:dyDescent="0.2">
      <c r="A2115" s="1" t="s">
        <v>5365</v>
      </c>
      <c r="B2115" s="1" t="s">
        <v>5242</v>
      </c>
      <c r="C2115" s="580" t="s">
        <v>5366</v>
      </c>
      <c r="D2115" s="1">
        <v>508.04759999999999</v>
      </c>
      <c r="E2115" t="s">
        <v>2097</v>
      </c>
      <c r="F2115" t="s">
        <v>5367</v>
      </c>
      <c r="G2115" s="580">
        <v>83.953000000000003</v>
      </c>
      <c r="H2115" s="1" t="s">
        <v>5368</v>
      </c>
      <c r="I2115" s="1"/>
      <c r="J2115" s="1"/>
      <c r="K2115" s="1"/>
      <c r="L2115" s="1"/>
      <c r="M2115" s="1"/>
      <c r="N2115" s="1"/>
      <c r="Q2115"/>
    </row>
    <row r="2116" spans="1:17" ht="13.15" customHeight="1" x14ac:dyDescent="0.2">
      <c r="A2116" s="1" t="s">
        <v>5369</v>
      </c>
      <c r="B2116" s="1" t="s">
        <v>5242</v>
      </c>
      <c r="C2116" s="580" t="s">
        <v>5370</v>
      </c>
      <c r="D2116" s="1">
        <v>635.0462</v>
      </c>
      <c r="E2116" t="s">
        <v>2097</v>
      </c>
      <c r="F2116" t="s">
        <v>5371</v>
      </c>
      <c r="G2116" s="580">
        <v>104.9426</v>
      </c>
      <c r="H2116" s="1" t="s">
        <v>5372</v>
      </c>
      <c r="I2116" s="1"/>
      <c r="J2116" s="1"/>
      <c r="K2116" s="1"/>
      <c r="L2116" s="1"/>
      <c r="M2116" s="1"/>
      <c r="N2116" s="1"/>
      <c r="Q2116"/>
    </row>
    <row r="2117" spans="1:17" ht="13.15" customHeight="1" x14ac:dyDescent="0.2">
      <c r="A2117" s="1" t="s">
        <v>5373</v>
      </c>
      <c r="B2117" s="1" t="s">
        <v>5242</v>
      </c>
      <c r="C2117" s="580" t="s">
        <v>5374</v>
      </c>
      <c r="D2117" s="1">
        <v>762.09709999999995</v>
      </c>
      <c r="E2117" t="s">
        <v>2097</v>
      </c>
      <c r="F2117" t="s">
        <v>5375</v>
      </c>
      <c r="G2117" s="580">
        <v>125.9374</v>
      </c>
      <c r="H2117" s="1" t="s">
        <v>5376</v>
      </c>
      <c r="I2117" s="1"/>
      <c r="J2117" s="1"/>
      <c r="K2117" s="1"/>
      <c r="L2117" s="1"/>
      <c r="M2117" s="1"/>
      <c r="N2117" s="1"/>
      <c r="Q2117"/>
    </row>
    <row r="2118" spans="1:17" ht="13.15" customHeight="1" x14ac:dyDescent="0.2">
      <c r="A2118" s="1" t="s">
        <v>5377</v>
      </c>
      <c r="B2118" s="1" t="s">
        <v>5242</v>
      </c>
      <c r="C2118" s="580" t="s">
        <v>5378</v>
      </c>
      <c r="D2118" s="1">
        <v>889.12239999999997</v>
      </c>
      <c r="E2118" t="s">
        <v>2097</v>
      </c>
      <c r="F2118" t="s">
        <v>5379</v>
      </c>
      <c r="G2118" s="580">
        <v>146.92699999999999</v>
      </c>
      <c r="H2118" s="1" t="s">
        <v>5380</v>
      </c>
      <c r="I2118" s="1"/>
      <c r="J2118" s="1"/>
      <c r="K2118" s="1"/>
      <c r="L2118" s="1"/>
      <c r="M2118" s="1"/>
      <c r="N2118" s="1"/>
      <c r="Q2118"/>
    </row>
    <row r="2119" spans="1:17" ht="13.15" customHeight="1" x14ac:dyDescent="0.2">
      <c r="A2119" s="1" t="s">
        <v>5381</v>
      </c>
      <c r="B2119" s="1" t="s">
        <v>5242</v>
      </c>
      <c r="C2119" s="580" t="s">
        <v>5382</v>
      </c>
      <c r="D2119" s="1">
        <v>1016.1733</v>
      </c>
      <c r="E2119" t="s">
        <v>2097</v>
      </c>
      <c r="F2119" t="s">
        <v>5383</v>
      </c>
      <c r="G2119" s="580">
        <v>167.92189999999999</v>
      </c>
      <c r="H2119" s="1" t="s">
        <v>5384</v>
      </c>
      <c r="I2119" s="1"/>
      <c r="J2119" s="1"/>
      <c r="K2119" s="1"/>
      <c r="L2119" s="1"/>
      <c r="M2119" s="1"/>
      <c r="N2119" s="1"/>
      <c r="Q2119"/>
    </row>
    <row r="2120" spans="1:17" ht="13.15" customHeight="1" x14ac:dyDescent="0.2">
      <c r="A2120" s="1" t="s">
        <v>5385</v>
      </c>
      <c r="B2120" s="1" t="s">
        <v>5242</v>
      </c>
      <c r="C2120" s="580" t="s">
        <v>5386</v>
      </c>
      <c r="D2120" s="1">
        <v>792.16139999999996</v>
      </c>
      <c r="E2120" t="s">
        <v>2097</v>
      </c>
      <c r="F2120" t="s">
        <v>5387</v>
      </c>
      <c r="G2120" s="580">
        <v>149.2285</v>
      </c>
      <c r="H2120" s="1" t="s">
        <v>5388</v>
      </c>
      <c r="I2120" s="1"/>
      <c r="J2120" s="1"/>
      <c r="K2120" s="1"/>
      <c r="L2120" s="1"/>
      <c r="M2120" s="1"/>
      <c r="N2120" s="1"/>
      <c r="Q2120"/>
    </row>
    <row r="2121" spans="1:17" ht="13.15" customHeight="1" x14ac:dyDescent="0.2">
      <c r="A2121" s="1" t="s">
        <v>5389</v>
      </c>
      <c r="B2121" s="1" t="s">
        <v>5242</v>
      </c>
      <c r="C2121" s="580" t="s">
        <v>5390</v>
      </c>
      <c r="D2121" s="1">
        <v>1045.2856999999999</v>
      </c>
      <c r="E2121" t="s">
        <v>2097</v>
      </c>
      <c r="F2121" t="s">
        <v>5391</v>
      </c>
      <c r="G2121" s="580">
        <v>191.66650000000001</v>
      </c>
      <c r="H2121" s="1" t="s">
        <v>5392</v>
      </c>
      <c r="I2121" s="1"/>
      <c r="J2121" s="1"/>
      <c r="K2121" s="1"/>
      <c r="L2121" s="1"/>
      <c r="M2121" s="1"/>
      <c r="N2121" s="1"/>
      <c r="Q2121"/>
    </row>
    <row r="2122" spans="1:17" ht="13.15" customHeight="1" x14ac:dyDescent="0.2">
      <c r="A2122" s="1" t="s">
        <v>5393</v>
      </c>
      <c r="B2122" s="1" t="s">
        <v>5242</v>
      </c>
      <c r="C2122" s="580" t="s">
        <v>5394</v>
      </c>
      <c r="D2122" s="1">
        <v>1031.1300000000001</v>
      </c>
      <c r="E2122" t="s">
        <v>2097</v>
      </c>
      <c r="F2122" t="s">
        <v>5395</v>
      </c>
      <c r="G2122" s="580">
        <v>214.38</v>
      </c>
      <c r="H2122" s="1" t="s">
        <v>5396</v>
      </c>
      <c r="I2122" s="1"/>
      <c r="J2122" s="1"/>
      <c r="K2122" s="1"/>
      <c r="L2122" s="1"/>
      <c r="M2122" s="1"/>
      <c r="N2122" s="1"/>
      <c r="Q2122"/>
    </row>
    <row r="2123" spans="1:17" ht="13.15" customHeight="1" x14ac:dyDescent="0.2">
      <c r="A2123" s="1" t="s">
        <v>5397</v>
      </c>
      <c r="B2123" s="1" t="s">
        <v>5242</v>
      </c>
      <c r="C2123" s="580" t="s">
        <v>5398</v>
      </c>
      <c r="D2123" s="1">
        <v>1528.3052</v>
      </c>
      <c r="E2123" t="s">
        <v>2097</v>
      </c>
      <c r="F2123" t="s">
        <v>5399</v>
      </c>
      <c r="G2123" s="580">
        <v>276.54259999999999</v>
      </c>
      <c r="H2123" s="1" t="s">
        <v>5400</v>
      </c>
      <c r="I2123" s="1"/>
      <c r="J2123" s="1"/>
      <c r="K2123" s="1"/>
      <c r="L2123" s="1"/>
      <c r="M2123" s="1"/>
      <c r="N2123" s="1"/>
      <c r="Q2123"/>
    </row>
    <row r="2124" spans="1:17" ht="13.15" customHeight="1" x14ac:dyDescent="0.2">
      <c r="A2124" s="1" t="s">
        <v>5401</v>
      </c>
      <c r="B2124" s="1" t="s">
        <v>5242</v>
      </c>
      <c r="C2124" s="580" t="s">
        <v>5402</v>
      </c>
      <c r="D2124" s="1">
        <v>1765.2995000000001</v>
      </c>
      <c r="E2124" t="s">
        <v>2097</v>
      </c>
      <c r="F2124" t="s">
        <v>5403</v>
      </c>
      <c r="G2124" s="580">
        <v>318.98070000000001</v>
      </c>
      <c r="H2124" s="1" t="s">
        <v>5404</v>
      </c>
      <c r="I2124" s="1"/>
      <c r="J2124" s="1"/>
      <c r="K2124" s="1"/>
      <c r="L2124" s="1"/>
      <c r="M2124" s="1"/>
      <c r="N2124" s="1"/>
      <c r="Q2124"/>
    </row>
    <row r="2125" spans="1:17" ht="13.15" customHeight="1" x14ac:dyDescent="0.2">
      <c r="A2125" s="1" t="s">
        <v>5405</v>
      </c>
      <c r="B2125" s="1" t="s">
        <v>5242</v>
      </c>
      <c r="C2125" s="580" t="s">
        <v>5406</v>
      </c>
      <c r="D2125" s="1">
        <v>2002.3729000000001</v>
      </c>
      <c r="E2125" t="s">
        <v>2097</v>
      </c>
      <c r="F2125" t="s">
        <v>5407</v>
      </c>
      <c r="G2125" s="580">
        <v>361.53</v>
      </c>
      <c r="H2125" s="1" t="s">
        <v>5408</v>
      </c>
      <c r="I2125" s="1"/>
      <c r="J2125" s="1"/>
      <c r="K2125" s="1"/>
      <c r="L2125" s="1"/>
      <c r="M2125" s="1"/>
      <c r="N2125" s="1"/>
      <c r="Q2125"/>
    </row>
    <row r="2126" spans="1:17" ht="13.15" customHeight="1" x14ac:dyDescent="0.2">
      <c r="A2126" s="1" t="s">
        <v>5409</v>
      </c>
      <c r="B2126" s="1" t="s">
        <v>5242</v>
      </c>
      <c r="C2126" s="580" t="s">
        <v>5410</v>
      </c>
      <c r="D2126" s="1">
        <v>1249.5428999999999</v>
      </c>
      <c r="E2126" t="s">
        <v>2097</v>
      </c>
      <c r="F2126" t="s">
        <v>5411</v>
      </c>
      <c r="G2126" s="580">
        <v>253.62719999999999</v>
      </c>
      <c r="H2126" s="1" t="s">
        <v>5412</v>
      </c>
      <c r="I2126" s="1"/>
      <c r="J2126" s="1"/>
      <c r="K2126" s="1"/>
      <c r="L2126" s="1"/>
      <c r="M2126" s="1"/>
      <c r="N2126" s="1"/>
      <c r="Q2126"/>
    </row>
    <row r="2127" spans="1:17" ht="13.15" customHeight="1" x14ac:dyDescent="0.2">
      <c r="A2127" s="1" t="s">
        <v>5413</v>
      </c>
      <c r="B2127" s="1" t="s">
        <v>5242</v>
      </c>
      <c r="C2127" s="580" t="s">
        <v>5414</v>
      </c>
      <c r="D2127" s="1">
        <v>1571.0824</v>
      </c>
      <c r="E2127" t="s">
        <v>2097</v>
      </c>
      <c r="F2127" t="s">
        <v>5415</v>
      </c>
      <c r="G2127" s="580">
        <v>315.36540000000002</v>
      </c>
      <c r="H2127" s="1" t="s">
        <v>5416</v>
      </c>
      <c r="I2127" s="1"/>
      <c r="J2127" s="1"/>
      <c r="K2127" s="1"/>
      <c r="L2127" s="1"/>
      <c r="M2127" s="1"/>
      <c r="N2127" s="1"/>
      <c r="Q2127"/>
    </row>
    <row r="2128" spans="1:17" ht="13.15" customHeight="1" x14ac:dyDescent="0.2">
      <c r="A2128" s="1" t="s">
        <v>5417</v>
      </c>
      <c r="B2128" s="1" t="s">
        <v>5242</v>
      </c>
      <c r="C2128" s="580" t="s">
        <v>5418</v>
      </c>
      <c r="D2128" s="1">
        <v>1852.7656999999999</v>
      </c>
      <c r="E2128" t="s">
        <v>2097</v>
      </c>
      <c r="F2128" t="s">
        <v>5419</v>
      </c>
      <c r="G2128" s="580">
        <v>371.54160000000002</v>
      </c>
      <c r="H2128" s="1" t="s">
        <v>5420</v>
      </c>
      <c r="I2128" s="1"/>
      <c r="J2128" s="1"/>
      <c r="K2128" s="1"/>
      <c r="L2128" s="1"/>
      <c r="M2128" s="1"/>
      <c r="N2128" s="1"/>
      <c r="Q2128"/>
    </row>
    <row r="2129" spans="1:17" ht="13.15" customHeight="1" x14ac:dyDescent="0.2">
      <c r="A2129" s="1" t="s">
        <v>5421</v>
      </c>
      <c r="B2129" s="1" t="s">
        <v>5242</v>
      </c>
      <c r="C2129" s="580" t="s">
        <v>5422</v>
      </c>
      <c r="D2129" s="1">
        <v>1410.4675999999999</v>
      </c>
      <c r="E2129" t="s">
        <v>2097</v>
      </c>
      <c r="F2129" t="s">
        <v>5423</v>
      </c>
      <c r="G2129" s="580">
        <v>285.88679999999999</v>
      </c>
      <c r="H2129" s="1" t="s">
        <v>5424</v>
      </c>
      <c r="I2129" s="1"/>
      <c r="J2129" s="1"/>
      <c r="K2129" s="1"/>
      <c r="L2129" s="1"/>
      <c r="M2129" s="1"/>
      <c r="N2129" s="1"/>
      <c r="Q2129"/>
    </row>
    <row r="2130" spans="1:17" ht="13.15" customHeight="1" x14ac:dyDescent="0.2">
      <c r="A2130" s="1" t="s">
        <v>5425</v>
      </c>
      <c r="B2130" s="1" t="s">
        <v>5242</v>
      </c>
      <c r="C2130" s="580" t="s">
        <v>5426</v>
      </c>
      <c r="D2130" s="1">
        <v>1730.8149000000001</v>
      </c>
      <c r="E2130" t="s">
        <v>2097</v>
      </c>
      <c r="F2130" t="s">
        <v>5427</v>
      </c>
      <c r="G2130" s="580">
        <v>315.36</v>
      </c>
      <c r="H2130" s="1" t="s">
        <v>5428</v>
      </c>
      <c r="I2130" s="1"/>
      <c r="J2130" s="1"/>
      <c r="K2130" s="1"/>
      <c r="L2130" s="1"/>
      <c r="M2130" s="1"/>
      <c r="N2130" s="1"/>
      <c r="Q2130"/>
    </row>
    <row r="2131" spans="1:17" ht="13.15" customHeight="1" x14ac:dyDescent="0.2">
      <c r="A2131" s="1" t="s">
        <v>5429</v>
      </c>
      <c r="B2131" s="1" t="s">
        <v>5242</v>
      </c>
      <c r="C2131" s="580" t="s">
        <v>5430</v>
      </c>
      <c r="D2131" s="1">
        <v>2058.1466</v>
      </c>
      <c r="E2131" t="s">
        <v>2097</v>
      </c>
      <c r="F2131" t="s">
        <v>5431</v>
      </c>
      <c r="G2131" s="580">
        <v>419.93099999999998</v>
      </c>
      <c r="H2131" s="1" t="s">
        <v>5432</v>
      </c>
      <c r="I2131" s="1"/>
      <c r="J2131" s="1"/>
      <c r="K2131" s="1"/>
      <c r="L2131" s="1"/>
      <c r="M2131" s="1"/>
      <c r="N2131" s="1"/>
      <c r="Q2131"/>
    </row>
    <row r="2132" spans="1:17" ht="13.15" customHeight="1" x14ac:dyDescent="0.2">
      <c r="A2132" s="1" t="s">
        <v>5433</v>
      </c>
      <c r="B2132" s="1" t="s">
        <v>5242</v>
      </c>
      <c r="C2132" s="580" t="s">
        <v>5434</v>
      </c>
      <c r="D2132" s="1">
        <v>2393.7496999999998</v>
      </c>
      <c r="E2132" t="s">
        <v>2097</v>
      </c>
      <c r="F2132" t="s">
        <v>5435</v>
      </c>
      <c r="G2132" s="580">
        <v>484.4502</v>
      </c>
      <c r="H2132" s="1" t="s">
        <v>5436</v>
      </c>
      <c r="I2132" s="1"/>
      <c r="J2132" s="1"/>
      <c r="K2132" s="1"/>
      <c r="L2132" s="1"/>
      <c r="M2132" s="1"/>
      <c r="N2132" s="1"/>
      <c r="Q2132"/>
    </row>
    <row r="2133" spans="1:17" ht="13.15" customHeight="1" x14ac:dyDescent="0.2">
      <c r="A2133" s="1" t="s">
        <v>5437</v>
      </c>
      <c r="B2133" s="1" t="s">
        <v>5242</v>
      </c>
      <c r="C2133" s="580" t="s">
        <v>5438</v>
      </c>
      <c r="D2133" s="1">
        <v>2724.1324</v>
      </c>
      <c r="E2133" t="s">
        <v>2097</v>
      </c>
      <c r="F2133" t="s">
        <v>5439</v>
      </c>
      <c r="G2133" s="580">
        <v>548.41319999999996</v>
      </c>
      <c r="H2133" s="1" t="s">
        <v>5440</v>
      </c>
      <c r="I2133" s="1"/>
      <c r="J2133" s="1"/>
      <c r="K2133" s="1"/>
      <c r="L2133" s="1"/>
      <c r="M2133" s="1"/>
      <c r="N2133" s="1"/>
      <c r="Q2133"/>
    </row>
    <row r="2134" spans="1:17" ht="13.15" customHeight="1" x14ac:dyDescent="0.2">
      <c r="A2134" s="1" t="s">
        <v>5441</v>
      </c>
      <c r="B2134" s="1" t="s">
        <v>5242</v>
      </c>
      <c r="C2134" s="580" t="s">
        <v>5442</v>
      </c>
      <c r="D2134" s="1">
        <v>3196.8933000000002</v>
      </c>
      <c r="E2134" t="s">
        <v>2097</v>
      </c>
      <c r="F2134" t="s">
        <v>5443</v>
      </c>
      <c r="G2134" s="580">
        <v>677.45159999999998</v>
      </c>
      <c r="H2134" s="1" t="s">
        <v>5444</v>
      </c>
      <c r="I2134" s="1"/>
      <c r="J2134" s="1"/>
      <c r="K2134" s="1"/>
      <c r="L2134" s="1"/>
      <c r="M2134" s="1"/>
      <c r="N2134" s="1"/>
      <c r="Q2134"/>
    </row>
    <row r="2135" spans="1:17" ht="13.15" customHeight="1" x14ac:dyDescent="0.2">
      <c r="A2135" s="1" t="s">
        <v>5445</v>
      </c>
      <c r="B2135" s="1" t="s">
        <v>5242</v>
      </c>
      <c r="C2135" s="580" t="s">
        <v>5446</v>
      </c>
      <c r="D2135" s="1">
        <v>2814.7426</v>
      </c>
      <c r="E2135" t="s">
        <v>2097</v>
      </c>
      <c r="F2135" t="s">
        <v>5447</v>
      </c>
      <c r="G2135" s="580">
        <v>638.37720000000002</v>
      </c>
      <c r="H2135" s="1" t="s">
        <v>5448</v>
      </c>
      <c r="I2135" s="1"/>
      <c r="J2135" s="1"/>
      <c r="K2135" s="1"/>
      <c r="L2135" s="1"/>
      <c r="M2135" s="1"/>
      <c r="N2135" s="1"/>
      <c r="Q2135"/>
    </row>
    <row r="2136" spans="1:17" ht="13.15" customHeight="1" x14ac:dyDescent="0.2">
      <c r="A2136" s="1" t="s">
        <v>5449</v>
      </c>
      <c r="B2136" s="1" t="s">
        <v>5242</v>
      </c>
      <c r="C2136" s="580" t="s">
        <v>5450</v>
      </c>
      <c r="D2136" s="1">
        <v>3361.6286</v>
      </c>
      <c r="E2136" t="s">
        <v>2097</v>
      </c>
      <c r="F2136" t="s">
        <v>5451</v>
      </c>
      <c r="G2136" s="580">
        <v>736.41959999999995</v>
      </c>
      <c r="H2136" s="1" t="s">
        <v>5452</v>
      </c>
      <c r="I2136" s="1"/>
      <c r="J2136" s="1"/>
      <c r="K2136" s="1"/>
      <c r="L2136" s="1"/>
      <c r="M2136" s="1"/>
      <c r="N2136" s="1"/>
      <c r="Q2136"/>
    </row>
    <row r="2137" spans="1:17" ht="13.15" customHeight="1" x14ac:dyDescent="0.2">
      <c r="A2137" s="1" t="s">
        <v>5453</v>
      </c>
      <c r="B2137" s="1" t="s">
        <v>5242</v>
      </c>
      <c r="C2137" s="580" t="s">
        <v>5454</v>
      </c>
      <c r="D2137" s="1">
        <v>3805.5232999999998</v>
      </c>
      <c r="E2137" t="s">
        <v>2097</v>
      </c>
      <c r="F2137" t="s">
        <v>5455</v>
      </c>
      <c r="G2137" s="580">
        <v>833.91120000000001</v>
      </c>
      <c r="H2137" s="1" t="s">
        <v>5456</v>
      </c>
      <c r="I2137" s="1"/>
      <c r="J2137" s="1"/>
      <c r="K2137" s="1"/>
      <c r="L2137" s="1"/>
      <c r="M2137" s="1"/>
      <c r="N2137" s="1"/>
      <c r="Q2137"/>
    </row>
    <row r="2138" spans="1:17" ht="13.15" customHeight="1" x14ac:dyDescent="0.2">
      <c r="A2138" s="1" t="s">
        <v>5457</v>
      </c>
      <c r="B2138" s="1" t="s">
        <v>5242</v>
      </c>
      <c r="C2138" s="580" t="s">
        <v>5458</v>
      </c>
      <c r="D2138" s="1">
        <v>4300.9466000000002</v>
      </c>
      <c r="E2138" t="s">
        <v>2097</v>
      </c>
      <c r="F2138" t="s">
        <v>5459</v>
      </c>
      <c r="G2138" s="580">
        <v>931.40279999999996</v>
      </c>
      <c r="H2138" s="1" t="s">
        <v>5460</v>
      </c>
      <c r="I2138" s="1"/>
      <c r="J2138" s="1"/>
      <c r="K2138" s="1"/>
      <c r="L2138" s="1"/>
      <c r="M2138" s="1"/>
      <c r="N2138" s="1"/>
      <c r="Q2138"/>
    </row>
    <row r="2139" spans="1:17" ht="13.15" customHeight="1" x14ac:dyDescent="0.2">
      <c r="A2139" s="1" t="s">
        <v>5461</v>
      </c>
      <c r="B2139" s="1" t="s">
        <v>5462</v>
      </c>
      <c r="C2139" s="580" t="s">
        <v>5463</v>
      </c>
      <c r="D2139" s="1">
        <v>71.48</v>
      </c>
      <c r="E2139" t="s">
        <v>5464</v>
      </c>
      <c r="F2139" t="s">
        <v>5463</v>
      </c>
      <c r="G2139" s="580">
        <v>0</v>
      </c>
      <c r="H2139" s="1" t="s">
        <v>5463</v>
      </c>
      <c r="I2139" s="1"/>
      <c r="J2139" s="1"/>
      <c r="K2139" s="1"/>
      <c r="L2139" s="1"/>
      <c r="M2139" s="1"/>
      <c r="N2139" s="1"/>
      <c r="Q2139"/>
    </row>
    <row r="2140" spans="1:17" ht="13.15" customHeight="1" x14ac:dyDescent="0.2">
      <c r="A2140" s="1" t="s">
        <v>5465</v>
      </c>
      <c r="B2140" s="1" t="s">
        <v>5462</v>
      </c>
      <c r="C2140" s="580" t="s">
        <v>5362</v>
      </c>
      <c r="D2140" s="1">
        <v>71.48</v>
      </c>
      <c r="E2140" t="s">
        <v>5464</v>
      </c>
      <c r="F2140" t="s">
        <v>5466</v>
      </c>
      <c r="G2140" s="580">
        <v>10.119999999999999</v>
      </c>
      <c r="H2140" s="1" t="s">
        <v>5466</v>
      </c>
      <c r="I2140" s="1"/>
      <c r="J2140" s="1"/>
      <c r="K2140" s="1"/>
      <c r="L2140" s="1"/>
      <c r="M2140" s="1"/>
      <c r="N2140" s="1"/>
      <c r="Q2140"/>
    </row>
    <row r="2141" spans="1:17" ht="13.15" customHeight="1" x14ac:dyDescent="0.2">
      <c r="A2141" s="1" t="s">
        <v>5467</v>
      </c>
      <c r="B2141" s="1" t="s">
        <v>5462</v>
      </c>
      <c r="C2141" s="580" t="s">
        <v>5468</v>
      </c>
      <c r="D2141" s="1">
        <v>88.8</v>
      </c>
      <c r="E2141" t="s">
        <v>5464</v>
      </c>
      <c r="F2141" t="s">
        <v>5468</v>
      </c>
      <c r="G2141" s="580">
        <v>0</v>
      </c>
      <c r="H2141" s="1" t="s">
        <v>5468</v>
      </c>
      <c r="I2141" s="1"/>
      <c r="J2141" s="1"/>
      <c r="K2141" s="1"/>
      <c r="L2141" s="1"/>
      <c r="M2141" s="1"/>
      <c r="N2141" s="1"/>
      <c r="Q2141"/>
    </row>
    <row r="2142" spans="1:17" ht="13.15" customHeight="1" x14ac:dyDescent="0.2">
      <c r="A2142" s="1" t="s">
        <v>5469</v>
      </c>
      <c r="B2142" s="1" t="s">
        <v>5462</v>
      </c>
      <c r="C2142" s="580" t="s">
        <v>5366</v>
      </c>
      <c r="D2142" s="1">
        <v>95.6</v>
      </c>
      <c r="E2142" t="s">
        <v>5464</v>
      </c>
      <c r="F2142" t="s">
        <v>5366</v>
      </c>
      <c r="G2142" s="580">
        <v>0</v>
      </c>
      <c r="H2142" s="1" t="s">
        <v>5366</v>
      </c>
      <c r="I2142" s="1"/>
      <c r="J2142" s="1"/>
      <c r="K2142" s="1"/>
      <c r="L2142" s="1"/>
      <c r="M2142" s="1"/>
      <c r="N2142" s="1"/>
      <c r="Q2142"/>
    </row>
    <row r="2143" spans="1:17" ht="13.15" customHeight="1" x14ac:dyDescent="0.2">
      <c r="A2143" s="1" t="s">
        <v>5470</v>
      </c>
      <c r="B2143" s="1" t="s">
        <v>5462</v>
      </c>
      <c r="C2143" s="580" t="s">
        <v>5471</v>
      </c>
      <c r="D2143" s="1">
        <v>103.72</v>
      </c>
      <c r="E2143" t="s">
        <v>5464</v>
      </c>
      <c r="F2143" t="s">
        <v>5471</v>
      </c>
      <c r="G2143" s="580">
        <v>0</v>
      </c>
      <c r="H2143" s="1" t="s">
        <v>5471</v>
      </c>
      <c r="I2143" s="1"/>
      <c r="J2143" s="1"/>
      <c r="K2143" s="1"/>
      <c r="L2143" s="1"/>
      <c r="M2143" s="1"/>
      <c r="N2143" s="1"/>
      <c r="Q2143"/>
    </row>
    <row r="2144" spans="1:17" ht="13.15" customHeight="1" x14ac:dyDescent="0.2">
      <c r="A2144" s="1" t="s">
        <v>5472</v>
      </c>
      <c r="B2144" s="1" t="s">
        <v>5462</v>
      </c>
      <c r="C2144" s="580" t="s">
        <v>5370</v>
      </c>
      <c r="D2144" s="1">
        <v>113.32</v>
      </c>
      <c r="E2144" t="s">
        <v>5464</v>
      </c>
      <c r="F2144" t="s">
        <v>5370</v>
      </c>
      <c r="G2144" s="580">
        <v>0</v>
      </c>
      <c r="H2144" s="1" t="s">
        <v>5370</v>
      </c>
      <c r="I2144" s="1"/>
      <c r="J2144" s="1"/>
      <c r="K2144" s="1"/>
      <c r="L2144" s="1"/>
      <c r="M2144" s="1"/>
      <c r="N2144" s="1"/>
      <c r="Q2144"/>
    </row>
    <row r="2145" spans="1:17" ht="13.15" customHeight="1" x14ac:dyDescent="0.2">
      <c r="A2145" s="1" t="s">
        <v>5473</v>
      </c>
      <c r="B2145" s="1" t="s">
        <v>5462</v>
      </c>
      <c r="C2145" s="580" t="s">
        <v>5474</v>
      </c>
      <c r="D2145" s="1">
        <v>71.48</v>
      </c>
      <c r="E2145" t="s">
        <v>5464</v>
      </c>
      <c r="F2145" t="s">
        <v>5475</v>
      </c>
      <c r="G2145" s="580">
        <v>10.119999999999999</v>
      </c>
      <c r="H2145" s="1" t="s">
        <v>5475</v>
      </c>
      <c r="I2145" s="1"/>
      <c r="J2145" s="1"/>
      <c r="K2145" s="1"/>
      <c r="L2145" s="1"/>
      <c r="M2145" s="1"/>
      <c r="N2145" s="1"/>
      <c r="Q2145"/>
    </row>
    <row r="2146" spans="1:17" ht="13.15" customHeight="1" x14ac:dyDescent="0.2">
      <c r="A2146" s="1" t="s">
        <v>5476</v>
      </c>
      <c r="B2146" s="1" t="s">
        <v>5462</v>
      </c>
      <c r="C2146" s="580" t="s">
        <v>5386</v>
      </c>
      <c r="D2146" s="1">
        <v>71.48</v>
      </c>
      <c r="E2146" t="s">
        <v>5464</v>
      </c>
      <c r="F2146" t="s">
        <v>5477</v>
      </c>
      <c r="G2146" s="580">
        <v>10.119999999999999</v>
      </c>
      <c r="H2146" s="1" t="s">
        <v>5477</v>
      </c>
      <c r="I2146" s="1"/>
      <c r="J2146" s="1"/>
      <c r="K2146" s="1"/>
      <c r="L2146" s="1"/>
      <c r="M2146" s="1"/>
      <c r="N2146" s="1"/>
      <c r="Q2146"/>
    </row>
    <row r="2147" spans="1:17" ht="13.15" customHeight="1" x14ac:dyDescent="0.2">
      <c r="A2147" s="1" t="s">
        <v>5478</v>
      </c>
      <c r="B2147" s="1" t="s">
        <v>5462</v>
      </c>
      <c r="C2147" s="580" t="s">
        <v>5479</v>
      </c>
      <c r="D2147" s="1">
        <v>88.8</v>
      </c>
      <c r="E2147" t="s">
        <v>5464</v>
      </c>
      <c r="F2147" t="s">
        <v>5480</v>
      </c>
      <c r="G2147" s="580">
        <v>12.406000000000001</v>
      </c>
      <c r="H2147" s="1" t="s">
        <v>5480</v>
      </c>
      <c r="I2147" s="1"/>
      <c r="J2147" s="1"/>
      <c r="K2147" s="1"/>
      <c r="L2147" s="1"/>
      <c r="M2147" s="1"/>
      <c r="N2147" s="1"/>
      <c r="Q2147"/>
    </row>
    <row r="2148" spans="1:17" ht="13.15" customHeight="1" x14ac:dyDescent="0.2">
      <c r="A2148" s="1" t="s">
        <v>5481</v>
      </c>
      <c r="B2148" s="1" t="s">
        <v>5462</v>
      </c>
      <c r="C2148" s="580" t="s">
        <v>5390</v>
      </c>
      <c r="D2148" s="1">
        <v>95.6</v>
      </c>
      <c r="E2148" t="s">
        <v>5464</v>
      </c>
      <c r="F2148" t="s">
        <v>5482</v>
      </c>
      <c r="G2148" s="580">
        <v>13.574</v>
      </c>
      <c r="H2148" s="1" t="s">
        <v>5482</v>
      </c>
      <c r="I2148" s="1"/>
      <c r="J2148" s="1"/>
      <c r="K2148" s="1"/>
      <c r="L2148" s="1"/>
      <c r="M2148" s="1"/>
      <c r="N2148" s="1"/>
      <c r="Q2148"/>
    </row>
    <row r="2149" spans="1:17" ht="13.15" customHeight="1" x14ac:dyDescent="0.2">
      <c r="A2149" s="1" t="s">
        <v>5483</v>
      </c>
      <c r="B2149" s="1" t="s">
        <v>5462</v>
      </c>
      <c r="C2149" s="580" t="s">
        <v>5484</v>
      </c>
      <c r="D2149" s="1">
        <v>103.72</v>
      </c>
      <c r="E2149" t="s">
        <v>5464</v>
      </c>
      <c r="F2149" t="s">
        <v>5484</v>
      </c>
      <c r="G2149" s="580">
        <v>0</v>
      </c>
      <c r="H2149" s="1" t="s">
        <v>5484</v>
      </c>
      <c r="I2149" s="1"/>
      <c r="J2149" s="1"/>
      <c r="K2149" s="1"/>
      <c r="L2149" s="1"/>
      <c r="M2149" s="1"/>
      <c r="N2149" s="1"/>
      <c r="Q2149"/>
    </row>
    <row r="2150" spans="1:17" ht="13.15" customHeight="1" x14ac:dyDescent="0.2">
      <c r="A2150" s="1" t="s">
        <v>5485</v>
      </c>
      <c r="B2150" s="1" t="s">
        <v>5462</v>
      </c>
      <c r="C2150" s="580" t="s">
        <v>5394</v>
      </c>
      <c r="D2150" s="1">
        <v>113.32</v>
      </c>
      <c r="E2150" t="s">
        <v>5464</v>
      </c>
      <c r="F2150" t="s">
        <v>5486</v>
      </c>
      <c r="G2150" s="580">
        <v>16.079000000000001</v>
      </c>
      <c r="H2150" s="1" t="s">
        <v>5486</v>
      </c>
      <c r="I2150" s="1"/>
      <c r="J2150" s="1"/>
      <c r="K2150" s="1"/>
      <c r="L2150" s="1"/>
      <c r="M2150" s="1"/>
      <c r="N2150" s="1"/>
      <c r="Q2150"/>
    </row>
    <row r="2151" spans="1:17" ht="13.15" customHeight="1" x14ac:dyDescent="0.2">
      <c r="A2151" s="1" t="s">
        <v>5487</v>
      </c>
      <c r="B2151" s="1" t="s">
        <v>5462</v>
      </c>
      <c r="C2151" s="580" t="s">
        <v>5488</v>
      </c>
      <c r="D2151" s="1">
        <v>71.48</v>
      </c>
      <c r="E2151" t="s">
        <v>5464</v>
      </c>
      <c r="F2151" t="s">
        <v>5489</v>
      </c>
      <c r="G2151" s="580">
        <v>8.8059999999999992</v>
      </c>
      <c r="H2151" s="1" t="s">
        <v>5489</v>
      </c>
      <c r="I2151" s="1"/>
      <c r="J2151" s="1"/>
      <c r="K2151" s="1"/>
      <c r="L2151" s="1"/>
      <c r="M2151" s="1"/>
      <c r="N2151" s="1"/>
      <c r="Q2151"/>
    </row>
    <row r="2152" spans="1:17" ht="13.15" customHeight="1" x14ac:dyDescent="0.2">
      <c r="A2152" s="1" t="s">
        <v>5490</v>
      </c>
      <c r="B2152" s="1" t="s">
        <v>5462</v>
      </c>
      <c r="C2152" s="580" t="s">
        <v>4792</v>
      </c>
      <c r="D2152" s="1">
        <v>71.48</v>
      </c>
      <c r="E2152" t="s">
        <v>5464</v>
      </c>
      <c r="F2152" t="s">
        <v>5491</v>
      </c>
      <c r="G2152" s="580">
        <v>8.8059999999999992</v>
      </c>
      <c r="H2152" s="1" t="s">
        <v>5491</v>
      </c>
      <c r="I2152" s="1"/>
      <c r="J2152" s="1"/>
      <c r="K2152" s="1"/>
      <c r="L2152" s="1"/>
      <c r="M2152" s="1"/>
      <c r="N2152" s="1"/>
      <c r="Q2152"/>
    </row>
    <row r="2153" spans="1:17" ht="13.15" customHeight="1" x14ac:dyDescent="0.2">
      <c r="A2153" s="1" t="s">
        <v>5492</v>
      </c>
      <c r="B2153" s="1" t="s">
        <v>5462</v>
      </c>
      <c r="C2153" s="580" t="s">
        <v>5493</v>
      </c>
      <c r="D2153" s="1">
        <v>88.8</v>
      </c>
      <c r="E2153" t="s">
        <v>5464</v>
      </c>
      <c r="F2153" t="s">
        <v>5494</v>
      </c>
      <c r="G2153" s="580">
        <v>11.141</v>
      </c>
      <c r="H2153" s="1" t="s">
        <v>5494</v>
      </c>
      <c r="I2153" s="1"/>
      <c r="J2153" s="1"/>
      <c r="K2153" s="1"/>
      <c r="L2153" s="1"/>
      <c r="M2153" s="1"/>
      <c r="N2153" s="1"/>
      <c r="Q2153"/>
    </row>
    <row r="2154" spans="1:17" ht="13.15" customHeight="1" x14ac:dyDescent="0.2">
      <c r="A2154" s="1" t="s">
        <v>5495</v>
      </c>
      <c r="B2154" s="1" t="s">
        <v>5462</v>
      </c>
      <c r="C2154" s="580" t="s">
        <v>5422</v>
      </c>
      <c r="D2154" s="1">
        <v>95.6</v>
      </c>
      <c r="E2154" t="s">
        <v>5464</v>
      </c>
      <c r="F2154" t="s">
        <v>5496</v>
      </c>
      <c r="G2154" s="580">
        <v>12.747</v>
      </c>
      <c r="H2154" s="1" t="s">
        <v>5496</v>
      </c>
      <c r="I2154" s="1"/>
      <c r="J2154" s="1"/>
      <c r="K2154" s="1"/>
      <c r="L2154" s="1"/>
      <c r="M2154" s="1"/>
      <c r="N2154" s="1"/>
      <c r="Q2154"/>
    </row>
    <row r="2155" spans="1:17" ht="13.15" customHeight="1" x14ac:dyDescent="0.2">
      <c r="A2155" s="1" t="s">
        <v>5497</v>
      </c>
      <c r="B2155" s="1" t="s">
        <v>5462</v>
      </c>
      <c r="C2155" s="580" t="s">
        <v>5498</v>
      </c>
      <c r="D2155" s="1">
        <v>103.72</v>
      </c>
      <c r="E2155" t="s">
        <v>5464</v>
      </c>
      <c r="F2155" t="s">
        <v>5498</v>
      </c>
      <c r="G2155" s="580">
        <v>0</v>
      </c>
      <c r="H2155" s="1" t="s">
        <v>5498</v>
      </c>
      <c r="I2155" s="1"/>
      <c r="J2155" s="1"/>
      <c r="K2155" s="1"/>
      <c r="L2155" s="1"/>
      <c r="M2155" s="1"/>
      <c r="N2155" s="1"/>
      <c r="Q2155"/>
    </row>
    <row r="2156" spans="1:17" ht="13.15" customHeight="1" x14ac:dyDescent="0.2">
      <c r="A2156" s="1" t="s">
        <v>5499</v>
      </c>
      <c r="B2156" s="1" t="s">
        <v>5462</v>
      </c>
      <c r="C2156" s="580" t="s">
        <v>5426</v>
      </c>
      <c r="D2156" s="1">
        <v>113.32</v>
      </c>
      <c r="E2156" t="s">
        <v>5464</v>
      </c>
      <c r="F2156" t="s">
        <v>5500</v>
      </c>
      <c r="G2156" s="580">
        <v>14.596</v>
      </c>
      <c r="H2156" s="1" t="s">
        <v>5500</v>
      </c>
      <c r="I2156" s="1"/>
      <c r="J2156" s="1"/>
      <c r="K2156" s="1"/>
      <c r="L2156" s="1"/>
      <c r="M2156" s="1"/>
      <c r="N2156" s="1"/>
      <c r="Q2156"/>
    </row>
    <row r="2157" spans="1:17" ht="13.15" customHeight="1" x14ac:dyDescent="0.2">
      <c r="A2157" s="1" t="s">
        <v>5501</v>
      </c>
      <c r="B2157" s="1" t="s">
        <v>5462</v>
      </c>
      <c r="C2157" s="580" t="s">
        <v>5502</v>
      </c>
      <c r="D2157" s="1">
        <v>101.84</v>
      </c>
      <c r="E2157" t="s">
        <v>5464</v>
      </c>
      <c r="F2157" t="s">
        <v>5502</v>
      </c>
      <c r="G2157" s="580">
        <v>0</v>
      </c>
      <c r="H2157" s="1" t="s">
        <v>5502</v>
      </c>
      <c r="I2157" s="1"/>
      <c r="J2157" s="1"/>
      <c r="K2157" s="1"/>
      <c r="L2157" s="1"/>
      <c r="M2157" s="1"/>
      <c r="N2157" s="1"/>
      <c r="Q2157"/>
    </row>
    <row r="2158" spans="1:17" ht="13.15" customHeight="1" x14ac:dyDescent="0.2">
      <c r="A2158" s="1" t="s">
        <v>5503</v>
      </c>
      <c r="B2158" s="1" t="s">
        <v>5462</v>
      </c>
      <c r="C2158" s="580" t="s">
        <v>4802</v>
      </c>
      <c r="D2158" s="1">
        <v>101.84</v>
      </c>
      <c r="E2158" t="s">
        <v>5464</v>
      </c>
      <c r="F2158" t="s">
        <v>5504</v>
      </c>
      <c r="G2158" s="580">
        <v>14.45</v>
      </c>
      <c r="H2158" s="1" t="s">
        <v>5504</v>
      </c>
      <c r="I2158" s="1"/>
      <c r="J2158" s="1"/>
      <c r="K2158" s="1"/>
      <c r="L2158" s="1"/>
      <c r="M2158" s="1"/>
      <c r="N2158" s="1"/>
      <c r="Q2158"/>
    </row>
    <row r="2159" spans="1:17" ht="13.15" customHeight="1" x14ac:dyDescent="0.2">
      <c r="A2159" s="1" t="s">
        <v>5505</v>
      </c>
      <c r="B2159" s="1" t="s">
        <v>5462</v>
      </c>
      <c r="C2159" s="580" t="s">
        <v>5506</v>
      </c>
      <c r="D2159" s="1">
        <v>114.08</v>
      </c>
      <c r="E2159" t="s">
        <v>5464</v>
      </c>
      <c r="F2159" t="s">
        <v>5506</v>
      </c>
      <c r="G2159" s="580">
        <v>0</v>
      </c>
      <c r="H2159" s="1" t="s">
        <v>5506</v>
      </c>
      <c r="I2159" s="1"/>
      <c r="J2159" s="1"/>
      <c r="K2159" s="1"/>
      <c r="L2159" s="1"/>
      <c r="M2159" s="1"/>
      <c r="N2159" s="1"/>
      <c r="Q2159"/>
    </row>
    <row r="2160" spans="1:17" ht="13.15" customHeight="1" x14ac:dyDescent="0.2">
      <c r="A2160" s="1" t="s">
        <v>5507</v>
      </c>
      <c r="B2160" s="1" t="s">
        <v>5462</v>
      </c>
      <c r="C2160" s="580" t="s">
        <v>4804</v>
      </c>
      <c r="D2160" s="1">
        <v>130.84</v>
      </c>
      <c r="E2160" t="s">
        <v>5464</v>
      </c>
      <c r="F2160" t="s">
        <v>5508</v>
      </c>
      <c r="G2160" s="580">
        <v>18.585000000000001</v>
      </c>
      <c r="H2160" s="1" t="s">
        <v>5508</v>
      </c>
      <c r="I2160" s="1"/>
      <c r="J2160" s="1"/>
      <c r="K2160" s="1"/>
      <c r="L2160" s="1"/>
      <c r="M2160" s="1"/>
      <c r="N2160" s="1"/>
      <c r="Q2160"/>
    </row>
    <row r="2161" spans="1:17" ht="13.15" customHeight="1" x14ac:dyDescent="0.2">
      <c r="A2161" s="1" t="s">
        <v>5509</v>
      </c>
      <c r="B2161" s="1" t="s">
        <v>5462</v>
      </c>
      <c r="C2161" s="580" t="s">
        <v>5510</v>
      </c>
      <c r="D2161" s="1">
        <v>136.12</v>
      </c>
      <c r="E2161" t="s">
        <v>5464</v>
      </c>
      <c r="F2161" t="s">
        <v>5510</v>
      </c>
      <c r="G2161" s="580">
        <v>0</v>
      </c>
      <c r="H2161" s="1" t="s">
        <v>5510</v>
      </c>
      <c r="I2161" s="1"/>
      <c r="J2161" s="1"/>
      <c r="K2161" s="1"/>
      <c r="L2161" s="1"/>
      <c r="M2161" s="1"/>
      <c r="N2161" s="1"/>
      <c r="Q2161"/>
    </row>
    <row r="2162" spans="1:17" ht="13.15" customHeight="1" x14ac:dyDescent="0.2">
      <c r="A2162" s="1" t="s">
        <v>5511</v>
      </c>
      <c r="B2162" s="1" t="s">
        <v>5462</v>
      </c>
      <c r="C2162" s="580" t="s">
        <v>5446</v>
      </c>
      <c r="D2162" s="1">
        <v>144.44</v>
      </c>
      <c r="E2162" t="s">
        <v>5464</v>
      </c>
      <c r="F2162" t="s">
        <v>5512</v>
      </c>
      <c r="G2162" s="580">
        <v>20.507000000000001</v>
      </c>
      <c r="H2162" s="1" t="s">
        <v>5512</v>
      </c>
      <c r="I2162" s="1"/>
      <c r="J2162" s="1"/>
      <c r="K2162" s="1"/>
      <c r="L2162" s="1"/>
      <c r="M2162" s="1"/>
      <c r="N2162" s="1"/>
      <c r="Q2162"/>
    </row>
    <row r="2163" spans="1:17" ht="13.15" customHeight="1" x14ac:dyDescent="0.2">
      <c r="A2163" s="1" t="s">
        <v>5513</v>
      </c>
      <c r="B2163" s="1" t="s">
        <v>5462</v>
      </c>
      <c r="C2163" s="580" t="s">
        <v>5514</v>
      </c>
      <c r="D2163" s="1">
        <v>156.52000000000001</v>
      </c>
      <c r="E2163" t="s">
        <v>5464</v>
      </c>
      <c r="F2163" t="s">
        <v>5514</v>
      </c>
      <c r="G2163" s="580">
        <v>0</v>
      </c>
      <c r="H2163" s="1" t="s">
        <v>5514</v>
      </c>
      <c r="I2163" s="1"/>
      <c r="J2163" s="1"/>
      <c r="K2163" s="1"/>
      <c r="L2163" s="1"/>
      <c r="M2163" s="1"/>
      <c r="N2163" s="1"/>
      <c r="Q2163"/>
    </row>
    <row r="2164" spans="1:17" ht="13.15" customHeight="1" x14ac:dyDescent="0.2">
      <c r="A2164" s="1" t="s">
        <v>5515</v>
      </c>
      <c r="B2164" s="1" t="s">
        <v>5462</v>
      </c>
      <c r="C2164" s="580" t="s">
        <v>4814</v>
      </c>
      <c r="D2164" s="1">
        <v>212.32</v>
      </c>
      <c r="E2164" t="s">
        <v>5464</v>
      </c>
      <c r="F2164" t="s">
        <v>4814</v>
      </c>
      <c r="G2164" s="580">
        <v>0</v>
      </c>
      <c r="H2164" s="1" t="s">
        <v>4814</v>
      </c>
      <c r="I2164" s="1"/>
      <c r="J2164" s="1"/>
      <c r="K2164" s="1"/>
      <c r="L2164" s="1"/>
      <c r="M2164" s="1"/>
      <c r="N2164" s="1"/>
      <c r="Q2164"/>
    </row>
    <row r="2165" spans="1:17" ht="13.15" customHeight="1" x14ac:dyDescent="0.2">
      <c r="A2165" s="1" t="s">
        <v>5516</v>
      </c>
      <c r="B2165" s="1" t="s">
        <v>5462</v>
      </c>
      <c r="C2165" s="580" t="s">
        <v>5517</v>
      </c>
      <c r="D2165" s="1">
        <v>245.12</v>
      </c>
      <c r="E2165" t="s">
        <v>5464</v>
      </c>
      <c r="F2165" t="s">
        <v>5518</v>
      </c>
      <c r="G2165" s="580">
        <v>27.770700000000001</v>
      </c>
      <c r="H2165" s="1" t="s">
        <v>5518</v>
      </c>
      <c r="I2165" s="1"/>
      <c r="J2165" s="1"/>
      <c r="K2165" s="1"/>
      <c r="L2165" s="1"/>
      <c r="M2165" s="1"/>
      <c r="N2165" s="1"/>
      <c r="Q2165"/>
    </row>
    <row r="2166" spans="1:17" ht="13.15" customHeight="1" x14ac:dyDescent="0.2">
      <c r="A2166" s="1" t="s">
        <v>5519</v>
      </c>
      <c r="B2166" s="1" t="s">
        <v>5462</v>
      </c>
      <c r="C2166" s="580" t="s">
        <v>5520</v>
      </c>
      <c r="D2166" s="1">
        <v>286.60000000000002</v>
      </c>
      <c r="E2166" t="s">
        <v>5464</v>
      </c>
      <c r="F2166" t="s">
        <v>5520</v>
      </c>
      <c r="G2166" s="580">
        <v>0</v>
      </c>
      <c r="H2166" s="1" t="s">
        <v>5520</v>
      </c>
      <c r="I2166" s="1"/>
      <c r="J2166" s="1"/>
      <c r="K2166" s="1"/>
      <c r="L2166" s="1"/>
      <c r="M2166" s="1"/>
      <c r="N2166" s="1"/>
      <c r="Q2166"/>
    </row>
    <row r="2167" spans="1:17" ht="13.15" customHeight="1" x14ac:dyDescent="0.2">
      <c r="A2167" s="1" t="s">
        <v>5521</v>
      </c>
      <c r="B2167" s="1" t="s">
        <v>5462</v>
      </c>
      <c r="C2167" s="580" t="s">
        <v>5522</v>
      </c>
      <c r="D2167" s="1">
        <v>1754.52</v>
      </c>
      <c r="E2167" t="s">
        <v>5464</v>
      </c>
      <c r="F2167" t="s">
        <v>5522</v>
      </c>
      <c r="G2167" s="580">
        <v>407</v>
      </c>
      <c r="H2167" s="1" t="s">
        <v>5523</v>
      </c>
      <c r="I2167" s="1"/>
      <c r="J2167" s="1"/>
      <c r="K2167" s="1"/>
      <c r="L2167" s="1"/>
      <c r="M2167" s="1"/>
      <c r="N2167" s="1"/>
      <c r="Q2167"/>
    </row>
    <row r="2168" spans="1:17" ht="13.15" customHeight="1" x14ac:dyDescent="0.2">
      <c r="A2168" s="1" t="s">
        <v>5524</v>
      </c>
      <c r="B2168" s="1" t="s">
        <v>5462</v>
      </c>
      <c r="C2168" s="580" t="s">
        <v>5525</v>
      </c>
      <c r="D2168" s="1">
        <v>1754.52</v>
      </c>
      <c r="E2168" t="s">
        <v>5464</v>
      </c>
      <c r="F2168" t="s">
        <v>5526</v>
      </c>
      <c r="G2168" s="580">
        <v>407</v>
      </c>
      <c r="H2168" s="1" t="s">
        <v>5527</v>
      </c>
      <c r="I2168" s="1"/>
      <c r="J2168" s="1"/>
      <c r="K2168" s="1"/>
      <c r="L2168" s="1"/>
      <c r="M2168" s="1"/>
      <c r="N2168" s="1"/>
      <c r="Q2168"/>
    </row>
    <row r="2169" spans="1:17" ht="13.15" customHeight="1" x14ac:dyDescent="0.2">
      <c r="A2169" s="1" t="s">
        <v>5528</v>
      </c>
      <c r="B2169" s="1" t="s">
        <v>5462</v>
      </c>
      <c r="C2169" s="580" t="s">
        <v>5529</v>
      </c>
      <c r="D2169" s="1">
        <v>2052</v>
      </c>
      <c r="E2169" t="s">
        <v>5464</v>
      </c>
      <c r="F2169" t="s">
        <v>5530</v>
      </c>
      <c r="G2169" s="580">
        <v>463</v>
      </c>
      <c r="H2169" s="1" t="s">
        <v>5531</v>
      </c>
      <c r="I2169" s="1"/>
      <c r="J2169" s="1"/>
      <c r="K2169" s="1"/>
      <c r="L2169" s="1"/>
      <c r="M2169" s="1"/>
      <c r="N2169" s="1"/>
      <c r="Q2169"/>
    </row>
    <row r="2170" spans="1:17" ht="13.15" customHeight="1" x14ac:dyDescent="0.2">
      <c r="A2170" s="1" t="s">
        <v>5532</v>
      </c>
      <c r="B2170" s="1" t="s">
        <v>5462</v>
      </c>
      <c r="C2170" s="580" t="s">
        <v>5533</v>
      </c>
      <c r="D2170" s="1">
        <v>2376</v>
      </c>
      <c r="E2170" t="s">
        <v>5464</v>
      </c>
      <c r="F2170" t="s">
        <v>5534</v>
      </c>
      <c r="G2170" s="580">
        <v>486</v>
      </c>
      <c r="H2170" s="1" t="s">
        <v>5535</v>
      </c>
      <c r="I2170" s="1"/>
      <c r="J2170" s="1"/>
      <c r="K2170" s="1"/>
      <c r="L2170" s="1"/>
      <c r="M2170" s="1"/>
      <c r="N2170" s="1"/>
      <c r="Q2170"/>
    </row>
    <row r="2171" spans="1:17" ht="13.15" customHeight="1" x14ac:dyDescent="0.2">
      <c r="A2171" s="1" t="s">
        <v>5536</v>
      </c>
      <c r="B2171" s="1" t="s">
        <v>5462</v>
      </c>
      <c r="C2171" s="580" t="s">
        <v>5537</v>
      </c>
      <c r="D2171" s="1">
        <v>2644.16</v>
      </c>
      <c r="E2171" t="s">
        <v>5464</v>
      </c>
      <c r="F2171" t="s">
        <v>5537</v>
      </c>
      <c r="G2171" s="580">
        <v>562</v>
      </c>
      <c r="H2171" s="1" t="s">
        <v>5538</v>
      </c>
      <c r="I2171" s="1"/>
      <c r="J2171" s="1"/>
      <c r="K2171" s="1"/>
      <c r="L2171" s="1"/>
      <c r="M2171" s="1"/>
      <c r="N2171" s="1"/>
      <c r="Q2171"/>
    </row>
    <row r="2172" spans="1:17" ht="13.15" customHeight="1" x14ac:dyDescent="0.2">
      <c r="A2172" s="1" t="s">
        <v>5539</v>
      </c>
      <c r="B2172" s="1" t="s">
        <v>5540</v>
      </c>
      <c r="C2172" s="580">
        <v>1.2</v>
      </c>
      <c r="D2172" s="1">
        <v>104.56</v>
      </c>
      <c r="E2172" t="s">
        <v>2097</v>
      </c>
      <c r="F2172" t="s">
        <v>5541</v>
      </c>
      <c r="G2172" s="580">
        <v>17.564499999999999</v>
      </c>
      <c r="H2172" s="1" t="s">
        <v>5542</v>
      </c>
      <c r="I2172" s="1"/>
      <c r="J2172" s="1"/>
      <c r="K2172" s="1"/>
      <c r="L2172" s="1"/>
      <c r="M2172" s="1"/>
      <c r="N2172" s="1"/>
      <c r="Q2172"/>
    </row>
    <row r="2173" spans="1:17" ht="13.15" customHeight="1" x14ac:dyDescent="0.2">
      <c r="A2173" s="1" t="s">
        <v>5543</v>
      </c>
      <c r="B2173" s="1" t="s">
        <v>5540</v>
      </c>
      <c r="C2173" s="580">
        <v>1.5</v>
      </c>
      <c r="D2173" s="1">
        <v>51.17</v>
      </c>
      <c r="E2173" t="s">
        <v>2097</v>
      </c>
      <c r="F2173" t="s">
        <v>5544</v>
      </c>
      <c r="G2173" s="580">
        <v>6.9672999999999998</v>
      </c>
      <c r="H2173" s="1" t="s">
        <v>5545</v>
      </c>
      <c r="I2173" s="1"/>
      <c r="J2173" s="1"/>
      <c r="K2173" s="1"/>
      <c r="L2173" s="1"/>
      <c r="M2173" s="1"/>
      <c r="N2173" s="1"/>
      <c r="Q2173"/>
    </row>
    <row r="2174" spans="1:17" ht="13.15" customHeight="1" x14ac:dyDescent="0.2">
      <c r="A2174" s="1" t="s">
        <v>5546</v>
      </c>
      <c r="B2174" s="1" t="s">
        <v>5540</v>
      </c>
      <c r="C2174" s="580">
        <v>1.9</v>
      </c>
      <c r="D2174" s="1">
        <v>38.520000000000003</v>
      </c>
      <c r="E2174" t="s">
        <v>2097</v>
      </c>
      <c r="F2174" t="s">
        <v>5547</v>
      </c>
      <c r="G2174" s="580">
        <v>12.1135</v>
      </c>
      <c r="H2174" s="1" t="s">
        <v>5548</v>
      </c>
      <c r="I2174" s="1"/>
      <c r="J2174" s="1"/>
      <c r="K2174" s="1"/>
      <c r="L2174" s="1"/>
      <c r="M2174" s="1"/>
      <c r="N2174" s="1"/>
      <c r="Q2174"/>
    </row>
    <row r="2175" spans="1:17" ht="13.15" customHeight="1" x14ac:dyDescent="0.2">
      <c r="A2175" s="1" t="s">
        <v>5549</v>
      </c>
      <c r="B2175" s="1" t="s">
        <v>5540</v>
      </c>
      <c r="C2175" s="580">
        <v>2.2999999999999998</v>
      </c>
      <c r="D2175" s="1">
        <v>41.96</v>
      </c>
      <c r="E2175" t="s">
        <v>2097</v>
      </c>
      <c r="F2175" t="s">
        <v>5550</v>
      </c>
      <c r="G2175" s="580">
        <v>10.033200000000001</v>
      </c>
      <c r="H2175" s="1" t="s">
        <v>5551</v>
      </c>
      <c r="I2175" s="1"/>
      <c r="J2175" s="1"/>
      <c r="K2175" s="1"/>
      <c r="L2175" s="1"/>
      <c r="M2175" s="1"/>
      <c r="N2175" s="1"/>
      <c r="Q2175"/>
    </row>
    <row r="2176" spans="1:17" ht="13.15" customHeight="1" x14ac:dyDescent="0.2">
      <c r="A2176" s="1" t="s">
        <v>5552</v>
      </c>
      <c r="B2176" s="1" t="s">
        <v>5540</v>
      </c>
      <c r="C2176" s="580">
        <v>3.2</v>
      </c>
      <c r="D2176" s="1">
        <v>43.64</v>
      </c>
      <c r="E2176" t="s">
        <v>2097</v>
      </c>
      <c r="F2176" t="s">
        <v>5553</v>
      </c>
      <c r="G2176" s="580">
        <v>10.335599999999999</v>
      </c>
      <c r="H2176" s="1" t="s">
        <v>5554</v>
      </c>
      <c r="I2176" s="1"/>
      <c r="J2176" s="1"/>
      <c r="K2176" s="1"/>
      <c r="L2176" s="1"/>
      <c r="M2176" s="1"/>
      <c r="N2176" s="1"/>
      <c r="Q2176"/>
    </row>
    <row r="2177" spans="1:17" ht="13.15" customHeight="1" x14ac:dyDescent="0.2">
      <c r="A2177" s="1" t="s">
        <v>5555</v>
      </c>
      <c r="B2177" s="1" t="s">
        <v>5540</v>
      </c>
      <c r="C2177" s="580">
        <v>4</v>
      </c>
      <c r="D2177" s="1">
        <v>62.91</v>
      </c>
      <c r="E2177" t="s">
        <v>2097</v>
      </c>
      <c r="F2177" t="s">
        <v>5556</v>
      </c>
      <c r="G2177" s="580">
        <v>12.900600000000001</v>
      </c>
      <c r="H2177" s="1" t="s">
        <v>5557</v>
      </c>
      <c r="I2177" s="1"/>
      <c r="J2177" s="1"/>
      <c r="K2177" s="1"/>
      <c r="L2177" s="1"/>
      <c r="M2177" s="1"/>
      <c r="N2177" s="1"/>
      <c r="Q2177"/>
    </row>
    <row r="2178" spans="1:17" ht="13.15" customHeight="1" x14ac:dyDescent="0.2">
      <c r="A2178" s="1" t="s">
        <v>5558</v>
      </c>
      <c r="B2178" s="1" t="s">
        <v>5540</v>
      </c>
      <c r="C2178" s="580">
        <v>5</v>
      </c>
      <c r="D2178" s="1">
        <v>82.31</v>
      </c>
      <c r="E2178" t="s">
        <v>2097</v>
      </c>
      <c r="F2178" t="s">
        <v>5559</v>
      </c>
      <c r="G2178" s="580">
        <v>16.6752</v>
      </c>
      <c r="H2178" s="1" t="s">
        <v>5560</v>
      </c>
      <c r="I2178" s="1"/>
      <c r="J2178" s="1"/>
      <c r="K2178" s="1"/>
      <c r="L2178" s="1"/>
      <c r="M2178" s="1"/>
      <c r="N2178" s="1"/>
      <c r="Q2178"/>
    </row>
    <row r="2179" spans="1:17" ht="13.15" customHeight="1" x14ac:dyDescent="0.2">
      <c r="A2179" s="1" t="s">
        <v>5561</v>
      </c>
      <c r="B2179" s="1" t="s">
        <v>5540</v>
      </c>
      <c r="C2179" s="580">
        <v>6</v>
      </c>
      <c r="D2179" s="1">
        <v>83.64</v>
      </c>
      <c r="E2179" t="s">
        <v>2097</v>
      </c>
      <c r="F2179" t="s">
        <v>5562</v>
      </c>
      <c r="G2179" s="580">
        <v>16.183800000000002</v>
      </c>
      <c r="H2179" s="1" t="s">
        <v>5563</v>
      </c>
      <c r="I2179" s="1"/>
      <c r="J2179" s="1"/>
      <c r="K2179" s="1"/>
      <c r="L2179" s="1"/>
      <c r="M2179" s="1"/>
      <c r="N2179" s="1"/>
      <c r="Q2179"/>
    </row>
    <row r="2180" spans="1:17" ht="13.15" customHeight="1" x14ac:dyDescent="0.2">
      <c r="A2180" s="1" t="s">
        <v>5564</v>
      </c>
      <c r="B2180" s="1" t="s">
        <v>5540</v>
      </c>
      <c r="C2180" s="580">
        <v>7</v>
      </c>
      <c r="D2180" s="1">
        <v>135.79</v>
      </c>
      <c r="E2180" t="s">
        <v>2097</v>
      </c>
      <c r="F2180" t="s">
        <v>5565</v>
      </c>
      <c r="G2180" s="580">
        <v>24.03</v>
      </c>
      <c r="H2180" s="1" t="s">
        <v>5566</v>
      </c>
      <c r="I2180" s="1"/>
      <c r="J2180" s="1"/>
      <c r="K2180" s="1"/>
      <c r="L2180" s="1"/>
      <c r="M2180" s="1"/>
      <c r="N2180" s="1"/>
      <c r="Q2180"/>
    </row>
    <row r="2181" spans="1:17" ht="13.15" customHeight="1" x14ac:dyDescent="0.2">
      <c r="A2181" s="1" t="s">
        <v>5567</v>
      </c>
      <c r="B2181" s="1" t="s">
        <v>5540</v>
      </c>
      <c r="C2181" s="580">
        <v>8</v>
      </c>
      <c r="D2181" s="1">
        <v>172.44</v>
      </c>
      <c r="E2181" t="s">
        <v>2097</v>
      </c>
      <c r="F2181" t="s">
        <v>5568</v>
      </c>
      <c r="G2181" s="580">
        <v>31.158000000000001</v>
      </c>
      <c r="H2181" s="1" t="s">
        <v>5569</v>
      </c>
      <c r="I2181" s="1"/>
      <c r="J2181" s="1"/>
      <c r="K2181" s="1"/>
      <c r="L2181" s="1"/>
      <c r="M2181" s="1"/>
      <c r="N2181" s="1"/>
      <c r="Q2181"/>
    </row>
    <row r="2182" spans="1:17" ht="13.15" customHeight="1" x14ac:dyDescent="0.2">
      <c r="A2182" s="1" t="s">
        <v>5570</v>
      </c>
      <c r="B2182" s="1" t="s">
        <v>5540</v>
      </c>
      <c r="C2182" s="580">
        <v>9</v>
      </c>
      <c r="D2182" s="1">
        <v>237.56</v>
      </c>
      <c r="E2182" t="s">
        <v>2097</v>
      </c>
      <c r="F2182" t="s">
        <v>5571</v>
      </c>
      <c r="G2182" s="580">
        <v>42.508800000000001</v>
      </c>
      <c r="H2182" s="1" t="s">
        <v>5572</v>
      </c>
      <c r="I2182" s="1"/>
      <c r="J2182" s="1"/>
      <c r="K2182" s="1"/>
      <c r="L2182" s="1"/>
      <c r="M2182" s="1"/>
      <c r="N2182" s="1"/>
      <c r="Q2182"/>
    </row>
    <row r="2183" spans="1:17" ht="13.15" customHeight="1" x14ac:dyDescent="0.2">
      <c r="A2183" s="1" t="s">
        <v>5573</v>
      </c>
      <c r="B2183" s="1" t="s">
        <v>5540</v>
      </c>
      <c r="C2183" s="580">
        <v>10</v>
      </c>
      <c r="D2183" s="1">
        <v>295.99</v>
      </c>
      <c r="E2183" t="s">
        <v>2097</v>
      </c>
      <c r="F2183" t="s">
        <v>5574</v>
      </c>
      <c r="G2183" s="580">
        <v>59.4</v>
      </c>
      <c r="H2183" s="1" t="s">
        <v>5575</v>
      </c>
      <c r="I2183" s="1"/>
      <c r="J2183" s="1"/>
      <c r="K2183" s="1"/>
      <c r="L2183" s="1"/>
      <c r="M2183" s="1"/>
      <c r="N2183" s="1"/>
      <c r="Q2183"/>
    </row>
    <row r="2184" spans="1:17" ht="13.15" customHeight="1" x14ac:dyDescent="0.2">
      <c r="A2184" s="1" t="s">
        <v>5576</v>
      </c>
      <c r="B2184" s="1" t="s">
        <v>5540</v>
      </c>
      <c r="C2184" s="580">
        <v>12</v>
      </c>
      <c r="D2184" s="1">
        <v>396.4</v>
      </c>
      <c r="E2184" t="s">
        <v>2097</v>
      </c>
      <c r="F2184" t="s">
        <v>5577</v>
      </c>
      <c r="G2184" s="580">
        <v>79.164000000000001</v>
      </c>
      <c r="H2184" s="1" t="s">
        <v>5578</v>
      </c>
      <c r="I2184" s="1"/>
      <c r="J2184" s="1"/>
      <c r="K2184" s="1"/>
      <c r="L2184" s="1"/>
      <c r="M2184" s="1"/>
      <c r="N2184" s="1"/>
      <c r="Q2184"/>
    </row>
    <row r="2185" spans="1:17" ht="13.15" customHeight="1" x14ac:dyDescent="0.2">
      <c r="A2185" s="1" t="s">
        <v>5579</v>
      </c>
      <c r="B2185" s="1" t="s">
        <v>5540</v>
      </c>
      <c r="C2185" s="580">
        <v>15</v>
      </c>
      <c r="D2185" s="1">
        <v>761.68</v>
      </c>
      <c r="E2185" t="s">
        <v>2097</v>
      </c>
      <c r="F2185" t="s">
        <v>5580</v>
      </c>
      <c r="G2185" s="580">
        <v>152.06399999999999</v>
      </c>
      <c r="H2185" s="1" t="s">
        <v>5581</v>
      </c>
      <c r="I2185" s="1"/>
      <c r="J2185" s="1"/>
      <c r="K2185" s="1"/>
      <c r="L2185" s="1"/>
      <c r="M2185" s="1"/>
      <c r="N2185" s="1"/>
      <c r="Q2185"/>
    </row>
    <row r="2186" spans="1:17" ht="13.15" customHeight="1" x14ac:dyDescent="0.2">
      <c r="A2186" s="1" t="s">
        <v>5582</v>
      </c>
      <c r="B2186" s="1" t="s">
        <v>5540</v>
      </c>
      <c r="C2186" s="580">
        <v>19</v>
      </c>
      <c r="D2186" s="1">
        <v>1518.97</v>
      </c>
      <c r="E2186" t="s">
        <v>2097</v>
      </c>
      <c r="F2186" t="s">
        <v>5583</v>
      </c>
      <c r="G2186" s="580">
        <v>213.94069999999999</v>
      </c>
      <c r="H2186" s="1" t="s">
        <v>5584</v>
      </c>
      <c r="I2186" s="1"/>
      <c r="J2186" s="1"/>
      <c r="K2186" s="1"/>
      <c r="L2186" s="1"/>
      <c r="M2186" s="1"/>
      <c r="N2186" s="1"/>
      <c r="Q2186"/>
    </row>
    <row r="2187" spans="1:17" ht="13.15" customHeight="1" x14ac:dyDescent="0.2">
      <c r="A2187" s="1" t="s">
        <v>5585</v>
      </c>
      <c r="B2187" s="1" t="s">
        <v>5586</v>
      </c>
      <c r="C2187" s="580" t="s">
        <v>5587</v>
      </c>
      <c r="D2187" s="1">
        <v>78.08</v>
      </c>
      <c r="E2187" t="s">
        <v>2097</v>
      </c>
      <c r="F2187" t="s">
        <v>5588</v>
      </c>
      <c r="G2187" s="580">
        <v>15.741</v>
      </c>
      <c r="H2187" s="1" t="s">
        <v>5589</v>
      </c>
      <c r="I2187" s="1"/>
      <c r="J2187" s="1"/>
      <c r="K2187" s="1"/>
      <c r="L2187" s="1"/>
      <c r="M2187" s="1"/>
      <c r="N2187" s="1"/>
      <c r="Q2187"/>
    </row>
    <row r="2188" spans="1:17" ht="13.15" customHeight="1" x14ac:dyDescent="0.2">
      <c r="A2188" s="1" t="s">
        <v>5590</v>
      </c>
      <c r="B2188" s="1" t="s">
        <v>5586</v>
      </c>
      <c r="C2188" s="580" t="s">
        <v>5591</v>
      </c>
      <c r="D2188" s="1">
        <v>78.08</v>
      </c>
      <c r="E2188" t="s">
        <v>2097</v>
      </c>
      <c r="F2188" t="s">
        <v>5592</v>
      </c>
      <c r="G2188" s="580">
        <v>15.741</v>
      </c>
      <c r="H2188" s="1" t="s">
        <v>5593</v>
      </c>
      <c r="I2188" s="1"/>
      <c r="J2188" s="1"/>
      <c r="K2188" s="1"/>
      <c r="L2188" s="1"/>
      <c r="M2188" s="1"/>
      <c r="N2188" s="1"/>
      <c r="Q2188"/>
    </row>
    <row r="2189" spans="1:17" ht="13.15" customHeight="1" x14ac:dyDescent="0.2">
      <c r="A2189" s="1" t="s">
        <v>5594</v>
      </c>
      <c r="B2189" s="1" t="s">
        <v>5586</v>
      </c>
      <c r="C2189" s="580" t="s">
        <v>5595</v>
      </c>
      <c r="D2189" s="1">
        <v>78.08</v>
      </c>
      <c r="E2189" t="s">
        <v>2097</v>
      </c>
      <c r="F2189" t="s">
        <v>5596</v>
      </c>
      <c r="G2189" s="580">
        <v>15.741</v>
      </c>
      <c r="H2189" s="1" t="s">
        <v>5597</v>
      </c>
      <c r="I2189" s="1"/>
      <c r="J2189" s="1"/>
      <c r="K2189" s="1"/>
      <c r="L2189" s="1"/>
      <c r="M2189" s="1"/>
      <c r="N2189" s="1"/>
      <c r="Q2189"/>
    </row>
    <row r="2190" spans="1:17" ht="13.15" customHeight="1" x14ac:dyDescent="0.2">
      <c r="A2190" s="1" t="s">
        <v>5598</v>
      </c>
      <c r="B2190" s="1" t="s">
        <v>5586</v>
      </c>
      <c r="C2190" s="580" t="s">
        <v>5599</v>
      </c>
      <c r="D2190" s="1">
        <v>125</v>
      </c>
      <c r="E2190" t="s">
        <v>2097</v>
      </c>
      <c r="F2190" t="s">
        <v>5600</v>
      </c>
      <c r="G2190" s="580">
        <v>23.608799999999999</v>
      </c>
      <c r="H2190" s="1" t="s">
        <v>5601</v>
      </c>
      <c r="I2190" s="1"/>
      <c r="J2190" s="1"/>
      <c r="K2190" s="1"/>
      <c r="L2190" s="1"/>
      <c r="M2190" s="1"/>
      <c r="N2190" s="1"/>
      <c r="Q2190"/>
    </row>
    <row r="2191" spans="1:17" ht="13.15" customHeight="1" x14ac:dyDescent="0.2">
      <c r="A2191" s="1" t="s">
        <v>5602</v>
      </c>
      <c r="B2191" s="1" t="s">
        <v>5586</v>
      </c>
      <c r="C2191" s="580" t="s">
        <v>5603</v>
      </c>
      <c r="D2191" s="1">
        <v>125</v>
      </c>
      <c r="E2191" t="s">
        <v>2097</v>
      </c>
      <c r="F2191" t="s">
        <v>5604</v>
      </c>
      <c r="G2191" s="580">
        <v>25.876799999999999</v>
      </c>
      <c r="H2191" s="1" t="s">
        <v>5605</v>
      </c>
      <c r="I2191" s="1"/>
      <c r="J2191" s="1"/>
      <c r="K2191" s="1"/>
      <c r="L2191" s="1"/>
      <c r="M2191" s="1"/>
      <c r="N2191" s="1"/>
      <c r="Q2191"/>
    </row>
    <row r="2192" spans="1:17" ht="13.15" customHeight="1" x14ac:dyDescent="0.2">
      <c r="A2192" s="1" t="s">
        <v>5606</v>
      </c>
      <c r="B2192" s="1" t="s">
        <v>5586</v>
      </c>
      <c r="C2192" s="580" t="s">
        <v>5607</v>
      </c>
      <c r="D2192" s="1">
        <v>125</v>
      </c>
      <c r="E2192" t="s">
        <v>2097</v>
      </c>
      <c r="F2192" t="s">
        <v>5608</v>
      </c>
      <c r="G2192" s="580">
        <v>25.876799999999999</v>
      </c>
      <c r="H2192" s="1" t="s">
        <v>5609</v>
      </c>
      <c r="I2192" s="1"/>
      <c r="J2192" s="1"/>
      <c r="K2192" s="1"/>
      <c r="L2192" s="1"/>
      <c r="M2192" s="1"/>
      <c r="N2192" s="1"/>
      <c r="Q2192"/>
    </row>
    <row r="2193" spans="1:17" ht="13.15" customHeight="1" x14ac:dyDescent="0.2">
      <c r="A2193" s="1" t="s">
        <v>5610</v>
      </c>
      <c r="B2193" s="1" t="s">
        <v>5586</v>
      </c>
      <c r="C2193" s="580" t="s">
        <v>5611</v>
      </c>
      <c r="D2193" s="1">
        <v>169.08</v>
      </c>
      <c r="E2193" t="s">
        <v>2097</v>
      </c>
      <c r="F2193" t="s">
        <v>5612</v>
      </c>
      <c r="G2193" s="580">
        <v>34.0578</v>
      </c>
      <c r="H2193" s="1" t="s">
        <v>5613</v>
      </c>
      <c r="I2193" s="1"/>
      <c r="J2193" s="1"/>
      <c r="K2193" s="1"/>
      <c r="L2193" s="1"/>
      <c r="M2193" s="1"/>
      <c r="N2193" s="1"/>
      <c r="Q2193"/>
    </row>
    <row r="2194" spans="1:17" ht="13.15" customHeight="1" x14ac:dyDescent="0.2">
      <c r="A2194" s="1" t="s">
        <v>5614</v>
      </c>
      <c r="B2194" s="1" t="s">
        <v>5586</v>
      </c>
      <c r="C2194" s="580" t="s">
        <v>5615</v>
      </c>
      <c r="D2194" s="1">
        <v>169.08</v>
      </c>
      <c r="E2194" t="s">
        <v>2097</v>
      </c>
      <c r="F2194" t="s">
        <v>5616</v>
      </c>
      <c r="G2194" s="580">
        <v>34.020000000000003</v>
      </c>
      <c r="H2194" s="1" t="s">
        <v>5617</v>
      </c>
      <c r="I2194" s="1"/>
      <c r="J2194" s="1"/>
      <c r="K2194" s="1"/>
      <c r="L2194" s="1"/>
      <c r="M2194" s="1"/>
      <c r="N2194" s="1"/>
      <c r="Q2194"/>
    </row>
    <row r="2195" spans="1:17" ht="13.15" customHeight="1" x14ac:dyDescent="0.2">
      <c r="A2195" s="1" t="s">
        <v>5618</v>
      </c>
      <c r="B2195" s="1" t="s">
        <v>5586</v>
      </c>
      <c r="C2195" s="580" t="s">
        <v>5619</v>
      </c>
      <c r="D2195" s="1">
        <v>301.24</v>
      </c>
      <c r="E2195" t="s">
        <v>2097</v>
      </c>
      <c r="F2195" t="s">
        <v>5620</v>
      </c>
      <c r="G2195" s="580">
        <v>59.292000000000002</v>
      </c>
      <c r="H2195" s="1" t="s">
        <v>5621</v>
      </c>
      <c r="I2195" s="1"/>
      <c r="J2195" s="1"/>
      <c r="K2195" s="1"/>
      <c r="L2195" s="1"/>
      <c r="M2195" s="1"/>
      <c r="N2195" s="1"/>
      <c r="Q2195"/>
    </row>
    <row r="2196" spans="1:17" ht="13.15" customHeight="1" x14ac:dyDescent="0.2">
      <c r="A2196" s="1" t="s">
        <v>5622</v>
      </c>
      <c r="B2196" s="1" t="s">
        <v>5586</v>
      </c>
      <c r="C2196" s="580" t="s">
        <v>5623</v>
      </c>
      <c r="D2196" s="1">
        <v>311.60000000000002</v>
      </c>
      <c r="E2196" t="s">
        <v>2097</v>
      </c>
      <c r="F2196" t="s">
        <v>5624</v>
      </c>
      <c r="G2196" s="580">
        <v>59.292000000000002</v>
      </c>
      <c r="H2196" s="1" t="s">
        <v>5625</v>
      </c>
      <c r="I2196" s="1"/>
      <c r="J2196" s="1"/>
      <c r="K2196" s="1"/>
      <c r="L2196" s="1"/>
      <c r="M2196" s="1"/>
      <c r="N2196" s="1"/>
      <c r="Q2196"/>
    </row>
    <row r="2197" spans="1:17" ht="13.15" customHeight="1" x14ac:dyDescent="0.2">
      <c r="A2197" s="1" t="s">
        <v>5626</v>
      </c>
      <c r="B2197" s="1" t="s">
        <v>5586</v>
      </c>
      <c r="C2197" s="580">
        <v>9.5</v>
      </c>
      <c r="D2197" s="1">
        <v>179.08</v>
      </c>
      <c r="E2197" t="s">
        <v>2097</v>
      </c>
      <c r="F2197" t="s">
        <v>5627</v>
      </c>
      <c r="G2197" s="580">
        <v>30.753</v>
      </c>
      <c r="H2197" s="1" t="s">
        <v>5628</v>
      </c>
      <c r="I2197" s="1"/>
      <c r="J2197" s="1"/>
      <c r="K2197" s="1"/>
      <c r="L2197" s="1"/>
      <c r="M2197" s="1"/>
      <c r="N2197" s="1"/>
      <c r="Q2197"/>
    </row>
    <row r="2198" spans="1:17" ht="13.15" customHeight="1" x14ac:dyDescent="0.2">
      <c r="A2198" s="1" t="s">
        <v>5629</v>
      </c>
      <c r="B2198" s="1" t="s">
        <v>5586</v>
      </c>
      <c r="C2198" s="580">
        <v>10</v>
      </c>
      <c r="D2198" s="1">
        <v>275.33999999999997</v>
      </c>
      <c r="E2198" t="s">
        <v>2097</v>
      </c>
      <c r="F2198" t="s">
        <v>5630</v>
      </c>
      <c r="G2198" s="580">
        <v>64.043999999999997</v>
      </c>
      <c r="H2198" s="1" t="s">
        <v>5631</v>
      </c>
      <c r="I2198" s="1"/>
      <c r="J2198" s="1"/>
      <c r="K2198" s="1"/>
      <c r="L2198" s="1"/>
      <c r="M2198" s="1"/>
      <c r="N2198" s="1"/>
      <c r="Q2198"/>
    </row>
    <row r="2199" spans="1:17" ht="13.15" customHeight="1" x14ac:dyDescent="0.2">
      <c r="A2199" s="1" t="s">
        <v>5632</v>
      </c>
      <c r="B2199" s="1" t="s">
        <v>5586</v>
      </c>
      <c r="C2199" s="580">
        <v>12</v>
      </c>
      <c r="D2199" s="1">
        <v>311.60000000000002</v>
      </c>
      <c r="E2199" t="s">
        <v>2097</v>
      </c>
      <c r="F2199" t="s">
        <v>5624</v>
      </c>
      <c r="G2199" s="580">
        <v>59.292000000000002</v>
      </c>
      <c r="H2199" s="1" t="s">
        <v>5625</v>
      </c>
      <c r="I2199" s="1"/>
      <c r="J2199" s="1"/>
      <c r="K2199" s="1"/>
      <c r="L2199" s="1"/>
      <c r="M2199" s="1"/>
      <c r="N2199" s="1"/>
      <c r="Q2199"/>
    </row>
    <row r="2200" spans="1:17" ht="13.15" customHeight="1" x14ac:dyDescent="0.2">
      <c r="A2200" s="1" t="s">
        <v>5633</v>
      </c>
      <c r="B2200" s="1" t="s">
        <v>5634</v>
      </c>
      <c r="C2200" s="580" t="s">
        <v>5474</v>
      </c>
      <c r="D2200" s="1">
        <v>1529.01</v>
      </c>
      <c r="E2200" t="s">
        <v>5635</v>
      </c>
      <c r="F2200" t="s">
        <v>5636</v>
      </c>
      <c r="G2200" s="580">
        <v>321.98860000000002</v>
      </c>
      <c r="H2200" s="1" t="s">
        <v>5637</v>
      </c>
      <c r="I2200" s="1"/>
      <c r="J2200" s="1"/>
      <c r="K2200" s="1"/>
      <c r="L2200" s="1"/>
      <c r="M2200" s="1"/>
      <c r="N2200" s="1"/>
      <c r="Q2200"/>
    </row>
    <row r="2201" spans="1:17" ht="13.15" customHeight="1" x14ac:dyDescent="0.2">
      <c r="A2201" s="1" t="s">
        <v>5638</v>
      </c>
      <c r="B2201" s="1" t="s">
        <v>5634</v>
      </c>
      <c r="C2201" s="580" t="s">
        <v>5386</v>
      </c>
      <c r="D2201" s="1">
        <v>1529.01</v>
      </c>
      <c r="E2201" t="s">
        <v>5635</v>
      </c>
      <c r="F2201" t="s">
        <v>5639</v>
      </c>
      <c r="G2201" s="580">
        <v>321.98860000000002</v>
      </c>
      <c r="H2201" s="1" t="s">
        <v>5640</v>
      </c>
      <c r="I2201" s="1"/>
      <c r="J2201" s="1"/>
      <c r="K2201" s="1"/>
      <c r="L2201" s="1"/>
      <c r="M2201" s="1"/>
      <c r="N2201" s="1"/>
      <c r="Q2201"/>
    </row>
    <row r="2202" spans="1:17" ht="13.15" customHeight="1" x14ac:dyDescent="0.2">
      <c r="A2202" s="1" t="s">
        <v>5641</v>
      </c>
      <c r="B2202" s="1" t="s">
        <v>5634</v>
      </c>
      <c r="C2202" s="580" t="s">
        <v>5479</v>
      </c>
      <c r="D2202" s="1">
        <v>1249.96</v>
      </c>
      <c r="E2202" t="s">
        <v>5635</v>
      </c>
      <c r="F2202" t="s">
        <v>5642</v>
      </c>
      <c r="G2202" s="580">
        <v>321.98860000000002</v>
      </c>
      <c r="H2202" s="1" t="s">
        <v>5643</v>
      </c>
      <c r="I2202" s="1"/>
      <c r="J2202" s="1"/>
      <c r="K2202" s="1"/>
      <c r="L2202" s="1"/>
      <c r="M2202" s="1"/>
      <c r="N2202" s="1"/>
      <c r="Q2202"/>
    </row>
    <row r="2203" spans="1:17" ht="13.15" customHeight="1" x14ac:dyDescent="0.2">
      <c r="A2203" s="1" t="s">
        <v>5644</v>
      </c>
      <c r="B2203" s="1" t="s">
        <v>5634</v>
      </c>
      <c r="C2203" s="580" t="s">
        <v>5390</v>
      </c>
      <c r="D2203" s="1">
        <v>1529.01</v>
      </c>
      <c r="E2203" t="s">
        <v>5635</v>
      </c>
      <c r="F2203" t="s">
        <v>5645</v>
      </c>
      <c r="G2203" s="580">
        <v>321.98860000000002</v>
      </c>
      <c r="H2203" s="1" t="s">
        <v>5646</v>
      </c>
      <c r="I2203" s="1"/>
      <c r="J2203" s="1"/>
      <c r="K2203" s="1"/>
      <c r="L2203" s="1"/>
      <c r="M2203" s="1"/>
      <c r="N2203" s="1"/>
      <c r="Q2203"/>
    </row>
    <row r="2204" spans="1:17" ht="13.15" customHeight="1" x14ac:dyDescent="0.2">
      <c r="A2204" s="1" t="s">
        <v>5647</v>
      </c>
      <c r="B2204" s="1" t="s">
        <v>5634</v>
      </c>
      <c r="C2204" s="580" t="s">
        <v>5484</v>
      </c>
      <c r="D2204" s="1">
        <v>1529.01</v>
      </c>
      <c r="E2204" t="s">
        <v>5635</v>
      </c>
      <c r="F2204" t="s">
        <v>5648</v>
      </c>
      <c r="G2204" s="580">
        <v>321.98860000000002</v>
      </c>
      <c r="H2204" s="1" t="s">
        <v>5649</v>
      </c>
      <c r="I2204" s="1"/>
      <c r="J2204" s="1"/>
      <c r="K2204" s="1"/>
      <c r="L2204" s="1"/>
      <c r="M2204" s="1"/>
      <c r="N2204" s="1"/>
      <c r="Q2204"/>
    </row>
    <row r="2205" spans="1:17" ht="13.15" customHeight="1" x14ac:dyDescent="0.2">
      <c r="A2205" s="1" t="s">
        <v>5650</v>
      </c>
      <c r="B2205" s="1" t="s">
        <v>5634</v>
      </c>
      <c r="C2205" s="580" t="s">
        <v>5394</v>
      </c>
      <c r="D2205" s="1">
        <v>1529.01</v>
      </c>
      <c r="E2205" t="s">
        <v>5635</v>
      </c>
      <c r="F2205" t="s">
        <v>5651</v>
      </c>
      <c r="G2205" s="580">
        <v>345.54809999999998</v>
      </c>
      <c r="H2205" s="1" t="s">
        <v>5652</v>
      </c>
      <c r="I2205" s="1"/>
      <c r="J2205" s="1"/>
      <c r="K2205" s="1"/>
      <c r="L2205" s="1"/>
      <c r="M2205" s="1"/>
      <c r="N2205" s="1"/>
      <c r="Q2205"/>
    </row>
    <row r="2206" spans="1:17" ht="13.15" customHeight="1" x14ac:dyDescent="0.2">
      <c r="A2206" s="1" t="s">
        <v>5653</v>
      </c>
      <c r="B2206" s="1" t="s">
        <v>5634</v>
      </c>
      <c r="C2206" s="580" t="s">
        <v>5398</v>
      </c>
      <c r="D2206" s="1">
        <v>2016.8</v>
      </c>
      <c r="E2206" t="s">
        <v>5635</v>
      </c>
      <c r="F2206" t="s">
        <v>5654</v>
      </c>
      <c r="G2206" s="580">
        <v>424.66460000000001</v>
      </c>
      <c r="H2206" s="1" t="s">
        <v>5655</v>
      </c>
      <c r="I2206" s="1"/>
      <c r="J2206" s="1"/>
      <c r="K2206" s="1"/>
      <c r="L2206" s="1"/>
      <c r="M2206" s="1"/>
      <c r="N2206" s="1"/>
      <c r="Q2206"/>
    </row>
    <row r="2207" spans="1:17" ht="13.15" customHeight="1" x14ac:dyDescent="0.2">
      <c r="A2207" s="1" t="s">
        <v>5656</v>
      </c>
      <c r="B2207" s="1" t="s">
        <v>5634</v>
      </c>
      <c r="C2207" s="580" t="s">
        <v>5402</v>
      </c>
      <c r="D2207" s="1">
        <v>2348.81</v>
      </c>
      <c r="E2207" t="s">
        <v>5635</v>
      </c>
      <c r="F2207" t="s">
        <v>5657</v>
      </c>
      <c r="G2207" s="580">
        <v>494.47250000000003</v>
      </c>
      <c r="H2207" s="1" t="s">
        <v>5658</v>
      </c>
      <c r="I2207" s="1"/>
      <c r="J2207" s="1"/>
      <c r="K2207" s="1"/>
      <c r="L2207" s="1"/>
      <c r="M2207" s="1"/>
      <c r="N2207" s="1"/>
      <c r="Q2207"/>
    </row>
    <row r="2208" spans="1:17" ht="13.15" customHeight="1" x14ac:dyDescent="0.2">
      <c r="A2208" s="1" t="s">
        <v>5659</v>
      </c>
      <c r="B2208" s="1" t="s">
        <v>5634</v>
      </c>
      <c r="C2208" s="580" t="s">
        <v>5406</v>
      </c>
      <c r="D2208" s="1">
        <v>2651.69</v>
      </c>
      <c r="E2208" t="s">
        <v>5635</v>
      </c>
      <c r="F2208" t="s">
        <v>5660</v>
      </c>
      <c r="G2208" s="580">
        <v>558.46310000000005</v>
      </c>
      <c r="H2208" s="1" t="s">
        <v>5661</v>
      </c>
      <c r="I2208" s="1"/>
      <c r="J2208" s="1"/>
      <c r="K2208" s="1"/>
      <c r="L2208" s="1"/>
      <c r="M2208" s="1"/>
      <c r="N2208" s="1"/>
      <c r="Q2208"/>
    </row>
    <row r="2209" spans="1:17" ht="13.15" customHeight="1" x14ac:dyDescent="0.2">
      <c r="A2209" s="1" t="s">
        <v>5662</v>
      </c>
      <c r="B2209" s="1" t="s">
        <v>5634</v>
      </c>
      <c r="C2209" s="580" t="s">
        <v>5663</v>
      </c>
      <c r="D2209" s="1">
        <v>2996.83</v>
      </c>
      <c r="E2209" t="s">
        <v>5635</v>
      </c>
      <c r="F2209" t="s">
        <v>5664</v>
      </c>
      <c r="G2209" s="580">
        <v>631.18179999999995</v>
      </c>
      <c r="H2209" s="1" t="s">
        <v>5665</v>
      </c>
      <c r="I2209" s="1"/>
      <c r="J2209" s="1"/>
      <c r="K2209" s="1"/>
      <c r="L2209" s="1"/>
      <c r="M2209" s="1"/>
      <c r="N2209" s="1"/>
      <c r="Q2209"/>
    </row>
    <row r="2210" spans="1:17" ht="13.15" customHeight="1" x14ac:dyDescent="0.2">
      <c r="A2210" s="1" t="s">
        <v>5666</v>
      </c>
      <c r="B2210" s="1" t="s">
        <v>5634</v>
      </c>
      <c r="C2210" s="580" t="s">
        <v>5667</v>
      </c>
      <c r="D2210" s="1">
        <v>3273.49</v>
      </c>
      <c r="E2210" t="s">
        <v>5635</v>
      </c>
      <c r="F2210" t="s">
        <v>5668</v>
      </c>
      <c r="G2210" s="580">
        <v>689.35500000000002</v>
      </c>
      <c r="H2210" s="1" t="s">
        <v>5669</v>
      </c>
      <c r="I2210" s="1"/>
      <c r="J2210" s="1"/>
      <c r="K2210" s="1"/>
      <c r="L2210" s="1"/>
      <c r="M2210" s="1"/>
      <c r="N2210" s="1"/>
      <c r="Q2210"/>
    </row>
    <row r="2211" spans="1:17" ht="13.15" customHeight="1" x14ac:dyDescent="0.2">
      <c r="A2211" s="1" t="s">
        <v>5670</v>
      </c>
      <c r="B2211" s="1" t="s">
        <v>5634</v>
      </c>
      <c r="C2211" s="580" t="s">
        <v>5671</v>
      </c>
      <c r="D2211" s="1">
        <v>1579.95</v>
      </c>
      <c r="E2211" t="s">
        <v>5635</v>
      </c>
      <c r="F2211" t="s">
        <v>5672</v>
      </c>
      <c r="G2211" s="580">
        <v>332.72629999999998</v>
      </c>
      <c r="H2211" s="1" t="s">
        <v>5673</v>
      </c>
      <c r="I2211" s="1"/>
      <c r="J2211" s="1"/>
      <c r="K2211" s="1"/>
      <c r="L2211" s="1"/>
      <c r="M2211" s="1"/>
      <c r="N2211" s="1"/>
      <c r="Q2211"/>
    </row>
    <row r="2212" spans="1:17" ht="13.15" customHeight="1" x14ac:dyDescent="0.2">
      <c r="A2212" s="1" t="s">
        <v>5674</v>
      </c>
      <c r="B2212" s="1" t="s">
        <v>5634</v>
      </c>
      <c r="C2212" s="580" t="s">
        <v>5410</v>
      </c>
      <c r="D2212" s="1">
        <v>1579.95</v>
      </c>
      <c r="E2212" t="s">
        <v>5635</v>
      </c>
      <c r="F2212" t="s">
        <v>5675</v>
      </c>
      <c r="G2212" s="580">
        <v>332.72629999999998</v>
      </c>
      <c r="H2212" s="1" t="s">
        <v>5676</v>
      </c>
      <c r="I2212" s="1"/>
      <c r="J2212" s="1"/>
      <c r="K2212" s="1"/>
      <c r="L2212" s="1"/>
      <c r="M2212" s="1"/>
      <c r="N2212" s="1"/>
      <c r="Q2212"/>
    </row>
    <row r="2213" spans="1:17" ht="13.15" customHeight="1" x14ac:dyDescent="0.2">
      <c r="A2213" s="1" t="s">
        <v>5677</v>
      </c>
      <c r="B2213" s="1" t="s">
        <v>5634</v>
      </c>
      <c r="C2213" s="580" t="s">
        <v>5414</v>
      </c>
      <c r="D2213" s="1">
        <v>1849.35</v>
      </c>
      <c r="E2213" t="s">
        <v>5635</v>
      </c>
      <c r="F2213" t="s">
        <v>5678</v>
      </c>
      <c r="G2213" s="580">
        <v>389.52760000000001</v>
      </c>
      <c r="H2213" s="1" t="s">
        <v>5679</v>
      </c>
      <c r="I2213" s="1"/>
      <c r="J2213" s="1"/>
      <c r="K2213" s="1"/>
      <c r="L2213" s="1"/>
      <c r="M2213" s="1"/>
      <c r="N2213" s="1"/>
      <c r="Q2213"/>
    </row>
    <row r="2214" spans="1:17" ht="13.15" customHeight="1" x14ac:dyDescent="0.2">
      <c r="A2214" s="1" t="s">
        <v>5680</v>
      </c>
      <c r="B2214" s="1" t="s">
        <v>5634</v>
      </c>
      <c r="C2214" s="580" t="s">
        <v>5418</v>
      </c>
      <c r="D2214" s="1">
        <v>2238.14</v>
      </c>
      <c r="E2214" t="s">
        <v>5635</v>
      </c>
      <c r="F2214" t="s">
        <v>5681</v>
      </c>
      <c r="G2214" s="580">
        <v>471.20319999999998</v>
      </c>
      <c r="H2214" s="1" t="s">
        <v>5682</v>
      </c>
      <c r="I2214" s="1"/>
      <c r="J2214" s="1"/>
      <c r="K2214" s="1"/>
      <c r="L2214" s="1"/>
      <c r="M2214" s="1"/>
      <c r="N2214" s="1"/>
      <c r="Q2214"/>
    </row>
    <row r="2215" spans="1:17" ht="13.15" customHeight="1" x14ac:dyDescent="0.2">
      <c r="A2215" s="1" t="s">
        <v>5683</v>
      </c>
      <c r="B2215" s="1" t="s">
        <v>5634</v>
      </c>
      <c r="C2215" s="580" t="s">
        <v>5684</v>
      </c>
      <c r="D2215" s="1">
        <v>2568.69</v>
      </c>
      <c r="E2215" t="s">
        <v>5635</v>
      </c>
      <c r="F2215" t="s">
        <v>5685</v>
      </c>
      <c r="G2215" s="580">
        <v>541.01110000000006</v>
      </c>
      <c r="H2215" s="1" t="s">
        <v>5686</v>
      </c>
      <c r="I2215" s="1"/>
      <c r="J2215" s="1"/>
      <c r="K2215" s="1"/>
      <c r="L2215" s="1"/>
      <c r="M2215" s="1"/>
      <c r="N2215" s="1"/>
      <c r="Q2215"/>
    </row>
    <row r="2216" spans="1:17" ht="13.15" customHeight="1" x14ac:dyDescent="0.2">
      <c r="A2216" s="1" t="s">
        <v>5687</v>
      </c>
      <c r="B2216" s="1" t="s">
        <v>5634</v>
      </c>
      <c r="C2216" s="580" t="s">
        <v>5688</v>
      </c>
      <c r="D2216" s="1">
        <v>2983.7</v>
      </c>
      <c r="E2216" t="s">
        <v>5635</v>
      </c>
      <c r="F2216" t="s">
        <v>5689</v>
      </c>
      <c r="G2216" s="580">
        <v>628.27089999999998</v>
      </c>
      <c r="H2216" s="1" t="s">
        <v>5690</v>
      </c>
      <c r="I2216" s="1"/>
      <c r="J2216" s="1"/>
      <c r="K2216" s="1"/>
      <c r="L2216" s="1"/>
      <c r="M2216" s="1"/>
      <c r="N2216" s="1"/>
      <c r="Q2216"/>
    </row>
    <row r="2217" spans="1:17" ht="13.15" customHeight="1" x14ac:dyDescent="0.2">
      <c r="A2217" s="1" t="s">
        <v>5691</v>
      </c>
      <c r="B2217" s="1" t="s">
        <v>5634</v>
      </c>
      <c r="C2217" s="580" t="s">
        <v>4792</v>
      </c>
      <c r="D2217" s="1">
        <v>1613.46</v>
      </c>
      <c r="E2217" t="s">
        <v>5635</v>
      </c>
      <c r="F2217" t="s">
        <v>5692</v>
      </c>
      <c r="G2217" s="580">
        <v>339.8759</v>
      </c>
      <c r="H2217" s="1" t="s">
        <v>5693</v>
      </c>
      <c r="I2217" s="1"/>
      <c r="J2217" s="1"/>
      <c r="K2217" s="1"/>
      <c r="L2217" s="1"/>
      <c r="M2217" s="1"/>
      <c r="N2217" s="1"/>
      <c r="Q2217"/>
    </row>
    <row r="2218" spans="1:17" ht="13.15" customHeight="1" x14ac:dyDescent="0.2">
      <c r="A2218" s="1" t="s">
        <v>5694</v>
      </c>
      <c r="B2218" s="1" t="s">
        <v>5634</v>
      </c>
      <c r="C2218" s="580" t="s">
        <v>5493</v>
      </c>
      <c r="D2218" s="1">
        <v>1613.46</v>
      </c>
      <c r="E2218" t="s">
        <v>5635</v>
      </c>
      <c r="F2218" t="s">
        <v>5695</v>
      </c>
      <c r="G2218" s="580">
        <v>339.8759</v>
      </c>
      <c r="H2218" s="1" t="s">
        <v>5696</v>
      </c>
      <c r="I2218" s="1"/>
      <c r="J2218" s="1"/>
      <c r="K2218" s="1"/>
      <c r="L2218" s="1"/>
      <c r="M2218" s="1"/>
      <c r="N2218" s="1"/>
      <c r="Q2218"/>
    </row>
    <row r="2219" spans="1:17" ht="13.15" customHeight="1" x14ac:dyDescent="0.2">
      <c r="A2219" s="1" t="s">
        <v>5697</v>
      </c>
      <c r="B2219" s="1" t="s">
        <v>5634</v>
      </c>
      <c r="C2219" s="580" t="s">
        <v>5422</v>
      </c>
      <c r="D2219" s="1">
        <v>1319.4</v>
      </c>
      <c r="E2219" t="s">
        <v>5635</v>
      </c>
      <c r="F2219" t="s">
        <v>5698</v>
      </c>
      <c r="G2219" s="580">
        <v>339.8759</v>
      </c>
      <c r="H2219" s="1" t="s">
        <v>5699</v>
      </c>
      <c r="I2219" s="1"/>
      <c r="J2219" s="1"/>
      <c r="K2219" s="1"/>
      <c r="L2219" s="1"/>
      <c r="M2219" s="1"/>
      <c r="N2219" s="1"/>
      <c r="Q2219"/>
    </row>
    <row r="2220" spans="1:17" ht="13.15" customHeight="1" x14ac:dyDescent="0.2">
      <c r="A2220" s="1" t="s">
        <v>5700</v>
      </c>
      <c r="B2220" s="1" t="s">
        <v>5634</v>
      </c>
      <c r="C2220" s="580" t="s">
        <v>5498</v>
      </c>
      <c r="D2220" s="1">
        <v>1480.3</v>
      </c>
      <c r="E2220" t="s">
        <v>5635</v>
      </c>
      <c r="F2220" t="s">
        <v>5701</v>
      </c>
      <c r="G2220" s="580">
        <v>381.3227</v>
      </c>
      <c r="H2220" s="1" t="s">
        <v>5702</v>
      </c>
      <c r="I2220" s="1"/>
      <c r="J2220" s="1"/>
      <c r="K2220" s="1"/>
      <c r="L2220" s="1"/>
      <c r="M2220" s="1"/>
      <c r="N2220" s="1"/>
      <c r="Q2220"/>
    </row>
    <row r="2221" spans="1:17" ht="13.15" customHeight="1" x14ac:dyDescent="0.2">
      <c r="A2221" s="1" t="s">
        <v>5703</v>
      </c>
      <c r="B2221" s="1" t="s">
        <v>5634</v>
      </c>
      <c r="C2221" s="580" t="s">
        <v>5426</v>
      </c>
      <c r="D2221" s="1">
        <v>1544.66</v>
      </c>
      <c r="E2221" t="s">
        <v>5635</v>
      </c>
      <c r="F2221" t="s">
        <v>5704</v>
      </c>
      <c r="G2221" s="580">
        <v>397.90410000000003</v>
      </c>
      <c r="H2221" s="1" t="s">
        <v>5705</v>
      </c>
      <c r="I2221" s="1"/>
      <c r="J2221" s="1"/>
      <c r="K2221" s="1"/>
      <c r="L2221" s="1"/>
      <c r="M2221" s="1"/>
      <c r="N2221" s="1"/>
      <c r="Q2221"/>
    </row>
    <row r="2222" spans="1:17" ht="13.15" customHeight="1" x14ac:dyDescent="0.2">
      <c r="A2222" s="1" t="s">
        <v>5706</v>
      </c>
      <c r="B2222" s="1" t="s">
        <v>5634</v>
      </c>
      <c r="C2222" s="580" t="s">
        <v>5430</v>
      </c>
      <c r="D2222" s="1">
        <v>2238.14</v>
      </c>
      <c r="E2222" t="s">
        <v>5635</v>
      </c>
      <c r="F2222" t="s">
        <v>5707</v>
      </c>
      <c r="G2222" s="580">
        <v>471.20319999999998</v>
      </c>
      <c r="H2222" s="1" t="s">
        <v>5708</v>
      </c>
      <c r="I2222" s="1"/>
      <c r="J2222" s="1"/>
      <c r="K2222" s="1"/>
      <c r="L2222" s="1"/>
      <c r="M2222" s="1"/>
      <c r="N2222" s="1"/>
      <c r="Q2222"/>
    </row>
    <row r="2223" spans="1:17" ht="13.15" customHeight="1" x14ac:dyDescent="0.2">
      <c r="A2223" s="1" t="s">
        <v>5709</v>
      </c>
      <c r="B2223" s="1" t="s">
        <v>5634</v>
      </c>
      <c r="C2223" s="580" t="s">
        <v>5434</v>
      </c>
      <c r="D2223" s="1">
        <v>2568.69</v>
      </c>
      <c r="E2223" t="s">
        <v>5635</v>
      </c>
      <c r="F2223" t="s">
        <v>5710</v>
      </c>
      <c r="G2223" s="580">
        <v>541.01110000000006</v>
      </c>
      <c r="H2223" s="1" t="s">
        <v>5711</v>
      </c>
      <c r="I2223" s="1"/>
      <c r="J2223" s="1"/>
      <c r="K2223" s="1"/>
      <c r="L2223" s="1"/>
      <c r="M2223" s="1"/>
      <c r="N2223" s="1"/>
      <c r="Q2223"/>
    </row>
    <row r="2224" spans="1:17" ht="13.15" customHeight="1" x14ac:dyDescent="0.2">
      <c r="A2224" s="1" t="s">
        <v>5712</v>
      </c>
      <c r="B2224" s="1" t="s">
        <v>5634</v>
      </c>
      <c r="C2224" s="580" t="s">
        <v>5438</v>
      </c>
      <c r="D2224" s="1">
        <v>3190.5</v>
      </c>
      <c r="E2224" t="s">
        <v>5635</v>
      </c>
      <c r="F2224" t="s">
        <v>5713</v>
      </c>
      <c r="G2224" s="580">
        <v>671.89869999999996</v>
      </c>
      <c r="H2224" s="1" t="s">
        <v>5714</v>
      </c>
      <c r="I2224" s="1"/>
      <c r="J2224" s="1"/>
      <c r="K2224" s="1"/>
      <c r="L2224" s="1"/>
      <c r="M2224" s="1"/>
      <c r="N2224" s="1"/>
      <c r="Q2224"/>
    </row>
    <row r="2225" spans="1:17" ht="13.15" customHeight="1" x14ac:dyDescent="0.2">
      <c r="A2225" s="1" t="s">
        <v>5715</v>
      </c>
      <c r="B2225" s="1" t="s">
        <v>5634</v>
      </c>
      <c r="C2225" s="580" t="s">
        <v>5716</v>
      </c>
      <c r="D2225" s="1">
        <v>3633.18</v>
      </c>
      <c r="E2225" t="s">
        <v>5635</v>
      </c>
      <c r="F2225" t="s">
        <v>5717</v>
      </c>
      <c r="G2225" s="580">
        <v>764.97590000000002</v>
      </c>
      <c r="H2225" s="1" t="s">
        <v>5718</v>
      </c>
      <c r="I2225" s="1"/>
      <c r="J2225" s="1"/>
      <c r="K2225" s="1"/>
      <c r="L2225" s="1"/>
      <c r="M2225" s="1"/>
      <c r="N2225" s="1"/>
      <c r="Q2225"/>
    </row>
    <row r="2226" spans="1:17" ht="13.15" customHeight="1" x14ac:dyDescent="0.2">
      <c r="A2226" s="1" t="s">
        <v>5719</v>
      </c>
      <c r="B2226" s="1" t="s">
        <v>5634</v>
      </c>
      <c r="C2226" s="580" t="s">
        <v>5442</v>
      </c>
      <c r="D2226" s="1">
        <v>3895.29</v>
      </c>
      <c r="E2226" t="s">
        <v>5635</v>
      </c>
      <c r="F2226" t="s">
        <v>5720</v>
      </c>
      <c r="G2226" s="580">
        <v>820.24260000000004</v>
      </c>
      <c r="H2226" s="1" t="s">
        <v>5721</v>
      </c>
      <c r="I2226" s="1"/>
      <c r="J2226" s="1"/>
      <c r="K2226" s="1"/>
      <c r="L2226" s="1"/>
      <c r="M2226" s="1"/>
      <c r="N2226" s="1"/>
      <c r="Q2226"/>
    </row>
    <row r="2227" spans="1:17" ht="13.15" customHeight="1" x14ac:dyDescent="0.2">
      <c r="A2227" s="1" t="s">
        <v>5722</v>
      </c>
      <c r="B2227" s="1" t="s">
        <v>5634</v>
      </c>
      <c r="C2227" s="580" t="s">
        <v>5723</v>
      </c>
      <c r="D2227" s="1">
        <v>2308.04</v>
      </c>
      <c r="E2227" t="s">
        <v>5635</v>
      </c>
      <c r="F2227" t="s">
        <v>5724</v>
      </c>
      <c r="G2227" s="580">
        <v>485.74430000000001</v>
      </c>
      <c r="H2227" s="1" t="s">
        <v>5725</v>
      </c>
      <c r="I2227" s="1"/>
      <c r="J2227" s="1"/>
      <c r="K2227" s="1"/>
      <c r="L2227" s="1"/>
      <c r="M2227" s="1"/>
      <c r="N2227" s="1"/>
      <c r="Q2227"/>
    </row>
    <row r="2228" spans="1:17" ht="13.15" customHeight="1" x14ac:dyDescent="0.2">
      <c r="A2228" s="1" t="s">
        <v>5726</v>
      </c>
      <c r="B2228" s="1" t="s">
        <v>5634</v>
      </c>
      <c r="C2228" s="580" t="s">
        <v>5727</v>
      </c>
      <c r="D2228" s="1">
        <v>2527.9299999999998</v>
      </c>
      <c r="E2228" t="s">
        <v>5635</v>
      </c>
      <c r="F2228" t="s">
        <v>5728</v>
      </c>
      <c r="G2228" s="580">
        <v>532.28290000000004</v>
      </c>
      <c r="H2228" s="1" t="s">
        <v>5729</v>
      </c>
      <c r="I2228" s="1"/>
      <c r="J2228" s="1"/>
      <c r="K2228" s="1"/>
      <c r="L2228" s="1"/>
      <c r="M2228" s="1"/>
      <c r="N2228" s="1"/>
      <c r="Q2228"/>
    </row>
    <row r="2229" spans="1:17" ht="13.15" customHeight="1" x14ac:dyDescent="0.2">
      <c r="A2229" s="1" t="s">
        <v>5730</v>
      </c>
      <c r="B2229" s="1" t="s">
        <v>5634</v>
      </c>
      <c r="C2229" s="580" t="s">
        <v>5731</v>
      </c>
      <c r="D2229" s="1">
        <v>3039.06</v>
      </c>
      <c r="E2229" t="s">
        <v>5635</v>
      </c>
      <c r="F2229" t="s">
        <v>5732</v>
      </c>
      <c r="G2229" s="580">
        <v>639.90560000000005</v>
      </c>
      <c r="H2229" s="1" t="s">
        <v>5733</v>
      </c>
      <c r="I2229" s="1"/>
      <c r="J2229" s="1"/>
      <c r="K2229" s="1"/>
      <c r="L2229" s="1"/>
      <c r="M2229" s="1"/>
      <c r="N2229" s="1"/>
      <c r="Q2229"/>
    </row>
    <row r="2230" spans="1:17" ht="13.15" customHeight="1" x14ac:dyDescent="0.2">
      <c r="A2230" s="1" t="s">
        <v>5734</v>
      </c>
      <c r="B2230" s="1" t="s">
        <v>5634</v>
      </c>
      <c r="C2230" s="580" t="s">
        <v>5735</v>
      </c>
      <c r="D2230" s="1">
        <v>3742.39</v>
      </c>
      <c r="E2230" t="s">
        <v>5635</v>
      </c>
      <c r="F2230" t="s">
        <v>5736</v>
      </c>
      <c r="G2230" s="580">
        <v>794.06690000000003</v>
      </c>
      <c r="H2230" s="1" t="s">
        <v>5737</v>
      </c>
      <c r="I2230" s="1"/>
      <c r="J2230" s="1"/>
      <c r="K2230" s="1"/>
      <c r="L2230" s="1"/>
      <c r="M2230" s="1"/>
      <c r="N2230" s="1"/>
      <c r="Q2230"/>
    </row>
    <row r="2231" spans="1:17" ht="13.15" customHeight="1" x14ac:dyDescent="0.2">
      <c r="A2231" s="1" t="s">
        <v>5738</v>
      </c>
      <c r="B2231" s="1" t="s">
        <v>5634</v>
      </c>
      <c r="C2231" s="580" t="s">
        <v>5739</v>
      </c>
      <c r="D2231" s="1">
        <v>2127.88</v>
      </c>
      <c r="E2231" t="s">
        <v>5635</v>
      </c>
      <c r="F2231" t="s">
        <v>5740</v>
      </c>
      <c r="G2231" s="580">
        <v>468.29239999999999</v>
      </c>
      <c r="H2231" s="1" t="s">
        <v>5741</v>
      </c>
      <c r="I2231" s="1"/>
      <c r="J2231" s="1"/>
      <c r="K2231" s="1"/>
      <c r="L2231" s="1"/>
      <c r="M2231" s="1"/>
      <c r="N2231" s="1"/>
      <c r="Q2231"/>
    </row>
    <row r="2232" spans="1:17" ht="13.15" customHeight="1" x14ac:dyDescent="0.2">
      <c r="A2232" s="1" t="s">
        <v>5742</v>
      </c>
      <c r="B2232" s="1" t="s">
        <v>5634</v>
      </c>
      <c r="C2232" s="580" t="s">
        <v>5743</v>
      </c>
      <c r="D2232" s="1">
        <v>2127.88</v>
      </c>
      <c r="E2232" t="s">
        <v>5635</v>
      </c>
      <c r="F2232" t="s">
        <v>5744</v>
      </c>
      <c r="G2232" s="580">
        <v>447.93389999999999</v>
      </c>
      <c r="H2232" s="1" t="s">
        <v>5745</v>
      </c>
      <c r="I2232" s="1"/>
      <c r="J2232" s="1"/>
      <c r="K2232" s="1"/>
      <c r="L2232" s="1"/>
      <c r="M2232" s="1"/>
      <c r="N2232" s="1"/>
      <c r="Q2232"/>
    </row>
    <row r="2233" spans="1:17" ht="13.15" customHeight="1" x14ac:dyDescent="0.2">
      <c r="A2233" s="1" t="s">
        <v>5746</v>
      </c>
      <c r="B2233" s="1" t="s">
        <v>5634</v>
      </c>
      <c r="C2233" s="580" t="s">
        <v>5747</v>
      </c>
      <c r="D2233" s="1">
        <v>2127.4699999999998</v>
      </c>
      <c r="E2233" t="s">
        <v>5635</v>
      </c>
      <c r="F2233" t="s">
        <v>5748</v>
      </c>
      <c r="G2233" s="580">
        <v>447.93389999999999</v>
      </c>
      <c r="H2233" s="1" t="s">
        <v>5749</v>
      </c>
      <c r="I2233" s="1"/>
      <c r="J2233" s="1"/>
      <c r="K2233" s="1"/>
      <c r="L2233" s="1"/>
      <c r="M2233" s="1"/>
      <c r="N2233" s="1"/>
      <c r="Q2233"/>
    </row>
    <row r="2234" spans="1:17" ht="13.15" customHeight="1" x14ac:dyDescent="0.2">
      <c r="A2234" s="1" t="s">
        <v>5750</v>
      </c>
      <c r="B2234" s="1" t="s">
        <v>5634</v>
      </c>
      <c r="C2234" s="580" t="s">
        <v>5751</v>
      </c>
      <c r="D2234" s="1">
        <v>2280.36</v>
      </c>
      <c r="E2234" t="s">
        <v>5635</v>
      </c>
      <c r="F2234" t="s">
        <v>5752</v>
      </c>
      <c r="G2234" s="580">
        <v>474.10969999999998</v>
      </c>
      <c r="H2234" s="1" t="s">
        <v>5753</v>
      </c>
      <c r="I2234" s="1"/>
      <c r="J2234" s="1"/>
      <c r="K2234" s="1"/>
      <c r="L2234" s="1"/>
      <c r="M2234" s="1"/>
      <c r="N2234" s="1"/>
      <c r="Q2234"/>
    </row>
    <row r="2235" spans="1:17" ht="13.15" customHeight="1" x14ac:dyDescent="0.2">
      <c r="A2235" s="1" t="s">
        <v>5754</v>
      </c>
      <c r="B2235" s="1" t="s">
        <v>5634</v>
      </c>
      <c r="C2235" s="580" t="s">
        <v>5755</v>
      </c>
      <c r="D2235" s="1">
        <v>2389.58</v>
      </c>
      <c r="E2235" t="s">
        <v>5635</v>
      </c>
      <c r="F2235" t="s">
        <v>5756</v>
      </c>
      <c r="G2235" s="580">
        <v>503.20069999999998</v>
      </c>
      <c r="H2235" s="1" t="s">
        <v>5757</v>
      </c>
      <c r="I2235" s="1"/>
      <c r="J2235" s="1"/>
      <c r="K2235" s="1"/>
      <c r="L2235" s="1"/>
      <c r="M2235" s="1"/>
      <c r="N2235" s="1"/>
      <c r="Q2235"/>
    </row>
    <row r="2236" spans="1:17" ht="13.15" customHeight="1" x14ac:dyDescent="0.2">
      <c r="A2236" s="1" t="s">
        <v>5758</v>
      </c>
      <c r="B2236" s="1" t="s">
        <v>5634</v>
      </c>
      <c r="C2236" s="580" t="s">
        <v>5759</v>
      </c>
      <c r="D2236" s="1">
        <v>2817.72</v>
      </c>
      <c r="E2236" t="s">
        <v>5635</v>
      </c>
      <c r="F2236" t="s">
        <v>5760</v>
      </c>
      <c r="G2236" s="580">
        <v>593.36699999999996</v>
      </c>
      <c r="H2236" s="1" t="s">
        <v>5761</v>
      </c>
      <c r="I2236" s="1"/>
      <c r="J2236" s="1"/>
      <c r="K2236" s="1"/>
      <c r="L2236" s="1"/>
      <c r="M2236" s="1"/>
      <c r="N2236" s="1"/>
      <c r="Q2236"/>
    </row>
    <row r="2237" spans="1:17" ht="13.15" customHeight="1" x14ac:dyDescent="0.2">
      <c r="A2237" s="1" t="s">
        <v>5762</v>
      </c>
      <c r="B2237" s="1" t="s">
        <v>5634</v>
      </c>
      <c r="C2237" s="580" t="s">
        <v>5763</v>
      </c>
      <c r="D2237" s="1">
        <v>3480.28</v>
      </c>
      <c r="E2237" t="s">
        <v>5635</v>
      </c>
      <c r="F2237" t="s">
        <v>5764</v>
      </c>
      <c r="G2237" s="580">
        <v>732.99159999999995</v>
      </c>
      <c r="H2237" s="1" t="s">
        <v>5765</v>
      </c>
      <c r="I2237" s="1"/>
      <c r="J2237" s="1"/>
      <c r="K2237" s="1"/>
      <c r="L2237" s="1"/>
      <c r="M2237" s="1"/>
      <c r="N2237" s="1"/>
      <c r="Q2237"/>
    </row>
    <row r="2238" spans="1:17" ht="13.15" customHeight="1" x14ac:dyDescent="0.2">
      <c r="A2238" s="1" t="s">
        <v>5766</v>
      </c>
      <c r="B2238" s="1" t="s">
        <v>5634</v>
      </c>
      <c r="C2238" s="580" t="s">
        <v>5767</v>
      </c>
      <c r="D2238" s="1">
        <v>3978.28</v>
      </c>
      <c r="E2238" t="s">
        <v>5635</v>
      </c>
      <c r="F2238" t="s">
        <v>5768</v>
      </c>
      <c r="G2238" s="580">
        <v>837.69460000000004</v>
      </c>
      <c r="H2238" s="1" t="s">
        <v>5769</v>
      </c>
      <c r="I2238" s="1"/>
      <c r="J2238" s="1"/>
      <c r="K2238" s="1"/>
      <c r="L2238" s="1"/>
      <c r="M2238" s="1"/>
      <c r="N2238" s="1"/>
      <c r="Q2238"/>
    </row>
    <row r="2239" spans="1:17" ht="13.15" customHeight="1" x14ac:dyDescent="0.2">
      <c r="A2239" s="1" t="s">
        <v>5770</v>
      </c>
      <c r="B2239" s="1" t="s">
        <v>5634</v>
      </c>
      <c r="C2239" s="580" t="s">
        <v>5771</v>
      </c>
      <c r="D2239" s="1">
        <v>2210.5100000000002</v>
      </c>
      <c r="E2239" t="s">
        <v>5635</v>
      </c>
      <c r="F2239" t="s">
        <v>5772</v>
      </c>
      <c r="G2239" s="580">
        <v>465.38589999999999</v>
      </c>
      <c r="H2239" s="1" t="s">
        <v>5773</v>
      </c>
      <c r="I2239" s="1"/>
      <c r="J2239" s="1"/>
      <c r="K2239" s="1"/>
      <c r="L2239" s="1"/>
      <c r="M2239" s="1"/>
      <c r="N2239" s="1"/>
      <c r="Q2239"/>
    </row>
    <row r="2240" spans="1:17" ht="13.15" customHeight="1" x14ac:dyDescent="0.2">
      <c r="A2240" s="1" t="s">
        <v>5774</v>
      </c>
      <c r="B2240" s="1" t="s">
        <v>5634</v>
      </c>
      <c r="C2240" s="580" t="s">
        <v>5775</v>
      </c>
      <c r="D2240" s="1">
        <v>2345.89</v>
      </c>
      <c r="E2240" t="s">
        <v>5635</v>
      </c>
      <c r="F2240" t="s">
        <v>5776</v>
      </c>
      <c r="G2240" s="580">
        <v>509.0136</v>
      </c>
      <c r="H2240" s="1" t="s">
        <v>5777</v>
      </c>
      <c r="I2240" s="1"/>
      <c r="J2240" s="1"/>
      <c r="K2240" s="1"/>
      <c r="L2240" s="1"/>
      <c r="M2240" s="1"/>
      <c r="N2240" s="1"/>
      <c r="Q2240"/>
    </row>
    <row r="2241" spans="1:17" ht="13.15" customHeight="1" x14ac:dyDescent="0.2">
      <c r="A2241" s="1" t="s">
        <v>5778</v>
      </c>
      <c r="B2241" s="1" t="s">
        <v>5634</v>
      </c>
      <c r="C2241" s="580" t="s">
        <v>5779</v>
      </c>
      <c r="D2241" s="1">
        <v>2513.38</v>
      </c>
      <c r="E2241" t="s">
        <v>5635</v>
      </c>
      <c r="F2241" t="s">
        <v>5780</v>
      </c>
      <c r="G2241" s="580">
        <v>529.37639999999999</v>
      </c>
      <c r="H2241" s="1" t="s">
        <v>5781</v>
      </c>
      <c r="I2241" s="1"/>
      <c r="J2241" s="1"/>
      <c r="K2241" s="1"/>
      <c r="L2241" s="1"/>
      <c r="M2241" s="1"/>
      <c r="N2241" s="1"/>
      <c r="Q2241"/>
    </row>
    <row r="2242" spans="1:17" ht="13.15" customHeight="1" x14ac:dyDescent="0.2">
      <c r="A2242" s="1" t="s">
        <v>5782</v>
      </c>
      <c r="B2242" s="1" t="s">
        <v>5634</v>
      </c>
      <c r="C2242" s="580" t="s">
        <v>5783</v>
      </c>
      <c r="D2242" s="1">
        <v>2021.15</v>
      </c>
      <c r="E2242" t="s">
        <v>5635</v>
      </c>
      <c r="F2242" t="s">
        <v>5784</v>
      </c>
      <c r="G2242" s="580">
        <v>520.64829999999995</v>
      </c>
      <c r="H2242" s="1" t="s">
        <v>5785</v>
      </c>
      <c r="I2242" s="1"/>
      <c r="J2242" s="1"/>
      <c r="K2242" s="1"/>
      <c r="L2242" s="1"/>
      <c r="M2242" s="1"/>
      <c r="N2242" s="1"/>
      <c r="Q2242"/>
    </row>
    <row r="2243" spans="1:17" ht="13.15" customHeight="1" x14ac:dyDescent="0.2">
      <c r="A2243" s="1" t="s">
        <v>5786</v>
      </c>
      <c r="B2243" s="1" t="s">
        <v>5634</v>
      </c>
      <c r="C2243" s="580" t="s">
        <v>5787</v>
      </c>
      <c r="D2243" s="1">
        <v>2707.04</v>
      </c>
      <c r="E2243" t="s">
        <v>5635</v>
      </c>
      <c r="F2243" t="s">
        <v>5788</v>
      </c>
      <c r="G2243" s="580">
        <v>570.09770000000003</v>
      </c>
      <c r="H2243" s="1" t="s">
        <v>5789</v>
      </c>
      <c r="I2243" s="1"/>
      <c r="J2243" s="1"/>
      <c r="K2243" s="1"/>
      <c r="L2243" s="1"/>
      <c r="M2243" s="1"/>
      <c r="N2243" s="1"/>
      <c r="Q2243"/>
    </row>
    <row r="2244" spans="1:17" ht="13.15" customHeight="1" x14ac:dyDescent="0.2">
      <c r="A2244" s="1" t="s">
        <v>5790</v>
      </c>
      <c r="B2244" s="1" t="s">
        <v>5634</v>
      </c>
      <c r="C2244" s="580" t="s">
        <v>5791</v>
      </c>
      <c r="D2244" s="1">
        <v>2928.39</v>
      </c>
      <c r="E2244" t="s">
        <v>5635</v>
      </c>
      <c r="F2244" t="s">
        <v>5792</v>
      </c>
      <c r="G2244" s="580">
        <v>616.63630000000001</v>
      </c>
      <c r="H2244" s="1" t="s">
        <v>5793</v>
      </c>
      <c r="I2244" s="1"/>
      <c r="J2244" s="1"/>
      <c r="K2244" s="1"/>
      <c r="L2244" s="1"/>
      <c r="M2244" s="1"/>
      <c r="N2244" s="1"/>
      <c r="Q2244"/>
    </row>
    <row r="2245" spans="1:17" ht="13.15" customHeight="1" x14ac:dyDescent="0.2">
      <c r="A2245" s="1" t="s">
        <v>5794</v>
      </c>
      <c r="B2245" s="1" t="s">
        <v>5634</v>
      </c>
      <c r="C2245" s="580" t="s">
        <v>5795</v>
      </c>
      <c r="D2245" s="1">
        <v>2358.84</v>
      </c>
      <c r="E2245" t="s">
        <v>5635</v>
      </c>
      <c r="F2245" t="s">
        <v>5796</v>
      </c>
      <c r="G2245" s="580">
        <v>471.20319999999998</v>
      </c>
      <c r="H2245" s="1" t="s">
        <v>5797</v>
      </c>
      <c r="I2245" s="1"/>
      <c r="J2245" s="1"/>
      <c r="K2245" s="1"/>
      <c r="L2245" s="1"/>
      <c r="M2245" s="1"/>
      <c r="N2245" s="1"/>
      <c r="Q2245"/>
    </row>
    <row r="2246" spans="1:17" ht="13.15" customHeight="1" x14ac:dyDescent="0.2">
      <c r="A2246" s="1" t="s">
        <v>5798</v>
      </c>
      <c r="B2246" s="1" t="s">
        <v>5634</v>
      </c>
      <c r="C2246" s="580" t="s">
        <v>5799</v>
      </c>
      <c r="D2246" s="1">
        <v>2404.35</v>
      </c>
      <c r="E2246" t="s">
        <v>5635</v>
      </c>
      <c r="F2246" t="s">
        <v>5800</v>
      </c>
      <c r="G2246" s="580">
        <v>506.10719999999998</v>
      </c>
      <c r="H2246" s="1" t="s">
        <v>5801</v>
      </c>
      <c r="I2246" s="1"/>
      <c r="J2246" s="1"/>
      <c r="K2246" s="1"/>
      <c r="L2246" s="1"/>
      <c r="M2246" s="1"/>
      <c r="N2246" s="1"/>
      <c r="Q2246"/>
    </row>
    <row r="2247" spans="1:17" ht="13.15" customHeight="1" x14ac:dyDescent="0.2">
      <c r="A2247" s="1" t="s">
        <v>5802</v>
      </c>
      <c r="B2247" s="1" t="s">
        <v>5634</v>
      </c>
      <c r="C2247" s="580" t="s">
        <v>5803</v>
      </c>
      <c r="D2247" s="1">
        <v>2872.75</v>
      </c>
      <c r="E2247" t="s">
        <v>5635</v>
      </c>
      <c r="F2247" t="s">
        <v>5804</v>
      </c>
      <c r="G2247" s="580">
        <v>604.71140000000003</v>
      </c>
      <c r="H2247" s="1" t="s">
        <v>5805</v>
      </c>
      <c r="I2247" s="1"/>
      <c r="J2247" s="1"/>
      <c r="K2247" s="1"/>
      <c r="L2247" s="1"/>
      <c r="M2247" s="1"/>
      <c r="N2247" s="1"/>
      <c r="Q2247"/>
    </row>
    <row r="2248" spans="1:17" ht="13.15" customHeight="1" x14ac:dyDescent="0.2">
      <c r="A2248" s="1" t="s">
        <v>5806</v>
      </c>
      <c r="B2248" s="1" t="s">
        <v>5634</v>
      </c>
      <c r="C2248" s="580" t="s">
        <v>5807</v>
      </c>
      <c r="D2248" s="1">
        <v>2872.75</v>
      </c>
      <c r="E2248" t="s">
        <v>5635</v>
      </c>
      <c r="F2248" t="s">
        <v>5808</v>
      </c>
      <c r="G2248" s="580">
        <v>604.71140000000003</v>
      </c>
      <c r="H2248" s="1" t="s">
        <v>5809</v>
      </c>
      <c r="I2248" s="1"/>
      <c r="J2248" s="1"/>
      <c r="K2248" s="1"/>
      <c r="L2248" s="1"/>
      <c r="M2248" s="1"/>
      <c r="N2248" s="1"/>
      <c r="Q2248"/>
    </row>
    <row r="2249" spans="1:17" ht="13.15" customHeight="1" x14ac:dyDescent="0.2">
      <c r="A2249" s="1" t="s">
        <v>5810</v>
      </c>
      <c r="B2249" s="1" t="s">
        <v>5634</v>
      </c>
      <c r="C2249" s="580" t="s">
        <v>5811</v>
      </c>
      <c r="D2249" s="1">
        <v>4980.1400000000003</v>
      </c>
      <c r="E2249" t="s">
        <v>5635</v>
      </c>
      <c r="F2249">
        <v>0</v>
      </c>
      <c r="G2249" s="580">
        <v>0</v>
      </c>
      <c r="H2249" s="1" t="s">
        <v>5811</v>
      </c>
      <c r="I2249" s="1"/>
      <c r="J2249" s="1"/>
      <c r="K2249" s="1"/>
      <c r="L2249" s="1"/>
      <c r="M2249" s="1"/>
      <c r="N2249" s="1"/>
      <c r="Q2249"/>
    </row>
    <row r="2250" spans="1:17" ht="13.15" customHeight="1" x14ac:dyDescent="0.2">
      <c r="A2250" s="1" t="s">
        <v>5812</v>
      </c>
      <c r="B2250" s="1" t="s">
        <v>5634</v>
      </c>
      <c r="C2250" s="580" t="s">
        <v>5813</v>
      </c>
      <c r="D2250" s="1">
        <v>1831.73</v>
      </c>
      <c r="E2250" t="s">
        <v>5635</v>
      </c>
      <c r="F2250">
        <v>0</v>
      </c>
      <c r="G2250" s="580">
        <v>0</v>
      </c>
      <c r="H2250" s="1" t="s">
        <v>5813</v>
      </c>
      <c r="I2250" s="1"/>
      <c r="J2250" s="1"/>
      <c r="K2250" s="1"/>
      <c r="L2250" s="1"/>
      <c r="M2250" s="1"/>
      <c r="N2250" s="1"/>
      <c r="Q2250"/>
    </row>
    <row r="2251" spans="1:17" ht="13.15" customHeight="1" x14ac:dyDescent="0.2">
      <c r="A2251" s="1" t="s">
        <v>5814</v>
      </c>
      <c r="B2251" s="1" t="s">
        <v>5634</v>
      </c>
      <c r="C2251" s="580" t="s">
        <v>5815</v>
      </c>
      <c r="D2251" s="1">
        <v>2476.8000000000002</v>
      </c>
      <c r="E2251" t="s">
        <v>5635</v>
      </c>
      <c r="F2251">
        <v>0</v>
      </c>
      <c r="G2251" s="580">
        <v>0</v>
      </c>
      <c r="H2251" s="1" t="s">
        <v>5815</v>
      </c>
      <c r="I2251" s="1"/>
      <c r="J2251" s="1"/>
      <c r="K2251" s="1"/>
      <c r="L2251" s="1"/>
      <c r="M2251" s="1"/>
      <c r="N2251" s="1"/>
      <c r="Q2251"/>
    </row>
    <row r="2252" spans="1:17" ht="13.15" customHeight="1" x14ac:dyDescent="0.2">
      <c r="A2252" s="1" t="s">
        <v>5816</v>
      </c>
      <c r="B2252" s="1" t="s">
        <v>5634</v>
      </c>
      <c r="C2252" s="580" t="s">
        <v>5817</v>
      </c>
      <c r="D2252" s="1">
        <v>3370.46</v>
      </c>
      <c r="E2252" t="s">
        <v>5635</v>
      </c>
      <c r="F2252">
        <v>0</v>
      </c>
      <c r="G2252" s="580">
        <v>0</v>
      </c>
      <c r="H2252" s="1" t="s">
        <v>5817</v>
      </c>
      <c r="I2252" s="1"/>
      <c r="J2252" s="1"/>
      <c r="K2252" s="1"/>
      <c r="L2252" s="1"/>
      <c r="M2252" s="1"/>
      <c r="N2252" s="1"/>
      <c r="Q2252"/>
    </row>
    <row r="2253" spans="1:17" ht="13.15" customHeight="1" x14ac:dyDescent="0.2">
      <c r="A2253" s="1" t="s">
        <v>5818</v>
      </c>
      <c r="B2253" s="1" t="s">
        <v>5634</v>
      </c>
      <c r="C2253" s="580" t="s">
        <v>5819</v>
      </c>
      <c r="D2253" s="1">
        <v>2476.8000000000002</v>
      </c>
      <c r="E2253" t="s">
        <v>5635</v>
      </c>
      <c r="F2253">
        <v>0</v>
      </c>
      <c r="G2253" s="580">
        <v>0</v>
      </c>
      <c r="H2253" s="1" t="s">
        <v>5819</v>
      </c>
      <c r="I2253" s="1"/>
      <c r="J2253" s="1"/>
      <c r="K2253" s="1"/>
      <c r="L2253" s="1"/>
      <c r="M2253" s="1"/>
      <c r="N2253" s="1"/>
      <c r="Q2253"/>
    </row>
    <row r="2254" spans="1:17" ht="13.15" customHeight="1" x14ac:dyDescent="0.2">
      <c r="A2254" s="1" t="s">
        <v>5820</v>
      </c>
      <c r="B2254" s="1" t="s">
        <v>5634</v>
      </c>
      <c r="C2254" s="580" t="s">
        <v>5374</v>
      </c>
      <c r="D2254" s="1">
        <v>1972.8</v>
      </c>
      <c r="E2254" t="s">
        <v>5635</v>
      </c>
      <c r="F2254">
        <v>0</v>
      </c>
      <c r="G2254" s="580">
        <v>0</v>
      </c>
      <c r="H2254" s="1" t="s">
        <v>5374</v>
      </c>
      <c r="I2254" s="1"/>
      <c r="J2254" s="1"/>
      <c r="K2254" s="1"/>
      <c r="L2254" s="1"/>
      <c r="M2254" s="1"/>
      <c r="N2254" s="1"/>
      <c r="Q2254"/>
    </row>
    <row r="2255" spans="1:17" ht="13.15" customHeight="1" x14ac:dyDescent="0.2">
      <c r="A2255" s="1" t="s">
        <v>5821</v>
      </c>
      <c r="B2255" s="1" t="s">
        <v>5634</v>
      </c>
      <c r="C2255" s="580" t="s">
        <v>5822</v>
      </c>
      <c r="D2255" s="1">
        <v>3240</v>
      </c>
      <c r="E2255" t="s">
        <v>5635</v>
      </c>
      <c r="F2255">
        <v>0</v>
      </c>
      <c r="G2255" s="580">
        <v>0</v>
      </c>
      <c r="H2255" s="1" t="s">
        <v>5822</v>
      </c>
      <c r="I2255" s="1"/>
      <c r="J2255" s="1"/>
      <c r="K2255" s="1"/>
      <c r="L2255" s="1"/>
      <c r="M2255" s="1"/>
      <c r="N2255" s="1"/>
      <c r="Q2255"/>
    </row>
    <row r="2256" spans="1:17" ht="13.15" customHeight="1" x14ac:dyDescent="0.2">
      <c r="A2256" s="1" t="s">
        <v>5823</v>
      </c>
      <c r="B2256" s="1" t="s">
        <v>5634</v>
      </c>
      <c r="C2256" s="580" t="s">
        <v>5824</v>
      </c>
      <c r="D2256" s="1">
        <v>3528</v>
      </c>
      <c r="E2256" t="s">
        <v>5635</v>
      </c>
      <c r="F2256">
        <v>0</v>
      </c>
      <c r="G2256" s="580">
        <v>0</v>
      </c>
      <c r="H2256" s="1" t="s">
        <v>5824</v>
      </c>
      <c r="I2256" s="1"/>
      <c r="J2256" s="1"/>
      <c r="K2256" s="1"/>
      <c r="L2256" s="1"/>
      <c r="M2256" s="1"/>
      <c r="N2256" s="1"/>
      <c r="Q2256"/>
    </row>
    <row r="2257" spans="1:17" ht="13.15" customHeight="1" x14ac:dyDescent="0.2">
      <c r="A2257" s="1" t="s">
        <v>5825</v>
      </c>
      <c r="B2257" s="1" t="s">
        <v>5826</v>
      </c>
      <c r="C2257" s="580">
        <v>1</v>
      </c>
      <c r="D2257" s="1">
        <v>923.36</v>
      </c>
      <c r="E2257" t="s">
        <v>3147</v>
      </c>
      <c r="F2257">
        <v>0</v>
      </c>
      <c r="G2257" s="580">
        <v>0</v>
      </c>
      <c r="H2257" s="1" t="s">
        <v>5827</v>
      </c>
      <c r="I2257" s="1"/>
      <c r="J2257" s="1"/>
      <c r="K2257" s="1"/>
      <c r="L2257" s="1"/>
      <c r="M2257" s="1"/>
      <c r="N2257" s="1"/>
      <c r="Q2257"/>
    </row>
    <row r="2258" spans="1:17" ht="13.15" customHeight="1" x14ac:dyDescent="0.2">
      <c r="A2258" s="1" t="s">
        <v>5828</v>
      </c>
      <c r="B2258" s="1" t="s">
        <v>5826</v>
      </c>
      <c r="C2258" s="580">
        <v>2</v>
      </c>
      <c r="D2258" s="1">
        <v>826.88</v>
      </c>
      <c r="E2258" t="s">
        <v>3147</v>
      </c>
      <c r="F2258" t="s">
        <v>5829</v>
      </c>
      <c r="G2258" s="580">
        <v>51.379800000000003</v>
      </c>
      <c r="H2258" s="1" t="s">
        <v>5830</v>
      </c>
      <c r="I2258" s="1"/>
      <c r="J2258" s="1"/>
      <c r="K2258" s="1"/>
      <c r="L2258" s="1"/>
      <c r="M2258" s="1"/>
      <c r="N2258" s="1"/>
      <c r="Q2258"/>
    </row>
    <row r="2259" spans="1:17" ht="13.15" customHeight="1" x14ac:dyDescent="0.2">
      <c r="A2259" s="1" t="s">
        <v>5831</v>
      </c>
      <c r="B2259" s="1" t="s">
        <v>5826</v>
      </c>
      <c r="C2259" s="580">
        <v>3</v>
      </c>
      <c r="D2259" s="1">
        <v>532.4</v>
      </c>
      <c r="E2259" t="s">
        <v>3147</v>
      </c>
      <c r="F2259" t="s">
        <v>5832</v>
      </c>
      <c r="G2259" s="580">
        <v>48.9923</v>
      </c>
      <c r="H2259" s="1" t="s">
        <v>5833</v>
      </c>
      <c r="I2259" s="1"/>
      <c r="J2259" s="1"/>
      <c r="K2259" s="1"/>
      <c r="L2259" s="1"/>
      <c r="M2259" s="1"/>
      <c r="N2259" s="1"/>
      <c r="Q2259"/>
    </row>
    <row r="2260" spans="1:17" ht="13.15" customHeight="1" x14ac:dyDescent="0.2">
      <c r="A2260" s="1" t="s">
        <v>5834</v>
      </c>
      <c r="B2260" s="1" t="s">
        <v>5826</v>
      </c>
      <c r="C2260" s="580">
        <v>4</v>
      </c>
      <c r="D2260" s="1">
        <v>715.4</v>
      </c>
      <c r="E2260" t="s">
        <v>3147</v>
      </c>
      <c r="F2260">
        <v>0</v>
      </c>
      <c r="G2260" s="580">
        <v>0</v>
      </c>
      <c r="H2260" s="1" t="s">
        <v>5835</v>
      </c>
      <c r="I2260" s="1"/>
      <c r="J2260" s="1"/>
      <c r="K2260" s="1"/>
      <c r="L2260" s="1"/>
      <c r="M2260" s="1"/>
      <c r="N2260" s="1"/>
      <c r="Q2260"/>
    </row>
    <row r="2261" spans="1:17" ht="13.15" customHeight="1" x14ac:dyDescent="0.2">
      <c r="A2261" s="1" t="s">
        <v>5836</v>
      </c>
      <c r="B2261" s="1" t="s">
        <v>5826</v>
      </c>
      <c r="C2261" s="580">
        <v>5</v>
      </c>
      <c r="D2261" s="1">
        <v>587.32000000000005</v>
      </c>
      <c r="E2261" t="s">
        <v>3147</v>
      </c>
      <c r="F2261">
        <v>1075</v>
      </c>
      <c r="G2261" s="580">
        <v>42.6892</v>
      </c>
      <c r="H2261" s="1" t="s">
        <v>5837</v>
      </c>
      <c r="I2261" s="1"/>
      <c r="J2261" s="1"/>
      <c r="K2261" s="1"/>
      <c r="L2261" s="1"/>
      <c r="M2261" s="1"/>
      <c r="N2261" s="1"/>
      <c r="Q2261"/>
    </row>
    <row r="2262" spans="1:17" ht="13.15" customHeight="1" x14ac:dyDescent="0.2">
      <c r="A2262" s="1" t="s">
        <v>5838</v>
      </c>
      <c r="B2262" s="1" t="s">
        <v>5826</v>
      </c>
      <c r="C2262" s="580">
        <v>6</v>
      </c>
      <c r="D2262" s="1">
        <v>743.68</v>
      </c>
      <c r="E2262" t="s">
        <v>3147</v>
      </c>
      <c r="F2262" t="s">
        <v>5839</v>
      </c>
      <c r="G2262" s="580">
        <v>54.064500000000002</v>
      </c>
      <c r="H2262" s="1" t="s">
        <v>5840</v>
      </c>
      <c r="I2262" s="1"/>
      <c r="J2262" s="1"/>
      <c r="K2262" s="1"/>
      <c r="L2262" s="1"/>
      <c r="M2262" s="1"/>
      <c r="N2262" s="1"/>
      <c r="Q2262"/>
    </row>
    <row r="2263" spans="1:17" ht="13.15" customHeight="1" x14ac:dyDescent="0.2">
      <c r="A2263" s="1" t="s">
        <v>5841</v>
      </c>
      <c r="B2263" s="1" t="s">
        <v>5826</v>
      </c>
      <c r="C2263" s="580">
        <v>7</v>
      </c>
      <c r="D2263" s="1">
        <v>532.4</v>
      </c>
      <c r="E2263" t="s">
        <v>3147</v>
      </c>
      <c r="F2263" t="s">
        <v>5842</v>
      </c>
      <c r="G2263" s="580">
        <v>38.678100000000001</v>
      </c>
      <c r="H2263" s="1" t="s">
        <v>5843</v>
      </c>
      <c r="I2263" s="1"/>
      <c r="J2263" s="1"/>
      <c r="K2263" s="1"/>
      <c r="L2263" s="1"/>
      <c r="M2263" s="1"/>
      <c r="N2263" s="1"/>
      <c r="Q2263"/>
    </row>
    <row r="2264" spans="1:17" ht="13.15" customHeight="1" x14ac:dyDescent="0.2">
      <c r="A2264" s="1" t="s">
        <v>5844</v>
      </c>
      <c r="B2264" s="1" t="s">
        <v>5826</v>
      </c>
      <c r="C2264" s="580">
        <v>8</v>
      </c>
      <c r="D2264" s="1">
        <v>690.44</v>
      </c>
      <c r="E2264" t="s">
        <v>3147</v>
      </c>
      <c r="F2264">
        <v>747</v>
      </c>
      <c r="G2264" s="580">
        <v>50.201999999999998</v>
      </c>
      <c r="H2264" s="1" t="s">
        <v>5845</v>
      </c>
      <c r="I2264" s="1"/>
      <c r="J2264" s="1"/>
      <c r="K2264" s="1"/>
      <c r="L2264" s="1"/>
      <c r="M2264" s="1"/>
      <c r="N2264" s="1"/>
      <c r="Q2264"/>
    </row>
    <row r="2265" spans="1:17" ht="13.15" customHeight="1" x14ac:dyDescent="0.2">
      <c r="A2265" s="1" t="s">
        <v>5846</v>
      </c>
      <c r="B2265" s="1" t="s">
        <v>5826</v>
      </c>
      <c r="C2265" s="580">
        <v>9</v>
      </c>
      <c r="D2265" s="1">
        <v>1146.32</v>
      </c>
      <c r="E2265" t="s">
        <v>3147</v>
      </c>
      <c r="F2265">
        <v>950</v>
      </c>
      <c r="G2265" s="580">
        <v>83.287899999999993</v>
      </c>
      <c r="H2265" s="1" t="s">
        <v>5847</v>
      </c>
      <c r="I2265" s="1"/>
      <c r="J2265" s="1"/>
      <c r="K2265" s="1"/>
      <c r="L2265" s="1"/>
      <c r="M2265" s="1"/>
      <c r="N2265" s="1"/>
      <c r="Q2265"/>
    </row>
    <row r="2266" spans="1:17" ht="13.15" customHeight="1" x14ac:dyDescent="0.2">
      <c r="A2266" s="1" t="s">
        <v>5848</v>
      </c>
      <c r="B2266" s="1" t="s">
        <v>5826</v>
      </c>
      <c r="C2266" s="580">
        <v>10</v>
      </c>
      <c r="D2266" s="1">
        <v>1099.72</v>
      </c>
      <c r="E2266" t="s">
        <v>3147</v>
      </c>
      <c r="F2266" t="s">
        <v>5849</v>
      </c>
      <c r="G2266" s="580">
        <v>79.934799999999996</v>
      </c>
      <c r="H2266" s="1" t="s">
        <v>5850</v>
      </c>
      <c r="I2266" s="1"/>
      <c r="J2266" s="1"/>
      <c r="K2266" s="1"/>
      <c r="L2266" s="1"/>
      <c r="M2266" s="1"/>
      <c r="N2266" s="1"/>
      <c r="Q2266"/>
    </row>
    <row r="2267" spans="1:17" ht="13.15" customHeight="1" x14ac:dyDescent="0.2">
      <c r="A2267" s="1" t="s">
        <v>5851</v>
      </c>
      <c r="B2267" s="1" t="s">
        <v>5826</v>
      </c>
      <c r="C2267" s="580">
        <v>11</v>
      </c>
      <c r="D2267" s="1">
        <v>776.96</v>
      </c>
      <c r="E2267" t="s">
        <v>3147</v>
      </c>
      <c r="F2267">
        <v>1395</v>
      </c>
      <c r="G2267" s="580">
        <v>56.505099999999999</v>
      </c>
      <c r="H2267" s="1" t="s">
        <v>5852</v>
      </c>
      <c r="I2267" s="1"/>
      <c r="J2267" s="1"/>
      <c r="K2267" s="1"/>
      <c r="L2267" s="1"/>
      <c r="M2267" s="1"/>
      <c r="N2267" s="1"/>
      <c r="Q2267"/>
    </row>
    <row r="2268" spans="1:17" ht="13.15" customHeight="1" x14ac:dyDescent="0.2">
      <c r="A2268" s="1" t="s">
        <v>5853</v>
      </c>
      <c r="B2268" s="1" t="s">
        <v>5826</v>
      </c>
      <c r="C2268" s="580">
        <v>12</v>
      </c>
      <c r="D2268" s="1">
        <v>1081.44</v>
      </c>
      <c r="E2268" t="s">
        <v>3147</v>
      </c>
      <c r="F2268">
        <v>1420</v>
      </c>
      <c r="G2268" s="580">
        <v>74.692800000000005</v>
      </c>
      <c r="H2268" s="1" t="s">
        <v>5854</v>
      </c>
      <c r="I2268" s="1"/>
      <c r="J2268" s="1"/>
      <c r="K2268" s="1"/>
      <c r="L2268" s="1"/>
      <c r="M2268" s="1"/>
      <c r="N2268" s="1"/>
      <c r="Q2268"/>
    </row>
    <row r="2269" spans="1:17" ht="13.15" customHeight="1" x14ac:dyDescent="0.2">
      <c r="A2269" s="1" t="s">
        <v>5855</v>
      </c>
      <c r="B2269" s="1" t="s">
        <v>5826</v>
      </c>
      <c r="C2269" s="580">
        <v>13</v>
      </c>
      <c r="D2269" s="1">
        <v>831.88</v>
      </c>
      <c r="E2269" t="s">
        <v>3147</v>
      </c>
      <c r="F2269">
        <v>976</v>
      </c>
      <c r="G2269" s="580">
        <v>60.3994</v>
      </c>
      <c r="H2269" s="1" t="s">
        <v>5856</v>
      </c>
      <c r="I2269" s="1"/>
      <c r="J2269" s="1"/>
      <c r="K2269" s="1"/>
      <c r="L2269" s="1"/>
      <c r="M2269" s="1"/>
      <c r="N2269" s="1"/>
      <c r="Q2269"/>
    </row>
    <row r="2270" spans="1:17" ht="13.15" customHeight="1" x14ac:dyDescent="0.2">
      <c r="A2270" s="1" t="s">
        <v>5857</v>
      </c>
      <c r="B2270" s="1" t="s">
        <v>5826</v>
      </c>
      <c r="C2270" s="580">
        <v>14</v>
      </c>
      <c r="D2270" s="1">
        <v>891.76</v>
      </c>
      <c r="E2270" t="s">
        <v>3147</v>
      </c>
      <c r="F2270">
        <v>743</v>
      </c>
      <c r="G2270" s="580">
        <v>64.760599999999997</v>
      </c>
      <c r="H2270" s="1" t="s">
        <v>5858</v>
      </c>
      <c r="I2270" s="1"/>
      <c r="J2270" s="1"/>
      <c r="K2270" s="1"/>
      <c r="L2270" s="1"/>
      <c r="M2270" s="1"/>
      <c r="N2270" s="1"/>
      <c r="Q2270"/>
    </row>
    <row r="2271" spans="1:17" ht="13.15" customHeight="1" x14ac:dyDescent="0.2">
      <c r="A2271" s="1" t="s">
        <v>5859</v>
      </c>
      <c r="B2271" s="1" t="s">
        <v>5826</v>
      </c>
      <c r="C2271" s="580">
        <v>15</v>
      </c>
      <c r="D2271" s="1">
        <v>1048.1600000000001</v>
      </c>
      <c r="E2271" t="s">
        <v>3147</v>
      </c>
      <c r="F2271">
        <v>1147</v>
      </c>
      <c r="G2271" s="580">
        <v>82.810400000000001</v>
      </c>
      <c r="H2271" s="1" t="s">
        <v>5860</v>
      </c>
      <c r="I2271" s="1"/>
      <c r="J2271" s="1"/>
      <c r="K2271" s="1"/>
      <c r="L2271" s="1"/>
      <c r="M2271" s="1"/>
      <c r="N2271" s="1"/>
      <c r="Q2271"/>
    </row>
    <row r="2272" spans="1:17" ht="13.15" customHeight="1" x14ac:dyDescent="0.2">
      <c r="A2272" s="1" t="s">
        <v>5861</v>
      </c>
      <c r="B2272" s="1" t="s">
        <v>5826</v>
      </c>
      <c r="C2272" s="580">
        <v>16</v>
      </c>
      <c r="D2272" s="1">
        <v>1330.64</v>
      </c>
      <c r="E2272" t="s">
        <v>3147</v>
      </c>
      <c r="F2272">
        <v>749</v>
      </c>
      <c r="G2272" s="580">
        <v>96.615700000000004</v>
      </c>
      <c r="H2272" s="1" t="s">
        <v>5862</v>
      </c>
      <c r="I2272" s="1"/>
      <c r="J2272" s="1"/>
      <c r="K2272" s="1"/>
      <c r="L2272" s="1"/>
      <c r="M2272" s="1"/>
      <c r="N2272" s="1"/>
      <c r="Q2272"/>
    </row>
    <row r="2273" spans="1:17" ht="13.15" customHeight="1" x14ac:dyDescent="0.2">
      <c r="A2273" s="1" t="s">
        <v>5863</v>
      </c>
      <c r="B2273" s="1" t="s">
        <v>5826</v>
      </c>
      <c r="C2273" s="580">
        <v>17</v>
      </c>
      <c r="D2273" s="1">
        <v>667.16</v>
      </c>
      <c r="E2273" t="s">
        <v>3147</v>
      </c>
      <c r="F2273">
        <v>985</v>
      </c>
      <c r="G2273" s="580">
        <v>48.482900000000001</v>
      </c>
      <c r="H2273" s="1" t="s">
        <v>5864</v>
      </c>
      <c r="I2273" s="1"/>
      <c r="J2273" s="1"/>
      <c r="K2273" s="1"/>
      <c r="L2273" s="1"/>
      <c r="M2273" s="1"/>
      <c r="N2273" s="1"/>
      <c r="Q2273"/>
    </row>
    <row r="2274" spans="1:17" ht="13.15" customHeight="1" x14ac:dyDescent="0.2">
      <c r="A2274" s="1" t="s">
        <v>5865</v>
      </c>
      <c r="B2274" s="1" t="s">
        <v>5826</v>
      </c>
      <c r="C2274" s="580">
        <v>18</v>
      </c>
      <c r="D2274" s="1">
        <v>1487.4</v>
      </c>
      <c r="E2274" t="s">
        <v>3147</v>
      </c>
      <c r="F2274">
        <v>744</v>
      </c>
      <c r="G2274" s="580">
        <v>108.0759</v>
      </c>
      <c r="H2274" s="1" t="s">
        <v>5866</v>
      </c>
      <c r="I2274" s="1"/>
      <c r="J2274" s="1"/>
      <c r="K2274" s="1"/>
      <c r="L2274" s="1"/>
      <c r="M2274" s="1"/>
      <c r="N2274" s="1"/>
      <c r="Q2274"/>
    </row>
    <row r="2275" spans="1:17" ht="13.15" customHeight="1" x14ac:dyDescent="0.2">
      <c r="A2275" s="1" t="s">
        <v>5867</v>
      </c>
      <c r="B2275" s="1" t="s">
        <v>5826</v>
      </c>
      <c r="C2275" s="580">
        <v>19</v>
      </c>
      <c r="D2275" s="1">
        <v>828.56</v>
      </c>
      <c r="E2275" t="s">
        <v>3147</v>
      </c>
      <c r="F2275">
        <v>1360</v>
      </c>
      <c r="G2275" s="580">
        <v>60.176600000000001</v>
      </c>
      <c r="H2275" s="1" t="s">
        <v>5837</v>
      </c>
      <c r="I2275" s="1"/>
      <c r="J2275" s="1"/>
      <c r="K2275" s="1"/>
      <c r="L2275" s="1"/>
      <c r="M2275" s="1"/>
      <c r="N2275" s="1"/>
      <c r="Q2275"/>
    </row>
    <row r="2276" spans="1:17" ht="13.15" customHeight="1" x14ac:dyDescent="0.2">
      <c r="A2276" s="1" t="s">
        <v>5868</v>
      </c>
      <c r="B2276" s="1" t="s">
        <v>5826</v>
      </c>
      <c r="C2276" s="580">
        <v>20</v>
      </c>
      <c r="D2276" s="1">
        <v>775.32</v>
      </c>
      <c r="E2276" t="s">
        <v>3147</v>
      </c>
      <c r="F2276">
        <v>855</v>
      </c>
      <c r="G2276" s="580">
        <v>56.314100000000003</v>
      </c>
      <c r="H2276" s="1" t="s">
        <v>5869</v>
      </c>
      <c r="I2276" s="1"/>
      <c r="J2276" s="1"/>
      <c r="K2276" s="1"/>
      <c r="L2276" s="1"/>
      <c r="M2276" s="1"/>
      <c r="N2276" s="1"/>
      <c r="Q2276"/>
    </row>
    <row r="2277" spans="1:17" ht="13.15" customHeight="1" x14ac:dyDescent="0.2">
      <c r="A2277" s="1" t="s">
        <v>5870</v>
      </c>
      <c r="B2277" s="1" t="s">
        <v>5826</v>
      </c>
      <c r="C2277" s="580">
        <v>21</v>
      </c>
      <c r="D2277" s="1">
        <v>1019.88</v>
      </c>
      <c r="E2277" t="s">
        <v>3147</v>
      </c>
      <c r="F2277">
        <v>1322</v>
      </c>
      <c r="G2277" s="580">
        <v>74.119799999999998</v>
      </c>
      <c r="H2277" s="1" t="s">
        <v>5871</v>
      </c>
      <c r="I2277" s="1"/>
      <c r="J2277" s="1"/>
      <c r="K2277" s="1"/>
      <c r="L2277" s="1"/>
      <c r="M2277" s="1"/>
      <c r="N2277" s="1"/>
      <c r="Q2277"/>
    </row>
    <row r="2278" spans="1:17" ht="13.15" customHeight="1" x14ac:dyDescent="0.2">
      <c r="A2278" s="1" t="s">
        <v>5872</v>
      </c>
      <c r="B2278" s="1" t="s">
        <v>5826</v>
      </c>
      <c r="C2278" s="580">
        <v>22</v>
      </c>
      <c r="D2278" s="1">
        <v>1019.88</v>
      </c>
      <c r="E2278" t="s">
        <v>3147</v>
      </c>
      <c r="F2278">
        <v>1230</v>
      </c>
      <c r="G2278" s="580">
        <v>67.137600000000006</v>
      </c>
      <c r="H2278" s="1" t="s">
        <v>5873</v>
      </c>
      <c r="I2278" s="1"/>
      <c r="J2278" s="1"/>
      <c r="K2278" s="1"/>
      <c r="L2278" s="1"/>
      <c r="M2278" s="1"/>
      <c r="N2278" s="1"/>
      <c r="Q2278"/>
    </row>
    <row r="2279" spans="1:17" ht="13.15" customHeight="1" x14ac:dyDescent="0.2">
      <c r="A2279" s="1" t="s">
        <v>5874</v>
      </c>
      <c r="B2279" s="1" t="s">
        <v>5826</v>
      </c>
      <c r="C2279" s="580">
        <v>23</v>
      </c>
      <c r="D2279" s="1">
        <v>823.56</v>
      </c>
      <c r="E2279" t="s">
        <v>3147</v>
      </c>
      <c r="F2279">
        <v>795</v>
      </c>
      <c r="G2279" s="580">
        <v>59.401899999999998</v>
      </c>
      <c r="H2279" s="1" t="s">
        <v>5875</v>
      </c>
      <c r="I2279" s="1"/>
      <c r="J2279" s="1"/>
      <c r="K2279" s="1"/>
      <c r="L2279" s="1"/>
      <c r="M2279" s="1"/>
      <c r="N2279" s="1"/>
      <c r="Q2279"/>
    </row>
    <row r="2280" spans="1:17" ht="13.15" customHeight="1" x14ac:dyDescent="0.2">
      <c r="A2280" s="1" t="s">
        <v>5876</v>
      </c>
      <c r="B2280" s="1" t="s">
        <v>5826</v>
      </c>
      <c r="C2280" s="580">
        <v>24</v>
      </c>
      <c r="D2280" s="1">
        <v>676.6</v>
      </c>
      <c r="E2280" t="s">
        <v>3147</v>
      </c>
      <c r="F2280">
        <v>1112</v>
      </c>
      <c r="G2280" s="580">
        <v>58.966900000000003</v>
      </c>
      <c r="H2280" s="1" t="s">
        <v>5877</v>
      </c>
      <c r="I2280" s="1"/>
      <c r="J2280" s="1"/>
      <c r="K2280" s="1"/>
      <c r="L2280" s="1"/>
      <c r="M2280" s="1"/>
      <c r="N2280" s="1"/>
      <c r="Q2280"/>
    </row>
    <row r="2281" spans="1:17" ht="13.15" customHeight="1" x14ac:dyDescent="0.2">
      <c r="A2281" s="1" t="s">
        <v>5878</v>
      </c>
      <c r="B2281" s="1" t="s">
        <v>5826</v>
      </c>
      <c r="C2281" s="580">
        <v>25</v>
      </c>
      <c r="D2281" s="1">
        <v>676.6</v>
      </c>
      <c r="E2281" t="s">
        <v>3147</v>
      </c>
      <c r="F2281">
        <v>984</v>
      </c>
      <c r="G2281" s="580">
        <v>59.943100000000001</v>
      </c>
      <c r="H2281" s="1" t="s">
        <v>5879</v>
      </c>
      <c r="I2281" s="1"/>
      <c r="J2281" s="1"/>
      <c r="K2281" s="1"/>
      <c r="L2281" s="1"/>
      <c r="M2281" s="1"/>
      <c r="N2281" s="1"/>
      <c r="Q2281"/>
    </row>
    <row r="2282" spans="1:17" ht="13.15" customHeight="1" x14ac:dyDescent="0.2">
      <c r="A2282" s="1" t="s">
        <v>5880</v>
      </c>
      <c r="B2282" s="1" t="s">
        <v>5826</v>
      </c>
      <c r="C2282" s="580">
        <v>26</v>
      </c>
      <c r="D2282" s="1">
        <v>911.36</v>
      </c>
      <c r="E2282" t="s">
        <v>3147</v>
      </c>
      <c r="F2282">
        <v>1113</v>
      </c>
      <c r="G2282" s="580">
        <v>75.647800000000004</v>
      </c>
      <c r="H2282" s="1" t="s">
        <v>5881</v>
      </c>
      <c r="I2282" s="1"/>
      <c r="J2282" s="1"/>
      <c r="K2282" s="1"/>
      <c r="L2282" s="1"/>
      <c r="M2282" s="1"/>
      <c r="N2282" s="1"/>
      <c r="Q2282"/>
    </row>
    <row r="2283" spans="1:17" ht="13.15" customHeight="1" x14ac:dyDescent="0.2">
      <c r="A2283" s="1" t="s">
        <v>5882</v>
      </c>
      <c r="B2283" s="1" t="s">
        <v>5826</v>
      </c>
      <c r="C2283" s="580">
        <v>27</v>
      </c>
      <c r="D2283" s="1">
        <v>635.91999999999996</v>
      </c>
      <c r="E2283" t="s">
        <v>3147</v>
      </c>
      <c r="F2283">
        <v>1212</v>
      </c>
      <c r="G2283" s="580">
        <v>55.581899999999997</v>
      </c>
      <c r="H2283" s="1" t="s">
        <v>5883</v>
      </c>
      <c r="I2283" s="1"/>
      <c r="J2283" s="1"/>
      <c r="K2283" s="1"/>
      <c r="L2283" s="1"/>
      <c r="M2283" s="1"/>
      <c r="N2283" s="1"/>
      <c r="Q2283"/>
    </row>
    <row r="2284" spans="1:17" ht="13.15" customHeight="1" x14ac:dyDescent="0.2">
      <c r="A2284" s="1" t="s">
        <v>5884</v>
      </c>
      <c r="B2284" s="1" t="s">
        <v>5885</v>
      </c>
      <c r="C2284" s="580" t="s">
        <v>3550</v>
      </c>
      <c r="D2284" s="1">
        <v>407.28</v>
      </c>
      <c r="E2284" t="s">
        <v>3282</v>
      </c>
      <c r="F2284">
        <v>0</v>
      </c>
      <c r="G2284" s="580">
        <v>0</v>
      </c>
      <c r="H2284" s="1" t="s">
        <v>3550</v>
      </c>
      <c r="I2284" s="1"/>
      <c r="J2284" s="1"/>
      <c r="K2284" s="1"/>
      <c r="L2284" s="1"/>
      <c r="M2284" s="1"/>
      <c r="N2284" s="1"/>
      <c r="Q2284"/>
    </row>
    <row r="2285" spans="1:17" ht="13.15" customHeight="1" x14ac:dyDescent="0.2">
      <c r="A2285" s="1" t="s">
        <v>5886</v>
      </c>
      <c r="B2285" s="1" t="s">
        <v>5885</v>
      </c>
      <c r="C2285" s="580" t="s">
        <v>3630</v>
      </c>
      <c r="D2285" s="1">
        <v>407.28</v>
      </c>
      <c r="E2285" t="s">
        <v>3282</v>
      </c>
      <c r="F2285">
        <v>0</v>
      </c>
      <c r="G2285" s="580">
        <v>0</v>
      </c>
      <c r="H2285" s="1" t="s">
        <v>3630</v>
      </c>
      <c r="I2285" s="1"/>
      <c r="J2285" s="1"/>
      <c r="K2285" s="1"/>
      <c r="L2285" s="1"/>
      <c r="M2285" s="1"/>
      <c r="N2285" s="1"/>
      <c r="Q2285"/>
    </row>
    <row r="2286" spans="1:17" ht="13.15" customHeight="1" x14ac:dyDescent="0.2">
      <c r="A2286" s="1" t="s">
        <v>5887</v>
      </c>
      <c r="B2286" s="1" t="s">
        <v>5885</v>
      </c>
      <c r="C2286" s="580" t="s">
        <v>5888</v>
      </c>
      <c r="D2286" s="1">
        <v>441.24</v>
      </c>
      <c r="E2286" t="s">
        <v>3282</v>
      </c>
      <c r="F2286">
        <v>0</v>
      </c>
      <c r="G2286" s="580">
        <v>0</v>
      </c>
      <c r="H2286" s="1" t="s">
        <v>5888</v>
      </c>
      <c r="I2286" s="1"/>
      <c r="J2286" s="1"/>
      <c r="K2286" s="1"/>
      <c r="L2286" s="1"/>
      <c r="M2286" s="1"/>
      <c r="N2286" s="1"/>
      <c r="Q2286"/>
    </row>
    <row r="2287" spans="1:17" ht="13.15" customHeight="1" x14ac:dyDescent="0.2">
      <c r="A2287" s="1" t="s">
        <v>5889</v>
      </c>
      <c r="B2287" s="1" t="s">
        <v>5885</v>
      </c>
      <c r="C2287" s="580" t="s">
        <v>5890</v>
      </c>
      <c r="D2287" s="1">
        <v>471.4</v>
      </c>
      <c r="E2287" t="s">
        <v>3282</v>
      </c>
      <c r="F2287">
        <v>0</v>
      </c>
      <c r="G2287" s="580">
        <v>0</v>
      </c>
      <c r="H2287" s="1" t="s">
        <v>5890</v>
      </c>
      <c r="I2287" s="1"/>
      <c r="J2287" s="1"/>
      <c r="K2287" s="1"/>
      <c r="L2287" s="1"/>
      <c r="M2287" s="1"/>
      <c r="N2287" s="1"/>
      <c r="Q2287"/>
    </row>
    <row r="2288" spans="1:17" ht="13.15" customHeight="1" x14ac:dyDescent="0.2">
      <c r="A2288" s="1" t="s">
        <v>5891</v>
      </c>
      <c r="B2288" s="1" t="s">
        <v>5885</v>
      </c>
      <c r="C2288" s="580" t="s">
        <v>5892</v>
      </c>
      <c r="D2288" s="1">
        <v>509.12</v>
      </c>
      <c r="E2288" t="s">
        <v>3282</v>
      </c>
      <c r="F2288">
        <v>0</v>
      </c>
      <c r="G2288" s="580">
        <v>0</v>
      </c>
      <c r="H2288" s="1" t="s">
        <v>5892</v>
      </c>
      <c r="I2288" s="1"/>
      <c r="J2288" s="1"/>
      <c r="K2288" s="1"/>
      <c r="L2288" s="1"/>
      <c r="M2288" s="1"/>
      <c r="N2288" s="1"/>
      <c r="Q2288"/>
    </row>
    <row r="2289" spans="1:17" ht="13.15" customHeight="1" x14ac:dyDescent="0.2">
      <c r="A2289" s="1" t="s">
        <v>5893</v>
      </c>
      <c r="B2289" s="1" t="s">
        <v>5885</v>
      </c>
      <c r="C2289" s="580" t="s">
        <v>5894</v>
      </c>
      <c r="D2289" s="1">
        <v>603.4</v>
      </c>
      <c r="E2289" t="s">
        <v>3282</v>
      </c>
      <c r="F2289">
        <v>0</v>
      </c>
      <c r="G2289" s="580">
        <v>0</v>
      </c>
      <c r="H2289" s="1" t="s">
        <v>5894</v>
      </c>
      <c r="I2289" s="1"/>
      <c r="J2289" s="1"/>
      <c r="K2289" s="1"/>
      <c r="L2289" s="1"/>
      <c r="M2289" s="1"/>
      <c r="N2289" s="1"/>
      <c r="Q2289"/>
    </row>
    <row r="2290" spans="1:17" ht="13.15" customHeight="1" x14ac:dyDescent="0.2">
      <c r="A2290" s="1" t="s">
        <v>5895</v>
      </c>
      <c r="B2290" s="1" t="s">
        <v>5885</v>
      </c>
      <c r="C2290" s="580" t="s">
        <v>5896</v>
      </c>
      <c r="D2290" s="1">
        <v>669.36</v>
      </c>
      <c r="E2290" t="s">
        <v>3282</v>
      </c>
      <c r="F2290">
        <v>0</v>
      </c>
      <c r="G2290" s="580">
        <v>0</v>
      </c>
      <c r="H2290" s="1" t="s">
        <v>5896</v>
      </c>
      <c r="I2290" s="1"/>
      <c r="J2290" s="1"/>
      <c r="K2290" s="1"/>
      <c r="L2290" s="1"/>
      <c r="M2290" s="1"/>
      <c r="N2290" s="1"/>
      <c r="Q2290"/>
    </row>
    <row r="2291" spans="1:17" ht="13.15" customHeight="1" x14ac:dyDescent="0.2">
      <c r="A2291" s="1" t="s">
        <v>5897</v>
      </c>
      <c r="B2291" s="1" t="s">
        <v>5898</v>
      </c>
      <c r="C2291" s="580" t="s">
        <v>5899</v>
      </c>
      <c r="D2291" s="1">
        <v>3418.12</v>
      </c>
      <c r="E2291" t="s">
        <v>3282</v>
      </c>
      <c r="F2291">
        <v>0</v>
      </c>
      <c r="G2291" s="580">
        <v>0</v>
      </c>
      <c r="H2291" s="1" t="s">
        <v>5899</v>
      </c>
      <c r="I2291" s="1"/>
      <c r="J2291" s="1"/>
      <c r="K2291" s="1"/>
      <c r="L2291" s="1"/>
      <c r="M2291" s="1"/>
      <c r="N2291" s="1"/>
      <c r="Q2291"/>
    </row>
    <row r="2292" spans="1:17" ht="13.15" customHeight="1" x14ac:dyDescent="0.2">
      <c r="A2292" s="1" t="s">
        <v>5900</v>
      </c>
      <c r="B2292" s="1" t="s">
        <v>5898</v>
      </c>
      <c r="C2292" s="580" t="s">
        <v>5901</v>
      </c>
      <c r="D2292" s="1">
        <v>3732.28</v>
      </c>
      <c r="E2292" t="s">
        <v>3282</v>
      </c>
      <c r="F2292">
        <v>0</v>
      </c>
      <c r="G2292" s="580">
        <v>0</v>
      </c>
      <c r="H2292" s="1" t="s">
        <v>5901</v>
      </c>
      <c r="I2292" s="1"/>
      <c r="J2292" s="1"/>
      <c r="K2292" s="1"/>
      <c r="L2292" s="1"/>
      <c r="M2292" s="1"/>
      <c r="N2292" s="1"/>
      <c r="O2292" s="1"/>
      <c r="Q2292"/>
    </row>
    <row r="2293" spans="1:17" ht="13.15" customHeight="1" x14ac:dyDescent="0.2">
      <c r="A2293" s="1" t="s">
        <v>5902</v>
      </c>
      <c r="B2293" s="1" t="s">
        <v>5898</v>
      </c>
      <c r="C2293" s="580" t="s">
        <v>5903</v>
      </c>
      <c r="D2293" s="1">
        <v>36707.32</v>
      </c>
      <c r="E2293" t="s">
        <v>3282</v>
      </c>
      <c r="F2293">
        <v>0</v>
      </c>
      <c r="G2293" s="580">
        <v>0</v>
      </c>
      <c r="H2293" s="1" t="s">
        <v>5903</v>
      </c>
      <c r="I2293" s="1"/>
      <c r="J2293" s="1"/>
      <c r="K2293" s="1"/>
      <c r="L2293" s="1"/>
      <c r="M2293" s="1"/>
      <c r="N2293" s="1"/>
      <c r="O2293" s="1"/>
      <c r="Q2293"/>
    </row>
    <row r="2294" spans="1:17" ht="13.15" customHeight="1" x14ac:dyDescent="0.2">
      <c r="A2294" s="1" t="s">
        <v>5904</v>
      </c>
      <c r="B2294" s="1" t="s">
        <v>5898</v>
      </c>
      <c r="C2294" s="580" t="s">
        <v>5905</v>
      </c>
      <c r="D2294" s="1">
        <v>13510.2</v>
      </c>
      <c r="E2294" t="s">
        <v>3282</v>
      </c>
      <c r="F2294">
        <v>0</v>
      </c>
      <c r="G2294" s="580">
        <v>0</v>
      </c>
      <c r="H2294" s="1" t="s">
        <v>5905</v>
      </c>
      <c r="I2294" s="1"/>
      <c r="J2294" s="1"/>
      <c r="K2294" s="1"/>
      <c r="L2294" s="1"/>
      <c r="M2294" s="1"/>
      <c r="N2294" s="1"/>
      <c r="O2294" s="1"/>
      <c r="Q2294"/>
    </row>
    <row r="2295" spans="1:17" ht="13.15" customHeight="1" x14ac:dyDescent="0.2">
      <c r="A2295" s="1" t="s">
        <v>5906</v>
      </c>
      <c r="B2295" s="1" t="s">
        <v>5898</v>
      </c>
      <c r="C2295" s="580" t="s">
        <v>5907</v>
      </c>
      <c r="D2295" s="1">
        <v>20972.04</v>
      </c>
      <c r="E2295" t="s">
        <v>3282</v>
      </c>
      <c r="F2295">
        <v>0</v>
      </c>
      <c r="G2295" s="580">
        <v>0</v>
      </c>
      <c r="H2295" s="1" t="s">
        <v>5907</v>
      </c>
      <c r="I2295" s="1"/>
      <c r="J2295" s="1"/>
      <c r="K2295" s="1"/>
      <c r="L2295" s="1"/>
      <c r="M2295" s="1"/>
      <c r="N2295" s="1"/>
      <c r="O2295" s="1"/>
      <c r="Q2295"/>
    </row>
    <row r="2296" spans="1:17" ht="13.15" customHeight="1" x14ac:dyDescent="0.2">
      <c r="A2296" s="1" t="s">
        <v>5908</v>
      </c>
      <c r="B2296" s="1" t="s">
        <v>5898</v>
      </c>
      <c r="C2296" s="580" t="s">
        <v>5909</v>
      </c>
      <c r="D2296" s="1">
        <v>6319.4</v>
      </c>
      <c r="E2296" t="s">
        <v>3282</v>
      </c>
      <c r="F2296">
        <v>0</v>
      </c>
      <c r="G2296" s="580">
        <v>0</v>
      </c>
      <c r="H2296" s="1" t="s">
        <v>5909</v>
      </c>
      <c r="I2296" s="1"/>
      <c r="J2296" s="1"/>
      <c r="K2296" s="1"/>
      <c r="L2296" s="1"/>
      <c r="M2296" s="1"/>
      <c r="N2296" s="1"/>
      <c r="O2296" s="1"/>
      <c r="Q2296"/>
    </row>
    <row r="2297" spans="1:17" ht="13.15" customHeight="1" x14ac:dyDescent="0.2">
      <c r="A2297" s="1" t="s">
        <v>5910</v>
      </c>
      <c r="B2297" s="1" t="s">
        <v>5898</v>
      </c>
      <c r="C2297" s="580" t="s">
        <v>5911</v>
      </c>
      <c r="D2297" s="1">
        <v>6064.8</v>
      </c>
      <c r="E2297" t="s">
        <v>3282</v>
      </c>
      <c r="F2297">
        <v>0</v>
      </c>
      <c r="G2297" s="580">
        <v>0</v>
      </c>
      <c r="H2297" s="1" t="s">
        <v>5911</v>
      </c>
      <c r="I2297" s="1"/>
      <c r="J2297" s="1"/>
      <c r="K2297" s="1"/>
      <c r="L2297" s="1"/>
      <c r="M2297" s="1"/>
      <c r="N2297" s="1"/>
      <c r="O2297" s="1"/>
      <c r="Q2297"/>
    </row>
    <row r="2298" spans="1:17" ht="13.15" customHeight="1" x14ac:dyDescent="0.2">
      <c r="A2298" s="1" t="s">
        <v>5912</v>
      </c>
      <c r="B2298" s="1" t="s">
        <v>5898</v>
      </c>
      <c r="C2298" s="580" t="s">
        <v>5913</v>
      </c>
      <c r="D2298" s="1">
        <v>6187.88</v>
      </c>
      <c r="E2298" t="s">
        <v>3282</v>
      </c>
      <c r="F2298">
        <v>0</v>
      </c>
      <c r="G2298" s="580">
        <v>0</v>
      </c>
      <c r="H2298" s="1" t="s">
        <v>5913</v>
      </c>
      <c r="I2298" s="1"/>
      <c r="J2298" s="1"/>
      <c r="K2298" s="1"/>
      <c r="L2298" s="1"/>
      <c r="M2298" s="1"/>
      <c r="N2298" s="1"/>
      <c r="O2298" s="1"/>
      <c r="Q2298"/>
    </row>
    <row r="2299" spans="1:17" ht="13.15" customHeight="1" x14ac:dyDescent="0.2">
      <c r="A2299" s="1" t="s">
        <v>5914</v>
      </c>
      <c r="B2299" s="1" t="s">
        <v>5898</v>
      </c>
      <c r="C2299" s="580" t="s">
        <v>5915</v>
      </c>
      <c r="D2299" s="1">
        <v>6558.32</v>
      </c>
      <c r="E2299" t="s">
        <v>3282</v>
      </c>
      <c r="F2299">
        <v>0</v>
      </c>
      <c r="G2299" s="580">
        <v>0</v>
      </c>
      <c r="H2299" s="1" t="s">
        <v>5915</v>
      </c>
      <c r="I2299" s="1"/>
      <c r="J2299" s="1"/>
      <c r="K2299" s="1"/>
      <c r="L2299" s="1"/>
      <c r="M2299" s="1"/>
      <c r="N2299" s="1"/>
      <c r="O2299" s="1"/>
      <c r="Q2299"/>
    </row>
    <row r="2300" spans="1:17" ht="13.15" customHeight="1" x14ac:dyDescent="0.2">
      <c r="A2300" s="1" t="s">
        <v>5916</v>
      </c>
      <c r="B2300" s="1" t="s">
        <v>5898</v>
      </c>
      <c r="C2300" s="580" t="s">
        <v>5917</v>
      </c>
      <c r="D2300" s="1">
        <v>6241.36</v>
      </c>
      <c r="E2300" t="s">
        <v>3282</v>
      </c>
      <c r="F2300">
        <v>0</v>
      </c>
      <c r="G2300" s="580">
        <v>0</v>
      </c>
      <c r="H2300" s="1" t="s">
        <v>5917</v>
      </c>
      <c r="I2300" s="1"/>
      <c r="J2300" s="1"/>
      <c r="K2300" s="1"/>
      <c r="L2300" s="1"/>
      <c r="M2300" s="1"/>
      <c r="N2300" s="1"/>
      <c r="O2300" s="1"/>
      <c r="Q2300"/>
    </row>
    <row r="2301" spans="1:17" ht="13.15" customHeight="1" x14ac:dyDescent="0.2">
      <c r="A2301" s="1" t="s">
        <v>5918</v>
      </c>
      <c r="B2301" s="1" t="s">
        <v>5898</v>
      </c>
      <c r="C2301" s="580" t="s">
        <v>5919</v>
      </c>
      <c r="D2301" s="1">
        <v>3673.88</v>
      </c>
      <c r="E2301" t="s">
        <v>3282</v>
      </c>
      <c r="F2301">
        <v>0</v>
      </c>
      <c r="G2301" s="580">
        <v>0</v>
      </c>
      <c r="H2301" s="1" t="s">
        <v>5919</v>
      </c>
      <c r="I2301" s="1"/>
      <c r="J2301" s="1"/>
      <c r="K2301" s="1"/>
      <c r="L2301" s="1"/>
      <c r="M2301" s="1"/>
      <c r="N2301" s="1"/>
      <c r="O2301" s="1"/>
      <c r="Q2301"/>
    </row>
    <row r="2302" spans="1:17" ht="13.15" customHeight="1" x14ac:dyDescent="0.2">
      <c r="A2302" s="1" t="s">
        <v>5920</v>
      </c>
      <c r="B2302" s="1" t="s">
        <v>5898</v>
      </c>
      <c r="C2302" s="580" t="s">
        <v>5921</v>
      </c>
      <c r="D2302" s="1">
        <v>3586.28</v>
      </c>
      <c r="E2302" t="s">
        <v>3282</v>
      </c>
      <c r="F2302">
        <v>0</v>
      </c>
      <c r="G2302" s="580">
        <v>0</v>
      </c>
      <c r="H2302" s="1" t="s">
        <v>5921</v>
      </c>
      <c r="I2302" s="1"/>
      <c r="J2302" s="1"/>
      <c r="K2302" s="1"/>
      <c r="L2302" s="1"/>
      <c r="M2302" s="1"/>
      <c r="N2302" s="1"/>
      <c r="O2302" s="1"/>
      <c r="Q2302"/>
    </row>
    <row r="2303" spans="1:17" ht="13.15" customHeight="1" x14ac:dyDescent="0.2">
      <c r="A2303" s="1" t="s">
        <v>5922</v>
      </c>
      <c r="B2303" s="1" t="s">
        <v>5898</v>
      </c>
      <c r="C2303" s="580" t="s">
        <v>5923</v>
      </c>
      <c r="D2303" s="1">
        <v>6461.64</v>
      </c>
      <c r="E2303" t="s">
        <v>3282</v>
      </c>
      <c r="F2303">
        <v>0</v>
      </c>
      <c r="G2303" s="580">
        <v>0</v>
      </c>
      <c r="H2303" s="1" t="s">
        <v>5923</v>
      </c>
      <c r="I2303" s="1"/>
      <c r="J2303" s="1"/>
      <c r="K2303" s="1"/>
      <c r="L2303" s="1"/>
      <c r="M2303" s="1"/>
      <c r="N2303" s="1"/>
      <c r="O2303" s="1"/>
      <c r="Q2303"/>
    </row>
    <row r="2304" spans="1:17" ht="13.15" customHeight="1" x14ac:dyDescent="0.2">
      <c r="A2304" s="1" t="s">
        <v>5924</v>
      </c>
      <c r="B2304" s="1" t="s">
        <v>5898</v>
      </c>
      <c r="C2304" s="580" t="s">
        <v>5925</v>
      </c>
      <c r="D2304" s="1">
        <v>6461.64</v>
      </c>
      <c r="E2304" t="s">
        <v>3282</v>
      </c>
      <c r="F2304">
        <v>0</v>
      </c>
      <c r="G2304" s="580">
        <v>0</v>
      </c>
      <c r="H2304" s="1" t="s">
        <v>5925</v>
      </c>
      <c r="I2304" s="1"/>
      <c r="J2304" s="1"/>
      <c r="K2304" s="1"/>
      <c r="L2304" s="1"/>
      <c r="M2304" s="1"/>
      <c r="N2304" s="1"/>
      <c r="O2304" s="1"/>
      <c r="Q2304"/>
    </row>
    <row r="2305" spans="1:17" ht="13.15" customHeight="1" x14ac:dyDescent="0.2">
      <c r="A2305" s="1" t="s">
        <v>5926</v>
      </c>
      <c r="B2305" s="1" t="s">
        <v>5898</v>
      </c>
      <c r="C2305" s="580" t="s">
        <v>5927</v>
      </c>
      <c r="D2305" s="1">
        <v>7564.88</v>
      </c>
      <c r="E2305" t="s">
        <v>3282</v>
      </c>
      <c r="F2305">
        <v>0</v>
      </c>
      <c r="G2305" s="580">
        <v>0</v>
      </c>
      <c r="H2305" s="1" t="s">
        <v>5927</v>
      </c>
      <c r="I2305" s="1"/>
      <c r="J2305" s="1"/>
      <c r="K2305" s="1"/>
      <c r="L2305" s="1"/>
      <c r="M2305" s="1"/>
      <c r="N2305" s="1"/>
      <c r="O2305" s="1"/>
      <c r="Q2305"/>
    </row>
    <row r="2306" spans="1:17" ht="13.15" customHeight="1" x14ac:dyDescent="0.2">
      <c r="A2306" s="1" t="s">
        <v>5928</v>
      </c>
      <c r="B2306" s="1" t="s">
        <v>5898</v>
      </c>
      <c r="C2306" s="580" t="s">
        <v>5929</v>
      </c>
      <c r="D2306" s="1">
        <v>7564.88</v>
      </c>
      <c r="E2306" t="s">
        <v>3282</v>
      </c>
      <c r="F2306">
        <v>0</v>
      </c>
      <c r="G2306" s="580">
        <v>0</v>
      </c>
      <c r="H2306" s="1" t="s">
        <v>5929</v>
      </c>
      <c r="I2306" s="1"/>
      <c r="J2306" s="1"/>
      <c r="K2306" s="1"/>
      <c r="L2306" s="1"/>
      <c r="M2306" s="1"/>
      <c r="N2306" s="1"/>
      <c r="O2306" s="1"/>
      <c r="Q2306"/>
    </row>
    <row r="2307" spans="1:17" ht="13.15" customHeight="1" x14ac:dyDescent="0.2">
      <c r="A2307" s="1" t="s">
        <v>5930</v>
      </c>
      <c r="B2307" s="1" t="s">
        <v>5898</v>
      </c>
      <c r="C2307" s="580" t="s">
        <v>5931</v>
      </c>
      <c r="D2307" s="1">
        <v>7394</v>
      </c>
      <c r="E2307" t="s">
        <v>3282</v>
      </c>
      <c r="F2307">
        <v>0</v>
      </c>
      <c r="G2307" s="580">
        <v>0</v>
      </c>
      <c r="H2307" s="1" t="s">
        <v>5931</v>
      </c>
      <c r="I2307" s="1"/>
      <c r="J2307" s="1"/>
      <c r="K2307" s="1"/>
      <c r="L2307" s="1"/>
      <c r="M2307" s="1"/>
      <c r="N2307" s="1"/>
      <c r="O2307" s="1"/>
      <c r="Q2307"/>
    </row>
    <row r="2308" spans="1:17" ht="13.15" customHeight="1" x14ac:dyDescent="0.2">
      <c r="A2308" s="1" t="s">
        <v>5932</v>
      </c>
      <c r="B2308" s="1" t="s">
        <v>5898</v>
      </c>
      <c r="C2308" s="580" t="s">
        <v>5933</v>
      </c>
      <c r="D2308" s="1">
        <v>6559.6</v>
      </c>
      <c r="E2308" t="s">
        <v>3282</v>
      </c>
      <c r="F2308">
        <v>0</v>
      </c>
      <c r="G2308" s="580">
        <v>0</v>
      </c>
      <c r="H2308" s="1" t="s">
        <v>5933</v>
      </c>
      <c r="I2308" s="1"/>
      <c r="J2308" s="1"/>
      <c r="K2308" s="1"/>
      <c r="L2308" s="1"/>
      <c r="M2308" s="1"/>
      <c r="N2308" s="1"/>
      <c r="O2308" s="1"/>
      <c r="Q2308"/>
    </row>
    <row r="2309" spans="1:17" ht="13.15" customHeight="1" x14ac:dyDescent="0.2">
      <c r="A2309" s="1" t="s">
        <v>5934</v>
      </c>
      <c r="B2309" s="1" t="s">
        <v>5634</v>
      </c>
      <c r="C2309" s="580" t="s">
        <v>5935</v>
      </c>
      <c r="D2309" s="1">
        <v>3119.84</v>
      </c>
      <c r="E2309" t="s">
        <v>5635</v>
      </c>
      <c r="F2309">
        <v>0</v>
      </c>
      <c r="G2309" s="580">
        <v>0</v>
      </c>
      <c r="H2309" s="1" t="s">
        <v>5935</v>
      </c>
      <c r="I2309" s="1"/>
      <c r="J2309" s="1"/>
      <c r="K2309" s="1"/>
      <c r="L2309" s="1"/>
      <c r="M2309" s="1"/>
      <c r="N2309" s="1"/>
      <c r="O2309" s="1"/>
      <c r="Q2309"/>
    </row>
    <row r="2310" spans="1:17" ht="13.15" customHeight="1" x14ac:dyDescent="0.2">
      <c r="A2310" s="1" t="s">
        <v>5936</v>
      </c>
      <c r="B2310" s="1" t="s">
        <v>5634</v>
      </c>
      <c r="C2310" s="580" t="s">
        <v>5937</v>
      </c>
      <c r="D2310" s="1">
        <v>4666.4399999999996</v>
      </c>
      <c r="E2310" t="s">
        <v>5635</v>
      </c>
      <c r="F2310">
        <v>0</v>
      </c>
      <c r="G2310" s="580">
        <v>0</v>
      </c>
      <c r="H2310" s="1" t="s">
        <v>5937</v>
      </c>
      <c r="I2310" s="1"/>
      <c r="J2310" s="1"/>
      <c r="K2310" s="1"/>
      <c r="L2310" s="1"/>
      <c r="M2310" s="1"/>
      <c r="N2310" s="1"/>
      <c r="O2310" s="1"/>
      <c r="Q2310"/>
    </row>
    <row r="2311" spans="1:17" ht="13.15" customHeight="1" x14ac:dyDescent="0.2">
      <c r="A2311" s="1" t="s">
        <v>5938</v>
      </c>
      <c r="B2311" s="1" t="s">
        <v>5939</v>
      </c>
      <c r="C2311" s="580" t="s">
        <v>5940</v>
      </c>
      <c r="D2311" s="1">
        <v>24.1098</v>
      </c>
      <c r="E2311" t="s">
        <v>5941</v>
      </c>
      <c r="F2311" t="s">
        <v>5940</v>
      </c>
      <c r="G2311" s="580">
        <v>4.5004999999999997</v>
      </c>
      <c r="H2311" s="1" t="s">
        <v>5942</v>
      </c>
      <c r="I2311" s="1"/>
      <c r="J2311" s="1"/>
      <c r="K2311" s="1"/>
      <c r="L2311" s="1"/>
      <c r="M2311" s="1"/>
      <c r="N2311" s="1"/>
      <c r="O2311" s="1"/>
      <c r="Q2311"/>
    </row>
    <row r="2312" spans="1:17" ht="13.15" customHeight="1" x14ac:dyDescent="0.2">
      <c r="A2312" s="1" t="s">
        <v>5943</v>
      </c>
      <c r="B2312" s="1" t="s">
        <v>5939</v>
      </c>
      <c r="C2312" s="580" t="s">
        <v>5944</v>
      </c>
      <c r="D2312" s="1">
        <v>26.887</v>
      </c>
      <c r="E2312" t="s">
        <v>5941</v>
      </c>
      <c r="F2312" t="s">
        <v>5944</v>
      </c>
      <c r="G2312" s="580">
        <v>5.0189000000000004</v>
      </c>
      <c r="H2312" s="1" t="s">
        <v>5945</v>
      </c>
      <c r="I2312" s="1"/>
      <c r="J2312" s="1"/>
      <c r="K2312" s="1"/>
      <c r="L2312" s="1"/>
      <c r="M2312" s="1"/>
      <c r="N2312" s="1"/>
      <c r="O2312" s="1"/>
      <c r="Q2312"/>
    </row>
    <row r="2313" spans="1:17" ht="13.15" customHeight="1" x14ac:dyDescent="0.2">
      <c r="A2313" s="1" t="s">
        <v>5946</v>
      </c>
      <c r="B2313" s="1" t="s">
        <v>5939</v>
      </c>
      <c r="C2313" s="580" t="s">
        <v>5947</v>
      </c>
      <c r="D2313" s="1">
        <v>28.035</v>
      </c>
      <c r="E2313" t="s">
        <v>5941</v>
      </c>
      <c r="F2313" t="s">
        <v>5947</v>
      </c>
      <c r="G2313" s="580">
        <v>5.2332000000000001</v>
      </c>
      <c r="H2313" s="1" t="s">
        <v>5948</v>
      </c>
      <c r="I2313" s="1"/>
      <c r="J2313" s="1"/>
      <c r="K2313" s="1"/>
      <c r="L2313" s="1"/>
      <c r="M2313" s="1"/>
      <c r="N2313" s="1"/>
      <c r="O2313" s="1"/>
      <c r="Q2313"/>
    </row>
    <row r="2314" spans="1:17" ht="13.15" customHeight="1" x14ac:dyDescent="0.2">
      <c r="A2314" s="1" t="s">
        <v>5949</v>
      </c>
      <c r="B2314" s="1" t="s">
        <v>5939</v>
      </c>
      <c r="C2314" s="580" t="s">
        <v>5251</v>
      </c>
      <c r="D2314" s="1">
        <v>31.086400000000001</v>
      </c>
      <c r="E2314" t="s">
        <v>5941</v>
      </c>
      <c r="F2314" t="s">
        <v>5251</v>
      </c>
      <c r="G2314" s="580">
        <v>5.8028000000000004</v>
      </c>
      <c r="H2314" s="1" t="s">
        <v>5950</v>
      </c>
      <c r="I2314" s="1"/>
      <c r="J2314" s="1"/>
      <c r="K2314" s="1"/>
      <c r="L2314" s="1"/>
      <c r="M2314" s="1"/>
      <c r="N2314" s="1"/>
      <c r="O2314" s="1"/>
      <c r="Q2314"/>
    </row>
    <row r="2315" spans="1:17" ht="13.15" customHeight="1" x14ac:dyDescent="0.2">
      <c r="A2315" s="1" t="s">
        <v>5951</v>
      </c>
      <c r="B2315" s="1" t="s">
        <v>5939</v>
      </c>
      <c r="C2315" s="580" t="s">
        <v>5952</v>
      </c>
      <c r="D2315" s="1">
        <v>36.313899999999997</v>
      </c>
      <c r="E2315" t="s">
        <v>5941</v>
      </c>
      <c r="F2315" t="s">
        <v>5952</v>
      </c>
      <c r="G2315" s="580">
        <v>6.7786</v>
      </c>
      <c r="H2315" s="1" t="s">
        <v>5953</v>
      </c>
      <c r="I2315" s="1"/>
      <c r="J2315" s="1"/>
      <c r="K2315" s="1"/>
      <c r="L2315" s="1"/>
      <c r="M2315" s="1"/>
      <c r="N2315" s="1"/>
      <c r="O2315" s="1"/>
      <c r="Q2315"/>
    </row>
    <row r="2316" spans="1:17" ht="13.15" customHeight="1" x14ac:dyDescent="0.2">
      <c r="A2316" s="1" t="s">
        <v>5954</v>
      </c>
      <c r="B2316" s="1" t="s">
        <v>5939</v>
      </c>
      <c r="C2316" s="580" t="s">
        <v>5955</v>
      </c>
      <c r="D2316" s="1">
        <v>38.7059</v>
      </c>
      <c r="E2316" t="s">
        <v>5941</v>
      </c>
      <c r="F2316" t="s">
        <v>5955</v>
      </c>
      <c r="G2316" s="580">
        <v>7.2251000000000003</v>
      </c>
      <c r="H2316" s="1" t="s">
        <v>5956</v>
      </c>
      <c r="I2316" s="1"/>
      <c r="J2316" s="1"/>
      <c r="K2316" s="1"/>
      <c r="L2316" s="1"/>
      <c r="M2316" s="1"/>
      <c r="N2316" s="1"/>
      <c r="O2316" s="1"/>
      <c r="Q2316"/>
    </row>
    <row r="2317" spans="1:17" ht="13.15" customHeight="1" x14ac:dyDescent="0.2">
      <c r="A2317" s="1" t="s">
        <v>5957</v>
      </c>
      <c r="B2317" s="1" t="s">
        <v>5939</v>
      </c>
      <c r="C2317" s="580" t="s">
        <v>5958</v>
      </c>
      <c r="D2317" s="1">
        <v>55.198900000000002</v>
      </c>
      <c r="E2317" t="s">
        <v>5941</v>
      </c>
      <c r="F2317" t="s">
        <v>5958</v>
      </c>
      <c r="G2317" s="580">
        <v>10.303800000000001</v>
      </c>
      <c r="H2317" s="1" t="s">
        <v>5959</v>
      </c>
      <c r="I2317" s="1"/>
      <c r="J2317" s="1"/>
      <c r="K2317" s="1"/>
      <c r="L2317" s="1"/>
      <c r="M2317" s="1"/>
      <c r="N2317" s="1"/>
      <c r="O2317" s="1"/>
      <c r="Q2317"/>
    </row>
    <row r="2318" spans="1:17" ht="13.15" customHeight="1" x14ac:dyDescent="0.2">
      <c r="A2318" s="1" t="s">
        <v>5960</v>
      </c>
      <c r="B2318" s="1" t="s">
        <v>5939</v>
      </c>
      <c r="C2318" s="580" t="s">
        <v>5961</v>
      </c>
      <c r="D2318" s="1">
        <v>70.598600000000005</v>
      </c>
      <c r="E2318" t="s">
        <v>5941</v>
      </c>
      <c r="F2318" t="s">
        <v>5961</v>
      </c>
      <c r="G2318" s="580">
        <v>13.1784</v>
      </c>
      <c r="H2318" s="1" t="s">
        <v>5962</v>
      </c>
      <c r="I2318" s="1"/>
      <c r="J2318" s="1"/>
      <c r="K2318" s="1"/>
      <c r="L2318" s="1"/>
      <c r="M2318" s="1"/>
      <c r="N2318" s="1"/>
      <c r="O2318" s="1"/>
      <c r="Q2318"/>
    </row>
    <row r="2319" spans="1:17" ht="13.15" customHeight="1" x14ac:dyDescent="0.2">
      <c r="A2319" s="1" t="s">
        <v>5963</v>
      </c>
      <c r="B2319" s="1" t="s">
        <v>5939</v>
      </c>
      <c r="C2319" s="580" t="s">
        <v>5964</v>
      </c>
      <c r="D2319" s="1">
        <v>46.764600000000002</v>
      </c>
      <c r="E2319" t="s">
        <v>5941</v>
      </c>
      <c r="F2319" t="s">
        <v>5964</v>
      </c>
      <c r="G2319" s="580">
        <v>8.7294</v>
      </c>
      <c r="H2319" s="1" t="s">
        <v>5965</v>
      </c>
      <c r="I2319" s="1"/>
      <c r="J2319" s="1"/>
      <c r="K2319" s="1"/>
      <c r="L2319" s="1"/>
      <c r="M2319" s="1"/>
      <c r="N2319" s="1"/>
      <c r="O2319" s="1"/>
      <c r="Q2319"/>
    </row>
    <row r="2320" spans="1:17" ht="13.15" customHeight="1" x14ac:dyDescent="0.2">
      <c r="A2320" s="1" t="s">
        <v>5966</v>
      </c>
      <c r="B2320" s="1" t="s">
        <v>5939</v>
      </c>
      <c r="C2320" s="580" t="s">
        <v>5267</v>
      </c>
      <c r="D2320" s="1">
        <v>50.015300000000003</v>
      </c>
      <c r="E2320" t="s">
        <v>5941</v>
      </c>
      <c r="F2320" t="s">
        <v>5267</v>
      </c>
      <c r="G2320" s="580">
        <v>9.3361999999999998</v>
      </c>
      <c r="H2320" s="1" t="s">
        <v>5967</v>
      </c>
      <c r="I2320" s="1"/>
      <c r="J2320" s="1"/>
      <c r="K2320" s="1"/>
      <c r="L2320" s="1"/>
      <c r="M2320" s="1"/>
      <c r="N2320" s="1"/>
      <c r="O2320" s="1"/>
      <c r="Q2320"/>
    </row>
    <row r="2321" spans="1:17" ht="13.15" customHeight="1" x14ac:dyDescent="0.2">
      <c r="A2321" s="1" t="s">
        <v>5968</v>
      </c>
      <c r="B2321" s="1" t="s">
        <v>5939</v>
      </c>
      <c r="C2321" s="580" t="s">
        <v>5969</v>
      </c>
      <c r="D2321" s="1">
        <v>69.161199999999994</v>
      </c>
      <c r="E2321" t="s">
        <v>5941</v>
      </c>
      <c r="F2321" t="s">
        <v>5969</v>
      </c>
      <c r="G2321" s="580">
        <v>12.9101</v>
      </c>
      <c r="H2321" s="1" t="s">
        <v>5970</v>
      </c>
      <c r="I2321" s="1"/>
      <c r="J2321" s="1"/>
      <c r="K2321" s="1"/>
      <c r="L2321" s="1"/>
      <c r="M2321" s="1"/>
      <c r="N2321" s="1"/>
      <c r="O2321" s="1"/>
      <c r="Q2321"/>
    </row>
    <row r="2322" spans="1:17" ht="13.15" customHeight="1" x14ac:dyDescent="0.2">
      <c r="A2322" s="1" t="s">
        <v>5971</v>
      </c>
      <c r="B2322" s="1" t="s">
        <v>5939</v>
      </c>
      <c r="C2322" s="580" t="s">
        <v>5972</v>
      </c>
      <c r="D2322" s="1">
        <v>90.433899999999994</v>
      </c>
      <c r="E2322" t="s">
        <v>5941</v>
      </c>
      <c r="F2322" t="s">
        <v>5972</v>
      </c>
      <c r="G2322" s="580">
        <v>16.881</v>
      </c>
      <c r="H2322" s="1" t="s">
        <v>5973</v>
      </c>
      <c r="I2322" s="1"/>
      <c r="J2322" s="1"/>
      <c r="K2322" s="1"/>
      <c r="L2322" s="1"/>
      <c r="M2322" s="1"/>
      <c r="N2322" s="1"/>
      <c r="O2322" s="1"/>
      <c r="Q2322"/>
    </row>
    <row r="2323" spans="1:17" ht="13.15" customHeight="1" x14ac:dyDescent="0.2">
      <c r="A2323" s="1" t="s">
        <v>5974</v>
      </c>
      <c r="B2323" s="1" t="s">
        <v>5939</v>
      </c>
      <c r="C2323" s="580" t="s">
        <v>5975</v>
      </c>
      <c r="D2323" s="1">
        <v>54.779499999999999</v>
      </c>
      <c r="E2323" t="s">
        <v>5941</v>
      </c>
      <c r="F2323" t="s">
        <v>5975</v>
      </c>
      <c r="G2323" s="580">
        <v>10.2255</v>
      </c>
      <c r="H2323" s="1" t="s">
        <v>5976</v>
      </c>
      <c r="I2323" s="1"/>
      <c r="J2323" s="1"/>
      <c r="K2323" s="1"/>
      <c r="L2323" s="1"/>
      <c r="M2323" s="1"/>
      <c r="N2323" s="1"/>
      <c r="O2323" s="1"/>
      <c r="Q2323"/>
    </row>
    <row r="2324" spans="1:17" ht="13.15" customHeight="1" x14ac:dyDescent="0.2">
      <c r="A2324" s="1" t="s">
        <v>5977</v>
      </c>
      <c r="B2324" s="1" t="s">
        <v>5939</v>
      </c>
      <c r="C2324" s="580" t="s">
        <v>5286</v>
      </c>
      <c r="D2324" s="1">
        <v>73.930700000000002</v>
      </c>
      <c r="E2324" t="s">
        <v>5941</v>
      </c>
      <c r="F2324" t="s">
        <v>5286</v>
      </c>
      <c r="G2324" s="580">
        <v>13.8004</v>
      </c>
      <c r="H2324" s="1" t="s">
        <v>5978</v>
      </c>
      <c r="I2324" s="1"/>
      <c r="J2324" s="1"/>
      <c r="K2324" s="1"/>
      <c r="L2324" s="1"/>
      <c r="M2324" s="1"/>
      <c r="N2324" s="1"/>
      <c r="O2324" s="1"/>
      <c r="Q2324"/>
    </row>
    <row r="2325" spans="1:17" ht="13.15" customHeight="1" x14ac:dyDescent="0.2">
      <c r="A2325" s="1" t="s">
        <v>5979</v>
      </c>
      <c r="B2325" s="1" t="s">
        <v>5939</v>
      </c>
      <c r="C2325" s="580" t="s">
        <v>5294</v>
      </c>
      <c r="D2325" s="1">
        <v>95.750399999999999</v>
      </c>
      <c r="E2325" t="s">
        <v>5941</v>
      </c>
      <c r="F2325" t="s">
        <v>5294</v>
      </c>
      <c r="G2325" s="580">
        <v>17.8734</v>
      </c>
      <c r="H2325" s="1" t="s">
        <v>5980</v>
      </c>
      <c r="I2325" s="1"/>
      <c r="J2325" s="1"/>
      <c r="K2325" s="1"/>
      <c r="L2325" s="1"/>
      <c r="M2325" s="1"/>
      <c r="N2325" s="1"/>
      <c r="O2325" s="1"/>
      <c r="Q2325"/>
    </row>
    <row r="2326" spans="1:17" ht="13.15" customHeight="1" x14ac:dyDescent="0.2">
      <c r="A2326" s="1" t="s">
        <v>5981</v>
      </c>
      <c r="B2326" s="1" t="s">
        <v>5939</v>
      </c>
      <c r="C2326" s="580" t="s">
        <v>5302</v>
      </c>
      <c r="D2326" s="1">
        <v>115.3163</v>
      </c>
      <c r="E2326" t="s">
        <v>5941</v>
      </c>
      <c r="F2326" t="s">
        <v>5302</v>
      </c>
      <c r="G2326" s="580">
        <v>21.525700000000001</v>
      </c>
      <c r="H2326" s="1" t="s">
        <v>5982</v>
      </c>
      <c r="I2326" s="1"/>
      <c r="J2326" s="1"/>
      <c r="K2326" s="1"/>
      <c r="L2326" s="1"/>
      <c r="M2326" s="1"/>
      <c r="N2326" s="1"/>
      <c r="O2326" s="1"/>
      <c r="Q2326"/>
    </row>
    <row r="2327" spans="1:17" ht="13.15" customHeight="1" x14ac:dyDescent="0.2">
      <c r="A2327" s="1" t="s">
        <v>5983</v>
      </c>
      <c r="B2327" s="1" t="s">
        <v>5939</v>
      </c>
      <c r="C2327" s="580" t="s">
        <v>5984</v>
      </c>
      <c r="D2327" s="1">
        <v>143.4991</v>
      </c>
      <c r="E2327" t="s">
        <v>5941</v>
      </c>
      <c r="F2327" t="s">
        <v>5984</v>
      </c>
      <c r="G2327" s="580">
        <v>26.7865</v>
      </c>
      <c r="H2327" s="1" t="s">
        <v>5985</v>
      </c>
      <c r="I2327" s="1"/>
      <c r="J2327" s="1"/>
      <c r="K2327" s="1"/>
      <c r="L2327" s="1"/>
      <c r="M2327" s="1"/>
      <c r="N2327" s="1"/>
      <c r="O2327" s="1"/>
      <c r="Q2327"/>
    </row>
    <row r="2328" spans="1:17" ht="13.15" customHeight="1" x14ac:dyDescent="0.2">
      <c r="A2328" s="1" t="s">
        <v>5986</v>
      </c>
      <c r="B2328" s="1" t="s">
        <v>5939</v>
      </c>
      <c r="C2328" s="580" t="s">
        <v>5310</v>
      </c>
      <c r="D2328" s="1">
        <v>94.861099999999993</v>
      </c>
      <c r="E2328" t="s">
        <v>5941</v>
      </c>
      <c r="F2328" t="s">
        <v>5310</v>
      </c>
      <c r="G2328" s="580">
        <v>17.7074</v>
      </c>
      <c r="H2328" s="1" t="s">
        <v>5987</v>
      </c>
      <c r="I2328" s="1"/>
      <c r="J2328" s="1"/>
      <c r="K2328" s="1"/>
      <c r="L2328" s="1"/>
      <c r="M2328" s="1"/>
      <c r="N2328" s="1"/>
      <c r="O2328" s="1"/>
      <c r="Q2328"/>
    </row>
    <row r="2329" spans="1:17" ht="13.15" customHeight="1" x14ac:dyDescent="0.2">
      <c r="A2329" s="1" t="s">
        <v>5988</v>
      </c>
      <c r="B2329" s="1" t="s">
        <v>5939</v>
      </c>
      <c r="C2329" s="580" t="s">
        <v>5314</v>
      </c>
      <c r="D2329" s="1">
        <v>126.65300000000001</v>
      </c>
      <c r="E2329" t="s">
        <v>5941</v>
      </c>
      <c r="F2329" t="s">
        <v>5314</v>
      </c>
      <c r="G2329" s="580">
        <v>23.6419</v>
      </c>
      <c r="H2329" s="1" t="s">
        <v>5989</v>
      </c>
      <c r="I2329" s="1"/>
      <c r="J2329" s="1"/>
      <c r="K2329" s="1"/>
      <c r="L2329" s="1"/>
      <c r="M2329" s="1"/>
      <c r="N2329" s="1"/>
      <c r="O2329" s="1"/>
      <c r="Q2329"/>
    </row>
    <row r="2330" spans="1:17" ht="13.15" customHeight="1" x14ac:dyDescent="0.2">
      <c r="A2330" s="1" t="s">
        <v>5990</v>
      </c>
      <c r="B2330" s="1" t="s">
        <v>5939</v>
      </c>
      <c r="C2330" s="580" t="s">
        <v>5318</v>
      </c>
      <c r="D2330" s="1">
        <v>138.77619999999999</v>
      </c>
      <c r="E2330" t="s">
        <v>5941</v>
      </c>
      <c r="F2330" t="s">
        <v>5318</v>
      </c>
      <c r="G2330" s="580">
        <v>25.904900000000001</v>
      </c>
      <c r="H2330" s="1" t="s">
        <v>5991</v>
      </c>
      <c r="I2330" s="1"/>
      <c r="J2330" s="1"/>
      <c r="K2330" s="1"/>
      <c r="L2330" s="1"/>
      <c r="M2330" s="1"/>
      <c r="N2330" s="1"/>
      <c r="O2330" s="1"/>
      <c r="Q2330"/>
    </row>
    <row r="2331" spans="1:17" ht="13.15" customHeight="1" x14ac:dyDescent="0.2">
      <c r="A2331" s="1" t="s">
        <v>5992</v>
      </c>
      <c r="B2331" s="1" t="s">
        <v>5939</v>
      </c>
      <c r="C2331" s="580" t="s">
        <v>5993</v>
      </c>
      <c r="D2331" s="1">
        <v>186.11250000000001</v>
      </c>
      <c r="E2331" t="s">
        <v>5941</v>
      </c>
      <c r="F2331" t="s">
        <v>5993</v>
      </c>
      <c r="G2331" s="580">
        <v>34.741</v>
      </c>
      <c r="H2331" s="1" t="s">
        <v>5994</v>
      </c>
      <c r="I2331" s="1"/>
      <c r="J2331" s="1"/>
      <c r="K2331" s="1"/>
      <c r="L2331" s="1"/>
      <c r="M2331" s="1"/>
      <c r="N2331" s="1"/>
      <c r="O2331" s="1"/>
      <c r="Q2331"/>
    </row>
    <row r="2332" spans="1:17" ht="13.15" customHeight="1" x14ac:dyDescent="0.2">
      <c r="A2332" s="1" t="s">
        <v>5995</v>
      </c>
      <c r="B2332" s="1" t="s">
        <v>5939</v>
      </c>
      <c r="C2332" s="580" t="s">
        <v>5330</v>
      </c>
      <c r="D2332" s="1">
        <v>110.5634</v>
      </c>
      <c r="E2332" t="s">
        <v>5941</v>
      </c>
      <c r="F2332" t="s">
        <v>5330</v>
      </c>
      <c r="G2332" s="580">
        <v>20.638500000000001</v>
      </c>
      <c r="H2332" s="1" t="s">
        <v>5996</v>
      </c>
      <c r="I2332" s="1"/>
      <c r="J2332" s="1"/>
      <c r="K2332" s="1"/>
      <c r="L2332" s="1"/>
      <c r="M2332" s="1"/>
      <c r="N2332" s="1"/>
      <c r="O2332" s="1"/>
      <c r="Q2332"/>
    </row>
    <row r="2333" spans="1:17" ht="13.15" customHeight="1" x14ac:dyDescent="0.2">
      <c r="A2333" s="1" t="s">
        <v>5997</v>
      </c>
      <c r="B2333" s="1" t="s">
        <v>5939</v>
      </c>
      <c r="C2333" s="580" t="s">
        <v>5334</v>
      </c>
      <c r="D2333" s="1">
        <v>144.84960000000001</v>
      </c>
      <c r="E2333" t="s">
        <v>5941</v>
      </c>
      <c r="F2333" t="s">
        <v>5334</v>
      </c>
      <c r="G2333" s="580">
        <v>27.038599999999999</v>
      </c>
      <c r="H2333" s="1" t="s">
        <v>5998</v>
      </c>
      <c r="I2333" s="1"/>
      <c r="J2333" s="1"/>
      <c r="K2333" s="1"/>
      <c r="L2333" s="1"/>
      <c r="M2333" s="1"/>
      <c r="N2333" s="1"/>
      <c r="O2333" s="1"/>
      <c r="Q2333"/>
    </row>
    <row r="2334" spans="1:17" ht="13.15" customHeight="1" x14ac:dyDescent="0.2">
      <c r="A2334" s="1" t="s">
        <v>5999</v>
      </c>
      <c r="B2334" s="1" t="s">
        <v>5939</v>
      </c>
      <c r="C2334" s="580" t="s">
        <v>5338</v>
      </c>
      <c r="D2334" s="1">
        <v>171.78059999999999</v>
      </c>
      <c r="E2334" t="s">
        <v>5941</v>
      </c>
      <c r="F2334" t="s">
        <v>5338</v>
      </c>
      <c r="G2334" s="580">
        <v>32.0657</v>
      </c>
      <c r="H2334" s="1" t="s">
        <v>6000</v>
      </c>
      <c r="I2334" s="1"/>
      <c r="J2334" s="1"/>
      <c r="K2334" s="1"/>
      <c r="L2334" s="1"/>
      <c r="M2334" s="1"/>
      <c r="N2334" s="1"/>
      <c r="O2334" s="1"/>
      <c r="Q2334"/>
    </row>
    <row r="2335" spans="1:17" ht="13.15" customHeight="1" x14ac:dyDescent="0.2">
      <c r="A2335" s="1" t="s">
        <v>6001</v>
      </c>
      <c r="B2335" s="1" t="s">
        <v>5939</v>
      </c>
      <c r="C2335" s="580" t="s">
        <v>6002</v>
      </c>
      <c r="D2335" s="1">
        <v>182.19589999999999</v>
      </c>
      <c r="E2335" t="s">
        <v>5941</v>
      </c>
      <c r="F2335" t="s">
        <v>6002</v>
      </c>
      <c r="G2335" s="580">
        <v>34.009900000000002</v>
      </c>
      <c r="H2335" s="1" t="s">
        <v>6003</v>
      </c>
      <c r="I2335" s="1"/>
      <c r="J2335" s="1"/>
      <c r="K2335" s="1"/>
      <c r="L2335" s="1"/>
      <c r="M2335" s="1"/>
      <c r="N2335" s="1"/>
      <c r="O2335" s="1"/>
      <c r="Q2335"/>
    </row>
    <row r="2336" spans="1:17" ht="13.15" customHeight="1" x14ac:dyDescent="0.2">
      <c r="A2336" s="1" t="s">
        <v>6004</v>
      </c>
      <c r="B2336" s="1" t="s">
        <v>5939</v>
      </c>
      <c r="C2336" s="580" t="s">
        <v>6005</v>
      </c>
      <c r="D2336" s="1">
        <v>220.3837</v>
      </c>
      <c r="E2336" t="s">
        <v>5941</v>
      </c>
      <c r="F2336" t="s">
        <v>6005</v>
      </c>
      <c r="G2336" s="580">
        <v>41.138300000000001</v>
      </c>
      <c r="H2336" s="1" t="s">
        <v>6006</v>
      </c>
      <c r="I2336" s="1"/>
      <c r="J2336" s="1"/>
      <c r="K2336" s="1"/>
      <c r="L2336" s="1"/>
      <c r="M2336" s="1"/>
      <c r="N2336" s="1"/>
      <c r="O2336" s="1"/>
      <c r="Q2336"/>
    </row>
    <row r="2337" spans="1:17" ht="13.15" customHeight="1" x14ac:dyDescent="0.2">
      <c r="A2337" s="1" t="s">
        <v>6007</v>
      </c>
      <c r="B2337" s="1" t="s">
        <v>5939</v>
      </c>
      <c r="C2337" s="580" t="s">
        <v>5350</v>
      </c>
      <c r="D2337" s="1">
        <v>169.66229999999999</v>
      </c>
      <c r="E2337" t="s">
        <v>5941</v>
      </c>
      <c r="F2337" t="s">
        <v>5350</v>
      </c>
      <c r="G2337" s="580">
        <v>31.670300000000001</v>
      </c>
      <c r="H2337" s="1" t="s">
        <v>6008</v>
      </c>
      <c r="I2337" s="1"/>
      <c r="J2337" s="1"/>
      <c r="K2337" s="1"/>
      <c r="L2337" s="1"/>
      <c r="M2337" s="1"/>
      <c r="N2337" s="1"/>
      <c r="O2337" s="1"/>
      <c r="Q2337"/>
    </row>
    <row r="2338" spans="1:17" ht="13.15" customHeight="1" x14ac:dyDescent="0.2">
      <c r="A2338" s="1" t="s">
        <v>6009</v>
      </c>
      <c r="B2338" s="1" t="s">
        <v>5939</v>
      </c>
      <c r="C2338" s="580" t="s">
        <v>5354</v>
      </c>
      <c r="D2338" s="1">
        <v>200.83179999999999</v>
      </c>
      <c r="E2338" t="s">
        <v>5941</v>
      </c>
      <c r="F2338" t="s">
        <v>5354</v>
      </c>
      <c r="G2338" s="580">
        <v>37.488599999999998</v>
      </c>
      <c r="H2338" s="1" t="s">
        <v>6010</v>
      </c>
      <c r="I2338" s="1"/>
      <c r="J2338" s="1"/>
      <c r="K2338" s="1"/>
      <c r="L2338" s="1"/>
      <c r="M2338" s="1"/>
      <c r="N2338" s="1"/>
      <c r="O2338" s="1"/>
      <c r="Q2338"/>
    </row>
    <row r="2339" spans="1:17" ht="13.15" customHeight="1" x14ac:dyDescent="0.2">
      <c r="A2339" s="1" t="s">
        <v>6011</v>
      </c>
      <c r="B2339" s="1" t="s">
        <v>5939</v>
      </c>
      <c r="C2339" s="580" t="s">
        <v>6012</v>
      </c>
      <c r="D2339" s="1">
        <v>230.2371</v>
      </c>
      <c r="E2339" t="s">
        <v>5941</v>
      </c>
      <c r="F2339" t="s">
        <v>6012</v>
      </c>
      <c r="G2339" s="580">
        <v>42.977600000000002</v>
      </c>
      <c r="H2339" s="1" t="s">
        <v>6013</v>
      </c>
      <c r="I2339" s="1"/>
      <c r="J2339" s="1"/>
      <c r="K2339" s="1"/>
      <c r="L2339" s="1"/>
      <c r="M2339" s="1"/>
      <c r="N2339" s="1"/>
      <c r="O2339" s="1"/>
      <c r="Q2339"/>
    </row>
    <row r="2340" spans="1:17" ht="13.15" customHeight="1" x14ac:dyDescent="0.2">
      <c r="A2340" s="1" t="s">
        <v>6014</v>
      </c>
      <c r="B2340" s="1" t="s">
        <v>5939</v>
      </c>
      <c r="C2340" s="580" t="s">
        <v>5468</v>
      </c>
      <c r="D2340" s="1">
        <v>200.70750000000001</v>
      </c>
      <c r="E2340" t="s">
        <v>5941</v>
      </c>
      <c r="F2340" t="s">
        <v>5468</v>
      </c>
      <c r="G2340" s="580">
        <v>37.465400000000002</v>
      </c>
      <c r="H2340" s="1" t="s">
        <v>6015</v>
      </c>
      <c r="I2340" s="1"/>
      <c r="J2340" s="1"/>
      <c r="K2340" s="1"/>
      <c r="L2340" s="1"/>
      <c r="M2340" s="1"/>
      <c r="N2340" s="1"/>
      <c r="O2340" s="1"/>
      <c r="Q2340"/>
    </row>
    <row r="2341" spans="1:17" ht="13.15" customHeight="1" x14ac:dyDescent="0.2">
      <c r="A2341" s="1" t="s">
        <v>6016</v>
      </c>
      <c r="B2341" s="1" t="s">
        <v>5939</v>
      </c>
      <c r="C2341" s="580" t="s">
        <v>5366</v>
      </c>
      <c r="D2341" s="1">
        <v>211.9896</v>
      </c>
      <c r="E2341" t="s">
        <v>5941</v>
      </c>
      <c r="F2341" t="s">
        <v>5366</v>
      </c>
      <c r="G2341" s="580">
        <v>39.571399999999997</v>
      </c>
      <c r="H2341" s="1" t="s">
        <v>6017</v>
      </c>
      <c r="I2341" s="1"/>
      <c r="J2341" s="1"/>
      <c r="K2341" s="1"/>
      <c r="L2341" s="1"/>
      <c r="M2341" s="1"/>
      <c r="N2341" s="1"/>
      <c r="O2341" s="1"/>
      <c r="Q2341"/>
    </row>
    <row r="2342" spans="1:17" ht="13.15" customHeight="1" x14ac:dyDescent="0.2">
      <c r="A2342" s="1" t="s">
        <v>6018</v>
      </c>
      <c r="B2342" s="1" t="s">
        <v>5939</v>
      </c>
      <c r="C2342" s="580" t="s">
        <v>5370</v>
      </c>
      <c r="D2342" s="1">
        <v>256.6891</v>
      </c>
      <c r="E2342" t="s">
        <v>5941</v>
      </c>
      <c r="F2342" t="s">
        <v>5370</v>
      </c>
      <c r="G2342" s="580">
        <v>47.915300000000002</v>
      </c>
      <c r="H2342" s="1" t="s">
        <v>6019</v>
      </c>
      <c r="I2342" s="1"/>
      <c r="J2342" s="1"/>
      <c r="K2342" s="1"/>
      <c r="L2342" s="1"/>
      <c r="M2342" s="1"/>
      <c r="N2342" s="1"/>
      <c r="O2342" s="1"/>
      <c r="Q2342"/>
    </row>
    <row r="2343" spans="1:17" ht="13.15" customHeight="1" x14ac:dyDescent="0.2">
      <c r="A2343" s="1" t="s">
        <v>6020</v>
      </c>
      <c r="B2343" s="1" t="s">
        <v>5939</v>
      </c>
      <c r="C2343" s="580" t="s">
        <v>5374</v>
      </c>
      <c r="D2343" s="1">
        <v>303.56779999999998</v>
      </c>
      <c r="E2343" t="s">
        <v>5941</v>
      </c>
      <c r="F2343" t="s">
        <v>5374</v>
      </c>
      <c r="G2343" s="580">
        <v>56.665999999999997</v>
      </c>
      <c r="H2343" s="1" t="s">
        <v>6021</v>
      </c>
      <c r="I2343" s="1"/>
      <c r="J2343" s="1"/>
      <c r="K2343" s="1"/>
      <c r="L2343" s="1"/>
      <c r="M2343" s="1"/>
      <c r="N2343" s="1"/>
      <c r="O2343" s="1"/>
      <c r="Q2343"/>
    </row>
    <row r="2344" spans="1:17" ht="13.15" customHeight="1" x14ac:dyDescent="0.2">
      <c r="A2344" s="1" t="s">
        <v>6022</v>
      </c>
      <c r="B2344" s="1" t="s">
        <v>5939</v>
      </c>
      <c r="C2344" s="580" t="s">
        <v>6023</v>
      </c>
      <c r="D2344" s="1">
        <v>330.8845</v>
      </c>
      <c r="E2344" t="s">
        <v>5941</v>
      </c>
      <c r="F2344" t="s">
        <v>6023</v>
      </c>
      <c r="G2344" s="580">
        <v>61.765099999999997</v>
      </c>
      <c r="H2344" s="1" t="s">
        <v>6024</v>
      </c>
      <c r="I2344" s="1"/>
      <c r="J2344" s="1"/>
      <c r="K2344" s="1"/>
      <c r="L2344" s="1"/>
      <c r="M2344" s="1"/>
      <c r="N2344" s="1"/>
      <c r="O2344" s="1"/>
      <c r="Q2344"/>
    </row>
    <row r="2345" spans="1:17" ht="13.15" customHeight="1" x14ac:dyDescent="0.2">
      <c r="A2345" s="1" t="s">
        <v>6025</v>
      </c>
      <c r="B2345" s="1" t="s">
        <v>5939</v>
      </c>
      <c r="C2345" s="580" t="s">
        <v>6026</v>
      </c>
      <c r="D2345" s="1">
        <v>168.43010000000001</v>
      </c>
      <c r="E2345" t="s">
        <v>5941</v>
      </c>
      <c r="F2345" t="s">
        <v>6026</v>
      </c>
      <c r="G2345" s="580">
        <v>31.440300000000001</v>
      </c>
      <c r="H2345" s="1" t="s">
        <v>6026</v>
      </c>
      <c r="I2345" s="1"/>
      <c r="J2345" s="1"/>
      <c r="K2345" s="1"/>
      <c r="L2345" s="1"/>
      <c r="M2345" s="1"/>
      <c r="N2345" s="1"/>
      <c r="O2345" s="1"/>
      <c r="Q2345"/>
    </row>
    <row r="2346" spans="1:17" ht="13.15" customHeight="1" x14ac:dyDescent="0.2">
      <c r="A2346" s="1" t="s">
        <v>6027</v>
      </c>
      <c r="B2346" s="1" t="s">
        <v>5939</v>
      </c>
      <c r="C2346" s="580" t="s">
        <v>5402</v>
      </c>
      <c r="D2346" s="1">
        <v>478.14859999999999</v>
      </c>
      <c r="E2346" t="s">
        <v>5941</v>
      </c>
      <c r="F2346" t="s">
        <v>5402</v>
      </c>
      <c r="G2346" s="580">
        <v>89.254400000000004</v>
      </c>
      <c r="H2346" s="1" t="s">
        <v>5402</v>
      </c>
      <c r="I2346" s="1"/>
      <c r="J2346" s="1"/>
      <c r="K2346" s="1"/>
      <c r="L2346" s="1"/>
      <c r="M2346" s="1"/>
      <c r="N2346" s="1"/>
      <c r="O2346" s="1"/>
      <c r="Q2346"/>
    </row>
    <row r="2347" spans="1:17" ht="13.15" customHeight="1" x14ac:dyDescent="0.2">
      <c r="A2347" s="1" t="s">
        <v>6028</v>
      </c>
      <c r="B2347" s="1" t="s">
        <v>6029</v>
      </c>
      <c r="C2347" s="580" t="s">
        <v>6030</v>
      </c>
      <c r="D2347" s="1">
        <v>623.19000000000005</v>
      </c>
      <c r="E2347" t="s">
        <v>6031</v>
      </c>
      <c r="F2347" t="s">
        <v>6032</v>
      </c>
      <c r="G2347" s="580">
        <v>128.02680000000001</v>
      </c>
      <c r="H2347" s="1" t="s">
        <v>6030</v>
      </c>
      <c r="I2347" s="1"/>
      <c r="J2347" s="1"/>
      <c r="K2347" s="1"/>
      <c r="L2347" s="1"/>
      <c r="M2347" s="1"/>
      <c r="N2347" s="1"/>
      <c r="O2347" s="1"/>
      <c r="Q2347"/>
    </row>
    <row r="2348" spans="1:17" ht="13.15" customHeight="1" x14ac:dyDescent="0.2">
      <c r="A2348" s="1" t="s">
        <v>6033</v>
      </c>
      <c r="B2348" s="1" t="s">
        <v>6029</v>
      </c>
      <c r="C2348" s="580" t="s">
        <v>6034</v>
      </c>
      <c r="D2348" s="1">
        <v>998.92</v>
      </c>
      <c r="E2348" t="s">
        <v>6031</v>
      </c>
      <c r="F2348" t="s">
        <v>6035</v>
      </c>
      <c r="G2348" s="580">
        <v>205.21600000000001</v>
      </c>
      <c r="H2348" s="1" t="s">
        <v>6034</v>
      </c>
      <c r="I2348" s="1"/>
      <c r="J2348" s="1"/>
      <c r="K2348" s="1"/>
      <c r="L2348" s="1"/>
      <c r="M2348" s="1"/>
      <c r="N2348" s="1"/>
      <c r="O2348" s="1"/>
      <c r="Q2348"/>
    </row>
    <row r="2349" spans="1:17" ht="13.15" customHeight="1" x14ac:dyDescent="0.2">
      <c r="A2349" s="1" t="s">
        <v>6036</v>
      </c>
      <c r="B2349" s="1" t="s">
        <v>6029</v>
      </c>
      <c r="C2349" s="580" t="s">
        <v>6037</v>
      </c>
      <c r="D2349" s="1">
        <v>1637.5</v>
      </c>
      <c r="E2349" t="s">
        <v>6031</v>
      </c>
      <c r="F2349" t="s">
        <v>6038</v>
      </c>
      <c r="G2349" s="580">
        <v>336.40499999999997</v>
      </c>
      <c r="H2349" s="1" t="s">
        <v>6037</v>
      </c>
      <c r="I2349" s="1"/>
      <c r="J2349" s="1"/>
      <c r="K2349" s="1"/>
      <c r="L2349" s="1"/>
      <c r="M2349" s="1"/>
      <c r="N2349" s="1"/>
      <c r="O2349" s="1"/>
      <c r="Q2349"/>
    </row>
    <row r="2350" spans="1:17" ht="13.15" customHeight="1" x14ac:dyDescent="0.2">
      <c r="A2350" s="1" t="s">
        <v>6039</v>
      </c>
      <c r="B2350" s="1" t="s">
        <v>6029</v>
      </c>
      <c r="C2350" s="580" t="s">
        <v>6040</v>
      </c>
      <c r="D2350" s="1">
        <v>1637.5</v>
      </c>
      <c r="E2350" t="s">
        <v>6031</v>
      </c>
      <c r="F2350" t="s">
        <v>6041</v>
      </c>
      <c r="G2350" s="580">
        <v>336.40499999999997</v>
      </c>
      <c r="H2350" s="1" t="s">
        <v>6040</v>
      </c>
      <c r="I2350" s="1"/>
      <c r="J2350" s="1"/>
      <c r="K2350" s="1"/>
      <c r="L2350" s="1"/>
      <c r="M2350" s="1"/>
      <c r="N2350" s="1"/>
      <c r="O2350" s="1"/>
      <c r="Q2350"/>
    </row>
    <row r="2351" spans="1:17" ht="13.15" customHeight="1" x14ac:dyDescent="0.2">
      <c r="A2351" s="1" t="s">
        <v>6042</v>
      </c>
      <c r="B2351" s="1" t="s">
        <v>6029</v>
      </c>
      <c r="C2351" s="580" t="s">
        <v>6043</v>
      </c>
      <c r="D2351" s="1">
        <v>1004.37</v>
      </c>
      <c r="E2351" t="s">
        <v>6031</v>
      </c>
      <c r="F2351" t="s">
        <v>6044</v>
      </c>
      <c r="G2351" s="580">
        <v>206.33539999999999</v>
      </c>
      <c r="H2351" s="1" t="s">
        <v>6043</v>
      </c>
      <c r="I2351" s="1"/>
      <c r="J2351" s="1"/>
      <c r="K2351" s="1"/>
      <c r="L2351" s="1"/>
      <c r="M2351" s="1"/>
      <c r="N2351" s="1"/>
      <c r="O2351" s="1"/>
      <c r="Q2351"/>
    </row>
    <row r="2352" spans="1:17" ht="13.15" customHeight="1" x14ac:dyDescent="0.2">
      <c r="A2352" s="1" t="s">
        <v>6045</v>
      </c>
      <c r="B2352" s="1" t="s">
        <v>6029</v>
      </c>
      <c r="C2352" s="580" t="s">
        <v>6046</v>
      </c>
      <c r="D2352" s="1">
        <v>1637.5</v>
      </c>
      <c r="E2352" t="s">
        <v>6031</v>
      </c>
      <c r="F2352" t="s">
        <v>6047</v>
      </c>
      <c r="G2352" s="580">
        <v>336.40499999999997</v>
      </c>
      <c r="H2352" s="1" t="s">
        <v>6046</v>
      </c>
      <c r="I2352" s="1"/>
      <c r="J2352" s="1"/>
      <c r="K2352" s="1"/>
      <c r="L2352" s="1"/>
      <c r="M2352" s="1"/>
      <c r="N2352" s="1"/>
      <c r="O2352" s="1"/>
      <c r="Q2352"/>
    </row>
    <row r="2353" spans="1:17" ht="13.15" customHeight="1" x14ac:dyDescent="0.2">
      <c r="A2353" s="1" t="s">
        <v>6048</v>
      </c>
      <c r="B2353" s="1" t="s">
        <v>6029</v>
      </c>
      <c r="C2353" s="580" t="s">
        <v>6049</v>
      </c>
      <c r="D2353" s="1">
        <v>1093.3599999999999</v>
      </c>
      <c r="E2353" t="s">
        <v>6031</v>
      </c>
      <c r="F2353" t="s">
        <v>6050</v>
      </c>
      <c r="G2353" s="580">
        <v>224.6182</v>
      </c>
      <c r="H2353" s="1" t="s">
        <v>6049</v>
      </c>
      <c r="I2353" s="1"/>
      <c r="J2353" s="1"/>
      <c r="K2353" s="1"/>
      <c r="L2353" s="1"/>
      <c r="M2353" s="1"/>
      <c r="N2353" s="1"/>
      <c r="O2353" s="1"/>
      <c r="Q2353"/>
    </row>
    <row r="2354" spans="1:17" ht="13.15" customHeight="1" x14ac:dyDescent="0.2">
      <c r="A2354" s="1" t="s">
        <v>6051</v>
      </c>
      <c r="B2354" s="1" t="s">
        <v>6029</v>
      </c>
      <c r="C2354" s="580" t="s">
        <v>6052</v>
      </c>
      <c r="D2354" s="1">
        <v>1004.37</v>
      </c>
      <c r="E2354" t="s">
        <v>6031</v>
      </c>
      <c r="F2354" t="s">
        <v>6053</v>
      </c>
      <c r="G2354" s="580">
        <v>206.33539999999999</v>
      </c>
      <c r="H2354" s="1" t="s">
        <v>6052</v>
      </c>
      <c r="I2354" s="1"/>
      <c r="J2354" s="1"/>
      <c r="K2354" s="1"/>
      <c r="L2354" s="1"/>
      <c r="M2354" s="1"/>
      <c r="N2354" s="1"/>
      <c r="O2354" s="1"/>
      <c r="Q2354"/>
    </row>
    <row r="2355" spans="1:17" ht="13.15" customHeight="1" x14ac:dyDescent="0.2">
      <c r="A2355" s="1" t="s">
        <v>6054</v>
      </c>
      <c r="B2355" s="1" t="s">
        <v>6029</v>
      </c>
      <c r="C2355" s="580" t="s">
        <v>6055</v>
      </c>
      <c r="D2355" s="1">
        <v>1637.5</v>
      </c>
      <c r="E2355" t="s">
        <v>6031</v>
      </c>
      <c r="F2355" t="s">
        <v>6056</v>
      </c>
      <c r="G2355" s="580">
        <v>336.40499999999997</v>
      </c>
      <c r="H2355" s="1" t="s">
        <v>6055</v>
      </c>
      <c r="I2355" s="1"/>
      <c r="J2355" s="1"/>
      <c r="K2355" s="1"/>
      <c r="L2355" s="1"/>
      <c r="M2355" s="1"/>
      <c r="N2355" s="1"/>
      <c r="O2355" s="1"/>
      <c r="Q2355"/>
    </row>
    <row r="2356" spans="1:17" ht="13.15" customHeight="1" x14ac:dyDescent="0.2">
      <c r="A2356" s="1" t="s">
        <v>6057</v>
      </c>
      <c r="B2356" s="1" t="s">
        <v>6029</v>
      </c>
      <c r="C2356" s="580" t="s">
        <v>6058</v>
      </c>
      <c r="D2356" s="1">
        <v>1637.5</v>
      </c>
      <c r="E2356" t="s">
        <v>6031</v>
      </c>
      <c r="F2356" t="s">
        <v>6059</v>
      </c>
      <c r="G2356" s="580">
        <v>336.40499999999997</v>
      </c>
      <c r="H2356" s="1" t="s">
        <v>6058</v>
      </c>
      <c r="I2356" s="1"/>
      <c r="J2356" s="1"/>
      <c r="K2356" s="1"/>
      <c r="L2356" s="1"/>
      <c r="M2356" s="1"/>
      <c r="N2356" s="1"/>
      <c r="O2356" s="1"/>
      <c r="Q2356"/>
    </row>
    <row r="2357" spans="1:17" ht="13.15" customHeight="1" x14ac:dyDescent="0.2">
      <c r="A2357" s="1" t="s">
        <v>6060</v>
      </c>
      <c r="B2357" s="1" t="s">
        <v>6029</v>
      </c>
      <c r="C2357" s="580" t="s">
        <v>6061</v>
      </c>
      <c r="D2357" s="1">
        <v>1004.37</v>
      </c>
      <c r="E2357" t="s">
        <v>6031</v>
      </c>
      <c r="F2357" t="s">
        <v>6062</v>
      </c>
      <c r="G2357" s="580">
        <v>206.33539999999999</v>
      </c>
      <c r="H2357" s="1" t="s">
        <v>6061</v>
      </c>
      <c r="I2357" s="1"/>
      <c r="J2357" s="1"/>
      <c r="K2357" s="1"/>
      <c r="L2357" s="1"/>
      <c r="M2357" s="1"/>
      <c r="N2357" s="1"/>
      <c r="O2357" s="1"/>
      <c r="Q2357"/>
    </row>
    <row r="2358" spans="1:17" ht="13.15" customHeight="1" x14ac:dyDescent="0.2">
      <c r="A2358" s="1" t="s">
        <v>6063</v>
      </c>
      <c r="B2358" s="1" t="s">
        <v>6029</v>
      </c>
      <c r="C2358" s="580" t="s">
        <v>6064</v>
      </c>
      <c r="D2358" s="1">
        <v>1637.5</v>
      </c>
      <c r="E2358" t="s">
        <v>6031</v>
      </c>
      <c r="F2358" t="s">
        <v>6065</v>
      </c>
      <c r="G2358" s="580">
        <v>336.40499999999997</v>
      </c>
      <c r="H2358" s="1" t="s">
        <v>6064</v>
      </c>
      <c r="I2358" s="1"/>
      <c r="J2358" s="1"/>
      <c r="K2358" s="1"/>
      <c r="L2358" s="1"/>
      <c r="M2358" s="1"/>
      <c r="N2358" s="1"/>
      <c r="O2358" s="1"/>
      <c r="Q2358"/>
    </row>
    <row r="2359" spans="1:17" ht="13.15" customHeight="1" x14ac:dyDescent="0.2">
      <c r="A2359" s="1" t="s">
        <v>6066</v>
      </c>
      <c r="B2359" s="1" t="s">
        <v>6029</v>
      </c>
      <c r="C2359" s="580" t="s">
        <v>6067</v>
      </c>
      <c r="D2359" s="1">
        <v>1637.5</v>
      </c>
      <c r="E2359" t="s">
        <v>6031</v>
      </c>
      <c r="F2359" t="s">
        <v>6068</v>
      </c>
      <c r="G2359" s="580">
        <v>336.40499999999997</v>
      </c>
      <c r="H2359" s="1" t="s">
        <v>6067</v>
      </c>
      <c r="I2359" s="1"/>
      <c r="J2359" s="1"/>
      <c r="K2359" s="1"/>
      <c r="L2359" s="1"/>
      <c r="M2359" s="1"/>
      <c r="N2359" s="1"/>
      <c r="O2359" s="1"/>
      <c r="Q2359"/>
    </row>
    <row r="2360" spans="1:17" ht="13.15" customHeight="1" x14ac:dyDescent="0.2">
      <c r="A2360" s="1" t="s">
        <v>6069</v>
      </c>
      <c r="B2360" s="1" t="s">
        <v>6029</v>
      </c>
      <c r="C2360" s="580" t="s">
        <v>6070</v>
      </c>
      <c r="D2360" s="1">
        <v>1004.37</v>
      </c>
      <c r="E2360" t="s">
        <v>6031</v>
      </c>
      <c r="F2360" t="s">
        <v>6071</v>
      </c>
      <c r="G2360" s="580">
        <v>128.02680000000001</v>
      </c>
      <c r="H2360" s="1" t="s">
        <v>6070</v>
      </c>
      <c r="I2360" s="1"/>
      <c r="J2360" s="1"/>
      <c r="K2360" s="1"/>
      <c r="L2360" s="1"/>
      <c r="M2360" s="1"/>
      <c r="N2360" s="1"/>
      <c r="O2360" s="1"/>
      <c r="Q2360"/>
    </row>
    <row r="2361" spans="1:17" ht="13.15" customHeight="1" x14ac:dyDescent="0.2">
      <c r="A2361" s="1" t="s">
        <v>6072</v>
      </c>
      <c r="B2361" s="1" t="s">
        <v>6029</v>
      </c>
      <c r="C2361" s="580" t="s">
        <v>6073</v>
      </c>
      <c r="D2361" s="1">
        <v>1637.5</v>
      </c>
      <c r="E2361" t="s">
        <v>6031</v>
      </c>
      <c r="F2361" t="s">
        <v>6074</v>
      </c>
      <c r="G2361" s="580">
        <v>336.40499999999997</v>
      </c>
      <c r="H2361" s="1" t="s">
        <v>6075</v>
      </c>
      <c r="I2361" s="1"/>
      <c r="J2361" s="1"/>
      <c r="K2361" s="1"/>
      <c r="L2361" s="1"/>
      <c r="M2361" s="1"/>
      <c r="N2361" s="1"/>
      <c r="O2361" s="1"/>
      <c r="Q2361"/>
    </row>
    <row r="2362" spans="1:17" ht="13.15" customHeight="1" x14ac:dyDescent="0.2">
      <c r="A2362" s="1" t="s">
        <v>6076</v>
      </c>
      <c r="B2362" s="1" t="s">
        <v>6029</v>
      </c>
      <c r="C2362" s="580" t="s">
        <v>6077</v>
      </c>
      <c r="D2362" s="1">
        <v>1637.5</v>
      </c>
      <c r="E2362" t="s">
        <v>6031</v>
      </c>
      <c r="F2362" t="s">
        <v>6078</v>
      </c>
      <c r="G2362" s="580">
        <v>336.40499999999997</v>
      </c>
      <c r="H2362" s="1" t="s">
        <v>6079</v>
      </c>
      <c r="I2362" s="1"/>
      <c r="J2362" s="1"/>
      <c r="K2362" s="1"/>
      <c r="L2362" s="1"/>
      <c r="M2362" s="1"/>
      <c r="N2362" s="1"/>
      <c r="O2362" s="1"/>
      <c r="Q2362"/>
    </row>
    <row r="2363" spans="1:17" ht="13.15" customHeight="1" x14ac:dyDescent="0.2">
      <c r="A2363" s="1" t="s">
        <v>6080</v>
      </c>
      <c r="B2363" s="1" t="s">
        <v>6029</v>
      </c>
      <c r="C2363" s="580" t="s">
        <v>6081</v>
      </c>
      <c r="D2363" s="1">
        <v>1462.05</v>
      </c>
      <c r="E2363" t="s">
        <v>6031</v>
      </c>
      <c r="F2363" t="s">
        <v>6082</v>
      </c>
      <c r="G2363" s="580">
        <v>300.36160000000001</v>
      </c>
      <c r="H2363" s="1" t="s">
        <v>6081</v>
      </c>
      <c r="I2363" s="1"/>
      <c r="J2363" s="1"/>
      <c r="K2363" s="1"/>
      <c r="L2363" s="1"/>
      <c r="M2363" s="1"/>
      <c r="N2363" s="1"/>
      <c r="O2363" s="1"/>
      <c r="Q2363"/>
    </row>
    <row r="2364" spans="1:17" ht="13.15" customHeight="1" x14ac:dyDescent="0.2">
      <c r="A2364" s="1" t="s">
        <v>6083</v>
      </c>
      <c r="B2364" s="1" t="s">
        <v>6029</v>
      </c>
      <c r="C2364" s="580" t="s">
        <v>6084</v>
      </c>
      <c r="D2364" s="1">
        <v>1462.05</v>
      </c>
      <c r="E2364" t="s">
        <v>6031</v>
      </c>
      <c r="F2364" t="s">
        <v>6085</v>
      </c>
      <c r="G2364" s="580">
        <v>300.36160000000001</v>
      </c>
      <c r="H2364" s="1" t="s">
        <v>6084</v>
      </c>
      <c r="I2364" s="1"/>
      <c r="J2364" s="1"/>
      <c r="K2364" s="1"/>
      <c r="L2364" s="1"/>
      <c r="M2364" s="1"/>
      <c r="N2364" s="1"/>
      <c r="O2364" s="1"/>
      <c r="Q2364"/>
    </row>
    <row r="2365" spans="1:17" ht="13.15" customHeight="1" x14ac:dyDescent="0.2">
      <c r="A2365" s="1" t="s">
        <v>6086</v>
      </c>
      <c r="B2365" s="1" t="s">
        <v>6029</v>
      </c>
      <c r="C2365" s="580" t="s">
        <v>6087</v>
      </c>
      <c r="D2365" s="1">
        <v>3496.22</v>
      </c>
      <c r="E2365" t="s">
        <v>6031</v>
      </c>
      <c r="F2365" t="s">
        <v>6088</v>
      </c>
      <c r="G2365" s="580">
        <v>718.25599999999997</v>
      </c>
      <c r="H2365" s="1" t="s">
        <v>6087</v>
      </c>
      <c r="I2365" s="1"/>
      <c r="J2365" s="1"/>
      <c r="K2365" s="1"/>
      <c r="L2365" s="1"/>
      <c r="M2365" s="1"/>
      <c r="N2365" s="1"/>
      <c r="O2365" s="1"/>
      <c r="Q2365"/>
    </row>
    <row r="2366" spans="1:17" ht="13.15" customHeight="1" x14ac:dyDescent="0.2">
      <c r="A2366" s="1" t="s">
        <v>6089</v>
      </c>
      <c r="B2366" s="1" t="s">
        <v>6029</v>
      </c>
      <c r="C2366" s="580" t="s">
        <v>6090</v>
      </c>
      <c r="D2366" s="1">
        <v>3534.36</v>
      </c>
      <c r="E2366" t="s">
        <v>6031</v>
      </c>
      <c r="F2366" t="s">
        <v>6091</v>
      </c>
      <c r="G2366" s="580">
        <v>726.0915</v>
      </c>
      <c r="H2366" s="1" t="s">
        <v>6090</v>
      </c>
      <c r="I2366" s="1"/>
      <c r="J2366" s="1"/>
      <c r="K2366" s="1"/>
      <c r="L2366" s="1"/>
      <c r="M2366" s="1"/>
      <c r="N2366" s="1"/>
      <c r="O2366" s="1"/>
      <c r="Q2366"/>
    </row>
    <row r="2367" spans="1:17" ht="13.15" customHeight="1" x14ac:dyDescent="0.2">
      <c r="A2367" s="1" t="s">
        <v>6092</v>
      </c>
      <c r="B2367" s="1" t="s">
        <v>6029</v>
      </c>
      <c r="C2367" s="580" t="s">
        <v>6093</v>
      </c>
      <c r="D2367" s="1">
        <v>1637.5</v>
      </c>
      <c r="E2367" t="s">
        <v>6031</v>
      </c>
      <c r="F2367" t="s">
        <v>6094</v>
      </c>
      <c r="G2367" s="580">
        <v>336.40499999999997</v>
      </c>
      <c r="H2367" s="1" t="s">
        <v>6093</v>
      </c>
      <c r="I2367" s="1"/>
      <c r="J2367" s="1"/>
      <c r="K2367" s="1"/>
      <c r="L2367" s="1"/>
      <c r="M2367" s="1"/>
      <c r="N2367" s="1"/>
      <c r="O2367" s="1"/>
      <c r="Q2367"/>
    </row>
    <row r="2368" spans="1:17" ht="13.15" customHeight="1" x14ac:dyDescent="0.2">
      <c r="A2368" s="1" t="s">
        <v>6095</v>
      </c>
      <c r="B2368" s="1" t="s">
        <v>6029</v>
      </c>
      <c r="C2368" s="580" t="s">
        <v>6096</v>
      </c>
      <c r="D2368" s="1">
        <v>2402.85</v>
      </c>
      <c r="E2368" t="s">
        <v>6031</v>
      </c>
      <c r="F2368" t="s">
        <v>6097</v>
      </c>
      <c r="G2368" s="580">
        <v>493.63780000000003</v>
      </c>
      <c r="H2368" s="1" t="s">
        <v>6096</v>
      </c>
      <c r="I2368" s="1"/>
      <c r="J2368" s="1"/>
      <c r="K2368" s="1"/>
      <c r="L2368" s="1"/>
      <c r="M2368" s="1"/>
      <c r="N2368" s="1"/>
      <c r="O2368" s="1"/>
      <c r="Q2368"/>
    </row>
    <row r="2369" spans="1:17" ht="13.15" customHeight="1" x14ac:dyDescent="0.2">
      <c r="A2369" s="1" t="s">
        <v>6098</v>
      </c>
      <c r="B2369" s="1" t="s">
        <v>6029</v>
      </c>
      <c r="C2369" s="580" t="s">
        <v>6099</v>
      </c>
      <c r="D2369" s="1">
        <v>2402.85</v>
      </c>
      <c r="E2369" t="s">
        <v>6031</v>
      </c>
      <c r="F2369" t="s">
        <v>6100</v>
      </c>
      <c r="G2369" s="580">
        <v>493.63780000000003</v>
      </c>
      <c r="H2369" s="1" t="s">
        <v>6099</v>
      </c>
      <c r="I2369" s="1"/>
      <c r="J2369" s="1"/>
      <c r="K2369" s="1"/>
      <c r="L2369" s="1"/>
      <c r="M2369" s="1"/>
      <c r="N2369" s="1"/>
      <c r="O2369" s="1"/>
      <c r="Q2369"/>
    </row>
    <row r="2370" spans="1:17" ht="13.15" customHeight="1" x14ac:dyDescent="0.2">
      <c r="A2370" s="1" t="s">
        <v>6101</v>
      </c>
      <c r="B2370" s="1" t="s">
        <v>6102</v>
      </c>
      <c r="C2370" s="580">
        <v>4</v>
      </c>
      <c r="D2370" s="1">
        <v>1751.5494000000001</v>
      </c>
      <c r="E2370" t="s">
        <v>4354</v>
      </c>
      <c r="F2370" t="s">
        <v>6103</v>
      </c>
      <c r="G2370" s="580">
        <v>471.74400000000003</v>
      </c>
      <c r="H2370" s="1" t="s">
        <v>6104</v>
      </c>
      <c r="I2370" s="1"/>
      <c r="J2370" s="1"/>
      <c r="K2370" s="1"/>
      <c r="L2370" s="1"/>
      <c r="M2370" s="1"/>
      <c r="N2370" s="1"/>
      <c r="O2370" s="1"/>
      <c r="Q2370"/>
    </row>
    <row r="2371" spans="1:17" ht="13.15" customHeight="1" x14ac:dyDescent="0.2">
      <c r="A2371" s="1" t="s">
        <v>6105</v>
      </c>
      <c r="B2371" s="1" t="s">
        <v>6102</v>
      </c>
      <c r="C2371" s="580">
        <v>5</v>
      </c>
      <c r="D2371" s="1">
        <v>1859.5551</v>
      </c>
      <c r="E2371" t="s">
        <v>4354</v>
      </c>
      <c r="F2371" t="s">
        <v>6106</v>
      </c>
      <c r="G2371" s="580">
        <v>471.74400000000003</v>
      </c>
      <c r="H2371" s="1" t="s">
        <v>6107</v>
      </c>
      <c r="I2371" s="1"/>
      <c r="J2371" s="1"/>
      <c r="K2371" s="1"/>
      <c r="L2371" s="1"/>
      <c r="M2371" s="1"/>
      <c r="N2371" s="1"/>
      <c r="O2371" s="1"/>
      <c r="Q2371"/>
    </row>
    <row r="2372" spans="1:17" ht="13.15" customHeight="1" x14ac:dyDescent="0.2">
      <c r="A2372" s="1" t="s">
        <v>6108</v>
      </c>
      <c r="B2372" s="1" t="s">
        <v>6102</v>
      </c>
      <c r="C2372" s="580">
        <v>6</v>
      </c>
      <c r="D2372" s="1">
        <v>2452.0047</v>
      </c>
      <c r="E2372" t="s">
        <v>4354</v>
      </c>
      <c r="F2372" t="s">
        <v>6109</v>
      </c>
      <c r="G2372" s="580">
        <v>771.12</v>
      </c>
      <c r="H2372" s="1" t="s">
        <v>6110</v>
      </c>
      <c r="I2372" s="1"/>
      <c r="J2372" s="1"/>
      <c r="K2372" s="1"/>
      <c r="L2372" s="1"/>
      <c r="M2372" s="1"/>
      <c r="N2372" s="1"/>
      <c r="O2372" s="1"/>
      <c r="Q2372"/>
    </row>
    <row r="2373" spans="1:17" ht="13.15" customHeight="1" x14ac:dyDescent="0.2">
      <c r="A2373" s="1" t="s">
        <v>6111</v>
      </c>
      <c r="B2373" s="1" t="s">
        <v>6102</v>
      </c>
      <c r="C2373" s="580">
        <v>8</v>
      </c>
      <c r="D2373" s="1">
        <v>1685.7532000000001</v>
      </c>
      <c r="E2373" t="s">
        <v>4354</v>
      </c>
      <c r="F2373" t="s">
        <v>6112</v>
      </c>
      <c r="G2373" s="580">
        <v>550.36800000000005</v>
      </c>
      <c r="H2373" s="1" t="s">
        <v>6113</v>
      </c>
      <c r="I2373" s="1"/>
      <c r="J2373" s="1"/>
      <c r="K2373" s="1"/>
      <c r="L2373" s="1"/>
      <c r="M2373" s="1"/>
      <c r="N2373" s="1"/>
      <c r="O2373" s="1"/>
      <c r="Q2373"/>
    </row>
    <row r="2374" spans="1:17" ht="13.15" customHeight="1" x14ac:dyDescent="0.2">
      <c r="A2374" s="1" t="s">
        <v>6114</v>
      </c>
      <c r="B2374" s="1" t="s">
        <v>6102</v>
      </c>
      <c r="C2374" s="580">
        <v>9</v>
      </c>
      <c r="D2374" s="1">
        <v>1798.1368</v>
      </c>
      <c r="E2374" t="s">
        <v>4354</v>
      </c>
      <c r="F2374" t="s">
        <v>6115</v>
      </c>
      <c r="G2374" s="580">
        <v>471.74400000000003</v>
      </c>
      <c r="H2374" s="1" t="s">
        <v>6116</v>
      </c>
      <c r="I2374" s="1"/>
      <c r="J2374" s="1"/>
      <c r="K2374" s="1"/>
      <c r="L2374" s="1"/>
      <c r="M2374" s="1"/>
      <c r="N2374" s="1"/>
      <c r="O2374" s="1"/>
      <c r="Q2374"/>
    </row>
    <row r="2375" spans="1:17" ht="13.15" customHeight="1" x14ac:dyDescent="0.2">
      <c r="A2375" s="1" t="s">
        <v>6117</v>
      </c>
      <c r="B2375" s="1" t="s">
        <v>6102</v>
      </c>
      <c r="C2375" s="580">
        <v>10</v>
      </c>
      <c r="D2375" s="1">
        <v>2135.2874000000002</v>
      </c>
      <c r="E2375" t="s">
        <v>4354</v>
      </c>
      <c r="F2375" t="s">
        <v>6118</v>
      </c>
      <c r="G2375" s="580">
        <v>707.61599999999999</v>
      </c>
      <c r="H2375" s="1" t="s">
        <v>6119</v>
      </c>
      <c r="I2375" s="1"/>
      <c r="J2375" s="1"/>
      <c r="K2375" s="1"/>
      <c r="L2375" s="1"/>
      <c r="M2375" s="1"/>
      <c r="N2375" s="1"/>
      <c r="O2375" s="1"/>
      <c r="Q2375"/>
    </row>
    <row r="2376" spans="1:17" ht="13.15" customHeight="1" x14ac:dyDescent="0.2">
      <c r="A2376" s="1" t="s">
        <v>6120</v>
      </c>
      <c r="B2376" s="1" t="s">
        <v>6102</v>
      </c>
      <c r="C2376" s="580">
        <v>11</v>
      </c>
      <c r="D2376" s="1">
        <v>4061.1327000000001</v>
      </c>
      <c r="E2376" t="s">
        <v>4354</v>
      </c>
      <c r="F2376" t="s">
        <v>6121</v>
      </c>
      <c r="G2376" s="580">
        <v>1277.1675</v>
      </c>
      <c r="H2376" s="1" t="s">
        <v>6122</v>
      </c>
      <c r="I2376" s="1"/>
      <c r="J2376" s="1"/>
      <c r="K2376" s="1"/>
      <c r="L2376" s="1"/>
      <c r="M2376" s="1"/>
      <c r="N2376" s="1"/>
      <c r="O2376" s="1"/>
      <c r="Q2376"/>
    </row>
    <row r="2377" spans="1:17" ht="13.15" customHeight="1" x14ac:dyDescent="0.2">
      <c r="A2377" s="1" t="s">
        <v>6123</v>
      </c>
      <c r="B2377" s="1" t="s">
        <v>6102</v>
      </c>
      <c r="C2377" s="580">
        <v>44</v>
      </c>
      <c r="D2377" s="1">
        <v>2934.8661999999999</v>
      </c>
      <c r="E2377" t="s">
        <v>4354</v>
      </c>
      <c r="F2377" t="s">
        <v>6124</v>
      </c>
      <c r="G2377" s="580">
        <v>822.32</v>
      </c>
      <c r="H2377" s="1" t="s">
        <v>6125</v>
      </c>
      <c r="I2377" s="1"/>
      <c r="J2377" s="1"/>
      <c r="K2377" s="1"/>
      <c r="L2377" s="1"/>
      <c r="M2377" s="1"/>
      <c r="N2377" s="1"/>
      <c r="O2377" s="1"/>
      <c r="Q2377"/>
    </row>
    <row r="2378" spans="1:17" ht="13.15" customHeight="1" x14ac:dyDescent="0.2">
      <c r="A2378" s="1" t="s">
        <v>6126</v>
      </c>
      <c r="B2378" s="1" t="s">
        <v>6102</v>
      </c>
      <c r="C2378" s="580">
        <v>45</v>
      </c>
      <c r="D2378" s="1">
        <v>3029.5392999999999</v>
      </c>
      <c r="E2378" t="s">
        <v>4354</v>
      </c>
      <c r="F2378" t="s">
        <v>6127</v>
      </c>
      <c r="G2378" s="580">
        <v>848.84649999999999</v>
      </c>
      <c r="H2378" s="1" t="s">
        <v>6128</v>
      </c>
      <c r="I2378" s="1"/>
      <c r="J2378" s="1"/>
      <c r="K2378" s="1"/>
      <c r="L2378" s="1"/>
      <c r="M2378" s="1"/>
      <c r="N2378" s="1"/>
      <c r="O2378" s="1"/>
      <c r="Q2378"/>
    </row>
    <row r="2379" spans="1:17" ht="13.15" customHeight="1" x14ac:dyDescent="0.2">
      <c r="A2379" s="1" t="s">
        <v>6129</v>
      </c>
      <c r="B2379" s="1" t="s">
        <v>6102</v>
      </c>
      <c r="C2379" s="580">
        <v>46</v>
      </c>
      <c r="D2379" s="1">
        <v>3692.2511</v>
      </c>
      <c r="E2379" t="s">
        <v>4354</v>
      </c>
      <c r="F2379" t="s">
        <v>6130</v>
      </c>
      <c r="G2379" s="580">
        <v>1034.5316</v>
      </c>
      <c r="H2379" s="1" t="s">
        <v>6131</v>
      </c>
      <c r="I2379" s="1"/>
      <c r="J2379" s="1"/>
      <c r="K2379" s="1"/>
      <c r="L2379" s="1"/>
      <c r="M2379" s="1"/>
      <c r="N2379" s="1"/>
      <c r="O2379" s="1"/>
      <c r="Q2379"/>
    </row>
    <row r="2380" spans="1:17" ht="13.15" customHeight="1" x14ac:dyDescent="0.2">
      <c r="A2380" s="1" t="s">
        <v>6132</v>
      </c>
      <c r="B2380" s="1" t="s">
        <v>6102</v>
      </c>
      <c r="C2380" s="580">
        <v>47</v>
      </c>
      <c r="D2380" s="1">
        <v>3692.2511</v>
      </c>
      <c r="E2380" t="s">
        <v>4354</v>
      </c>
      <c r="F2380" t="s">
        <v>6133</v>
      </c>
      <c r="G2380" s="580">
        <v>1034.5316</v>
      </c>
      <c r="H2380" s="1" t="s">
        <v>6134</v>
      </c>
      <c r="I2380" s="1"/>
      <c r="J2380" s="1"/>
      <c r="K2380" s="1"/>
      <c r="L2380" s="1"/>
      <c r="M2380" s="1"/>
      <c r="N2380" s="1"/>
      <c r="O2380" s="1"/>
      <c r="Q2380"/>
    </row>
    <row r="2381" spans="1:17" ht="13.15" customHeight="1" x14ac:dyDescent="0.2">
      <c r="A2381" s="1" t="s">
        <v>6135</v>
      </c>
      <c r="B2381" s="1" t="s">
        <v>6102</v>
      </c>
      <c r="C2381" s="580">
        <v>62</v>
      </c>
      <c r="D2381" s="1">
        <v>2889.8625999999999</v>
      </c>
      <c r="E2381" t="s">
        <v>4354</v>
      </c>
      <c r="F2381" t="s">
        <v>6136</v>
      </c>
      <c r="G2381" s="580">
        <v>991.44</v>
      </c>
      <c r="H2381" s="1" t="s">
        <v>6137</v>
      </c>
      <c r="I2381" s="1"/>
      <c r="J2381" s="1"/>
      <c r="K2381" s="1"/>
      <c r="L2381" s="1"/>
      <c r="M2381" s="1"/>
      <c r="N2381" s="1"/>
      <c r="O2381" s="1"/>
      <c r="Q2381"/>
    </row>
    <row r="2382" spans="1:17" ht="13.15" customHeight="1" x14ac:dyDescent="0.2">
      <c r="A2382" s="1" t="s">
        <v>6138</v>
      </c>
      <c r="B2382" s="1" t="s">
        <v>6102</v>
      </c>
      <c r="C2382" s="580">
        <v>63</v>
      </c>
      <c r="D2382" s="1">
        <v>3210.9585000000002</v>
      </c>
      <c r="E2382" t="s">
        <v>4354</v>
      </c>
      <c r="F2382" t="s">
        <v>6139</v>
      </c>
      <c r="G2382" s="580">
        <v>1101.5999999999999</v>
      </c>
      <c r="H2382" s="1" t="s">
        <v>6140</v>
      </c>
      <c r="I2382" s="1"/>
      <c r="J2382" s="1"/>
      <c r="K2382" s="1"/>
      <c r="L2382" s="1"/>
      <c r="M2382" s="1"/>
      <c r="N2382" s="1"/>
      <c r="O2382" s="1"/>
      <c r="Q2382"/>
    </row>
    <row r="2383" spans="1:17" ht="13.15" customHeight="1" x14ac:dyDescent="0.2">
      <c r="A2383" s="1" t="s">
        <v>6141</v>
      </c>
      <c r="B2383" s="1" t="s">
        <v>6102</v>
      </c>
      <c r="C2383" s="580">
        <v>65</v>
      </c>
      <c r="D2383" s="1">
        <v>3130.6844999999998</v>
      </c>
      <c r="E2383" t="s">
        <v>4354</v>
      </c>
      <c r="F2383" t="s">
        <v>6142</v>
      </c>
      <c r="G2383" s="580">
        <v>1074.06</v>
      </c>
      <c r="H2383" s="1" t="s">
        <v>6143</v>
      </c>
      <c r="I2383" s="1"/>
      <c r="J2383" s="1"/>
      <c r="K2383" s="1"/>
      <c r="L2383" s="1"/>
      <c r="M2383" s="1"/>
      <c r="N2383" s="1"/>
      <c r="O2383" s="1"/>
      <c r="Q2383"/>
    </row>
    <row r="2384" spans="1:17" ht="13.15" customHeight="1" x14ac:dyDescent="0.2">
      <c r="A2384" s="1" t="s">
        <v>6144</v>
      </c>
      <c r="B2384" s="1" t="s">
        <v>6102</v>
      </c>
      <c r="C2384" s="580">
        <v>66</v>
      </c>
      <c r="D2384" s="1">
        <v>3371.5064000000002</v>
      </c>
      <c r="E2384" t="s">
        <v>4354</v>
      </c>
      <c r="F2384" t="s">
        <v>6145</v>
      </c>
      <c r="G2384" s="580">
        <v>1156.68</v>
      </c>
      <c r="H2384" s="1" t="s">
        <v>6146</v>
      </c>
      <c r="I2384" s="1"/>
      <c r="J2384" s="1"/>
      <c r="K2384" s="1"/>
      <c r="L2384" s="1"/>
      <c r="M2384" s="1"/>
      <c r="N2384" s="1"/>
      <c r="O2384" s="1"/>
      <c r="Q2384"/>
    </row>
    <row r="2385" spans="1:17" ht="13.15" customHeight="1" x14ac:dyDescent="0.2">
      <c r="A2385" s="1" t="s">
        <v>6147</v>
      </c>
      <c r="B2385" s="1" t="s">
        <v>6102</v>
      </c>
      <c r="C2385" s="580">
        <v>67</v>
      </c>
      <c r="D2385" s="1">
        <v>5318.15</v>
      </c>
      <c r="E2385" t="s">
        <v>4354</v>
      </c>
      <c r="F2385" t="s">
        <v>6148</v>
      </c>
      <c r="G2385" s="580">
        <v>1490.0922</v>
      </c>
      <c r="H2385" s="1" t="s">
        <v>6149</v>
      </c>
      <c r="I2385" s="1"/>
      <c r="J2385" s="1"/>
      <c r="K2385" s="1"/>
      <c r="L2385" s="1"/>
      <c r="M2385" s="1"/>
      <c r="N2385" s="1"/>
      <c r="O2385" s="1"/>
      <c r="Q2385"/>
    </row>
    <row r="2386" spans="1:17" ht="13.15" customHeight="1" x14ac:dyDescent="0.2">
      <c r="A2386" s="1" t="s">
        <v>6150</v>
      </c>
      <c r="B2386" s="1" t="s">
        <v>6102</v>
      </c>
      <c r="C2386" s="580">
        <v>68</v>
      </c>
      <c r="D2386" s="1">
        <v>6221.2321000000002</v>
      </c>
      <c r="E2386" t="s">
        <v>4354</v>
      </c>
      <c r="F2386" t="s">
        <v>6151</v>
      </c>
      <c r="G2386" s="580">
        <v>1743.1267</v>
      </c>
      <c r="H2386" s="1" t="s">
        <v>6152</v>
      </c>
      <c r="I2386" s="1"/>
      <c r="J2386" s="1"/>
      <c r="K2386" s="1"/>
      <c r="L2386" s="1"/>
      <c r="M2386" s="1"/>
      <c r="N2386" s="1"/>
      <c r="O2386" s="1"/>
      <c r="Q2386"/>
    </row>
    <row r="2387" spans="1:17" ht="13.15" customHeight="1" x14ac:dyDescent="0.2">
      <c r="A2387" s="1" t="s">
        <v>6153</v>
      </c>
      <c r="B2387" s="1" t="s">
        <v>6102</v>
      </c>
      <c r="C2387" s="580">
        <v>77</v>
      </c>
      <c r="D2387" s="1">
        <v>1306.8601000000001</v>
      </c>
      <c r="E2387" t="s">
        <v>4354</v>
      </c>
      <c r="F2387" t="s">
        <v>6154</v>
      </c>
      <c r="G2387" s="580">
        <v>611.38800000000003</v>
      </c>
      <c r="H2387" s="1" t="s">
        <v>6155</v>
      </c>
      <c r="I2387" s="1"/>
      <c r="J2387" s="1"/>
      <c r="K2387" s="1"/>
      <c r="L2387" s="1"/>
      <c r="M2387" s="1"/>
      <c r="N2387" s="1"/>
      <c r="O2387" s="1"/>
      <c r="Q2387"/>
    </row>
    <row r="2388" spans="1:17" ht="13.15" customHeight="1" x14ac:dyDescent="0.2">
      <c r="A2388" s="1" t="s">
        <v>6156</v>
      </c>
      <c r="B2388" s="1" t="s">
        <v>6102</v>
      </c>
      <c r="C2388" s="580">
        <v>78</v>
      </c>
      <c r="D2388" s="1">
        <v>1707.1596</v>
      </c>
      <c r="E2388" t="s">
        <v>4354</v>
      </c>
      <c r="F2388" t="s">
        <v>6157</v>
      </c>
      <c r="G2388" s="580">
        <v>798.66</v>
      </c>
      <c r="H2388" s="1" t="s">
        <v>6158</v>
      </c>
      <c r="I2388" s="1"/>
      <c r="J2388" s="1"/>
      <c r="K2388" s="1"/>
      <c r="L2388" s="1"/>
      <c r="M2388" s="1"/>
      <c r="N2388" s="1"/>
      <c r="O2388" s="1"/>
      <c r="Q2388"/>
    </row>
    <row r="2389" spans="1:17" ht="13.15" customHeight="1" x14ac:dyDescent="0.2">
      <c r="A2389" s="1" t="s">
        <v>6159</v>
      </c>
      <c r="B2389" s="1" t="s">
        <v>6102</v>
      </c>
      <c r="C2389" s="580">
        <v>79</v>
      </c>
      <c r="D2389" s="1">
        <v>2227.6024000000002</v>
      </c>
      <c r="E2389" t="s">
        <v>4354</v>
      </c>
      <c r="F2389" t="s">
        <v>6160</v>
      </c>
      <c r="G2389" s="580">
        <v>764.23500000000001</v>
      </c>
      <c r="H2389" s="1" t="s">
        <v>6161</v>
      </c>
      <c r="I2389" s="1"/>
      <c r="J2389" s="1"/>
      <c r="K2389" s="1"/>
      <c r="L2389" s="1"/>
      <c r="M2389" s="1"/>
      <c r="N2389" s="1"/>
      <c r="O2389" s="1"/>
      <c r="Q2389"/>
    </row>
    <row r="2390" spans="1:17" ht="13.15" customHeight="1" x14ac:dyDescent="0.2">
      <c r="A2390" s="1" t="s">
        <v>6162</v>
      </c>
      <c r="B2390" s="1" t="s">
        <v>6102</v>
      </c>
      <c r="C2390" s="580">
        <v>80</v>
      </c>
      <c r="D2390" s="1">
        <v>2494.9146999999998</v>
      </c>
      <c r="E2390" t="s">
        <v>4354</v>
      </c>
      <c r="F2390" t="s">
        <v>6163</v>
      </c>
      <c r="G2390" s="580">
        <v>853.74</v>
      </c>
      <c r="H2390" s="1" t="s">
        <v>6164</v>
      </c>
      <c r="I2390" s="1"/>
      <c r="J2390" s="1"/>
      <c r="K2390" s="1"/>
      <c r="L2390" s="1"/>
      <c r="M2390" s="1"/>
      <c r="N2390" s="1"/>
      <c r="O2390" s="1"/>
      <c r="Q2390"/>
    </row>
    <row r="2391" spans="1:17" ht="13.15" customHeight="1" x14ac:dyDescent="0.2">
      <c r="A2391" s="1" t="s">
        <v>6165</v>
      </c>
      <c r="B2391" s="1" t="s">
        <v>6102</v>
      </c>
      <c r="C2391" s="580">
        <v>81</v>
      </c>
      <c r="D2391" s="1">
        <v>2729.3146999999999</v>
      </c>
      <c r="E2391" t="s">
        <v>4354</v>
      </c>
      <c r="F2391" t="s">
        <v>6166</v>
      </c>
      <c r="G2391" s="580">
        <v>936.36</v>
      </c>
      <c r="H2391" s="1" t="s">
        <v>6167</v>
      </c>
      <c r="I2391" s="1"/>
      <c r="J2391" s="1"/>
      <c r="K2391" s="1"/>
      <c r="L2391" s="1"/>
      <c r="M2391" s="1"/>
      <c r="N2391" s="1"/>
      <c r="O2391" s="1"/>
      <c r="Q2391"/>
    </row>
    <row r="2392" spans="1:17" ht="13.15" customHeight="1" x14ac:dyDescent="0.2">
      <c r="A2392" s="1" t="s">
        <v>6168</v>
      </c>
      <c r="B2392" s="1" t="s">
        <v>6102</v>
      </c>
      <c r="C2392" s="580">
        <v>86</v>
      </c>
      <c r="D2392" s="1">
        <v>3597.7804999999998</v>
      </c>
      <c r="E2392" t="s">
        <v>4354</v>
      </c>
      <c r="F2392" t="s">
        <v>6169</v>
      </c>
      <c r="G2392" s="580">
        <v>1008.0619</v>
      </c>
      <c r="H2392" s="1" t="s">
        <v>6170</v>
      </c>
      <c r="I2392" s="1"/>
      <c r="J2392" s="1"/>
      <c r="K2392" s="1"/>
      <c r="L2392" s="1"/>
      <c r="M2392" s="1"/>
      <c r="N2392" s="1"/>
      <c r="O2392" s="1"/>
      <c r="Q2392"/>
    </row>
    <row r="2393" spans="1:17" ht="13.15" customHeight="1" x14ac:dyDescent="0.2">
      <c r="A2393" s="1" t="s">
        <v>6171</v>
      </c>
      <c r="B2393" s="1" t="s">
        <v>6102</v>
      </c>
      <c r="C2393" s="580">
        <v>87</v>
      </c>
      <c r="D2393" s="1">
        <v>4210.1686</v>
      </c>
      <c r="E2393" t="s">
        <v>4354</v>
      </c>
      <c r="F2393" t="s">
        <v>6172</v>
      </c>
      <c r="G2393" s="580">
        <v>1179.6469</v>
      </c>
      <c r="H2393" s="1" t="s">
        <v>6173</v>
      </c>
      <c r="I2393" s="1"/>
      <c r="J2393" s="1"/>
      <c r="K2393" s="1"/>
      <c r="L2393" s="1"/>
      <c r="M2393" s="1"/>
      <c r="N2393" s="1"/>
      <c r="O2393" s="1"/>
      <c r="Q2393"/>
    </row>
    <row r="2394" spans="1:17" ht="13.15" customHeight="1" x14ac:dyDescent="0.2">
      <c r="A2394" s="1" t="s">
        <v>6174</v>
      </c>
      <c r="B2394" s="1" t="s">
        <v>6102</v>
      </c>
      <c r="C2394" s="580">
        <v>89</v>
      </c>
      <c r="D2394" s="1">
        <v>4305.8543</v>
      </c>
      <c r="E2394" t="s">
        <v>4354</v>
      </c>
      <c r="F2394" t="s">
        <v>6175</v>
      </c>
      <c r="G2394" s="580">
        <v>1206.4571000000001</v>
      </c>
      <c r="H2394" s="1" t="s">
        <v>6176</v>
      </c>
      <c r="I2394" s="1"/>
      <c r="J2394" s="1"/>
      <c r="K2394" s="1"/>
      <c r="L2394" s="1"/>
      <c r="M2394" s="1"/>
      <c r="N2394" s="1"/>
      <c r="O2394" s="1"/>
      <c r="Q2394"/>
    </row>
    <row r="2395" spans="1:17" ht="13.15" customHeight="1" x14ac:dyDescent="0.2">
      <c r="A2395" s="1" t="s">
        <v>6177</v>
      </c>
      <c r="B2395" s="1" t="s">
        <v>6102</v>
      </c>
      <c r="C2395" s="580">
        <v>90</v>
      </c>
      <c r="D2395" s="1">
        <v>4554.6369999999997</v>
      </c>
      <c r="E2395" t="s">
        <v>4354</v>
      </c>
      <c r="F2395" t="s">
        <v>6178</v>
      </c>
      <c r="G2395" s="580">
        <v>1276.1635000000001</v>
      </c>
      <c r="H2395" s="1" t="s">
        <v>6179</v>
      </c>
      <c r="I2395" s="1"/>
      <c r="J2395" s="1"/>
      <c r="K2395" s="1"/>
      <c r="L2395" s="1"/>
      <c r="M2395" s="1"/>
      <c r="N2395" s="1"/>
      <c r="O2395" s="1"/>
      <c r="Q2395"/>
    </row>
    <row r="2396" spans="1:17" ht="13.15" customHeight="1" x14ac:dyDescent="0.2">
      <c r="A2396" s="1" t="s">
        <v>6180</v>
      </c>
      <c r="B2396" s="1" t="s">
        <v>6102</v>
      </c>
      <c r="C2396" s="580">
        <v>91</v>
      </c>
      <c r="D2396" s="1">
        <v>5894.2361000000001</v>
      </c>
      <c r="E2396" t="s">
        <v>4354</v>
      </c>
      <c r="F2396" t="s">
        <v>6181</v>
      </c>
      <c r="G2396" s="580">
        <v>1651.5056999999999</v>
      </c>
      <c r="H2396" s="1" t="s">
        <v>6182</v>
      </c>
      <c r="I2396" s="1"/>
      <c r="J2396" s="1"/>
      <c r="K2396" s="1"/>
      <c r="L2396" s="1"/>
      <c r="M2396" s="1"/>
      <c r="N2396" s="1"/>
      <c r="O2396" s="1"/>
      <c r="Q2396"/>
    </row>
    <row r="2397" spans="1:17" ht="13.15" customHeight="1" x14ac:dyDescent="0.2">
      <c r="A2397" s="1" t="s">
        <v>6183</v>
      </c>
      <c r="B2397" s="1" t="s">
        <v>6102</v>
      </c>
      <c r="C2397" s="580">
        <v>92</v>
      </c>
      <c r="D2397" s="1">
        <v>5454.0820999999996</v>
      </c>
      <c r="E2397" t="s">
        <v>4354</v>
      </c>
      <c r="F2397" t="s">
        <v>6184</v>
      </c>
      <c r="G2397" s="580">
        <v>1528.1790000000001</v>
      </c>
      <c r="H2397" s="1" t="s">
        <v>6185</v>
      </c>
      <c r="I2397" s="1"/>
      <c r="J2397" s="1"/>
      <c r="K2397" s="1"/>
      <c r="L2397" s="1"/>
      <c r="M2397" s="1"/>
      <c r="N2397" s="1"/>
      <c r="O2397" s="1"/>
      <c r="Q2397"/>
    </row>
    <row r="2398" spans="1:17" ht="13.15" customHeight="1" x14ac:dyDescent="0.2">
      <c r="A2398" s="1" t="s">
        <v>6186</v>
      </c>
      <c r="B2398" s="1" t="s">
        <v>6102</v>
      </c>
      <c r="C2398" s="580">
        <v>97</v>
      </c>
      <c r="D2398" s="1">
        <v>1517.1778999999999</v>
      </c>
      <c r="E2398" t="s">
        <v>4354</v>
      </c>
      <c r="F2398" t="s">
        <v>6187</v>
      </c>
      <c r="G2398" s="580">
        <v>290.03519999999997</v>
      </c>
      <c r="H2398" s="1" t="s">
        <v>6188</v>
      </c>
      <c r="I2398" s="1"/>
      <c r="J2398" s="1"/>
      <c r="K2398" s="1"/>
      <c r="L2398" s="1"/>
      <c r="M2398" s="1"/>
      <c r="N2398" s="1"/>
      <c r="O2398" s="1"/>
      <c r="Q2398"/>
    </row>
    <row r="2399" spans="1:17" ht="13.15" customHeight="1" x14ac:dyDescent="0.2">
      <c r="A2399" s="1" t="s">
        <v>6189</v>
      </c>
      <c r="B2399" s="1" t="s">
        <v>6102</v>
      </c>
      <c r="C2399" s="580">
        <v>98</v>
      </c>
      <c r="D2399" s="1">
        <v>1601.4655</v>
      </c>
      <c r="E2399" t="s">
        <v>4354</v>
      </c>
      <c r="F2399" t="s">
        <v>6190</v>
      </c>
      <c r="G2399" s="580">
        <v>290.03519999999997</v>
      </c>
      <c r="H2399" s="1" t="s">
        <v>6191</v>
      </c>
      <c r="I2399" s="1"/>
      <c r="J2399" s="1"/>
      <c r="K2399" s="1"/>
      <c r="L2399" s="1"/>
      <c r="M2399" s="1"/>
      <c r="N2399" s="1"/>
      <c r="O2399" s="1"/>
      <c r="Q2399"/>
    </row>
    <row r="2400" spans="1:17" ht="13.15" customHeight="1" x14ac:dyDescent="0.2">
      <c r="A2400" s="1" t="s">
        <v>6192</v>
      </c>
      <c r="B2400" s="1" t="s">
        <v>6102</v>
      </c>
      <c r="C2400" s="580">
        <v>99</v>
      </c>
      <c r="D2400" s="1">
        <v>1938.6161999999999</v>
      </c>
      <c r="E2400" t="s">
        <v>4354</v>
      </c>
      <c r="F2400" t="s">
        <v>6193</v>
      </c>
      <c r="G2400" s="580">
        <v>456.01920000000001</v>
      </c>
      <c r="H2400" s="1" t="s">
        <v>6194</v>
      </c>
      <c r="I2400" s="1"/>
      <c r="J2400" s="1"/>
      <c r="K2400" s="1"/>
      <c r="L2400" s="1"/>
      <c r="M2400" s="1"/>
      <c r="N2400" s="1"/>
      <c r="O2400" s="1"/>
      <c r="Q2400"/>
    </row>
    <row r="2401" spans="1:17" ht="13.15" customHeight="1" x14ac:dyDescent="0.2">
      <c r="A2401" s="1" t="s">
        <v>6195</v>
      </c>
      <c r="B2401" s="1" t="s">
        <v>6102</v>
      </c>
      <c r="C2401" s="580">
        <v>100</v>
      </c>
      <c r="D2401" s="1">
        <v>2407.5464999999999</v>
      </c>
      <c r="E2401" t="s">
        <v>4354</v>
      </c>
      <c r="F2401" t="s">
        <v>6196</v>
      </c>
      <c r="G2401" s="580">
        <v>573.08159999999998</v>
      </c>
      <c r="H2401" s="1" t="s">
        <v>6197</v>
      </c>
      <c r="I2401" s="1"/>
      <c r="J2401" s="1"/>
      <c r="K2401" s="1"/>
      <c r="L2401" s="1"/>
      <c r="M2401" s="1"/>
      <c r="N2401" s="1"/>
      <c r="O2401" s="1"/>
      <c r="Q2401"/>
    </row>
    <row r="2402" spans="1:17" ht="13.15" customHeight="1" x14ac:dyDescent="0.2">
      <c r="A2402" s="1" t="s">
        <v>6198</v>
      </c>
      <c r="B2402" s="1" t="s">
        <v>6102</v>
      </c>
      <c r="C2402" s="580">
        <v>101</v>
      </c>
      <c r="D2402" s="1">
        <v>0</v>
      </c>
      <c r="E2402" t="s">
        <v>4354</v>
      </c>
      <c r="F2402">
        <v>0</v>
      </c>
      <c r="G2402" s="580">
        <v>0</v>
      </c>
      <c r="H2402" s="1" t="s">
        <v>6199</v>
      </c>
      <c r="I2402" s="1"/>
      <c r="J2402" s="1"/>
      <c r="K2402" s="1"/>
      <c r="L2402" s="1"/>
      <c r="M2402" s="1"/>
      <c r="N2402" s="1"/>
      <c r="O2402" s="1"/>
      <c r="Q2402"/>
    </row>
    <row r="2403" spans="1:17" ht="13.15" customHeight="1" x14ac:dyDescent="0.2">
      <c r="A2403" s="1" t="s">
        <v>6200</v>
      </c>
      <c r="B2403" s="1" t="s">
        <v>6102</v>
      </c>
      <c r="C2403" s="580">
        <v>108</v>
      </c>
      <c r="D2403" s="1">
        <v>1707.1596</v>
      </c>
      <c r="E2403" t="s">
        <v>4354</v>
      </c>
      <c r="F2403" t="s">
        <v>6201</v>
      </c>
      <c r="G2403" s="580">
        <v>431.55840000000001</v>
      </c>
      <c r="H2403" s="1" t="s">
        <v>6202</v>
      </c>
      <c r="I2403" s="1"/>
      <c r="J2403" s="1"/>
      <c r="K2403" s="1"/>
      <c r="L2403" s="1"/>
      <c r="M2403" s="1"/>
      <c r="N2403" s="1"/>
      <c r="O2403" s="1"/>
      <c r="Q2403"/>
    </row>
    <row r="2404" spans="1:17" ht="13.15" customHeight="1" x14ac:dyDescent="0.2">
      <c r="A2404" s="1" t="s">
        <v>6203</v>
      </c>
      <c r="B2404" s="1" t="s">
        <v>6102</v>
      </c>
      <c r="C2404" s="580">
        <v>109</v>
      </c>
      <c r="D2404" s="1">
        <v>2001.4974999999999</v>
      </c>
      <c r="E2404" t="s">
        <v>4354</v>
      </c>
      <c r="F2404" t="s">
        <v>6204</v>
      </c>
      <c r="G2404" s="580">
        <v>431.55840000000001</v>
      </c>
      <c r="H2404" s="1" t="s">
        <v>6205</v>
      </c>
      <c r="I2404" s="1"/>
      <c r="J2404" s="1"/>
      <c r="K2404" s="1"/>
      <c r="L2404" s="1"/>
      <c r="M2404" s="1"/>
      <c r="N2404" s="1"/>
      <c r="O2404" s="1"/>
      <c r="Q2404"/>
    </row>
    <row r="2405" spans="1:17" ht="13.15" customHeight="1" x14ac:dyDescent="0.2">
      <c r="A2405" s="1" t="s">
        <v>6206</v>
      </c>
      <c r="B2405" s="1" t="s">
        <v>6102</v>
      </c>
      <c r="C2405" s="580">
        <v>110</v>
      </c>
      <c r="D2405" s="1">
        <v>2281.1183999999998</v>
      </c>
      <c r="E2405" t="s">
        <v>4354</v>
      </c>
      <c r="F2405" t="s">
        <v>6207</v>
      </c>
      <c r="G2405" s="580">
        <v>476.98559999999998</v>
      </c>
      <c r="H2405" s="1" t="s">
        <v>6208</v>
      </c>
      <c r="I2405" s="1"/>
      <c r="J2405" s="1"/>
      <c r="K2405" s="1"/>
      <c r="L2405" s="1"/>
      <c r="M2405" s="1"/>
      <c r="N2405" s="1"/>
      <c r="O2405" s="1"/>
      <c r="Q2405"/>
    </row>
    <row r="2406" spans="1:17" ht="13.15" customHeight="1" x14ac:dyDescent="0.2">
      <c r="A2406" s="1" t="s">
        <v>6209</v>
      </c>
      <c r="B2406" s="1" t="s">
        <v>6102</v>
      </c>
      <c r="C2406" s="580">
        <v>111</v>
      </c>
      <c r="D2406" s="1">
        <v>3311.3009000000002</v>
      </c>
      <c r="E2406" t="s">
        <v>4354</v>
      </c>
      <c r="F2406" t="s">
        <v>6210</v>
      </c>
      <c r="G2406" s="580">
        <v>688.39679999999998</v>
      </c>
      <c r="H2406" s="1" t="s">
        <v>6211</v>
      </c>
      <c r="I2406" s="1"/>
      <c r="J2406" s="1"/>
      <c r="K2406" s="1"/>
      <c r="L2406" s="1"/>
      <c r="M2406" s="1"/>
      <c r="N2406" s="1"/>
      <c r="O2406" s="1"/>
      <c r="Q2406"/>
    </row>
    <row r="2407" spans="1:17" ht="13.15" customHeight="1" x14ac:dyDescent="0.2">
      <c r="A2407" s="1" t="s">
        <v>6212</v>
      </c>
      <c r="B2407" s="1" t="s">
        <v>6102</v>
      </c>
      <c r="C2407" s="580">
        <v>140</v>
      </c>
      <c r="D2407" s="1">
        <v>1236.2190000000001</v>
      </c>
      <c r="E2407" t="s">
        <v>4354</v>
      </c>
      <c r="F2407" t="s">
        <v>6213</v>
      </c>
      <c r="G2407" s="580">
        <v>323.23200000000003</v>
      </c>
      <c r="H2407" s="1" t="s">
        <v>6214</v>
      </c>
      <c r="I2407" s="1"/>
      <c r="J2407" s="1"/>
      <c r="K2407" s="1"/>
      <c r="L2407" s="1"/>
      <c r="M2407" s="1"/>
      <c r="N2407" s="1"/>
      <c r="O2407" s="1"/>
      <c r="Q2407"/>
    </row>
    <row r="2408" spans="1:17" ht="13.15" customHeight="1" x14ac:dyDescent="0.2">
      <c r="A2408" s="1" t="s">
        <v>6215</v>
      </c>
      <c r="B2408" s="1" t="s">
        <v>6102</v>
      </c>
      <c r="C2408" s="580">
        <v>141</v>
      </c>
      <c r="D2408" s="1">
        <v>1707.1596</v>
      </c>
      <c r="E2408" t="s">
        <v>4354</v>
      </c>
      <c r="F2408" t="s">
        <v>6216</v>
      </c>
      <c r="G2408" s="580">
        <v>366.91199999999998</v>
      </c>
      <c r="H2408" s="1" t="s">
        <v>6217</v>
      </c>
      <c r="I2408" s="1"/>
      <c r="J2408" s="1"/>
      <c r="K2408" s="1"/>
      <c r="L2408" s="1"/>
      <c r="M2408" s="1"/>
      <c r="N2408" s="1"/>
      <c r="O2408" s="1"/>
      <c r="Q2408"/>
    </row>
    <row r="2409" spans="1:17" ht="13.15" customHeight="1" x14ac:dyDescent="0.2">
      <c r="A2409" s="1" t="s">
        <v>6218</v>
      </c>
      <c r="B2409" s="1" t="s">
        <v>6102</v>
      </c>
      <c r="C2409" s="580">
        <v>142</v>
      </c>
      <c r="D2409" s="1">
        <v>1824.8947000000001</v>
      </c>
      <c r="E2409" t="s">
        <v>4354</v>
      </c>
      <c r="F2409" t="s">
        <v>6219</v>
      </c>
      <c r="G2409" s="580">
        <v>499.69920000000002</v>
      </c>
      <c r="H2409" s="1" t="s">
        <v>6220</v>
      </c>
      <c r="I2409" s="1"/>
      <c r="J2409" s="1"/>
      <c r="K2409" s="1"/>
      <c r="L2409" s="1"/>
      <c r="M2409" s="1"/>
      <c r="N2409" s="1"/>
      <c r="O2409" s="1"/>
      <c r="Q2409"/>
    </row>
    <row r="2410" spans="1:17" ht="13.15" customHeight="1" x14ac:dyDescent="0.2">
      <c r="A2410" s="1" t="s">
        <v>6221</v>
      </c>
      <c r="B2410" s="1" t="s">
        <v>6102</v>
      </c>
      <c r="C2410" s="580">
        <v>143</v>
      </c>
      <c r="D2410" s="1">
        <v>2940.4351999999999</v>
      </c>
      <c r="E2410" t="s">
        <v>4354</v>
      </c>
      <c r="F2410" t="s">
        <v>6222</v>
      </c>
      <c r="G2410" s="580">
        <v>608.02560000000005</v>
      </c>
      <c r="H2410" s="1" t="s">
        <v>6223</v>
      </c>
      <c r="I2410" s="1"/>
      <c r="J2410" s="1"/>
      <c r="K2410" s="1"/>
      <c r="L2410" s="1"/>
      <c r="M2410" s="1"/>
      <c r="N2410" s="1"/>
      <c r="O2410" s="1"/>
      <c r="Q2410"/>
    </row>
    <row r="2411" spans="1:17" ht="13.15" customHeight="1" x14ac:dyDescent="0.2">
      <c r="A2411" s="1" t="s">
        <v>6224</v>
      </c>
      <c r="B2411" s="1" t="s">
        <v>6102</v>
      </c>
      <c r="C2411" s="580">
        <v>153</v>
      </c>
      <c r="D2411" s="1">
        <v>2644.6284999999998</v>
      </c>
      <c r="E2411" t="s">
        <v>4354</v>
      </c>
      <c r="F2411" t="s">
        <v>6225</v>
      </c>
      <c r="G2411" s="580">
        <v>550.36800000000005</v>
      </c>
      <c r="H2411" s="1" t="s">
        <v>6226</v>
      </c>
      <c r="I2411" s="1"/>
      <c r="J2411" s="1"/>
      <c r="K2411" s="1"/>
      <c r="L2411" s="1"/>
      <c r="M2411" s="1"/>
      <c r="N2411" s="1"/>
      <c r="O2411" s="1"/>
      <c r="Q2411"/>
    </row>
    <row r="2412" spans="1:17" ht="13.15" customHeight="1" x14ac:dyDescent="0.2">
      <c r="A2412" s="1" t="s">
        <v>6227</v>
      </c>
      <c r="B2412" s="1" t="s">
        <v>6102</v>
      </c>
      <c r="C2412" s="580">
        <v>154</v>
      </c>
      <c r="D2412" s="1">
        <v>3171.5675000000001</v>
      </c>
      <c r="E2412" t="s">
        <v>4354</v>
      </c>
      <c r="F2412" t="s">
        <v>6228</v>
      </c>
      <c r="G2412" s="580">
        <v>707.61599999999999</v>
      </c>
      <c r="H2412" s="1" t="s">
        <v>6229</v>
      </c>
      <c r="I2412" s="1"/>
      <c r="J2412" s="1"/>
      <c r="K2412" s="1"/>
      <c r="L2412" s="1"/>
      <c r="M2412" s="1"/>
      <c r="N2412" s="1"/>
      <c r="O2412" s="1"/>
      <c r="Q2412"/>
    </row>
    <row r="2413" spans="1:17" ht="13.15" customHeight="1" x14ac:dyDescent="0.2">
      <c r="A2413" s="1" t="s">
        <v>6230</v>
      </c>
      <c r="B2413" s="1" t="s">
        <v>6102</v>
      </c>
      <c r="C2413" s="580">
        <v>155</v>
      </c>
      <c r="D2413" s="1">
        <v>4589.0824000000002</v>
      </c>
      <c r="E2413" t="s">
        <v>4354</v>
      </c>
      <c r="F2413" t="s">
        <v>6231</v>
      </c>
      <c r="G2413" s="580">
        <v>1285.8148000000001</v>
      </c>
      <c r="H2413" s="1" t="s">
        <v>6232</v>
      </c>
      <c r="I2413" s="1"/>
      <c r="J2413" s="1"/>
      <c r="K2413" s="1"/>
      <c r="L2413" s="1"/>
      <c r="M2413" s="1"/>
      <c r="N2413" s="1"/>
      <c r="O2413" s="1"/>
      <c r="Q2413"/>
    </row>
    <row r="2414" spans="1:17" ht="13.15" customHeight="1" x14ac:dyDescent="0.2">
      <c r="A2414" s="1" t="s">
        <v>6233</v>
      </c>
      <c r="B2414" s="1" t="s">
        <v>6102</v>
      </c>
      <c r="C2414" s="580">
        <v>157</v>
      </c>
      <c r="D2414" s="1">
        <v>3252.0803000000001</v>
      </c>
      <c r="E2414" t="s">
        <v>4354</v>
      </c>
      <c r="F2414" t="s">
        <v>6234</v>
      </c>
      <c r="G2414" s="580">
        <v>786.24</v>
      </c>
      <c r="H2414" s="1" t="s">
        <v>6235</v>
      </c>
      <c r="I2414" s="1"/>
      <c r="J2414" s="1"/>
      <c r="K2414" s="1"/>
      <c r="L2414" s="1"/>
      <c r="M2414" s="1"/>
      <c r="N2414" s="1"/>
      <c r="O2414" s="1"/>
      <c r="Q2414"/>
    </row>
    <row r="2415" spans="1:17" ht="13.15" customHeight="1" x14ac:dyDescent="0.2">
      <c r="A2415" s="1" t="s">
        <v>6236</v>
      </c>
      <c r="B2415" s="1" t="s">
        <v>6102</v>
      </c>
      <c r="C2415" s="580">
        <v>158</v>
      </c>
      <c r="D2415" s="1">
        <v>3292.9641999999999</v>
      </c>
      <c r="E2415" t="s">
        <v>4354</v>
      </c>
      <c r="F2415" t="s">
        <v>6237</v>
      </c>
      <c r="G2415" s="580">
        <v>786.24</v>
      </c>
      <c r="H2415" s="1" t="s">
        <v>6238</v>
      </c>
      <c r="I2415" s="1"/>
      <c r="J2415" s="1"/>
      <c r="K2415" s="1"/>
      <c r="L2415" s="1"/>
      <c r="M2415" s="1"/>
      <c r="N2415" s="1"/>
      <c r="O2415" s="1"/>
      <c r="Q2415"/>
    </row>
    <row r="2416" spans="1:17" ht="13.15" customHeight="1" x14ac:dyDescent="0.2">
      <c r="A2416" s="1" t="s">
        <v>6239</v>
      </c>
      <c r="B2416" s="1" t="s">
        <v>6102</v>
      </c>
      <c r="C2416" s="580">
        <v>159</v>
      </c>
      <c r="D2416" s="1">
        <v>3984.5075999999999</v>
      </c>
      <c r="E2416" t="s">
        <v>4354</v>
      </c>
      <c r="F2416" t="s">
        <v>6240</v>
      </c>
      <c r="G2416" s="580">
        <v>1116.4190000000001</v>
      </c>
      <c r="H2416" s="1" t="s">
        <v>6241</v>
      </c>
      <c r="I2416" s="1"/>
      <c r="J2416" s="1"/>
      <c r="K2416" s="1"/>
      <c r="L2416" s="1"/>
      <c r="M2416" s="1"/>
      <c r="N2416" s="1"/>
      <c r="O2416" s="1"/>
      <c r="Q2416"/>
    </row>
    <row r="2417" spans="1:17" ht="13.15" customHeight="1" x14ac:dyDescent="0.2">
      <c r="A2417" s="1" t="s">
        <v>6242</v>
      </c>
      <c r="B2417" s="1" t="s">
        <v>6102</v>
      </c>
      <c r="C2417" s="580">
        <v>160</v>
      </c>
      <c r="D2417" s="1">
        <v>6428.1193999999996</v>
      </c>
      <c r="E2417" t="s">
        <v>4354</v>
      </c>
      <c r="F2417" t="s">
        <v>6243</v>
      </c>
      <c r="G2417" s="580">
        <v>1801.0944</v>
      </c>
      <c r="H2417" s="1" t="s">
        <v>6244</v>
      </c>
      <c r="I2417" s="1"/>
      <c r="J2417" s="1"/>
      <c r="K2417" s="1"/>
      <c r="L2417" s="1"/>
      <c r="M2417" s="1"/>
      <c r="N2417" s="1"/>
      <c r="O2417" s="1"/>
      <c r="Q2417"/>
    </row>
    <row r="2418" spans="1:17" ht="13.15" customHeight="1" x14ac:dyDescent="0.2">
      <c r="A2418" s="1" t="s">
        <v>6245</v>
      </c>
      <c r="B2418" s="1" t="s">
        <v>6102</v>
      </c>
      <c r="C2418" s="580">
        <v>197</v>
      </c>
      <c r="D2418" s="1">
        <v>1846.3010999999999</v>
      </c>
      <c r="E2418" t="s">
        <v>4354</v>
      </c>
      <c r="F2418" t="s">
        <v>6246</v>
      </c>
      <c r="G2418" s="580">
        <v>633.41999999999996</v>
      </c>
      <c r="H2418" s="1" t="s">
        <v>6247</v>
      </c>
      <c r="I2418" s="1"/>
      <c r="J2418" s="1"/>
      <c r="K2418" s="1"/>
      <c r="L2418" s="1"/>
      <c r="M2418" s="1"/>
      <c r="N2418" s="1"/>
      <c r="O2418" s="1"/>
      <c r="Q2418"/>
    </row>
    <row r="2419" spans="1:17" ht="13.15" customHeight="1" x14ac:dyDescent="0.2">
      <c r="A2419" s="1" t="s">
        <v>6248</v>
      </c>
      <c r="B2419" s="1" t="s">
        <v>6102</v>
      </c>
      <c r="C2419" s="580">
        <v>198</v>
      </c>
      <c r="D2419" s="1">
        <v>2247.6709000000001</v>
      </c>
      <c r="E2419" t="s">
        <v>4354</v>
      </c>
      <c r="F2419" t="s">
        <v>6249</v>
      </c>
      <c r="G2419" s="580">
        <v>771.12</v>
      </c>
      <c r="H2419" s="1" t="s">
        <v>6250</v>
      </c>
      <c r="I2419" s="1"/>
      <c r="J2419" s="1"/>
      <c r="K2419" s="1"/>
      <c r="L2419" s="1"/>
      <c r="M2419" s="1"/>
      <c r="N2419" s="1"/>
      <c r="O2419" s="1"/>
      <c r="Q2419"/>
    </row>
    <row r="2420" spans="1:17" ht="13.15" customHeight="1" x14ac:dyDescent="0.2">
      <c r="A2420" s="1" t="s">
        <v>6251</v>
      </c>
      <c r="B2420" s="1" t="s">
        <v>6102</v>
      </c>
      <c r="C2420" s="580">
        <v>199</v>
      </c>
      <c r="D2420" s="1">
        <v>2889.8625999999999</v>
      </c>
      <c r="E2420" t="s">
        <v>4354</v>
      </c>
      <c r="F2420" t="s">
        <v>6252</v>
      </c>
      <c r="G2420" s="580">
        <v>991.44</v>
      </c>
      <c r="H2420" s="1" t="s">
        <v>6253</v>
      </c>
      <c r="I2420" s="1"/>
      <c r="J2420" s="1"/>
      <c r="K2420" s="1"/>
      <c r="L2420" s="1"/>
      <c r="M2420" s="1"/>
      <c r="N2420" s="1"/>
      <c r="O2420" s="1"/>
      <c r="Q2420"/>
    </row>
    <row r="2421" spans="1:17" ht="13.15" customHeight="1" x14ac:dyDescent="0.2">
      <c r="A2421" s="1" t="s">
        <v>6254</v>
      </c>
      <c r="B2421" s="1" t="s">
        <v>6102</v>
      </c>
      <c r="C2421" s="580">
        <v>200</v>
      </c>
      <c r="D2421" s="1">
        <v>3210.9585000000002</v>
      </c>
      <c r="E2421" t="s">
        <v>4354</v>
      </c>
      <c r="F2421" t="s">
        <v>6255</v>
      </c>
      <c r="G2421" s="580">
        <v>1101.5999999999999</v>
      </c>
      <c r="H2421" s="1" t="s">
        <v>6256</v>
      </c>
      <c r="I2421" s="1"/>
      <c r="J2421" s="1"/>
      <c r="K2421" s="1"/>
      <c r="L2421" s="1"/>
      <c r="M2421" s="1"/>
      <c r="N2421" s="1"/>
      <c r="O2421" s="1"/>
      <c r="Q2421"/>
    </row>
    <row r="2422" spans="1:17" ht="13.15" customHeight="1" x14ac:dyDescent="0.2">
      <c r="A2422" s="1" t="s">
        <v>6257</v>
      </c>
      <c r="B2422" s="1" t="s">
        <v>6102</v>
      </c>
      <c r="C2422" s="580">
        <v>205</v>
      </c>
      <c r="D2422" s="1">
        <v>7128.3278</v>
      </c>
      <c r="E2422" t="s">
        <v>4354</v>
      </c>
      <c r="F2422" t="s">
        <v>6258</v>
      </c>
      <c r="G2422" s="580">
        <v>2445.5520000000001</v>
      </c>
      <c r="H2422" s="1" t="s">
        <v>6259</v>
      </c>
      <c r="I2422" s="1"/>
      <c r="J2422" s="1"/>
      <c r="K2422" s="1"/>
      <c r="L2422" s="1"/>
      <c r="M2422" s="1"/>
      <c r="N2422" s="1"/>
      <c r="O2422" s="1"/>
      <c r="Q2422"/>
    </row>
    <row r="2423" spans="1:17" ht="13.15" customHeight="1" x14ac:dyDescent="0.2">
      <c r="A2423" s="1" t="s">
        <v>6260</v>
      </c>
      <c r="B2423" s="1" t="s">
        <v>6102</v>
      </c>
      <c r="C2423" s="580">
        <v>206</v>
      </c>
      <c r="D2423" s="1">
        <v>8375.7852000000003</v>
      </c>
      <c r="E2423" t="s">
        <v>4354</v>
      </c>
      <c r="F2423" t="s">
        <v>6261</v>
      </c>
      <c r="G2423" s="580">
        <v>2873.5236</v>
      </c>
      <c r="H2423" s="1" t="s">
        <v>6262</v>
      </c>
      <c r="I2423" s="1"/>
      <c r="J2423" s="1"/>
      <c r="K2423" s="1"/>
      <c r="L2423" s="1"/>
      <c r="M2423" s="1"/>
      <c r="N2423" s="1"/>
      <c r="O2423" s="1"/>
      <c r="Q2423"/>
    </row>
    <row r="2424" spans="1:17" ht="13.15" customHeight="1" x14ac:dyDescent="0.2">
      <c r="A2424" s="1" t="s">
        <v>6263</v>
      </c>
      <c r="B2424" s="1" t="s">
        <v>6102</v>
      </c>
      <c r="C2424" s="580">
        <v>207</v>
      </c>
      <c r="D2424" s="1">
        <v>8910.4097999999994</v>
      </c>
      <c r="E2424" t="s">
        <v>4354</v>
      </c>
      <c r="F2424" t="s">
        <v>6264</v>
      </c>
      <c r="G2424" s="580">
        <v>3056.94</v>
      </c>
      <c r="H2424" s="1" t="s">
        <v>6265</v>
      </c>
      <c r="I2424" s="1"/>
      <c r="J2424" s="1"/>
      <c r="K2424" s="1"/>
      <c r="L2424" s="1"/>
      <c r="M2424" s="1"/>
      <c r="N2424" s="1"/>
      <c r="O2424" s="1"/>
      <c r="Q2424"/>
    </row>
    <row r="2425" spans="1:17" ht="13.15" customHeight="1" x14ac:dyDescent="0.2">
      <c r="A2425" s="1" t="s">
        <v>6266</v>
      </c>
      <c r="B2425" s="1" t="s">
        <v>6102</v>
      </c>
      <c r="C2425" s="580">
        <v>211</v>
      </c>
      <c r="D2425" s="1">
        <v>3100.2150999999999</v>
      </c>
      <c r="E2425" t="s">
        <v>4354</v>
      </c>
      <c r="F2425" t="s">
        <v>6267</v>
      </c>
      <c r="G2425" s="580">
        <v>868.64909999999998</v>
      </c>
      <c r="H2425" s="1" t="s">
        <v>6268</v>
      </c>
      <c r="I2425" s="1"/>
      <c r="J2425" s="1"/>
      <c r="K2425" s="1"/>
      <c r="L2425" s="1"/>
      <c r="M2425" s="1"/>
      <c r="N2425" s="1"/>
      <c r="O2425" s="1"/>
      <c r="Q2425"/>
    </row>
    <row r="2426" spans="1:17" ht="13.15" customHeight="1" x14ac:dyDescent="0.2">
      <c r="A2426" s="1" t="s">
        <v>6269</v>
      </c>
      <c r="B2426" s="1" t="s">
        <v>6102</v>
      </c>
      <c r="C2426" s="580">
        <v>212</v>
      </c>
      <c r="D2426" s="1">
        <v>3348.9978000000001</v>
      </c>
      <c r="E2426" t="s">
        <v>4354</v>
      </c>
      <c r="F2426" t="s">
        <v>6270</v>
      </c>
      <c r="G2426" s="580">
        <v>938.35550000000001</v>
      </c>
      <c r="H2426" s="1" t="s">
        <v>6271</v>
      </c>
      <c r="I2426" s="1"/>
      <c r="J2426" s="1"/>
      <c r="K2426" s="1"/>
      <c r="L2426" s="1"/>
      <c r="M2426" s="1"/>
      <c r="N2426" s="1"/>
      <c r="O2426" s="1"/>
      <c r="Q2426"/>
    </row>
    <row r="2427" spans="1:17" ht="13.15" customHeight="1" x14ac:dyDescent="0.2">
      <c r="A2427" s="1" t="s">
        <v>6272</v>
      </c>
      <c r="B2427" s="1" t="s">
        <v>6102</v>
      </c>
      <c r="C2427" s="580">
        <v>213</v>
      </c>
      <c r="D2427" s="1">
        <v>3827.4259999999999</v>
      </c>
      <c r="E2427" t="s">
        <v>4354</v>
      </c>
      <c r="F2427" t="s">
        <v>6273</v>
      </c>
      <c r="G2427" s="580">
        <v>1072.4063000000001</v>
      </c>
      <c r="H2427" s="1" t="s">
        <v>6274</v>
      </c>
      <c r="I2427" s="1"/>
      <c r="J2427" s="1"/>
      <c r="K2427" s="1"/>
      <c r="L2427" s="1"/>
      <c r="M2427" s="1"/>
      <c r="N2427" s="1"/>
      <c r="O2427" s="1"/>
      <c r="Q2427"/>
    </row>
    <row r="2428" spans="1:17" ht="13.15" customHeight="1" x14ac:dyDescent="0.2">
      <c r="A2428" s="1" t="s">
        <v>6275</v>
      </c>
      <c r="B2428" s="1" t="s">
        <v>6102</v>
      </c>
      <c r="C2428" s="580">
        <v>219</v>
      </c>
      <c r="D2428" s="1">
        <v>1594.7608</v>
      </c>
      <c r="E2428" t="s">
        <v>4354</v>
      </c>
      <c r="F2428" t="s">
        <v>6276</v>
      </c>
      <c r="G2428" s="580">
        <v>446.83600000000001</v>
      </c>
      <c r="H2428" s="1" t="s">
        <v>6277</v>
      </c>
      <c r="I2428" s="1"/>
      <c r="J2428" s="1"/>
      <c r="K2428" s="1"/>
      <c r="L2428" s="1"/>
      <c r="M2428" s="1"/>
      <c r="N2428" s="1"/>
      <c r="O2428" s="1"/>
      <c r="Q2428"/>
    </row>
    <row r="2429" spans="1:17" ht="13.15" customHeight="1" x14ac:dyDescent="0.2">
      <c r="A2429" s="1" t="s">
        <v>6278</v>
      </c>
      <c r="B2429" s="1" t="s">
        <v>6102</v>
      </c>
      <c r="C2429" s="580">
        <v>220</v>
      </c>
      <c r="D2429" s="1">
        <v>1913.713</v>
      </c>
      <c r="E2429" t="s">
        <v>4354</v>
      </c>
      <c r="F2429" t="s">
        <v>6279</v>
      </c>
      <c r="G2429" s="580">
        <v>536.20320000000004</v>
      </c>
      <c r="H2429" s="1" t="s">
        <v>6280</v>
      </c>
      <c r="I2429" s="1"/>
      <c r="J2429" s="1"/>
      <c r="K2429" s="1"/>
      <c r="L2429" s="1"/>
      <c r="M2429" s="1"/>
      <c r="N2429" s="1"/>
      <c r="O2429" s="1"/>
      <c r="Q2429"/>
    </row>
    <row r="2430" spans="1:17" ht="13.15" customHeight="1" x14ac:dyDescent="0.2">
      <c r="A2430" s="1" t="s">
        <v>6281</v>
      </c>
      <c r="B2430" s="1" t="s">
        <v>6102</v>
      </c>
      <c r="C2430" s="580">
        <v>221</v>
      </c>
      <c r="D2430" s="1">
        <v>2298.7543999999998</v>
      </c>
      <c r="E2430" t="s">
        <v>4354</v>
      </c>
      <c r="F2430" t="s">
        <v>6282</v>
      </c>
      <c r="G2430" s="580">
        <v>650.63250000000005</v>
      </c>
      <c r="H2430" s="1" t="s">
        <v>6283</v>
      </c>
      <c r="I2430" s="1"/>
      <c r="J2430" s="1"/>
      <c r="K2430" s="1"/>
      <c r="L2430" s="1"/>
      <c r="M2430" s="1"/>
      <c r="N2430" s="1"/>
      <c r="O2430" s="1"/>
      <c r="Q2430"/>
    </row>
    <row r="2431" spans="1:17" ht="13.15" customHeight="1" x14ac:dyDescent="0.2">
      <c r="A2431" s="1" t="s">
        <v>6284</v>
      </c>
      <c r="B2431" s="1" t="s">
        <v>6102</v>
      </c>
      <c r="C2431" s="580">
        <v>222</v>
      </c>
      <c r="D2431" s="1">
        <v>2657.9346999999998</v>
      </c>
      <c r="E2431" t="s">
        <v>4354</v>
      </c>
      <c r="F2431" t="s">
        <v>6285</v>
      </c>
      <c r="G2431" s="580">
        <v>744.72659999999996</v>
      </c>
      <c r="H2431" s="1" t="s">
        <v>6286</v>
      </c>
      <c r="I2431" s="1"/>
      <c r="J2431" s="1"/>
      <c r="K2431" s="1"/>
      <c r="L2431" s="1"/>
      <c r="M2431" s="1"/>
      <c r="N2431" s="1"/>
      <c r="O2431" s="1"/>
      <c r="Q2431"/>
    </row>
    <row r="2432" spans="1:17" ht="13.15" customHeight="1" x14ac:dyDescent="0.2">
      <c r="A2432" s="1" t="s">
        <v>6287</v>
      </c>
      <c r="B2432" s="1" t="s">
        <v>6102</v>
      </c>
      <c r="C2432" s="580">
        <v>124</v>
      </c>
      <c r="D2432" s="1">
        <v>8732.2016000000003</v>
      </c>
      <c r="E2432" t="s">
        <v>4354</v>
      </c>
      <c r="F2432" t="s">
        <v>6288</v>
      </c>
      <c r="G2432" s="580">
        <v>1848.6080999999999</v>
      </c>
      <c r="H2432" s="1" t="s">
        <v>6289</v>
      </c>
      <c r="I2432" s="1"/>
      <c r="J2432" s="1"/>
      <c r="K2432" s="1"/>
      <c r="L2432" s="1"/>
      <c r="M2432" s="1"/>
      <c r="N2432" s="1"/>
      <c r="O2432" s="1"/>
      <c r="Q2432"/>
    </row>
    <row r="2433" spans="1:17" ht="13.15" customHeight="1" x14ac:dyDescent="0.2">
      <c r="A2433" s="1" t="s">
        <v>6290</v>
      </c>
      <c r="B2433" s="1" t="s">
        <v>6102</v>
      </c>
      <c r="C2433" s="580">
        <v>125</v>
      </c>
      <c r="D2433" s="1">
        <v>10336.0754</v>
      </c>
      <c r="E2433" t="s">
        <v>4354</v>
      </c>
      <c r="F2433" t="s">
        <v>6291</v>
      </c>
      <c r="G2433" s="580">
        <v>1848.6080999999999</v>
      </c>
      <c r="H2433" s="1" t="s">
        <v>6292</v>
      </c>
      <c r="I2433" s="1"/>
      <c r="J2433" s="1"/>
      <c r="K2433" s="1"/>
      <c r="L2433" s="1"/>
      <c r="M2433" s="1"/>
      <c r="N2433" s="1"/>
      <c r="O2433" s="1"/>
      <c r="Q2433"/>
    </row>
    <row r="2434" spans="1:17" ht="13.15" customHeight="1" x14ac:dyDescent="0.2">
      <c r="A2434" s="1" t="s">
        <v>6293</v>
      </c>
      <c r="B2434" s="1" t="s">
        <v>6102</v>
      </c>
      <c r="C2434" s="580">
        <v>126</v>
      </c>
      <c r="D2434" s="1">
        <v>10336.0754</v>
      </c>
      <c r="E2434" t="s">
        <v>4354</v>
      </c>
      <c r="F2434" t="s">
        <v>6294</v>
      </c>
      <c r="G2434" s="580">
        <v>2923.3802000000001</v>
      </c>
      <c r="H2434" s="1" t="s">
        <v>6295</v>
      </c>
      <c r="I2434" s="1"/>
      <c r="J2434" s="1"/>
      <c r="K2434" s="1"/>
      <c r="L2434" s="1"/>
      <c r="M2434" s="1"/>
      <c r="N2434" s="1"/>
      <c r="O2434" s="1"/>
      <c r="Q2434"/>
    </row>
    <row r="2435" spans="1:17" ht="13.15" customHeight="1" x14ac:dyDescent="0.2">
      <c r="A2435" s="1" t="s">
        <v>6296</v>
      </c>
      <c r="B2435" s="1" t="s">
        <v>6102</v>
      </c>
      <c r="C2435" s="580">
        <v>127</v>
      </c>
      <c r="D2435" s="1">
        <v>9311.7795999999998</v>
      </c>
      <c r="E2435" t="s">
        <v>4354</v>
      </c>
      <c r="F2435" t="s">
        <v>6297</v>
      </c>
      <c r="G2435" s="580">
        <v>2906.1837999999998</v>
      </c>
      <c r="H2435" s="1" t="s">
        <v>6298</v>
      </c>
      <c r="I2435" s="1"/>
      <c r="J2435" s="1"/>
      <c r="K2435" s="1"/>
      <c r="L2435" s="1"/>
      <c r="M2435" s="1"/>
      <c r="N2435" s="1"/>
      <c r="O2435" s="1"/>
      <c r="Q2435"/>
    </row>
    <row r="2436" spans="1:17" ht="13.15" customHeight="1" x14ac:dyDescent="0.2">
      <c r="A2436" s="1" t="s">
        <v>6299</v>
      </c>
      <c r="B2436" s="1" t="s">
        <v>6102</v>
      </c>
      <c r="C2436" s="580">
        <v>228</v>
      </c>
      <c r="D2436" s="1">
        <v>703.46749999999997</v>
      </c>
      <c r="E2436" t="s">
        <v>4354</v>
      </c>
      <c r="F2436" t="s">
        <v>6300</v>
      </c>
      <c r="G2436" s="580">
        <v>339.66</v>
      </c>
      <c r="H2436" s="1" t="s">
        <v>6301</v>
      </c>
      <c r="I2436" s="1"/>
      <c r="J2436" s="1"/>
      <c r="K2436" s="1"/>
      <c r="L2436" s="1"/>
      <c r="M2436" s="1"/>
      <c r="N2436" s="1"/>
      <c r="O2436" s="1"/>
      <c r="Q2436"/>
    </row>
    <row r="2437" spans="1:17" ht="13.15" customHeight="1" x14ac:dyDescent="0.2">
      <c r="A2437" s="1" t="s">
        <v>6302</v>
      </c>
      <c r="B2437" s="1" t="s">
        <v>6102</v>
      </c>
      <c r="C2437" s="580">
        <v>229</v>
      </c>
      <c r="D2437" s="1">
        <v>1748.3669</v>
      </c>
      <c r="E2437" t="s">
        <v>4354</v>
      </c>
      <c r="F2437" t="s">
        <v>6303</v>
      </c>
      <c r="G2437" s="580">
        <v>611.82000000000005</v>
      </c>
      <c r="H2437" s="1" t="s">
        <v>6304</v>
      </c>
      <c r="I2437" s="1"/>
      <c r="J2437" s="1"/>
      <c r="K2437" s="1"/>
      <c r="L2437" s="1"/>
      <c r="M2437" s="1"/>
      <c r="N2437" s="1"/>
      <c r="O2437" s="1"/>
      <c r="Q2437"/>
    </row>
    <row r="2438" spans="1:17" ht="13.15" customHeight="1" x14ac:dyDescent="0.2">
      <c r="A2438" s="1" t="s">
        <v>6305</v>
      </c>
      <c r="B2438" s="1" t="s">
        <v>6102</v>
      </c>
      <c r="C2438" s="580">
        <v>230</v>
      </c>
      <c r="D2438" s="1">
        <v>3748.7939999999999</v>
      </c>
      <c r="E2438" t="s">
        <v>4354</v>
      </c>
      <c r="F2438" t="s">
        <v>6306</v>
      </c>
      <c r="G2438" s="580">
        <v>879.12</v>
      </c>
      <c r="H2438" s="1" t="s">
        <v>6307</v>
      </c>
      <c r="I2438" s="1"/>
      <c r="J2438" s="1"/>
      <c r="K2438" s="1"/>
      <c r="L2438" s="1"/>
      <c r="M2438" s="1"/>
      <c r="N2438" s="1"/>
      <c r="O2438" s="1"/>
      <c r="Q2438"/>
    </row>
    <row r="2439" spans="1:17" ht="13.15" customHeight="1" x14ac:dyDescent="0.2">
      <c r="A2439" s="1" t="s">
        <v>6308</v>
      </c>
      <c r="B2439" s="1" t="s">
        <v>6102</v>
      </c>
      <c r="C2439" s="580">
        <v>231</v>
      </c>
      <c r="D2439" s="1">
        <v>4952.9035000000003</v>
      </c>
      <c r="E2439" t="s">
        <v>4354</v>
      </c>
      <c r="F2439" t="s">
        <v>6309</v>
      </c>
      <c r="G2439" s="580">
        <v>1216.08</v>
      </c>
      <c r="H2439" s="1" t="s">
        <v>6310</v>
      </c>
      <c r="I2439" s="1"/>
      <c r="J2439" s="1"/>
      <c r="K2439" s="1"/>
      <c r="L2439" s="1"/>
      <c r="M2439" s="1"/>
      <c r="N2439" s="1"/>
      <c r="O2439" s="1"/>
      <c r="Q2439"/>
    </row>
    <row r="2440" spans="1:17" ht="13.15" customHeight="1" x14ac:dyDescent="0.2">
      <c r="A2440" s="1" t="s">
        <v>6311</v>
      </c>
      <c r="B2440" s="1" t="s">
        <v>6102</v>
      </c>
      <c r="C2440" s="580">
        <v>49</v>
      </c>
      <c r="D2440" s="1">
        <v>0</v>
      </c>
      <c r="E2440" t="s">
        <v>4354</v>
      </c>
      <c r="F2440">
        <v>0</v>
      </c>
      <c r="G2440" s="580">
        <v>0</v>
      </c>
      <c r="H2440" s="1" t="s">
        <v>6312</v>
      </c>
      <c r="I2440" s="1"/>
      <c r="J2440" s="1"/>
      <c r="K2440" s="1"/>
      <c r="L2440" s="1"/>
      <c r="M2440" s="1"/>
      <c r="N2440" s="1"/>
      <c r="O2440" s="1"/>
      <c r="Q2440"/>
    </row>
    <row r="2441" spans="1:17" ht="13.15" customHeight="1" x14ac:dyDescent="0.2">
      <c r="A2441" s="1" t="s">
        <v>6313</v>
      </c>
      <c r="B2441" s="1" t="s">
        <v>6102</v>
      </c>
      <c r="C2441" s="580">
        <v>51</v>
      </c>
      <c r="D2441" s="1">
        <v>0</v>
      </c>
      <c r="E2441" t="s">
        <v>4354</v>
      </c>
      <c r="F2441">
        <v>0</v>
      </c>
      <c r="G2441" s="580">
        <v>0</v>
      </c>
      <c r="H2441" s="1" t="s">
        <v>6314</v>
      </c>
      <c r="I2441" s="1"/>
      <c r="J2441" s="1"/>
      <c r="K2441" s="1"/>
      <c r="L2441" s="1"/>
      <c r="M2441" s="1"/>
      <c r="N2441" s="1"/>
      <c r="O2441" s="1"/>
      <c r="Q2441"/>
    </row>
    <row r="2442" spans="1:17" ht="13.15" customHeight="1" x14ac:dyDescent="0.2">
      <c r="A2442" s="1" t="s">
        <v>6315</v>
      </c>
      <c r="B2442" s="1" t="s">
        <v>6316</v>
      </c>
      <c r="C2442" s="580">
        <v>3</v>
      </c>
      <c r="D2442" s="1">
        <v>2745.0594999999998</v>
      </c>
      <c r="E2442" t="s">
        <v>4354</v>
      </c>
      <c r="F2442" t="s">
        <v>6317</v>
      </c>
      <c r="G2442" s="580">
        <v>769.13810000000001</v>
      </c>
      <c r="H2442" s="1" t="s">
        <v>6318</v>
      </c>
      <c r="I2442" s="1"/>
      <c r="J2442" s="1"/>
      <c r="K2442" s="1"/>
      <c r="L2442" s="1"/>
      <c r="M2442" s="1"/>
      <c r="N2442" s="1"/>
      <c r="O2442" s="1"/>
      <c r="Q2442"/>
    </row>
    <row r="2443" spans="1:17" ht="13.15" customHeight="1" x14ac:dyDescent="0.2">
      <c r="A2443" s="1" t="s">
        <v>6319</v>
      </c>
      <c r="B2443" s="1" t="s">
        <v>6316</v>
      </c>
      <c r="C2443" s="580">
        <v>7</v>
      </c>
      <c r="D2443" s="1">
        <v>3692.2307999999998</v>
      </c>
      <c r="E2443" t="s">
        <v>4354</v>
      </c>
      <c r="F2443" t="s">
        <v>6320</v>
      </c>
      <c r="G2443" s="580">
        <v>1034.5259000000001</v>
      </c>
      <c r="H2443" s="1" t="s">
        <v>6321</v>
      </c>
      <c r="I2443" s="1"/>
      <c r="J2443" s="1"/>
      <c r="K2443" s="1"/>
      <c r="L2443" s="1"/>
      <c r="M2443" s="1"/>
      <c r="N2443" s="1"/>
      <c r="O2443" s="1"/>
      <c r="Q2443"/>
    </row>
    <row r="2444" spans="1:17" ht="13.15" customHeight="1" x14ac:dyDescent="0.2">
      <c r="A2444" s="1" t="s">
        <v>6322</v>
      </c>
      <c r="B2444" s="1" t="s">
        <v>6316</v>
      </c>
      <c r="C2444" s="580">
        <v>96</v>
      </c>
      <c r="D2444" s="1">
        <v>2138.6010000000001</v>
      </c>
      <c r="E2444" t="s">
        <v>4354</v>
      </c>
      <c r="F2444" t="s">
        <v>6323</v>
      </c>
      <c r="G2444" s="580">
        <v>290.03519999999997</v>
      </c>
      <c r="H2444" s="1" t="s">
        <v>6324</v>
      </c>
      <c r="I2444" s="1"/>
      <c r="J2444" s="1"/>
      <c r="K2444" s="1"/>
      <c r="L2444" s="1"/>
      <c r="M2444" s="1"/>
      <c r="N2444" s="1"/>
      <c r="O2444" s="1"/>
      <c r="Q2444"/>
    </row>
    <row r="2445" spans="1:17" ht="13.15" customHeight="1" x14ac:dyDescent="0.2">
      <c r="A2445" s="1" t="s">
        <v>6325</v>
      </c>
      <c r="B2445" s="1" t="s">
        <v>6316</v>
      </c>
      <c r="C2445" s="580">
        <v>107</v>
      </c>
      <c r="D2445" s="1">
        <v>2673.1228999999998</v>
      </c>
      <c r="E2445" t="s">
        <v>4354</v>
      </c>
      <c r="F2445" t="s">
        <v>6326</v>
      </c>
      <c r="G2445" s="580">
        <v>748.98220000000003</v>
      </c>
      <c r="H2445" s="1" t="s">
        <v>6327</v>
      </c>
      <c r="I2445" s="1"/>
      <c r="J2445" s="1"/>
      <c r="K2445" s="1"/>
      <c r="L2445" s="1"/>
      <c r="M2445" s="1"/>
      <c r="N2445" s="1"/>
      <c r="O2445" s="1"/>
      <c r="Q2445"/>
    </row>
    <row r="2446" spans="1:17" ht="13.15" customHeight="1" x14ac:dyDescent="0.2">
      <c r="A2446" s="1" t="s">
        <v>6328</v>
      </c>
      <c r="B2446" s="1" t="s">
        <v>6316</v>
      </c>
      <c r="C2446" s="580">
        <v>139</v>
      </c>
      <c r="D2446" s="1">
        <v>2138.4983999999999</v>
      </c>
      <c r="E2446" t="s">
        <v>4354</v>
      </c>
      <c r="F2446" t="s">
        <v>6329</v>
      </c>
      <c r="G2446" s="580">
        <v>304.01280000000003</v>
      </c>
      <c r="H2446" s="1" t="s">
        <v>6330</v>
      </c>
      <c r="I2446" s="1"/>
      <c r="J2446" s="1"/>
      <c r="K2446" s="1"/>
      <c r="L2446" s="1"/>
      <c r="M2446" s="1"/>
      <c r="N2446" s="1"/>
      <c r="O2446" s="1"/>
      <c r="Q2446"/>
    </row>
    <row r="2447" spans="1:17" ht="13.15" customHeight="1" x14ac:dyDescent="0.2">
      <c r="A2447" s="1" t="s">
        <v>6331</v>
      </c>
      <c r="B2447" s="1" t="s">
        <v>6316</v>
      </c>
      <c r="C2447" s="580">
        <v>152</v>
      </c>
      <c r="D2447" s="1">
        <v>3000.8254999999999</v>
      </c>
      <c r="E2447" t="s">
        <v>4354</v>
      </c>
      <c r="F2447" t="s">
        <v>6332</v>
      </c>
      <c r="G2447" s="580">
        <v>840.80110000000002</v>
      </c>
      <c r="H2447" s="1" t="s">
        <v>6333</v>
      </c>
      <c r="I2447" s="1"/>
      <c r="J2447" s="1"/>
      <c r="K2447" s="1"/>
      <c r="L2447" s="1"/>
      <c r="M2447" s="1"/>
      <c r="N2447" s="1"/>
      <c r="O2447" s="1"/>
      <c r="Q2447"/>
    </row>
    <row r="2448" spans="1:17" ht="13.15" customHeight="1" x14ac:dyDescent="0.2">
      <c r="A2448" s="1" t="s">
        <v>6334</v>
      </c>
      <c r="B2448" s="1" t="s">
        <v>6316</v>
      </c>
      <c r="C2448" s="580">
        <v>156</v>
      </c>
      <c r="D2448" s="1">
        <v>3327.0994999999998</v>
      </c>
      <c r="E2448" t="s">
        <v>4354</v>
      </c>
      <c r="F2448" t="s">
        <v>6335</v>
      </c>
      <c r="G2448" s="580">
        <v>932.21979999999996</v>
      </c>
      <c r="H2448" s="1" t="s">
        <v>6336</v>
      </c>
      <c r="I2448" s="1"/>
      <c r="J2448" s="1"/>
      <c r="K2448" s="1"/>
      <c r="L2448" s="1"/>
      <c r="M2448" s="1"/>
      <c r="N2448" s="1"/>
      <c r="O2448" s="1"/>
      <c r="Q2448"/>
    </row>
    <row r="2449" spans="1:17" ht="13.15" customHeight="1" x14ac:dyDescent="0.2">
      <c r="A2449" s="1" t="s">
        <v>6337</v>
      </c>
      <c r="B2449" s="1" t="s">
        <v>6316</v>
      </c>
      <c r="C2449" s="580">
        <v>14</v>
      </c>
      <c r="D2449" s="1">
        <v>3754.6320999999998</v>
      </c>
      <c r="E2449" t="s">
        <v>4354</v>
      </c>
      <c r="F2449" t="s">
        <v>6338</v>
      </c>
      <c r="G2449" s="580">
        <v>1180.7774999999999</v>
      </c>
      <c r="H2449" s="1" t="s">
        <v>6339</v>
      </c>
      <c r="I2449" s="1"/>
      <c r="J2449" s="1"/>
      <c r="K2449" s="1"/>
      <c r="L2449" s="1"/>
      <c r="M2449" s="1"/>
      <c r="N2449" s="1"/>
      <c r="O2449" s="1"/>
      <c r="Q2449"/>
    </row>
    <row r="2450" spans="1:17" ht="13.15" customHeight="1" x14ac:dyDescent="0.2">
      <c r="A2450" s="1" t="s">
        <v>6340</v>
      </c>
      <c r="B2450" s="1" t="s">
        <v>6316</v>
      </c>
      <c r="C2450" s="580">
        <v>15</v>
      </c>
      <c r="D2450" s="1">
        <v>3831.2573000000002</v>
      </c>
      <c r="E2450" t="s">
        <v>4354</v>
      </c>
      <c r="F2450" t="s">
        <v>6341</v>
      </c>
      <c r="G2450" s="580">
        <v>1204.875</v>
      </c>
      <c r="H2450" s="1" t="s">
        <v>6342</v>
      </c>
      <c r="I2450" s="1"/>
      <c r="J2450" s="1"/>
      <c r="K2450" s="1"/>
      <c r="L2450" s="1"/>
      <c r="M2450" s="1"/>
      <c r="N2450" s="1"/>
      <c r="O2450" s="1"/>
      <c r="Q2450"/>
    </row>
    <row r="2451" spans="1:17" ht="13.15" customHeight="1" x14ac:dyDescent="0.2">
      <c r="A2451" s="1" t="s">
        <v>6343</v>
      </c>
      <c r="B2451" s="1" t="s">
        <v>6316</v>
      </c>
      <c r="C2451" s="580">
        <v>16</v>
      </c>
      <c r="D2451" s="1">
        <v>5710.8924999999999</v>
      </c>
      <c r="E2451" t="s">
        <v>4354</v>
      </c>
      <c r="F2451" t="s">
        <v>6344</v>
      </c>
      <c r="G2451" s="580">
        <v>661.50450000000001</v>
      </c>
      <c r="H2451" s="1" t="s">
        <v>6345</v>
      </c>
      <c r="I2451" s="1"/>
      <c r="J2451" s="1"/>
      <c r="K2451" s="1"/>
      <c r="L2451" s="1"/>
      <c r="M2451" s="1"/>
      <c r="N2451" s="1"/>
      <c r="O2451" s="1"/>
      <c r="Q2451"/>
    </row>
    <row r="2452" spans="1:17" ht="13.15" customHeight="1" x14ac:dyDescent="0.2">
      <c r="A2452" s="1" t="s">
        <v>6346</v>
      </c>
      <c r="B2452" s="1" t="s">
        <v>6316</v>
      </c>
      <c r="C2452" s="580">
        <v>50</v>
      </c>
      <c r="D2452" s="1">
        <v>5378.8554999999997</v>
      </c>
      <c r="E2452" t="s">
        <v>4354</v>
      </c>
      <c r="F2452" t="s">
        <v>6347</v>
      </c>
      <c r="G2452" s="580">
        <v>1507.1012000000001</v>
      </c>
      <c r="H2452" s="1" t="s">
        <v>6348</v>
      </c>
      <c r="I2452" s="1"/>
      <c r="J2452" s="1"/>
      <c r="K2452" s="1"/>
      <c r="L2452" s="1"/>
      <c r="M2452" s="1"/>
      <c r="N2452" s="1"/>
      <c r="O2452" s="1"/>
      <c r="Q2452"/>
    </row>
    <row r="2453" spans="1:17" ht="13.15" customHeight="1" x14ac:dyDescent="0.2">
      <c r="A2453" s="1" t="s">
        <v>6349</v>
      </c>
      <c r="B2453" s="1" t="s">
        <v>6316</v>
      </c>
      <c r="C2453" s="580">
        <v>165</v>
      </c>
      <c r="D2453" s="1">
        <v>5234.8657999999996</v>
      </c>
      <c r="E2453" t="s">
        <v>4354</v>
      </c>
      <c r="F2453" t="s">
        <v>6350</v>
      </c>
      <c r="G2453" s="580">
        <v>1466.7568000000001</v>
      </c>
      <c r="H2453" s="1" t="s">
        <v>6351</v>
      </c>
      <c r="I2453" s="1"/>
      <c r="J2453" s="1"/>
      <c r="K2453" s="1"/>
      <c r="L2453" s="1"/>
      <c r="M2453" s="1"/>
      <c r="N2453" s="1"/>
      <c r="O2453" s="1"/>
      <c r="Q2453"/>
    </row>
    <row r="2454" spans="1:17" ht="13.15" customHeight="1" x14ac:dyDescent="0.2">
      <c r="A2454" s="1" t="s">
        <v>6352</v>
      </c>
      <c r="B2454" s="1" t="s">
        <v>6316</v>
      </c>
      <c r="C2454" s="580">
        <v>166</v>
      </c>
      <c r="D2454" s="1">
        <v>5188.2885999999999</v>
      </c>
      <c r="E2454" t="s">
        <v>4354</v>
      </c>
      <c r="F2454" t="s">
        <v>6353</v>
      </c>
      <c r="G2454" s="580">
        <v>1494.0450000000001</v>
      </c>
      <c r="H2454" s="1" t="s">
        <v>6354</v>
      </c>
      <c r="I2454" s="1"/>
      <c r="J2454" s="1"/>
      <c r="K2454" s="1"/>
      <c r="L2454" s="1"/>
      <c r="M2454" s="1"/>
      <c r="N2454" s="1"/>
      <c r="O2454" s="1"/>
      <c r="Q2454"/>
    </row>
    <row r="2455" spans="1:17" ht="13.15" customHeight="1" x14ac:dyDescent="0.2">
      <c r="A2455" s="1" t="s">
        <v>6355</v>
      </c>
      <c r="B2455" s="1" t="s">
        <v>6316</v>
      </c>
      <c r="C2455" s="580">
        <v>167</v>
      </c>
      <c r="D2455" s="1">
        <v>6769.5388999999996</v>
      </c>
      <c r="E2455" t="s">
        <v>4354</v>
      </c>
      <c r="F2455" t="s">
        <v>6356</v>
      </c>
      <c r="G2455" s="580">
        <v>1896.7568000000001</v>
      </c>
      <c r="H2455" s="1" t="s">
        <v>6357</v>
      </c>
      <c r="I2455" s="1"/>
      <c r="J2455" s="1"/>
      <c r="K2455" s="1"/>
      <c r="L2455" s="1"/>
      <c r="M2455" s="1"/>
      <c r="N2455" s="1"/>
      <c r="O2455" s="1"/>
      <c r="Q2455"/>
    </row>
    <row r="2456" spans="1:17" ht="13.15" customHeight="1" x14ac:dyDescent="0.2">
      <c r="A2456" s="1" t="s">
        <v>6358</v>
      </c>
      <c r="B2456" s="1" t="s">
        <v>6316</v>
      </c>
      <c r="C2456" s="580">
        <v>240</v>
      </c>
      <c r="D2456" s="1">
        <v>4316.4196000000002</v>
      </c>
      <c r="E2456" t="s">
        <v>4354</v>
      </c>
      <c r="F2456" t="s">
        <v>6359</v>
      </c>
      <c r="G2456" s="580">
        <v>1002.6444</v>
      </c>
      <c r="H2456" s="1" t="s">
        <v>6360</v>
      </c>
      <c r="I2456" s="1"/>
      <c r="J2456" s="1"/>
      <c r="K2456" s="1"/>
      <c r="L2456" s="1"/>
      <c r="M2456" s="1"/>
      <c r="N2456" s="1"/>
      <c r="O2456" s="1"/>
      <c r="Q2456"/>
    </row>
    <row r="2457" spans="1:17" ht="13.15" customHeight="1" x14ac:dyDescent="0.2">
      <c r="A2457" s="1" t="s">
        <v>6361</v>
      </c>
      <c r="B2457" s="1" t="s">
        <v>6316</v>
      </c>
      <c r="C2457" s="580">
        <v>241</v>
      </c>
      <c r="D2457" s="1">
        <v>4929.5797000000002</v>
      </c>
      <c r="E2457" t="s">
        <v>4354</v>
      </c>
      <c r="F2457" t="s">
        <v>6362</v>
      </c>
      <c r="G2457" s="580">
        <v>1120.8344</v>
      </c>
      <c r="H2457" s="1" t="s">
        <v>6363</v>
      </c>
      <c r="I2457" s="1"/>
      <c r="J2457" s="1"/>
      <c r="K2457" s="1"/>
      <c r="L2457" s="1"/>
      <c r="M2457" s="1"/>
      <c r="N2457" s="1"/>
      <c r="O2457" s="1"/>
      <c r="Q2457"/>
    </row>
    <row r="2458" spans="1:17" ht="13.15" customHeight="1" x14ac:dyDescent="0.2">
      <c r="A2458" s="1" t="s">
        <v>6364</v>
      </c>
      <c r="B2458" s="1" t="s">
        <v>6316</v>
      </c>
      <c r="C2458" s="580">
        <v>242</v>
      </c>
      <c r="D2458" s="1">
        <v>4911.4848000000002</v>
      </c>
      <c r="E2458" t="s">
        <v>4354</v>
      </c>
      <c r="F2458" t="s">
        <v>6365</v>
      </c>
      <c r="G2458" s="580">
        <v>1123.0644</v>
      </c>
      <c r="H2458" s="1" t="s">
        <v>6366</v>
      </c>
      <c r="I2458" s="1"/>
      <c r="J2458" s="1"/>
      <c r="K2458" s="1"/>
      <c r="L2458" s="1"/>
      <c r="M2458" s="1"/>
      <c r="N2458" s="1"/>
      <c r="O2458" s="1"/>
      <c r="Q2458"/>
    </row>
    <row r="2459" spans="1:17" ht="13.15" customHeight="1" x14ac:dyDescent="0.2">
      <c r="A2459" s="1" t="s">
        <v>6367</v>
      </c>
      <c r="B2459" s="1" t="s">
        <v>6316</v>
      </c>
      <c r="C2459" s="580">
        <v>243</v>
      </c>
      <c r="D2459" s="1">
        <v>7943.1634000000004</v>
      </c>
      <c r="E2459" t="s">
        <v>4354</v>
      </c>
      <c r="F2459" t="s">
        <v>6368</v>
      </c>
      <c r="G2459" s="580">
        <v>2174.2507000000001</v>
      </c>
      <c r="H2459" s="1" t="s">
        <v>6369</v>
      </c>
      <c r="I2459" s="1"/>
      <c r="J2459" s="1"/>
      <c r="K2459" s="1"/>
      <c r="L2459" s="1"/>
      <c r="M2459" s="1"/>
      <c r="N2459" s="1"/>
      <c r="O2459" s="1"/>
      <c r="Q2459"/>
    </row>
    <row r="2460" spans="1:17" ht="13.15" customHeight="1" x14ac:dyDescent="0.2">
      <c r="A2460" s="1" t="s">
        <v>6370</v>
      </c>
      <c r="B2460" s="1" t="s">
        <v>6316</v>
      </c>
      <c r="C2460" s="580">
        <v>248</v>
      </c>
      <c r="D2460" s="1">
        <v>12385.4494</v>
      </c>
      <c r="E2460" t="s">
        <v>4354</v>
      </c>
      <c r="F2460" t="s">
        <v>6371</v>
      </c>
      <c r="G2460" s="580">
        <v>4297.0808999999999</v>
      </c>
      <c r="H2460" s="1" t="s">
        <v>6372</v>
      </c>
      <c r="I2460" s="1"/>
      <c r="J2460" s="1"/>
      <c r="K2460" s="1"/>
      <c r="L2460" s="1"/>
      <c r="M2460" s="1"/>
      <c r="N2460" s="1"/>
      <c r="O2460" s="1"/>
      <c r="Q2460"/>
    </row>
    <row r="2461" spans="1:17" ht="13.15" customHeight="1" x14ac:dyDescent="0.2">
      <c r="A2461" s="1" t="s">
        <v>6373</v>
      </c>
      <c r="B2461" s="1" t="s">
        <v>6316</v>
      </c>
      <c r="C2461" s="580">
        <v>249</v>
      </c>
      <c r="D2461" s="1">
        <v>14449.566699999999</v>
      </c>
      <c r="E2461" t="s">
        <v>4354</v>
      </c>
      <c r="F2461" t="s">
        <v>6374</v>
      </c>
      <c r="G2461" s="580">
        <v>5013.2179999999998</v>
      </c>
      <c r="H2461" s="1" t="s">
        <v>6375</v>
      </c>
      <c r="I2461" s="1"/>
      <c r="J2461" s="1"/>
      <c r="K2461" s="1"/>
      <c r="L2461" s="1"/>
      <c r="M2461" s="1"/>
      <c r="N2461" s="1"/>
      <c r="O2461" s="1"/>
      <c r="Q2461"/>
    </row>
    <row r="2462" spans="1:17" ht="13.15" customHeight="1" x14ac:dyDescent="0.2">
      <c r="A2462" s="1" t="s">
        <v>6376</v>
      </c>
      <c r="B2462" s="1" t="s">
        <v>6316</v>
      </c>
      <c r="C2462" s="580">
        <v>251</v>
      </c>
      <c r="D2462" s="1">
        <v>16650.8446</v>
      </c>
      <c r="E2462" t="s">
        <v>4354</v>
      </c>
      <c r="F2462" t="s">
        <v>6377</v>
      </c>
      <c r="G2462" s="580">
        <v>5776.9422999999997</v>
      </c>
      <c r="H2462" s="1" t="s">
        <v>6378</v>
      </c>
      <c r="I2462" s="1"/>
      <c r="J2462" s="1"/>
      <c r="K2462" s="1"/>
      <c r="L2462" s="1"/>
      <c r="M2462" s="1"/>
      <c r="N2462" s="1"/>
      <c r="O2462" s="1"/>
      <c r="Q2462"/>
    </row>
    <row r="2463" spans="1:17" ht="13.15" customHeight="1" x14ac:dyDescent="0.2">
      <c r="A2463" s="1" t="s">
        <v>6379</v>
      </c>
      <c r="B2463" s="1" t="s">
        <v>6316</v>
      </c>
      <c r="C2463" s="580">
        <v>256</v>
      </c>
      <c r="D2463" s="1">
        <v>12937.818799999999</v>
      </c>
      <c r="E2463" t="s">
        <v>4354</v>
      </c>
      <c r="F2463" t="s">
        <v>6380</v>
      </c>
      <c r="G2463" s="580">
        <v>4488.7232000000004</v>
      </c>
      <c r="H2463" s="1" t="s">
        <v>6381</v>
      </c>
      <c r="I2463" s="1"/>
      <c r="J2463" s="1"/>
      <c r="K2463" s="1"/>
      <c r="L2463" s="1"/>
      <c r="M2463" s="1"/>
      <c r="N2463" s="1"/>
      <c r="O2463" s="1"/>
      <c r="Q2463"/>
    </row>
    <row r="2464" spans="1:17" ht="13.15" customHeight="1" x14ac:dyDescent="0.2">
      <c r="A2464" s="1" t="s">
        <v>6382</v>
      </c>
      <c r="B2464" s="1" t="s">
        <v>6316</v>
      </c>
      <c r="C2464" s="580">
        <v>257</v>
      </c>
      <c r="D2464" s="1">
        <v>16925.911199999999</v>
      </c>
      <c r="E2464" t="s">
        <v>4354</v>
      </c>
      <c r="F2464" t="s">
        <v>6383</v>
      </c>
      <c r="G2464" s="580">
        <v>5872.3755000000001</v>
      </c>
      <c r="H2464" s="1" t="s">
        <v>6384</v>
      </c>
      <c r="I2464" s="1"/>
      <c r="J2464" s="1"/>
      <c r="K2464" s="1"/>
      <c r="L2464" s="1"/>
      <c r="M2464" s="1"/>
      <c r="N2464" s="1"/>
      <c r="O2464" s="1"/>
      <c r="Q2464"/>
    </row>
    <row r="2465" spans="1:17" ht="13.15" customHeight="1" x14ac:dyDescent="0.2">
      <c r="A2465" s="1" t="s">
        <v>6385</v>
      </c>
      <c r="B2465" s="1" t="s">
        <v>6316</v>
      </c>
      <c r="C2465" s="580">
        <v>263</v>
      </c>
      <c r="D2465" s="1">
        <v>11971.731400000001</v>
      </c>
      <c r="E2465" t="s">
        <v>4354</v>
      </c>
      <c r="F2465" t="s">
        <v>6386</v>
      </c>
      <c r="G2465" s="580">
        <v>4153.5432000000001</v>
      </c>
      <c r="H2465" s="1" t="s">
        <v>6387</v>
      </c>
      <c r="I2465" s="1"/>
      <c r="J2465" s="1"/>
      <c r="K2465" s="1"/>
      <c r="L2465" s="1"/>
      <c r="M2465" s="1"/>
      <c r="N2465" s="1"/>
      <c r="O2465" s="1"/>
      <c r="Q2465"/>
    </row>
    <row r="2466" spans="1:17" ht="13.15" customHeight="1" x14ac:dyDescent="0.2">
      <c r="A2466" s="1" t="s">
        <v>6388</v>
      </c>
      <c r="B2466" s="1" t="s">
        <v>6316</v>
      </c>
      <c r="C2466" s="580">
        <v>264</v>
      </c>
      <c r="D2466" s="1">
        <v>15134.624100000001</v>
      </c>
      <c r="E2466" t="s">
        <v>4354</v>
      </c>
      <c r="F2466" t="s">
        <v>6389</v>
      </c>
      <c r="G2466" s="580">
        <v>5250.8958000000002</v>
      </c>
      <c r="H2466" s="1" t="s">
        <v>6390</v>
      </c>
      <c r="I2466" s="1"/>
      <c r="J2466" s="1"/>
      <c r="K2466" s="1"/>
      <c r="L2466" s="1"/>
      <c r="M2466" s="1"/>
      <c r="N2466" s="1"/>
      <c r="O2466" s="1"/>
      <c r="Q2466"/>
    </row>
    <row r="2467" spans="1:17" ht="13.15" customHeight="1" x14ac:dyDescent="0.2">
      <c r="A2467" s="1" t="s">
        <v>6391</v>
      </c>
      <c r="B2467" s="1" t="s">
        <v>6316</v>
      </c>
      <c r="C2467" s="580">
        <v>274</v>
      </c>
      <c r="D2467" s="1">
        <v>7493.3272999999999</v>
      </c>
      <c r="E2467" t="s">
        <v>4354</v>
      </c>
      <c r="F2467" t="s">
        <v>6392</v>
      </c>
      <c r="G2467" s="580">
        <v>2019.7556</v>
      </c>
      <c r="H2467" s="1" t="s">
        <v>6393</v>
      </c>
      <c r="I2467" s="1"/>
      <c r="J2467" s="1"/>
      <c r="K2467" s="1"/>
      <c r="L2467" s="1"/>
      <c r="M2467" s="1"/>
      <c r="N2467" s="1"/>
      <c r="O2467" s="1"/>
      <c r="Q2467"/>
    </row>
    <row r="2468" spans="1:17" ht="13.15" customHeight="1" x14ac:dyDescent="0.2">
      <c r="A2468" s="1" t="s">
        <v>6394</v>
      </c>
      <c r="B2468" s="1" t="s">
        <v>6316</v>
      </c>
      <c r="C2468" s="580">
        <v>275</v>
      </c>
      <c r="D2468" s="1">
        <v>8462.8809999999994</v>
      </c>
      <c r="E2468" t="s">
        <v>4354</v>
      </c>
      <c r="F2468" t="s">
        <v>6395</v>
      </c>
      <c r="G2468" s="580">
        <v>2247.2156</v>
      </c>
      <c r="H2468" s="1" t="s">
        <v>6396</v>
      </c>
      <c r="I2468" s="1"/>
      <c r="J2468" s="1"/>
      <c r="K2468" s="1"/>
      <c r="L2468" s="1"/>
      <c r="M2468" s="1"/>
      <c r="N2468" s="1"/>
      <c r="O2468" s="1"/>
      <c r="Q2468"/>
    </row>
    <row r="2469" spans="1:17" ht="13.15" customHeight="1" x14ac:dyDescent="0.2">
      <c r="A2469" s="1" t="s">
        <v>6397</v>
      </c>
      <c r="B2469" s="1" t="s">
        <v>6316</v>
      </c>
      <c r="C2469" s="580">
        <v>276</v>
      </c>
      <c r="D2469" s="1">
        <v>11862.375700000001</v>
      </c>
      <c r="E2469" t="s">
        <v>4354</v>
      </c>
      <c r="F2469" t="s">
        <v>6398</v>
      </c>
      <c r="G2469" s="580">
        <v>3550.9162000000001</v>
      </c>
      <c r="H2469" s="1" t="s">
        <v>6399</v>
      </c>
      <c r="I2469" s="1"/>
      <c r="J2469" s="1"/>
      <c r="K2469" s="1"/>
      <c r="L2469" s="1"/>
      <c r="M2469" s="1"/>
      <c r="N2469" s="1"/>
      <c r="O2469" s="1"/>
      <c r="Q2469"/>
    </row>
    <row r="2470" spans="1:17" ht="13.15" customHeight="1" x14ac:dyDescent="0.2">
      <c r="A2470" s="1" t="s">
        <v>6400</v>
      </c>
      <c r="B2470" s="1" t="s">
        <v>6316</v>
      </c>
      <c r="C2470" s="580">
        <v>300</v>
      </c>
      <c r="D2470" s="1">
        <v>2673.1228999999998</v>
      </c>
      <c r="E2470" t="s">
        <v>4354</v>
      </c>
      <c r="F2470" t="s">
        <v>6401</v>
      </c>
      <c r="G2470" s="580">
        <v>478.7937</v>
      </c>
      <c r="H2470" s="1" t="s">
        <v>6402</v>
      </c>
      <c r="I2470" s="1"/>
      <c r="J2470" s="1"/>
      <c r="K2470" s="1"/>
      <c r="L2470" s="1"/>
      <c r="M2470" s="1"/>
      <c r="N2470" s="1"/>
      <c r="O2470" s="1"/>
      <c r="Q2470"/>
    </row>
    <row r="2471" spans="1:17" ht="13.15" customHeight="1" x14ac:dyDescent="0.2">
      <c r="A2471" s="1" t="s">
        <v>6403</v>
      </c>
      <c r="B2471" s="1" t="s">
        <v>6316</v>
      </c>
      <c r="C2471" s="580">
        <v>304</v>
      </c>
      <c r="D2471" s="1">
        <v>4816.4377000000004</v>
      </c>
      <c r="E2471" t="s">
        <v>4354</v>
      </c>
      <c r="F2471" t="s">
        <v>6404</v>
      </c>
      <c r="G2471" s="580">
        <v>820.78920000000005</v>
      </c>
      <c r="H2471" s="1" t="s">
        <v>6405</v>
      </c>
      <c r="I2471" s="1"/>
      <c r="J2471" s="1"/>
      <c r="K2471" s="1"/>
      <c r="L2471" s="1"/>
      <c r="M2471" s="1"/>
      <c r="N2471" s="1"/>
      <c r="O2471" s="1"/>
      <c r="Q2471"/>
    </row>
    <row r="2472" spans="1:17" ht="13.15" customHeight="1" x14ac:dyDescent="0.2">
      <c r="A2472" s="1" t="s">
        <v>6406</v>
      </c>
      <c r="B2472" s="1" t="s">
        <v>6316</v>
      </c>
      <c r="C2472" s="580">
        <v>305</v>
      </c>
      <c r="D2472" s="1">
        <v>4722.5172000000002</v>
      </c>
      <c r="E2472" t="s">
        <v>4354</v>
      </c>
      <c r="F2472" t="s">
        <v>6407</v>
      </c>
      <c r="G2472" s="580">
        <v>1620.1782000000001</v>
      </c>
      <c r="H2472" s="1" t="s">
        <v>6408</v>
      </c>
      <c r="I2472" s="1"/>
      <c r="J2472" s="1"/>
      <c r="K2472" s="1"/>
      <c r="L2472" s="1"/>
      <c r="M2472" s="1"/>
      <c r="N2472" s="1"/>
      <c r="O2472" s="1"/>
      <c r="Q2472"/>
    </row>
    <row r="2473" spans="1:17" ht="13.15" customHeight="1" x14ac:dyDescent="0.2">
      <c r="A2473" s="1" t="s">
        <v>6409</v>
      </c>
      <c r="B2473" s="1" t="s">
        <v>6316</v>
      </c>
      <c r="C2473" s="580">
        <v>317</v>
      </c>
      <c r="D2473" s="1">
        <v>2167.3969999999999</v>
      </c>
      <c r="E2473" t="s">
        <v>4354</v>
      </c>
      <c r="F2473" t="s">
        <v>6410</v>
      </c>
      <c r="G2473" s="580">
        <v>341.99549999999999</v>
      </c>
      <c r="H2473" s="1" t="s">
        <v>6411</v>
      </c>
      <c r="I2473" s="1"/>
      <c r="J2473" s="1"/>
      <c r="K2473" s="1"/>
      <c r="L2473" s="1"/>
      <c r="M2473" s="1"/>
      <c r="N2473" s="1"/>
      <c r="O2473" s="1"/>
      <c r="Q2473"/>
    </row>
    <row r="2474" spans="1:17" ht="13.15" customHeight="1" x14ac:dyDescent="0.2">
      <c r="A2474" s="1" t="s">
        <v>6412</v>
      </c>
      <c r="B2474" s="1" t="s">
        <v>6316</v>
      </c>
      <c r="C2474" s="580">
        <v>319</v>
      </c>
      <c r="D2474" s="1">
        <v>3050.4106000000002</v>
      </c>
      <c r="E2474" t="s">
        <v>4354</v>
      </c>
      <c r="F2474" t="s">
        <v>6413</v>
      </c>
      <c r="G2474" s="580">
        <v>478.7937</v>
      </c>
      <c r="H2474" s="1" t="s">
        <v>6414</v>
      </c>
      <c r="I2474" s="1"/>
      <c r="J2474" s="1"/>
      <c r="K2474" s="1"/>
      <c r="L2474" s="1"/>
      <c r="M2474" s="1"/>
      <c r="N2474" s="1"/>
      <c r="O2474" s="1"/>
      <c r="Q2474"/>
    </row>
    <row r="2475" spans="1:17" ht="13.15" customHeight="1" x14ac:dyDescent="0.2">
      <c r="A2475" s="1" t="s">
        <v>6415</v>
      </c>
      <c r="B2475" s="1" t="s">
        <v>6316</v>
      </c>
      <c r="C2475" s="580">
        <v>320</v>
      </c>
      <c r="D2475" s="1">
        <v>3653.268</v>
      </c>
      <c r="E2475" t="s">
        <v>4354</v>
      </c>
      <c r="F2475" t="s">
        <v>6416</v>
      </c>
      <c r="G2475" s="580">
        <v>615.59190000000001</v>
      </c>
      <c r="H2475" s="1" t="s">
        <v>6417</v>
      </c>
      <c r="I2475" s="1"/>
      <c r="J2475" s="1"/>
      <c r="K2475" s="1"/>
      <c r="L2475" s="1"/>
      <c r="M2475" s="1"/>
      <c r="N2475" s="1"/>
      <c r="O2475" s="1"/>
      <c r="Q2475"/>
    </row>
    <row r="2476" spans="1:17" ht="13.15" customHeight="1" x14ac:dyDescent="0.2">
      <c r="A2476" s="1" t="s">
        <v>6418</v>
      </c>
      <c r="B2476" s="1" t="s">
        <v>6316</v>
      </c>
      <c r="C2476" s="580">
        <v>321</v>
      </c>
      <c r="D2476" s="1">
        <v>1605.4792</v>
      </c>
      <c r="E2476" t="s">
        <v>4354</v>
      </c>
      <c r="F2476" t="s">
        <v>6419</v>
      </c>
      <c r="G2476" s="580">
        <v>218.29499999999999</v>
      </c>
      <c r="H2476" s="1" t="s">
        <v>6420</v>
      </c>
      <c r="I2476" s="1"/>
      <c r="J2476" s="1"/>
      <c r="K2476" s="1"/>
      <c r="L2476" s="1"/>
      <c r="M2476" s="1"/>
      <c r="N2476" s="1"/>
      <c r="O2476" s="1"/>
      <c r="Q2476"/>
    </row>
    <row r="2477" spans="1:17" ht="13.15" customHeight="1" x14ac:dyDescent="0.2">
      <c r="A2477" s="1" t="s">
        <v>6421</v>
      </c>
      <c r="B2477" s="1" t="s">
        <v>6316</v>
      </c>
      <c r="C2477" s="580">
        <v>323</v>
      </c>
      <c r="D2477" s="1">
        <v>2327.9449</v>
      </c>
      <c r="E2477" t="s">
        <v>4354</v>
      </c>
      <c r="F2477" t="s">
        <v>6422</v>
      </c>
      <c r="G2477" s="580">
        <v>363.82499999999999</v>
      </c>
      <c r="H2477" s="1" t="s">
        <v>6423</v>
      </c>
      <c r="I2477" s="1"/>
      <c r="J2477" s="1"/>
      <c r="K2477" s="1"/>
      <c r="L2477" s="1"/>
      <c r="M2477" s="1"/>
      <c r="N2477" s="1"/>
      <c r="O2477" s="1"/>
      <c r="Q2477"/>
    </row>
    <row r="2478" spans="1:17" ht="13.15" customHeight="1" x14ac:dyDescent="0.2">
      <c r="A2478" s="1" t="s">
        <v>6424</v>
      </c>
      <c r="B2478" s="1" t="s">
        <v>6316</v>
      </c>
      <c r="C2478" s="580">
        <v>324</v>
      </c>
      <c r="D2478" s="1">
        <v>2889.8625999999999</v>
      </c>
      <c r="E2478" t="s">
        <v>4354</v>
      </c>
      <c r="F2478" t="s">
        <v>6425</v>
      </c>
      <c r="G2478" s="580">
        <v>436.59</v>
      </c>
      <c r="H2478" s="1" t="s">
        <v>6426</v>
      </c>
      <c r="I2478" s="1"/>
      <c r="J2478" s="1"/>
      <c r="K2478" s="1"/>
      <c r="L2478" s="1"/>
      <c r="M2478" s="1"/>
      <c r="N2478" s="1"/>
      <c r="O2478" s="1"/>
      <c r="Q2478"/>
    </row>
    <row r="2479" spans="1:17" ht="13.15" customHeight="1" x14ac:dyDescent="0.2">
      <c r="A2479" s="1" t="s">
        <v>6427</v>
      </c>
      <c r="B2479" s="1" t="s">
        <v>6316</v>
      </c>
      <c r="C2479" s="580">
        <v>325</v>
      </c>
      <c r="D2479" s="1">
        <v>1960.2901999999999</v>
      </c>
      <c r="E2479" t="s">
        <v>4354</v>
      </c>
      <c r="F2479" t="s">
        <v>6428</v>
      </c>
      <c r="G2479" s="580">
        <v>313.23599999999999</v>
      </c>
      <c r="H2479" s="1" t="s">
        <v>6429</v>
      </c>
      <c r="I2479" s="1"/>
      <c r="J2479" s="1"/>
      <c r="K2479" s="1"/>
      <c r="L2479" s="1"/>
      <c r="M2479" s="1"/>
      <c r="N2479" s="1"/>
      <c r="O2479" s="1"/>
      <c r="Q2479"/>
    </row>
    <row r="2480" spans="1:17" ht="13.15" customHeight="1" x14ac:dyDescent="0.2">
      <c r="A2480" s="1" t="s">
        <v>6430</v>
      </c>
      <c r="B2480" s="1" t="s">
        <v>6316</v>
      </c>
      <c r="C2480" s="580">
        <v>327</v>
      </c>
      <c r="D2480" s="1">
        <v>2584.0187999999998</v>
      </c>
      <c r="E2480" t="s">
        <v>4354</v>
      </c>
      <c r="F2480" t="s">
        <v>6431</v>
      </c>
      <c r="G2480" s="580">
        <v>492.49799999999999</v>
      </c>
      <c r="H2480" s="1" t="s">
        <v>6432</v>
      </c>
      <c r="I2480" s="1"/>
      <c r="J2480" s="1"/>
      <c r="K2480" s="1"/>
      <c r="L2480" s="1"/>
      <c r="M2480" s="1"/>
      <c r="N2480" s="1"/>
      <c r="O2480" s="1"/>
      <c r="Q2480"/>
    </row>
    <row r="2481" spans="1:17" ht="13.15" customHeight="1" x14ac:dyDescent="0.2">
      <c r="A2481" s="1" t="s">
        <v>6433</v>
      </c>
      <c r="B2481" s="1" t="s">
        <v>6316</v>
      </c>
      <c r="C2481" s="580">
        <v>328</v>
      </c>
      <c r="D2481" s="1">
        <v>2940.4351999999999</v>
      </c>
      <c r="E2481" t="s">
        <v>4354</v>
      </c>
      <c r="F2481" t="s">
        <v>6434</v>
      </c>
      <c r="G2481" s="580">
        <v>492.49799999999999</v>
      </c>
      <c r="H2481" s="1" t="s">
        <v>6435</v>
      </c>
      <c r="I2481" s="1"/>
      <c r="J2481" s="1"/>
      <c r="K2481" s="1"/>
      <c r="L2481" s="1"/>
      <c r="M2481" s="1"/>
      <c r="N2481" s="1"/>
      <c r="O2481" s="1"/>
      <c r="Q2481"/>
    </row>
    <row r="2482" spans="1:17" ht="13.15" customHeight="1" x14ac:dyDescent="0.2">
      <c r="A2482" s="1" t="s">
        <v>6436</v>
      </c>
      <c r="B2482" s="1" t="s">
        <v>6316</v>
      </c>
      <c r="C2482" s="580">
        <v>333</v>
      </c>
      <c r="D2482" s="1">
        <v>2584.0187999999998</v>
      </c>
      <c r="E2482" t="s">
        <v>4354</v>
      </c>
      <c r="F2482" t="s">
        <v>6437</v>
      </c>
      <c r="G2482" s="580">
        <v>853.74</v>
      </c>
      <c r="H2482" s="1" t="s">
        <v>6438</v>
      </c>
      <c r="I2482" s="1"/>
      <c r="J2482" s="1"/>
      <c r="K2482" s="1"/>
      <c r="L2482" s="1"/>
      <c r="M2482" s="1"/>
      <c r="N2482" s="1"/>
      <c r="O2482" s="1"/>
      <c r="Q2482"/>
    </row>
    <row r="2483" spans="1:17" ht="13.15" customHeight="1" x14ac:dyDescent="0.2">
      <c r="A2483" s="1" t="s">
        <v>6439</v>
      </c>
      <c r="B2483" s="1" t="s">
        <v>6316</v>
      </c>
      <c r="C2483" s="580">
        <v>334</v>
      </c>
      <c r="D2483" s="1">
        <v>3296.8516</v>
      </c>
      <c r="E2483" t="s">
        <v>4354</v>
      </c>
      <c r="F2483" t="s">
        <v>6440</v>
      </c>
      <c r="G2483" s="580">
        <v>1131.0678</v>
      </c>
      <c r="H2483" s="1" t="s">
        <v>6441</v>
      </c>
      <c r="I2483" s="1"/>
      <c r="J2483" s="1"/>
      <c r="K2483" s="1"/>
      <c r="L2483" s="1"/>
      <c r="M2483" s="1"/>
      <c r="N2483" s="1"/>
      <c r="O2483" s="1"/>
      <c r="Q2483"/>
    </row>
    <row r="2484" spans="1:17" ht="13.15" customHeight="1" x14ac:dyDescent="0.2">
      <c r="A2484" s="1" t="s">
        <v>6442</v>
      </c>
      <c r="B2484" s="1" t="s">
        <v>6316</v>
      </c>
      <c r="C2484" s="580">
        <v>335</v>
      </c>
      <c r="D2484" s="1">
        <v>5078.9336000000003</v>
      </c>
      <c r="E2484" t="s">
        <v>4354</v>
      </c>
      <c r="F2484" t="s">
        <v>6443</v>
      </c>
      <c r="G2484" s="580">
        <v>1423.0661</v>
      </c>
      <c r="H2484" s="1" t="s">
        <v>6444</v>
      </c>
      <c r="I2484" s="1"/>
      <c r="J2484" s="1"/>
      <c r="K2484" s="1"/>
      <c r="L2484" s="1"/>
      <c r="M2484" s="1"/>
      <c r="N2484" s="1"/>
      <c r="O2484" s="1"/>
      <c r="Q2484"/>
    </row>
    <row r="2485" spans="1:17" ht="13.15" customHeight="1" x14ac:dyDescent="0.2">
      <c r="A2485" s="1" t="s">
        <v>6445</v>
      </c>
      <c r="B2485" s="1" t="s">
        <v>6316</v>
      </c>
      <c r="C2485" s="580">
        <v>338</v>
      </c>
      <c r="D2485" s="1">
        <v>0</v>
      </c>
      <c r="E2485" t="s">
        <v>4354</v>
      </c>
      <c r="F2485">
        <v>0</v>
      </c>
      <c r="G2485" s="580">
        <v>0</v>
      </c>
      <c r="H2485" s="1" t="s">
        <v>6446</v>
      </c>
      <c r="I2485" s="1"/>
      <c r="J2485" s="1"/>
      <c r="K2485" s="1"/>
      <c r="L2485" s="1"/>
      <c r="M2485" s="1"/>
      <c r="N2485" s="1"/>
      <c r="O2485" s="1"/>
      <c r="Q2485"/>
    </row>
    <row r="2486" spans="1:17" ht="13.15" customHeight="1" x14ac:dyDescent="0.2">
      <c r="A2486" s="1" t="s">
        <v>6447</v>
      </c>
      <c r="B2486" s="1" t="s">
        <v>6316</v>
      </c>
      <c r="C2486" s="580">
        <v>339</v>
      </c>
      <c r="D2486" s="1">
        <v>0</v>
      </c>
      <c r="E2486" t="s">
        <v>4354</v>
      </c>
      <c r="F2486">
        <v>0</v>
      </c>
      <c r="G2486" s="580">
        <v>0</v>
      </c>
      <c r="H2486" s="1" t="s">
        <v>6448</v>
      </c>
      <c r="I2486" s="1"/>
      <c r="J2486" s="1"/>
      <c r="K2486" s="1"/>
      <c r="L2486" s="1"/>
      <c r="M2486" s="1"/>
      <c r="N2486" s="1"/>
      <c r="O2486" s="1"/>
      <c r="Q2486"/>
    </row>
    <row r="2487" spans="1:17" ht="13.15" customHeight="1" x14ac:dyDescent="0.2">
      <c r="A2487" s="1" t="s">
        <v>6449</v>
      </c>
      <c r="B2487" s="1" t="s">
        <v>6316</v>
      </c>
      <c r="C2487" s="580">
        <v>340</v>
      </c>
      <c r="D2487" s="1">
        <v>1541.9603999999999</v>
      </c>
      <c r="E2487" t="s">
        <v>4354</v>
      </c>
      <c r="F2487" t="s">
        <v>6450</v>
      </c>
      <c r="G2487" s="580">
        <v>406.89190000000002</v>
      </c>
      <c r="H2487" s="1" t="s">
        <v>6451</v>
      </c>
      <c r="I2487" s="1"/>
      <c r="J2487" s="1"/>
      <c r="K2487" s="1"/>
      <c r="L2487" s="1"/>
      <c r="M2487" s="1"/>
      <c r="N2487" s="1"/>
      <c r="O2487" s="1"/>
      <c r="Q2487"/>
    </row>
    <row r="2488" spans="1:17" ht="13.15" customHeight="1" x14ac:dyDescent="0.2">
      <c r="A2488" s="1" t="s">
        <v>6452</v>
      </c>
      <c r="B2488" s="1" t="s">
        <v>6316</v>
      </c>
      <c r="C2488" s="580">
        <v>341</v>
      </c>
      <c r="D2488" s="1">
        <v>2748.712</v>
      </c>
      <c r="E2488" t="s">
        <v>4354</v>
      </c>
      <c r="F2488" t="s">
        <v>6453</v>
      </c>
      <c r="G2488" s="580">
        <v>879.30250000000001</v>
      </c>
      <c r="H2488" s="1" t="s">
        <v>6454</v>
      </c>
      <c r="I2488" s="1"/>
      <c r="J2488" s="1"/>
      <c r="K2488" s="1"/>
      <c r="L2488" s="1"/>
      <c r="M2488" s="1"/>
      <c r="N2488" s="1"/>
      <c r="O2488" s="1"/>
      <c r="Q2488"/>
    </row>
    <row r="2489" spans="1:17" ht="13.15" customHeight="1" x14ac:dyDescent="0.2">
      <c r="A2489" s="1" t="s">
        <v>6455</v>
      </c>
      <c r="B2489" s="1" t="s">
        <v>6316</v>
      </c>
      <c r="C2489" s="580">
        <v>342</v>
      </c>
      <c r="D2489" s="1">
        <v>3955.4636</v>
      </c>
      <c r="E2489" t="s">
        <v>4354</v>
      </c>
      <c r="F2489" t="s">
        <v>6456</v>
      </c>
      <c r="G2489" s="580">
        <v>1092.3137999999999</v>
      </c>
      <c r="H2489" s="1" t="s">
        <v>6457</v>
      </c>
      <c r="I2489" s="1"/>
      <c r="J2489" s="1"/>
      <c r="K2489" s="1"/>
      <c r="L2489" s="1"/>
      <c r="M2489" s="1"/>
      <c r="N2489" s="1"/>
      <c r="O2489" s="1"/>
      <c r="Q2489"/>
    </row>
    <row r="2490" spans="1:17" ht="13.15" customHeight="1" x14ac:dyDescent="0.2">
      <c r="A2490" s="1" t="s">
        <v>6458</v>
      </c>
      <c r="B2490" s="1" t="s">
        <v>6316</v>
      </c>
      <c r="C2490" s="580">
        <v>227</v>
      </c>
      <c r="D2490" s="1">
        <v>1103.7670000000001</v>
      </c>
      <c r="E2490" t="s">
        <v>4354</v>
      </c>
      <c r="F2490" t="s">
        <v>6459</v>
      </c>
      <c r="G2490" s="580">
        <v>209.25</v>
      </c>
      <c r="H2490" s="1" t="s">
        <v>6460</v>
      </c>
      <c r="I2490" s="1"/>
      <c r="J2490" s="1"/>
      <c r="K2490" s="1"/>
      <c r="L2490" s="1"/>
      <c r="M2490" s="1"/>
      <c r="N2490" s="1"/>
      <c r="O2490" s="1"/>
      <c r="Q2490"/>
    </row>
    <row r="2491" spans="1:17" ht="13.15" customHeight="1" x14ac:dyDescent="0.2">
      <c r="A2491" s="1" t="s">
        <v>6461</v>
      </c>
      <c r="B2491" s="1" t="s">
        <v>6462</v>
      </c>
      <c r="C2491" s="580">
        <v>1</v>
      </c>
      <c r="D2491" s="1">
        <v>1024.8879999999999</v>
      </c>
      <c r="E2491" t="s">
        <v>6463</v>
      </c>
      <c r="F2491">
        <v>1101</v>
      </c>
      <c r="G2491" s="580">
        <v>197.703</v>
      </c>
      <c r="H2491" s="1" t="s">
        <v>6464</v>
      </c>
      <c r="I2491" s="1"/>
      <c r="J2491" s="1"/>
      <c r="K2491" s="1"/>
      <c r="L2491" s="1"/>
      <c r="M2491" s="1"/>
      <c r="N2491" s="1"/>
      <c r="O2491" s="1"/>
      <c r="Q2491"/>
    </row>
    <row r="2492" spans="1:17" ht="13.15" customHeight="1" x14ac:dyDescent="0.2">
      <c r="A2492" s="1" t="s">
        <v>6465</v>
      </c>
      <c r="B2492" s="1" t="s">
        <v>6462</v>
      </c>
      <c r="C2492" s="580">
        <v>7</v>
      </c>
      <c r="D2492" s="1">
        <v>860.90599999999995</v>
      </c>
      <c r="E2492" t="s">
        <v>6463</v>
      </c>
      <c r="F2492">
        <v>1104</v>
      </c>
      <c r="G2492" s="580">
        <v>166.44839999999999</v>
      </c>
      <c r="H2492" s="1" t="s">
        <v>6466</v>
      </c>
      <c r="I2492" s="1"/>
      <c r="J2492" s="1"/>
      <c r="K2492" s="1"/>
      <c r="L2492" s="1"/>
      <c r="M2492" s="1"/>
      <c r="N2492" s="1"/>
      <c r="O2492" s="1"/>
      <c r="Q2492"/>
    </row>
    <row r="2493" spans="1:17" ht="13.15" customHeight="1" x14ac:dyDescent="0.2">
      <c r="A2493" s="1" t="s">
        <v>6467</v>
      </c>
      <c r="B2493" s="1" t="s">
        <v>6462</v>
      </c>
      <c r="C2493" s="580">
        <v>9</v>
      </c>
      <c r="D2493" s="1">
        <v>1024.8879999999999</v>
      </c>
      <c r="E2493" t="s">
        <v>6463</v>
      </c>
      <c r="F2493">
        <v>1105</v>
      </c>
      <c r="G2493" s="580">
        <v>197.703</v>
      </c>
      <c r="H2493" s="1" t="s">
        <v>6468</v>
      </c>
      <c r="I2493" s="1"/>
      <c r="J2493" s="1"/>
      <c r="K2493" s="1"/>
      <c r="L2493" s="1"/>
      <c r="M2493" s="1"/>
      <c r="N2493" s="1"/>
      <c r="O2493" s="1"/>
      <c r="Q2493"/>
    </row>
    <row r="2494" spans="1:17" ht="13.15" customHeight="1" x14ac:dyDescent="0.2">
      <c r="A2494" s="1" t="s">
        <v>6469</v>
      </c>
      <c r="B2494" s="1" t="s">
        <v>6462</v>
      </c>
      <c r="C2494" s="580">
        <v>11</v>
      </c>
      <c r="D2494" s="1">
        <v>922.39930000000004</v>
      </c>
      <c r="E2494" t="s">
        <v>6463</v>
      </c>
      <c r="F2494">
        <v>1106</v>
      </c>
      <c r="G2494" s="580">
        <v>178.078</v>
      </c>
      <c r="H2494" s="1" t="s">
        <v>6470</v>
      </c>
      <c r="I2494" s="1"/>
      <c r="J2494" s="1"/>
      <c r="K2494" s="1"/>
      <c r="L2494" s="1"/>
      <c r="M2494" s="1"/>
      <c r="N2494" s="1"/>
      <c r="O2494" s="1"/>
      <c r="Q2494"/>
    </row>
    <row r="2495" spans="1:17" ht="13.15" customHeight="1" x14ac:dyDescent="0.2">
      <c r="A2495" s="1" t="s">
        <v>6471</v>
      </c>
      <c r="B2495" s="1" t="s">
        <v>6462</v>
      </c>
      <c r="C2495" s="580">
        <v>17</v>
      </c>
      <c r="D2495" s="1">
        <v>778.9153</v>
      </c>
      <c r="E2495" t="s">
        <v>6463</v>
      </c>
      <c r="F2495">
        <v>1109</v>
      </c>
      <c r="G2495" s="580">
        <v>150.45779999999999</v>
      </c>
      <c r="H2495" s="1" t="s">
        <v>6472</v>
      </c>
      <c r="I2495" s="1"/>
      <c r="J2495" s="1"/>
      <c r="K2495" s="1"/>
      <c r="L2495" s="1"/>
      <c r="M2495" s="1"/>
      <c r="N2495" s="1"/>
      <c r="O2495" s="1"/>
      <c r="Q2495"/>
    </row>
    <row r="2496" spans="1:17" ht="13.15" customHeight="1" x14ac:dyDescent="0.2">
      <c r="A2496" s="1" t="s">
        <v>6473</v>
      </c>
      <c r="B2496" s="1" t="s">
        <v>6462</v>
      </c>
      <c r="C2496" s="580">
        <v>19</v>
      </c>
      <c r="D2496" s="1">
        <v>1106.8793000000001</v>
      </c>
      <c r="E2496" t="s">
        <v>6463</v>
      </c>
      <c r="F2496">
        <v>1110</v>
      </c>
      <c r="G2496" s="580">
        <v>213.6936</v>
      </c>
      <c r="H2496" s="1" t="s">
        <v>6474</v>
      </c>
      <c r="I2496" s="1"/>
      <c r="J2496" s="1"/>
      <c r="K2496" s="1"/>
      <c r="L2496" s="1"/>
      <c r="M2496" s="1"/>
      <c r="N2496" s="1"/>
      <c r="O2496" s="1"/>
      <c r="Q2496"/>
    </row>
    <row r="2497" spans="1:17" ht="13.15" customHeight="1" x14ac:dyDescent="0.2">
      <c r="A2497" s="1" t="s">
        <v>6475</v>
      </c>
      <c r="B2497" s="1" t="s">
        <v>6462</v>
      </c>
      <c r="C2497" s="580">
        <v>21</v>
      </c>
      <c r="D2497" s="1">
        <v>1252.0033000000001</v>
      </c>
      <c r="E2497" t="s">
        <v>6463</v>
      </c>
      <c r="F2497">
        <v>1111</v>
      </c>
      <c r="G2497" s="580">
        <v>241.31389999999999</v>
      </c>
      <c r="H2497" s="1" t="s">
        <v>6476</v>
      </c>
      <c r="I2497" s="1"/>
      <c r="J2497" s="1"/>
      <c r="K2497" s="1"/>
      <c r="L2497" s="1"/>
      <c r="M2497" s="1"/>
      <c r="N2497" s="1"/>
      <c r="O2497" s="1"/>
      <c r="Q2497"/>
    </row>
    <row r="2498" spans="1:17" ht="13.15" customHeight="1" x14ac:dyDescent="0.2">
      <c r="A2498" s="1" t="s">
        <v>6477</v>
      </c>
      <c r="B2498" s="1" t="s">
        <v>6462</v>
      </c>
      <c r="C2498" s="580">
        <v>23</v>
      </c>
      <c r="D2498" s="1">
        <v>2558.1653000000001</v>
      </c>
      <c r="E2498" t="s">
        <v>6463</v>
      </c>
      <c r="F2498">
        <v>1114</v>
      </c>
      <c r="G2498" s="580">
        <v>493.53050000000002</v>
      </c>
      <c r="H2498" s="1" t="s">
        <v>6478</v>
      </c>
      <c r="I2498" s="1"/>
      <c r="J2498" s="1"/>
      <c r="K2498" s="1"/>
      <c r="L2498" s="1"/>
      <c r="M2498" s="1"/>
      <c r="N2498" s="1"/>
      <c r="O2498" s="1"/>
      <c r="Q2498"/>
    </row>
    <row r="2499" spans="1:17" ht="13.15" customHeight="1" x14ac:dyDescent="0.2">
      <c r="A2499" s="1" t="s">
        <v>6479</v>
      </c>
      <c r="B2499" s="1" t="s">
        <v>6462</v>
      </c>
      <c r="C2499" s="580">
        <v>27</v>
      </c>
      <c r="D2499" s="1">
        <v>1310.4073000000001</v>
      </c>
      <c r="E2499" t="s">
        <v>6463</v>
      </c>
      <c r="F2499">
        <v>1118</v>
      </c>
      <c r="G2499" s="580">
        <v>252.9435</v>
      </c>
      <c r="H2499" s="1" t="s">
        <v>6480</v>
      </c>
      <c r="I2499" s="1"/>
      <c r="J2499" s="1"/>
      <c r="K2499" s="1"/>
      <c r="L2499" s="1"/>
      <c r="M2499" s="1"/>
      <c r="N2499" s="1"/>
      <c r="O2499" s="1"/>
      <c r="Q2499"/>
    </row>
    <row r="2500" spans="1:17" ht="13.15" customHeight="1" x14ac:dyDescent="0.2">
      <c r="A2500" s="1" t="s">
        <v>6481</v>
      </c>
      <c r="B2500" s="1" t="s">
        <v>6462</v>
      </c>
      <c r="C2500" s="580">
        <v>29</v>
      </c>
      <c r="D2500" s="1">
        <v>2230.1567</v>
      </c>
      <c r="E2500" t="s">
        <v>6463</v>
      </c>
      <c r="F2500">
        <v>1112</v>
      </c>
      <c r="G2500" s="580">
        <v>430.29469999999998</v>
      </c>
      <c r="H2500" s="1" t="s">
        <v>6482</v>
      </c>
      <c r="I2500" s="1"/>
      <c r="J2500" s="1"/>
      <c r="K2500" s="1"/>
      <c r="L2500" s="1"/>
      <c r="M2500" s="1"/>
      <c r="N2500" s="1"/>
      <c r="O2500" s="1"/>
      <c r="Q2500"/>
    </row>
    <row r="2501" spans="1:17" ht="13.15" customHeight="1" x14ac:dyDescent="0.2">
      <c r="A2501" s="1" t="s">
        <v>6483</v>
      </c>
      <c r="B2501" s="1" t="s">
        <v>6462</v>
      </c>
      <c r="C2501" s="580">
        <v>31</v>
      </c>
      <c r="D2501" s="1">
        <v>1717.6252999999999</v>
      </c>
      <c r="E2501" t="s">
        <v>6463</v>
      </c>
      <c r="F2501">
        <v>1115</v>
      </c>
      <c r="G2501" s="580">
        <v>331.44319999999999</v>
      </c>
      <c r="H2501" s="1" t="s">
        <v>6484</v>
      </c>
      <c r="I2501" s="1"/>
      <c r="J2501" s="1"/>
      <c r="K2501" s="1"/>
      <c r="L2501" s="1"/>
      <c r="M2501" s="1"/>
      <c r="N2501" s="1"/>
      <c r="O2501" s="1"/>
      <c r="Q2501"/>
    </row>
    <row r="2502" spans="1:17" ht="13.15" customHeight="1" x14ac:dyDescent="0.2">
      <c r="A2502" s="1" t="s">
        <v>6485</v>
      </c>
      <c r="B2502" s="1" t="s">
        <v>6462</v>
      </c>
      <c r="C2502" s="580">
        <v>33</v>
      </c>
      <c r="D2502" s="1">
        <v>2735.6707000000001</v>
      </c>
      <c r="E2502" t="s">
        <v>6463</v>
      </c>
      <c r="F2502">
        <v>1113</v>
      </c>
      <c r="G2502" s="580">
        <v>527.6925</v>
      </c>
      <c r="H2502" s="1" t="s">
        <v>6486</v>
      </c>
      <c r="I2502" s="1"/>
      <c r="J2502" s="1"/>
      <c r="K2502" s="1"/>
      <c r="L2502" s="1"/>
      <c r="M2502" s="1"/>
      <c r="N2502" s="1"/>
      <c r="O2502" s="1"/>
      <c r="Q2502"/>
    </row>
    <row r="2503" spans="1:17" ht="13.15" customHeight="1" x14ac:dyDescent="0.2">
      <c r="A2503" s="1" t="s">
        <v>6487</v>
      </c>
      <c r="B2503" s="1" t="s">
        <v>6462</v>
      </c>
      <c r="C2503" s="580">
        <v>35</v>
      </c>
      <c r="D2503" s="1">
        <v>3115.66</v>
      </c>
      <c r="E2503" t="s">
        <v>6463</v>
      </c>
      <c r="F2503">
        <v>1120</v>
      </c>
      <c r="G2503" s="580">
        <v>600.37739999999997</v>
      </c>
      <c r="H2503" s="1" t="s">
        <v>6488</v>
      </c>
      <c r="I2503" s="1"/>
      <c r="J2503" s="1"/>
      <c r="K2503" s="1"/>
      <c r="L2503" s="1"/>
      <c r="M2503" s="1"/>
      <c r="N2503" s="1"/>
      <c r="O2503" s="1"/>
      <c r="Q2503"/>
    </row>
    <row r="2504" spans="1:17" ht="13.15" customHeight="1" x14ac:dyDescent="0.2">
      <c r="A2504" s="1" t="s">
        <v>6489</v>
      </c>
      <c r="B2504" s="1" t="s">
        <v>6462</v>
      </c>
      <c r="C2504" s="580">
        <v>37</v>
      </c>
      <c r="D2504" s="1">
        <v>1425.2633000000001</v>
      </c>
      <c r="E2504" t="s">
        <v>6463</v>
      </c>
      <c r="F2504">
        <v>1121</v>
      </c>
      <c r="G2504" s="580">
        <v>274.74900000000002</v>
      </c>
      <c r="H2504" s="1" t="s">
        <v>6490</v>
      </c>
      <c r="I2504" s="1"/>
      <c r="J2504" s="1"/>
      <c r="K2504" s="1"/>
      <c r="L2504" s="1"/>
      <c r="M2504" s="1"/>
      <c r="N2504" s="1"/>
      <c r="O2504" s="1"/>
      <c r="Q2504"/>
    </row>
    <row r="2505" spans="1:17" ht="13.15" customHeight="1" x14ac:dyDescent="0.2">
      <c r="A2505" s="1" t="s">
        <v>6491</v>
      </c>
      <c r="B2505" s="1" t="s">
        <v>6462</v>
      </c>
      <c r="C2505" s="580">
        <v>39</v>
      </c>
      <c r="D2505" s="1">
        <v>2495.5167000000001</v>
      </c>
      <c r="E2505" t="s">
        <v>6463</v>
      </c>
      <c r="F2505">
        <v>1122</v>
      </c>
      <c r="G2505" s="580">
        <v>481.17410000000001</v>
      </c>
      <c r="H2505" s="1" t="s">
        <v>6492</v>
      </c>
      <c r="I2505" s="1"/>
      <c r="J2505" s="1"/>
      <c r="K2505" s="1"/>
      <c r="L2505" s="1"/>
      <c r="M2505" s="1"/>
      <c r="N2505" s="1"/>
      <c r="O2505" s="1"/>
      <c r="Q2505"/>
    </row>
    <row r="2506" spans="1:17" ht="13.15" customHeight="1" x14ac:dyDescent="0.2">
      <c r="A2506" s="1" t="s">
        <v>6493</v>
      </c>
      <c r="B2506" s="1" t="s">
        <v>6462</v>
      </c>
      <c r="C2506" s="580">
        <v>43</v>
      </c>
      <c r="D2506" s="1">
        <v>963.39469999999994</v>
      </c>
      <c r="E2506" t="s">
        <v>6463</v>
      </c>
      <c r="F2506">
        <v>1124</v>
      </c>
      <c r="G2506" s="580">
        <v>186.07339999999999</v>
      </c>
      <c r="H2506" s="1" t="s">
        <v>6494</v>
      </c>
      <c r="I2506" s="1"/>
      <c r="J2506" s="1"/>
      <c r="K2506" s="1"/>
      <c r="L2506" s="1"/>
      <c r="M2506" s="1"/>
      <c r="N2506" s="1"/>
      <c r="O2506" s="1"/>
      <c r="Q2506"/>
    </row>
    <row r="2507" spans="1:17" ht="13.15" customHeight="1" x14ac:dyDescent="0.2">
      <c r="A2507" s="1" t="s">
        <v>6495</v>
      </c>
      <c r="B2507" s="1" t="s">
        <v>6462</v>
      </c>
      <c r="C2507" s="580">
        <v>45</v>
      </c>
      <c r="D2507" s="1">
        <v>1205.992</v>
      </c>
      <c r="E2507" t="s">
        <v>6463</v>
      </c>
      <c r="F2507">
        <v>1125</v>
      </c>
      <c r="G2507" s="580">
        <v>232.5917</v>
      </c>
      <c r="H2507" s="1" t="s">
        <v>6496</v>
      </c>
      <c r="I2507" s="1"/>
      <c r="J2507" s="1"/>
      <c r="K2507" s="1"/>
      <c r="L2507" s="1"/>
      <c r="M2507" s="1"/>
      <c r="N2507" s="1"/>
      <c r="O2507" s="1"/>
      <c r="Q2507"/>
    </row>
    <row r="2508" spans="1:17" ht="13.15" customHeight="1" x14ac:dyDescent="0.2">
      <c r="A2508" s="1" t="s">
        <v>6497</v>
      </c>
      <c r="B2508" s="1" t="s">
        <v>6462</v>
      </c>
      <c r="C2508" s="580">
        <v>47</v>
      </c>
      <c r="D2508" s="1">
        <v>2693.9047</v>
      </c>
      <c r="E2508" t="s">
        <v>6463</v>
      </c>
      <c r="F2508">
        <v>1127</v>
      </c>
      <c r="G2508" s="580">
        <v>519.69709999999998</v>
      </c>
      <c r="H2508" s="1" t="s">
        <v>6498</v>
      </c>
      <c r="I2508" s="1"/>
      <c r="J2508" s="1"/>
      <c r="K2508" s="1"/>
      <c r="L2508" s="1"/>
      <c r="M2508" s="1"/>
      <c r="N2508" s="1"/>
      <c r="O2508" s="1"/>
      <c r="Q2508"/>
    </row>
    <row r="2509" spans="1:17" ht="13.15" customHeight="1" x14ac:dyDescent="0.2">
      <c r="A2509" s="1" t="s">
        <v>6499</v>
      </c>
      <c r="B2509" s="1" t="s">
        <v>6462</v>
      </c>
      <c r="C2509" s="580">
        <v>49</v>
      </c>
      <c r="D2509" s="1">
        <v>1498.354</v>
      </c>
      <c r="E2509" t="s">
        <v>6463</v>
      </c>
      <c r="F2509">
        <v>1126</v>
      </c>
      <c r="G2509" s="580">
        <v>289.28590000000003</v>
      </c>
      <c r="H2509" s="1" t="s">
        <v>6500</v>
      </c>
      <c r="I2509" s="1"/>
      <c r="J2509" s="1"/>
      <c r="K2509" s="1"/>
      <c r="L2509" s="1"/>
      <c r="M2509" s="1"/>
      <c r="N2509" s="1"/>
      <c r="O2509" s="1"/>
      <c r="Q2509"/>
    </row>
    <row r="2510" spans="1:17" ht="13.15" customHeight="1" x14ac:dyDescent="0.2">
      <c r="A2510" s="1" t="s">
        <v>6501</v>
      </c>
      <c r="B2510" s="1" t="s">
        <v>6462</v>
      </c>
      <c r="C2510" s="580">
        <v>51</v>
      </c>
      <c r="D2510" s="1">
        <v>1498.354</v>
      </c>
      <c r="E2510" t="s">
        <v>6463</v>
      </c>
      <c r="F2510">
        <v>1128</v>
      </c>
      <c r="G2510" s="580">
        <v>289.28590000000003</v>
      </c>
      <c r="H2510" s="1" t="s">
        <v>6502</v>
      </c>
      <c r="I2510" s="1"/>
      <c r="J2510" s="1"/>
      <c r="K2510" s="1"/>
      <c r="L2510" s="1"/>
      <c r="M2510" s="1"/>
      <c r="N2510" s="1"/>
      <c r="O2510" s="1"/>
      <c r="Q2510"/>
    </row>
    <row r="2511" spans="1:17" ht="13.15" customHeight="1" x14ac:dyDescent="0.2">
      <c r="A2511" s="1" t="s">
        <v>6503</v>
      </c>
      <c r="B2511" s="1" t="s">
        <v>6462</v>
      </c>
      <c r="C2511" s="580">
        <v>53</v>
      </c>
      <c r="D2511" s="1">
        <v>1310.4073000000001</v>
      </c>
      <c r="E2511" t="s">
        <v>6463</v>
      </c>
      <c r="F2511">
        <v>1129</v>
      </c>
      <c r="G2511" s="580">
        <v>252.9435</v>
      </c>
      <c r="H2511" s="1" t="s">
        <v>6504</v>
      </c>
      <c r="I2511" s="1"/>
      <c r="J2511" s="1"/>
      <c r="K2511" s="1"/>
      <c r="L2511" s="1"/>
      <c r="M2511" s="1"/>
      <c r="N2511" s="1"/>
      <c r="O2511" s="1"/>
      <c r="Q2511"/>
    </row>
    <row r="2512" spans="1:17" ht="13.15" customHeight="1" x14ac:dyDescent="0.2">
      <c r="A2512" s="1" t="s">
        <v>6505</v>
      </c>
      <c r="B2512" s="1" t="s">
        <v>6462</v>
      </c>
      <c r="C2512" s="580">
        <v>55</v>
      </c>
      <c r="D2512" s="1">
        <v>860.90599999999995</v>
      </c>
      <c r="E2512" t="s">
        <v>6463</v>
      </c>
      <c r="F2512">
        <v>1130</v>
      </c>
      <c r="G2512" s="580">
        <v>166.44839999999999</v>
      </c>
      <c r="H2512" s="1" t="s">
        <v>6506</v>
      </c>
      <c r="I2512" s="1"/>
      <c r="J2512" s="1"/>
      <c r="K2512" s="1"/>
      <c r="L2512" s="1"/>
      <c r="M2512" s="1"/>
      <c r="N2512" s="1"/>
      <c r="O2512" s="1"/>
      <c r="Q2512"/>
    </row>
    <row r="2513" spans="1:17" ht="13.15" customHeight="1" x14ac:dyDescent="0.2">
      <c r="A2513" s="1" t="s">
        <v>6507</v>
      </c>
      <c r="B2513" s="1" t="s">
        <v>6462</v>
      </c>
      <c r="C2513" s="580">
        <v>57</v>
      </c>
      <c r="D2513" s="1">
        <v>1524.4580000000001</v>
      </c>
      <c r="E2513" t="s">
        <v>6463</v>
      </c>
      <c r="F2513">
        <v>1131</v>
      </c>
      <c r="G2513" s="580">
        <v>294.37389999999999</v>
      </c>
      <c r="H2513" s="1" t="s">
        <v>6508</v>
      </c>
      <c r="I2513" s="1"/>
      <c r="J2513" s="1"/>
      <c r="K2513" s="1"/>
      <c r="L2513" s="1"/>
      <c r="M2513" s="1"/>
      <c r="N2513" s="1"/>
      <c r="O2513" s="1"/>
      <c r="Q2513"/>
    </row>
    <row r="2514" spans="1:17" ht="13.15" customHeight="1" x14ac:dyDescent="0.2">
      <c r="A2514" s="1" t="s">
        <v>6509</v>
      </c>
      <c r="B2514" s="1" t="s">
        <v>6462</v>
      </c>
      <c r="C2514" s="580">
        <v>61</v>
      </c>
      <c r="D2514" s="1">
        <v>1722.846</v>
      </c>
      <c r="E2514" t="s">
        <v>6463</v>
      </c>
      <c r="F2514">
        <v>1133</v>
      </c>
      <c r="G2514" s="580">
        <v>332.17</v>
      </c>
      <c r="H2514" s="1" t="s">
        <v>6510</v>
      </c>
      <c r="I2514" s="1"/>
      <c r="J2514" s="1"/>
      <c r="K2514" s="1"/>
      <c r="L2514" s="1"/>
      <c r="M2514" s="1"/>
      <c r="N2514" s="1"/>
      <c r="O2514" s="1"/>
      <c r="Q2514"/>
    </row>
    <row r="2515" spans="1:17" ht="13.15" customHeight="1" x14ac:dyDescent="0.2">
      <c r="A2515" s="1" t="s">
        <v>6511</v>
      </c>
      <c r="B2515" s="1" t="s">
        <v>6462</v>
      </c>
      <c r="C2515" s="580">
        <v>63</v>
      </c>
      <c r="D2515" s="1">
        <v>1024.8879999999999</v>
      </c>
      <c r="E2515" t="s">
        <v>6463</v>
      </c>
      <c r="F2515">
        <v>1134</v>
      </c>
      <c r="G2515" s="580">
        <v>197.703</v>
      </c>
      <c r="H2515" s="1" t="s">
        <v>6512</v>
      </c>
      <c r="I2515" s="1"/>
      <c r="J2515" s="1"/>
      <c r="K2515" s="1"/>
      <c r="L2515" s="1"/>
      <c r="M2515" s="1"/>
      <c r="N2515" s="1"/>
      <c r="O2515" s="1"/>
      <c r="Q2515"/>
    </row>
    <row r="2516" spans="1:17" ht="13.15" customHeight="1" x14ac:dyDescent="0.2">
      <c r="A2516" s="1" t="s">
        <v>6513</v>
      </c>
      <c r="B2516" s="1" t="s">
        <v>6462</v>
      </c>
      <c r="C2516" s="580">
        <v>76</v>
      </c>
      <c r="D2516" s="1">
        <v>977.77329999999995</v>
      </c>
      <c r="E2516" t="s">
        <v>6463</v>
      </c>
      <c r="F2516">
        <v>1147</v>
      </c>
      <c r="G2516" s="580">
        <v>188.98079999999999</v>
      </c>
      <c r="H2516" s="1" t="s">
        <v>6514</v>
      </c>
      <c r="I2516" s="1"/>
      <c r="J2516" s="1"/>
      <c r="K2516" s="1"/>
      <c r="L2516" s="1"/>
      <c r="M2516" s="1"/>
      <c r="N2516" s="1"/>
      <c r="O2516" s="1"/>
      <c r="Q2516"/>
    </row>
    <row r="2517" spans="1:17" ht="13.15" customHeight="1" x14ac:dyDescent="0.2">
      <c r="A2517" s="1" t="s">
        <v>6515</v>
      </c>
      <c r="B2517" s="1" t="s">
        <v>6462</v>
      </c>
      <c r="C2517" s="580">
        <v>78</v>
      </c>
      <c r="D2517" s="1">
        <v>1487.9127000000001</v>
      </c>
      <c r="E2517" t="s">
        <v>6463</v>
      </c>
      <c r="F2517">
        <v>1135</v>
      </c>
      <c r="G2517" s="580">
        <v>287.10539999999997</v>
      </c>
      <c r="H2517" s="1" t="s">
        <v>6516</v>
      </c>
      <c r="I2517" s="1"/>
      <c r="J2517" s="1"/>
      <c r="K2517" s="1"/>
      <c r="L2517" s="1"/>
      <c r="M2517" s="1"/>
      <c r="N2517" s="1"/>
      <c r="O2517" s="1"/>
      <c r="Q2517"/>
    </row>
    <row r="2518" spans="1:17" ht="13.15" customHeight="1" x14ac:dyDescent="0.2">
      <c r="A2518" s="1" t="s">
        <v>6517</v>
      </c>
      <c r="B2518" s="1" t="s">
        <v>6462</v>
      </c>
      <c r="C2518" s="580">
        <v>80</v>
      </c>
      <c r="D2518" s="1">
        <v>1681.08</v>
      </c>
      <c r="E2518" t="s">
        <v>6463</v>
      </c>
      <c r="F2518">
        <v>1301</v>
      </c>
      <c r="G2518" s="580">
        <v>324.17469999999997</v>
      </c>
      <c r="H2518" s="1" t="s">
        <v>6518</v>
      </c>
      <c r="I2518" s="1"/>
      <c r="J2518" s="1"/>
      <c r="K2518" s="1"/>
      <c r="L2518" s="1"/>
      <c r="M2518" s="1"/>
      <c r="N2518" s="1"/>
      <c r="O2518" s="1"/>
      <c r="Q2518"/>
    </row>
    <row r="2519" spans="1:17" ht="13.15" customHeight="1" x14ac:dyDescent="0.2">
      <c r="A2519" s="1" t="s">
        <v>6519</v>
      </c>
      <c r="B2519" s="1" t="s">
        <v>6462</v>
      </c>
      <c r="C2519" s="580">
        <v>81</v>
      </c>
      <c r="D2519" s="1">
        <v>1244.624</v>
      </c>
      <c r="E2519" t="s">
        <v>6463</v>
      </c>
      <c r="F2519">
        <v>1302</v>
      </c>
      <c r="G2519" s="580">
        <v>239.86019999999999</v>
      </c>
      <c r="H2519" s="1" t="s">
        <v>6520</v>
      </c>
      <c r="I2519" s="1"/>
      <c r="J2519" s="1"/>
      <c r="K2519" s="1"/>
      <c r="L2519" s="1"/>
      <c r="M2519" s="1"/>
      <c r="N2519" s="1"/>
      <c r="O2519" s="1"/>
      <c r="Q2519"/>
    </row>
    <row r="2520" spans="1:17" ht="13.15" customHeight="1" x14ac:dyDescent="0.2">
      <c r="A2520" s="1" t="s">
        <v>6521</v>
      </c>
      <c r="B2520" s="1" t="s">
        <v>6462</v>
      </c>
      <c r="C2520" s="580">
        <v>82</v>
      </c>
      <c r="D2520" s="1">
        <v>3033.6687000000002</v>
      </c>
      <c r="E2520" t="s">
        <v>6463</v>
      </c>
      <c r="F2520">
        <v>1304</v>
      </c>
      <c r="G2520" s="580">
        <v>585.11350000000004</v>
      </c>
      <c r="H2520" s="1" t="s">
        <v>6522</v>
      </c>
      <c r="I2520" s="1"/>
      <c r="J2520" s="1"/>
      <c r="K2520" s="1"/>
      <c r="L2520" s="1"/>
      <c r="M2520" s="1"/>
      <c r="N2520" s="1"/>
      <c r="O2520" s="1"/>
      <c r="Q2520"/>
    </row>
    <row r="2521" spans="1:17" ht="13.15" customHeight="1" x14ac:dyDescent="0.2">
      <c r="A2521" s="1" t="s">
        <v>6523</v>
      </c>
      <c r="B2521" s="1" t="s">
        <v>6462</v>
      </c>
      <c r="C2521" s="580">
        <v>83</v>
      </c>
      <c r="D2521" s="1">
        <v>3115.66</v>
      </c>
      <c r="E2521" t="s">
        <v>6463</v>
      </c>
      <c r="F2521">
        <v>1305</v>
      </c>
      <c r="G2521" s="580">
        <v>600.37739999999997</v>
      </c>
      <c r="H2521" s="1" t="s">
        <v>6524</v>
      </c>
      <c r="I2521" s="1"/>
      <c r="J2521" s="1"/>
      <c r="K2521" s="1"/>
      <c r="L2521" s="1"/>
      <c r="M2521" s="1"/>
      <c r="N2521" s="1"/>
      <c r="O2521" s="1"/>
      <c r="Q2521"/>
    </row>
    <row r="2522" spans="1:17" ht="13.15" customHeight="1" x14ac:dyDescent="0.2">
      <c r="A2522" s="1" t="s">
        <v>6525</v>
      </c>
      <c r="B2522" s="1" t="s">
        <v>6462</v>
      </c>
      <c r="C2522" s="580">
        <v>84</v>
      </c>
      <c r="D2522" s="1">
        <v>3115.66</v>
      </c>
      <c r="E2522" t="s">
        <v>6463</v>
      </c>
      <c r="F2522">
        <v>1328</v>
      </c>
      <c r="G2522" s="580">
        <v>600.37739999999997</v>
      </c>
      <c r="H2522" s="1" t="s">
        <v>6526</v>
      </c>
      <c r="I2522" s="1"/>
      <c r="J2522" s="1"/>
      <c r="K2522" s="1"/>
      <c r="L2522" s="1"/>
      <c r="M2522" s="1"/>
      <c r="N2522" s="1"/>
      <c r="O2522" s="1"/>
      <c r="Q2522"/>
    </row>
    <row r="2523" spans="1:17" ht="13.15" customHeight="1" x14ac:dyDescent="0.2">
      <c r="A2523" s="1" t="s">
        <v>6527</v>
      </c>
      <c r="B2523" s="1" t="s">
        <v>6462</v>
      </c>
      <c r="C2523" s="580">
        <v>86</v>
      </c>
      <c r="D2523" s="1">
        <v>4468.9587000000001</v>
      </c>
      <c r="E2523" t="s">
        <v>6463</v>
      </c>
      <c r="F2523">
        <v>1303</v>
      </c>
      <c r="G2523" s="580">
        <v>861.31619999999998</v>
      </c>
      <c r="H2523" s="1" t="s">
        <v>6528</v>
      </c>
      <c r="I2523" s="1"/>
      <c r="J2523" s="1"/>
      <c r="K2523" s="1"/>
      <c r="L2523" s="1"/>
      <c r="M2523" s="1"/>
      <c r="N2523" s="1"/>
      <c r="O2523" s="1"/>
      <c r="Q2523"/>
    </row>
    <row r="2524" spans="1:17" ht="13.15" customHeight="1" x14ac:dyDescent="0.2">
      <c r="A2524" s="1" t="s">
        <v>6529</v>
      </c>
      <c r="B2524" s="1" t="s">
        <v>6462</v>
      </c>
      <c r="C2524" s="580">
        <v>96</v>
      </c>
      <c r="D2524" s="1">
        <v>3529.2240000000002</v>
      </c>
      <c r="E2524" t="s">
        <v>6463</v>
      </c>
      <c r="F2524">
        <v>1321</v>
      </c>
      <c r="G2524" s="580">
        <v>680.33079999999995</v>
      </c>
      <c r="H2524" s="1" t="s">
        <v>6530</v>
      </c>
      <c r="I2524" s="1"/>
      <c r="J2524" s="1"/>
      <c r="K2524" s="1"/>
      <c r="L2524" s="1"/>
      <c r="M2524" s="1"/>
      <c r="N2524" s="1"/>
      <c r="O2524" s="1"/>
      <c r="Q2524"/>
    </row>
    <row r="2525" spans="1:17" ht="13.15" customHeight="1" x14ac:dyDescent="0.2">
      <c r="A2525" s="1" t="s">
        <v>6531</v>
      </c>
      <c r="B2525" s="1" t="s">
        <v>6462</v>
      </c>
      <c r="C2525" s="580">
        <v>97</v>
      </c>
      <c r="D2525" s="1">
        <v>3962.5459999999998</v>
      </c>
      <c r="E2525" t="s">
        <v>6463</v>
      </c>
      <c r="F2525">
        <v>1324</v>
      </c>
      <c r="G2525" s="580">
        <v>763.91840000000002</v>
      </c>
      <c r="H2525" s="1" t="s">
        <v>6532</v>
      </c>
      <c r="I2525" s="1"/>
      <c r="J2525" s="1"/>
      <c r="K2525" s="1"/>
      <c r="L2525" s="1"/>
      <c r="M2525" s="1"/>
      <c r="N2525" s="1"/>
      <c r="O2525" s="1"/>
      <c r="Q2525"/>
    </row>
    <row r="2526" spans="1:17" ht="13.15" customHeight="1" x14ac:dyDescent="0.2">
      <c r="A2526" s="1" t="s">
        <v>6533</v>
      </c>
      <c r="B2526" s="1" t="s">
        <v>6462</v>
      </c>
      <c r="C2526" s="580">
        <v>98</v>
      </c>
      <c r="D2526" s="1">
        <v>5210.3046999999997</v>
      </c>
      <c r="E2526" t="s">
        <v>6463</v>
      </c>
      <c r="F2526">
        <v>1323</v>
      </c>
      <c r="G2526" s="580">
        <v>1004.5055</v>
      </c>
      <c r="H2526" s="1" t="s">
        <v>6534</v>
      </c>
      <c r="I2526" s="1"/>
      <c r="J2526" s="1"/>
      <c r="K2526" s="1"/>
      <c r="L2526" s="1"/>
      <c r="M2526" s="1"/>
      <c r="N2526" s="1"/>
      <c r="O2526" s="1"/>
      <c r="Q2526"/>
    </row>
    <row r="2527" spans="1:17" ht="13.15" customHeight="1" x14ac:dyDescent="0.2">
      <c r="A2527" s="1" t="s">
        <v>6535</v>
      </c>
      <c r="B2527" s="1" t="s">
        <v>6462</v>
      </c>
      <c r="C2527" s="580">
        <v>99</v>
      </c>
      <c r="D2527" s="1">
        <v>3529.2240000000002</v>
      </c>
      <c r="E2527" t="s">
        <v>6463</v>
      </c>
      <c r="F2527">
        <v>1326</v>
      </c>
      <c r="G2527" s="580">
        <v>680.33079999999995</v>
      </c>
      <c r="H2527" s="1" t="s">
        <v>6536</v>
      </c>
      <c r="I2527" s="1"/>
      <c r="J2527" s="1"/>
      <c r="K2527" s="1"/>
      <c r="L2527" s="1"/>
      <c r="M2527" s="1"/>
      <c r="N2527" s="1"/>
      <c r="O2527" s="1"/>
      <c r="Q2527"/>
    </row>
    <row r="2528" spans="1:17" ht="13.15" customHeight="1" x14ac:dyDescent="0.2">
      <c r="A2528" s="1" t="s">
        <v>6537</v>
      </c>
      <c r="B2528" s="1" t="s">
        <v>6462</v>
      </c>
      <c r="C2528" s="580">
        <v>102</v>
      </c>
      <c r="D2528" s="1">
        <v>1229.866</v>
      </c>
      <c r="E2528" t="s">
        <v>6463</v>
      </c>
      <c r="F2528">
        <v>1315</v>
      </c>
      <c r="G2528" s="580">
        <v>236.9528</v>
      </c>
      <c r="H2528" s="1" t="s">
        <v>6538</v>
      </c>
      <c r="I2528" s="1"/>
      <c r="J2528" s="1"/>
      <c r="K2528" s="1"/>
      <c r="L2528" s="1"/>
      <c r="M2528" s="1"/>
      <c r="N2528" s="1"/>
      <c r="O2528" s="1"/>
      <c r="Q2528"/>
    </row>
    <row r="2529" spans="1:17" ht="13.15" customHeight="1" x14ac:dyDescent="0.2">
      <c r="A2529" s="1" t="s">
        <v>6539</v>
      </c>
      <c r="B2529" s="1" t="s">
        <v>6462</v>
      </c>
      <c r="C2529" s="580">
        <v>103</v>
      </c>
      <c r="D2529" s="1">
        <v>1147.8747000000001</v>
      </c>
      <c r="E2529" t="s">
        <v>6463</v>
      </c>
      <c r="F2529">
        <v>1316</v>
      </c>
      <c r="G2529" s="580">
        <v>221.68899999999999</v>
      </c>
      <c r="H2529" s="1" t="s">
        <v>6540</v>
      </c>
      <c r="I2529" s="1"/>
      <c r="J2529" s="1"/>
      <c r="K2529" s="1"/>
      <c r="L2529" s="1"/>
      <c r="M2529" s="1"/>
      <c r="N2529" s="1"/>
      <c r="O2529" s="1"/>
      <c r="Q2529"/>
    </row>
    <row r="2530" spans="1:17" ht="13.15" customHeight="1" x14ac:dyDescent="0.2">
      <c r="A2530" s="1" t="s">
        <v>6541</v>
      </c>
      <c r="B2530" s="1" t="s">
        <v>6462</v>
      </c>
      <c r="C2530" s="580">
        <v>104</v>
      </c>
      <c r="D2530" s="1">
        <v>1534.8993</v>
      </c>
      <c r="E2530" t="s">
        <v>6463</v>
      </c>
      <c r="F2530">
        <v>1325</v>
      </c>
      <c r="G2530" s="580">
        <v>295.82760000000002</v>
      </c>
      <c r="H2530" s="1" t="s">
        <v>6542</v>
      </c>
      <c r="I2530" s="1"/>
      <c r="J2530" s="1"/>
      <c r="K2530" s="1"/>
      <c r="L2530" s="1"/>
      <c r="M2530" s="1"/>
      <c r="N2530" s="1"/>
      <c r="O2530" s="1"/>
      <c r="Q2530"/>
    </row>
    <row r="2531" spans="1:17" ht="13.15" customHeight="1" x14ac:dyDescent="0.2">
      <c r="A2531" s="1" t="s">
        <v>6543</v>
      </c>
      <c r="B2531" s="1" t="s">
        <v>6462</v>
      </c>
      <c r="C2531" s="580">
        <v>107</v>
      </c>
      <c r="D2531" s="1">
        <v>1153.7846999999999</v>
      </c>
      <c r="E2531" t="s">
        <v>6463</v>
      </c>
      <c r="F2531">
        <v>1317</v>
      </c>
      <c r="G2531" s="580">
        <v>222.41579999999999</v>
      </c>
      <c r="H2531" s="1" t="s">
        <v>6544</v>
      </c>
      <c r="I2531" s="1"/>
      <c r="J2531" s="1"/>
      <c r="K2531" s="1"/>
      <c r="L2531" s="1"/>
      <c r="M2531" s="1"/>
      <c r="N2531" s="1"/>
      <c r="O2531" s="1"/>
      <c r="Q2531"/>
    </row>
    <row r="2532" spans="1:17" ht="13.15" customHeight="1" x14ac:dyDescent="0.2">
      <c r="A2532" s="1" t="s">
        <v>6545</v>
      </c>
      <c r="B2532" s="1" t="s">
        <v>6462</v>
      </c>
      <c r="C2532" s="580">
        <v>108</v>
      </c>
      <c r="D2532" s="1">
        <v>942.89729999999997</v>
      </c>
      <c r="E2532" t="s">
        <v>6463</v>
      </c>
      <c r="F2532">
        <v>1306</v>
      </c>
      <c r="G2532" s="580">
        <v>181.7123</v>
      </c>
      <c r="H2532" s="1" t="s">
        <v>6546</v>
      </c>
      <c r="I2532" s="1"/>
      <c r="J2532" s="1"/>
      <c r="K2532" s="1"/>
      <c r="L2532" s="1"/>
      <c r="M2532" s="1"/>
      <c r="N2532" s="1"/>
      <c r="O2532" s="1"/>
      <c r="Q2532"/>
    </row>
    <row r="2533" spans="1:17" ht="13.15" customHeight="1" x14ac:dyDescent="0.2">
      <c r="A2533" s="1" t="s">
        <v>6547</v>
      </c>
      <c r="B2533" s="1" t="s">
        <v>6462</v>
      </c>
      <c r="C2533" s="580">
        <v>109</v>
      </c>
      <c r="D2533" s="1">
        <v>1540.12</v>
      </c>
      <c r="E2533" t="s">
        <v>6463</v>
      </c>
      <c r="F2533">
        <v>1327</v>
      </c>
      <c r="G2533" s="580">
        <v>297.28129999999999</v>
      </c>
      <c r="H2533" s="1" t="s">
        <v>6548</v>
      </c>
      <c r="I2533" s="1"/>
      <c r="J2533" s="1"/>
      <c r="K2533" s="1"/>
      <c r="L2533" s="1"/>
      <c r="M2533" s="1"/>
      <c r="N2533" s="1"/>
      <c r="O2533" s="1"/>
      <c r="Q2533"/>
    </row>
    <row r="2534" spans="1:17" ht="13.15" customHeight="1" x14ac:dyDescent="0.2">
      <c r="A2534" s="1" t="s">
        <v>6549</v>
      </c>
      <c r="B2534" s="1" t="s">
        <v>6462</v>
      </c>
      <c r="C2534" s="580">
        <v>121</v>
      </c>
      <c r="D2534" s="1">
        <v>1054.5907</v>
      </c>
      <c r="E2534" t="s">
        <v>6463</v>
      </c>
      <c r="F2534">
        <v>1007</v>
      </c>
      <c r="G2534" s="580">
        <v>203.51779999999999</v>
      </c>
      <c r="H2534" s="1" t="s">
        <v>6550</v>
      </c>
      <c r="I2534" s="1"/>
      <c r="J2534" s="1"/>
      <c r="K2534" s="1"/>
      <c r="L2534" s="1"/>
      <c r="M2534" s="1"/>
      <c r="N2534" s="1"/>
      <c r="O2534" s="1"/>
      <c r="Q2534"/>
    </row>
    <row r="2535" spans="1:17" ht="13.15" customHeight="1" x14ac:dyDescent="0.2">
      <c r="A2535" s="1" t="s">
        <v>6551</v>
      </c>
      <c r="B2535" s="1" t="s">
        <v>6462</v>
      </c>
      <c r="C2535" s="580">
        <v>122</v>
      </c>
      <c r="D2535" s="1">
        <v>1127.6813</v>
      </c>
      <c r="E2535" t="s">
        <v>6463</v>
      </c>
      <c r="F2535">
        <v>1011</v>
      </c>
      <c r="G2535" s="580">
        <v>217.3279</v>
      </c>
      <c r="H2535" s="1" t="s">
        <v>6552</v>
      </c>
      <c r="I2535" s="1"/>
      <c r="J2535" s="1"/>
      <c r="K2535" s="1"/>
      <c r="L2535" s="1"/>
      <c r="M2535" s="1"/>
      <c r="N2535" s="1"/>
      <c r="O2535" s="1"/>
      <c r="Q2535"/>
    </row>
    <row r="2536" spans="1:17" ht="13.15" customHeight="1" x14ac:dyDescent="0.2">
      <c r="A2536" s="1" t="s">
        <v>6553</v>
      </c>
      <c r="B2536" s="1" t="s">
        <v>6462</v>
      </c>
      <c r="C2536" s="580">
        <v>123</v>
      </c>
      <c r="D2536" s="1">
        <v>1127.6813</v>
      </c>
      <c r="E2536" t="s">
        <v>6463</v>
      </c>
      <c r="F2536">
        <v>1012</v>
      </c>
      <c r="G2536" s="580">
        <v>217.3279</v>
      </c>
      <c r="H2536" s="1" t="s">
        <v>6554</v>
      </c>
      <c r="I2536" s="1"/>
      <c r="J2536" s="1"/>
      <c r="K2536" s="1"/>
      <c r="L2536" s="1"/>
      <c r="M2536" s="1"/>
      <c r="N2536" s="1"/>
      <c r="O2536" s="1"/>
      <c r="Q2536"/>
    </row>
    <row r="2537" spans="1:17" ht="13.15" customHeight="1" x14ac:dyDescent="0.2">
      <c r="A2537" s="1" t="s">
        <v>6555</v>
      </c>
      <c r="B2537" s="1" t="s">
        <v>6462</v>
      </c>
      <c r="C2537" s="580">
        <v>125</v>
      </c>
      <c r="D2537" s="1">
        <v>737.91930000000002</v>
      </c>
      <c r="E2537" t="s">
        <v>6463</v>
      </c>
      <c r="F2537">
        <v>1002</v>
      </c>
      <c r="G2537" s="580">
        <v>142.4624</v>
      </c>
      <c r="H2537" s="1" t="s">
        <v>6556</v>
      </c>
      <c r="I2537" s="1"/>
      <c r="J2537" s="1"/>
      <c r="K2537" s="1"/>
      <c r="L2537" s="1"/>
      <c r="M2537" s="1"/>
      <c r="N2537" s="1"/>
      <c r="O2537" s="1"/>
      <c r="Q2537"/>
    </row>
    <row r="2538" spans="1:17" ht="13.15" customHeight="1" x14ac:dyDescent="0.2">
      <c r="A2538" s="1" t="s">
        <v>6557</v>
      </c>
      <c r="B2538" s="1" t="s">
        <v>6462</v>
      </c>
      <c r="C2538" s="580">
        <v>139</v>
      </c>
      <c r="D2538" s="1">
        <v>4468.6260000000002</v>
      </c>
      <c r="E2538" t="s">
        <v>6463</v>
      </c>
      <c r="F2538">
        <v>1420</v>
      </c>
      <c r="G2538" s="580">
        <v>861.31619999999998</v>
      </c>
      <c r="H2538" s="1" t="s">
        <v>6558</v>
      </c>
      <c r="I2538" s="1"/>
      <c r="J2538" s="1"/>
      <c r="K2538" s="1"/>
      <c r="L2538" s="1"/>
      <c r="M2538" s="1"/>
      <c r="N2538" s="1"/>
      <c r="O2538" s="1"/>
      <c r="Q2538"/>
    </row>
    <row r="2539" spans="1:17" ht="13.15" customHeight="1" x14ac:dyDescent="0.2">
      <c r="A2539" s="1" t="s">
        <v>6559</v>
      </c>
      <c r="B2539" s="1" t="s">
        <v>6462</v>
      </c>
      <c r="C2539" s="580">
        <v>140</v>
      </c>
      <c r="D2539" s="1">
        <v>1184.3906999999999</v>
      </c>
      <c r="E2539" t="s">
        <v>6463</v>
      </c>
      <c r="F2539">
        <v>1419</v>
      </c>
      <c r="G2539" s="580">
        <v>228.23060000000001</v>
      </c>
      <c r="H2539" s="1" t="s">
        <v>6560</v>
      </c>
      <c r="I2539" s="1"/>
      <c r="J2539" s="1"/>
      <c r="K2539" s="1"/>
      <c r="L2539" s="1"/>
      <c r="M2539" s="1"/>
      <c r="N2539" s="1"/>
      <c r="O2539" s="1"/>
      <c r="Q2539"/>
    </row>
    <row r="2540" spans="1:17" ht="13.15" customHeight="1" x14ac:dyDescent="0.2">
      <c r="A2540" s="1" t="s">
        <v>6561</v>
      </c>
      <c r="B2540" s="1" t="s">
        <v>6462</v>
      </c>
      <c r="C2540" s="580">
        <v>145</v>
      </c>
      <c r="D2540" s="1">
        <v>741.346</v>
      </c>
      <c r="E2540" t="s">
        <v>6463</v>
      </c>
      <c r="F2540">
        <v>1412</v>
      </c>
      <c r="G2540" s="580">
        <v>143.1893</v>
      </c>
      <c r="H2540" s="1" t="s">
        <v>6562</v>
      </c>
      <c r="I2540" s="1"/>
      <c r="J2540" s="1"/>
      <c r="K2540" s="1"/>
      <c r="L2540" s="1"/>
      <c r="M2540" s="1"/>
      <c r="N2540" s="1"/>
      <c r="O2540" s="1"/>
      <c r="Q2540"/>
    </row>
    <row r="2541" spans="1:17" ht="13.15" customHeight="1" x14ac:dyDescent="0.2">
      <c r="A2541" s="1" t="s">
        <v>6563</v>
      </c>
      <c r="B2541" s="1" t="s">
        <v>6462</v>
      </c>
      <c r="C2541" s="580">
        <v>156</v>
      </c>
      <c r="D2541" s="1">
        <v>1179.8887</v>
      </c>
      <c r="E2541" t="s">
        <v>6463</v>
      </c>
      <c r="F2541">
        <v>1205</v>
      </c>
      <c r="G2541" s="580">
        <v>227.50380000000001</v>
      </c>
      <c r="H2541" s="1" t="s">
        <v>6564</v>
      </c>
      <c r="I2541" s="1"/>
      <c r="J2541" s="1"/>
      <c r="K2541" s="1"/>
      <c r="L2541" s="1"/>
      <c r="M2541" s="1"/>
      <c r="N2541" s="1"/>
      <c r="O2541" s="1"/>
      <c r="Q2541"/>
    </row>
    <row r="2542" spans="1:17" ht="13.15" customHeight="1" x14ac:dyDescent="0.2">
      <c r="A2542" s="1" t="s">
        <v>6565</v>
      </c>
      <c r="B2542" s="1" t="s">
        <v>6462</v>
      </c>
      <c r="C2542" s="580">
        <v>162</v>
      </c>
      <c r="D2542" s="1">
        <v>830.09870000000001</v>
      </c>
      <c r="E2542" t="s">
        <v>6463</v>
      </c>
      <c r="F2542">
        <v>1209</v>
      </c>
      <c r="G2542" s="580">
        <v>160.6337</v>
      </c>
      <c r="H2542" s="1" t="s">
        <v>6566</v>
      </c>
      <c r="I2542" s="1"/>
      <c r="J2542" s="1"/>
      <c r="K2542" s="1"/>
      <c r="L2542" s="1"/>
      <c r="M2542" s="1"/>
      <c r="N2542" s="1"/>
      <c r="O2542" s="1"/>
      <c r="Q2542"/>
    </row>
    <row r="2543" spans="1:17" ht="13.15" customHeight="1" x14ac:dyDescent="0.2">
      <c r="A2543" s="1" t="s">
        <v>6567</v>
      </c>
      <c r="B2543" s="1" t="s">
        <v>6462</v>
      </c>
      <c r="C2543" s="580">
        <v>166</v>
      </c>
      <c r="D2543" s="1">
        <v>983.89269999999999</v>
      </c>
      <c r="E2543" t="s">
        <v>6463</v>
      </c>
      <c r="F2543">
        <v>1214</v>
      </c>
      <c r="G2543" s="580">
        <v>189.70760000000001</v>
      </c>
      <c r="H2543" s="1" t="s">
        <v>6568</v>
      </c>
      <c r="I2543" s="1"/>
      <c r="J2543" s="1"/>
      <c r="K2543" s="1"/>
      <c r="L2543" s="1"/>
      <c r="M2543" s="1"/>
      <c r="N2543" s="1"/>
      <c r="O2543" s="1"/>
      <c r="Q2543"/>
    </row>
    <row r="2544" spans="1:17" ht="13.15" customHeight="1" x14ac:dyDescent="0.2">
      <c r="A2544" s="1" t="s">
        <v>6569</v>
      </c>
      <c r="B2544" s="1" t="s">
        <v>6462</v>
      </c>
      <c r="C2544" s="580">
        <v>168</v>
      </c>
      <c r="D2544" s="1">
        <v>1002.3833</v>
      </c>
      <c r="E2544" t="s">
        <v>6463</v>
      </c>
      <c r="F2544">
        <v>1215</v>
      </c>
      <c r="G2544" s="580">
        <v>193.34190000000001</v>
      </c>
      <c r="H2544" s="1" t="s">
        <v>6570</v>
      </c>
      <c r="I2544" s="1"/>
      <c r="J2544" s="1"/>
      <c r="K2544" s="1"/>
      <c r="L2544" s="1"/>
      <c r="M2544" s="1"/>
      <c r="N2544" s="1"/>
      <c r="O2544" s="1"/>
      <c r="Q2544"/>
    </row>
    <row r="2545" spans="1:17" ht="13.15" customHeight="1" x14ac:dyDescent="0.2">
      <c r="A2545" s="1" t="s">
        <v>6571</v>
      </c>
      <c r="B2545" s="1" t="s">
        <v>6462</v>
      </c>
      <c r="C2545" s="580" t="s">
        <v>6572</v>
      </c>
      <c r="D2545" s="1">
        <v>19577.599999999999</v>
      </c>
      <c r="E2545" t="s">
        <v>6463</v>
      </c>
      <c r="F2545" t="s">
        <v>6573</v>
      </c>
      <c r="G2545" s="580">
        <v>5736.7106999999996</v>
      </c>
      <c r="H2545" s="1" t="s">
        <v>6574</v>
      </c>
      <c r="I2545" s="1"/>
      <c r="J2545" s="1"/>
      <c r="K2545" s="1"/>
      <c r="L2545" s="1"/>
      <c r="M2545" s="1"/>
      <c r="N2545" s="1"/>
      <c r="O2545" s="1"/>
      <c r="Q2545"/>
    </row>
    <row r="2546" spans="1:17" ht="13.15" customHeight="1" x14ac:dyDescent="0.2">
      <c r="A2546" s="1" t="s">
        <v>6575</v>
      </c>
      <c r="B2546" s="1" t="s">
        <v>6576</v>
      </c>
      <c r="C2546" s="580">
        <v>1</v>
      </c>
      <c r="D2546" s="1">
        <v>66.42</v>
      </c>
      <c r="E2546" t="s">
        <v>6576</v>
      </c>
      <c r="F2546" t="s">
        <v>6577</v>
      </c>
      <c r="G2546" s="580">
        <v>23.547499999999999</v>
      </c>
      <c r="H2546" s="1" t="s">
        <v>6578</v>
      </c>
      <c r="I2546" s="1"/>
      <c r="J2546" s="1"/>
      <c r="K2546" s="1"/>
      <c r="L2546" s="1"/>
      <c r="M2546" s="1"/>
      <c r="N2546" s="1"/>
      <c r="O2546" s="1"/>
      <c r="Q2546"/>
    </row>
    <row r="2547" spans="1:17" ht="13.15" customHeight="1" x14ac:dyDescent="0.2">
      <c r="A2547" s="1" t="s">
        <v>6579</v>
      </c>
      <c r="B2547" s="1" t="s">
        <v>6576</v>
      </c>
      <c r="C2547" s="580">
        <v>3</v>
      </c>
      <c r="D2547" s="1">
        <v>69.3</v>
      </c>
      <c r="E2547" t="s">
        <v>6576</v>
      </c>
      <c r="F2547" t="s">
        <v>6580</v>
      </c>
      <c r="G2547" s="580">
        <v>13.4</v>
      </c>
      <c r="H2547" s="1" t="s">
        <v>6581</v>
      </c>
      <c r="I2547" s="1"/>
      <c r="J2547" s="1"/>
      <c r="K2547" s="1"/>
      <c r="L2547" s="1"/>
      <c r="M2547" s="1"/>
      <c r="N2547" s="1"/>
      <c r="O2547" s="1"/>
      <c r="Q2547"/>
    </row>
    <row r="2548" spans="1:17" ht="13.15" customHeight="1" x14ac:dyDescent="0.2">
      <c r="A2548" s="1" t="s">
        <v>6582</v>
      </c>
      <c r="B2548" s="1" t="s">
        <v>6576</v>
      </c>
      <c r="C2548" s="580">
        <v>4</v>
      </c>
      <c r="D2548" s="1">
        <v>75.08</v>
      </c>
      <c r="E2548" t="s">
        <v>6576</v>
      </c>
      <c r="F2548" t="s">
        <v>6583</v>
      </c>
      <c r="G2548" s="580">
        <v>14.6</v>
      </c>
      <c r="H2548" s="1" t="s">
        <v>6584</v>
      </c>
      <c r="I2548" s="1"/>
      <c r="J2548" s="1"/>
      <c r="K2548" s="1"/>
      <c r="L2548" s="1"/>
      <c r="M2548" s="1"/>
      <c r="N2548" s="1"/>
      <c r="O2548" s="1"/>
      <c r="Q2548"/>
    </row>
    <row r="2549" spans="1:17" ht="13.15" customHeight="1" x14ac:dyDescent="0.2">
      <c r="A2549" s="1" t="s">
        <v>6585</v>
      </c>
      <c r="B2549" s="1" t="s">
        <v>6576</v>
      </c>
      <c r="C2549" s="580">
        <v>5</v>
      </c>
      <c r="D2549" s="1">
        <v>77.97</v>
      </c>
      <c r="E2549" t="s">
        <v>6576</v>
      </c>
      <c r="F2549" t="s">
        <v>6586</v>
      </c>
      <c r="G2549" s="580">
        <v>15.3</v>
      </c>
      <c r="H2549" s="1" t="s">
        <v>6587</v>
      </c>
      <c r="I2549" s="1"/>
      <c r="J2549" s="1"/>
      <c r="K2549" s="1"/>
      <c r="L2549" s="1"/>
      <c r="M2549" s="1"/>
      <c r="N2549" s="1"/>
      <c r="O2549" s="1"/>
      <c r="Q2549"/>
    </row>
    <row r="2550" spans="1:17" ht="13.15" customHeight="1" x14ac:dyDescent="0.2">
      <c r="A2550" s="1" t="s">
        <v>6588</v>
      </c>
      <c r="B2550" s="1" t="s">
        <v>6576</v>
      </c>
      <c r="C2550" s="580">
        <v>6</v>
      </c>
      <c r="D2550" s="1">
        <v>86.63</v>
      </c>
      <c r="E2550" t="s">
        <v>6576</v>
      </c>
      <c r="F2550" t="s">
        <v>6589</v>
      </c>
      <c r="G2550" s="580">
        <v>18.899999999999999</v>
      </c>
      <c r="H2550" s="1" t="s">
        <v>6590</v>
      </c>
      <c r="I2550" s="1"/>
      <c r="J2550" s="1"/>
      <c r="K2550" s="1"/>
      <c r="L2550" s="1"/>
      <c r="M2550" s="1"/>
      <c r="N2550" s="1"/>
      <c r="O2550" s="1"/>
      <c r="Q2550"/>
    </row>
    <row r="2551" spans="1:17" ht="13.15" customHeight="1" x14ac:dyDescent="0.2">
      <c r="A2551" s="1" t="s">
        <v>6591</v>
      </c>
      <c r="B2551" s="1" t="s">
        <v>6576</v>
      </c>
      <c r="C2551" s="580">
        <v>7</v>
      </c>
      <c r="D2551" s="1">
        <v>152.63</v>
      </c>
      <c r="E2551" t="s">
        <v>6576</v>
      </c>
      <c r="F2551" t="s">
        <v>6592</v>
      </c>
      <c r="G2551" s="580">
        <v>51.2</v>
      </c>
      <c r="H2551" s="1" t="s">
        <v>6593</v>
      </c>
      <c r="I2551" s="1"/>
      <c r="J2551" s="1"/>
      <c r="K2551" s="1"/>
      <c r="L2551" s="1"/>
      <c r="M2551" s="1"/>
      <c r="N2551" s="1"/>
      <c r="O2551" s="1"/>
      <c r="Q2551"/>
    </row>
    <row r="2552" spans="1:17" ht="13.15" customHeight="1" x14ac:dyDescent="0.2">
      <c r="A2552" s="1" t="s">
        <v>6594</v>
      </c>
      <c r="B2552" s="1" t="s">
        <v>6576</v>
      </c>
      <c r="C2552" s="580">
        <v>8</v>
      </c>
      <c r="D2552" s="1">
        <v>160.88</v>
      </c>
      <c r="E2552" t="s">
        <v>6576</v>
      </c>
      <c r="F2552" t="s">
        <v>6595</v>
      </c>
      <c r="G2552" s="580">
        <v>29.6</v>
      </c>
      <c r="H2552" s="1" t="s">
        <v>6596</v>
      </c>
      <c r="I2552" s="1"/>
      <c r="J2552" s="1"/>
      <c r="K2552" s="1"/>
      <c r="L2552" s="1"/>
      <c r="M2552" s="1"/>
      <c r="N2552" s="1"/>
      <c r="O2552" s="1"/>
      <c r="Q2552"/>
    </row>
    <row r="2553" spans="1:17" ht="13.15" customHeight="1" x14ac:dyDescent="0.2">
      <c r="A2553" s="1" t="s">
        <v>6597</v>
      </c>
      <c r="B2553" s="1" t="s">
        <v>6576</v>
      </c>
      <c r="C2553" s="580">
        <v>9</v>
      </c>
      <c r="D2553" s="1">
        <v>177.38</v>
      </c>
      <c r="E2553" t="s">
        <v>6576</v>
      </c>
      <c r="F2553" t="s">
        <v>6598</v>
      </c>
      <c r="G2553" s="580">
        <v>31.3</v>
      </c>
      <c r="H2553" s="1" t="s">
        <v>6599</v>
      </c>
      <c r="I2553" s="1"/>
      <c r="J2553" s="1"/>
      <c r="K2553" s="1"/>
      <c r="L2553" s="1"/>
      <c r="M2553" s="1"/>
      <c r="N2553" s="1"/>
      <c r="O2553" s="1"/>
      <c r="Q2553"/>
    </row>
    <row r="2554" spans="1:17" ht="13.15" customHeight="1" x14ac:dyDescent="0.2">
      <c r="A2554" s="1" t="s">
        <v>6600</v>
      </c>
      <c r="B2554" s="1" t="s">
        <v>6576</v>
      </c>
      <c r="C2554" s="580">
        <v>10</v>
      </c>
      <c r="D2554" s="1">
        <v>199.38</v>
      </c>
      <c r="E2554" t="s">
        <v>6576</v>
      </c>
      <c r="F2554" t="s">
        <v>6601</v>
      </c>
      <c r="G2554" s="580">
        <v>75</v>
      </c>
      <c r="H2554" s="1" t="s">
        <v>6602</v>
      </c>
      <c r="I2554" s="1"/>
      <c r="J2554" s="1"/>
      <c r="K2554" s="1"/>
      <c r="L2554" s="1"/>
      <c r="M2554" s="1"/>
      <c r="N2554" s="1"/>
      <c r="O2554" s="1"/>
      <c r="Q2554"/>
    </row>
    <row r="2555" spans="1:17" ht="13.15" customHeight="1" x14ac:dyDescent="0.2">
      <c r="A2555" s="1" t="s">
        <v>6603</v>
      </c>
      <c r="B2555" s="1" t="s">
        <v>6576</v>
      </c>
      <c r="C2555" s="580">
        <v>11</v>
      </c>
      <c r="D2555" s="1">
        <v>274.32</v>
      </c>
      <c r="E2555" t="s">
        <v>6576</v>
      </c>
      <c r="F2555" t="s">
        <v>6604</v>
      </c>
      <c r="G2555" s="580">
        <v>61.7</v>
      </c>
      <c r="H2555" s="1" t="s">
        <v>6605</v>
      </c>
      <c r="I2555" s="1"/>
      <c r="J2555" s="1"/>
      <c r="K2555" s="1"/>
      <c r="L2555" s="1"/>
      <c r="M2555" s="1"/>
      <c r="N2555" s="1"/>
      <c r="O2555" s="1"/>
      <c r="Q2555"/>
    </row>
    <row r="2556" spans="1:17" ht="13.15" customHeight="1" x14ac:dyDescent="0.2">
      <c r="A2556" s="1" t="s">
        <v>6606</v>
      </c>
      <c r="B2556" s="1" t="s">
        <v>6576</v>
      </c>
      <c r="C2556" s="580">
        <v>16</v>
      </c>
      <c r="D2556" s="1">
        <v>323.13</v>
      </c>
      <c r="E2556" t="s">
        <v>6576</v>
      </c>
      <c r="F2556" t="s">
        <v>6607</v>
      </c>
      <c r="G2556" s="580">
        <v>109</v>
      </c>
      <c r="H2556" s="1" t="s">
        <v>6608</v>
      </c>
      <c r="I2556" s="1"/>
      <c r="J2556" s="1"/>
      <c r="K2556" s="1"/>
      <c r="L2556" s="1"/>
      <c r="M2556" s="1"/>
      <c r="N2556" s="1"/>
      <c r="O2556" s="1"/>
      <c r="Q2556"/>
    </row>
    <row r="2557" spans="1:17" ht="13.15" customHeight="1" x14ac:dyDescent="0.2">
      <c r="A2557" s="1" t="s">
        <v>6609</v>
      </c>
      <c r="B2557" s="1" t="s">
        <v>6576</v>
      </c>
      <c r="C2557" s="580">
        <v>17</v>
      </c>
      <c r="D2557" s="1">
        <v>512.82000000000005</v>
      </c>
      <c r="E2557" t="s">
        <v>6576</v>
      </c>
      <c r="F2557" t="s">
        <v>6610</v>
      </c>
      <c r="G2557" s="580">
        <v>119</v>
      </c>
      <c r="H2557" s="1" t="s">
        <v>6611</v>
      </c>
      <c r="I2557" s="1"/>
      <c r="J2557" s="1"/>
      <c r="K2557" s="1"/>
      <c r="L2557" s="1"/>
      <c r="M2557" s="1"/>
      <c r="N2557" s="1"/>
      <c r="O2557" s="1"/>
      <c r="Q2557"/>
    </row>
    <row r="2558" spans="1:17" ht="13.15" customHeight="1" x14ac:dyDescent="0.2">
      <c r="A2558" s="1" t="s">
        <v>6612</v>
      </c>
      <c r="B2558" s="1" t="s">
        <v>6576</v>
      </c>
      <c r="C2558" s="580">
        <v>12</v>
      </c>
      <c r="D2558" s="1">
        <v>107.25</v>
      </c>
      <c r="E2558" t="s">
        <v>6576</v>
      </c>
      <c r="F2558" t="s">
        <v>6613</v>
      </c>
      <c r="G2558" s="580">
        <v>41.04</v>
      </c>
      <c r="H2558" s="1" t="s">
        <v>6614</v>
      </c>
      <c r="I2558" s="1"/>
      <c r="J2558" s="1"/>
      <c r="K2558" s="1"/>
      <c r="L2558" s="1"/>
      <c r="M2558" s="1"/>
      <c r="N2558" s="1"/>
      <c r="O2558" s="1"/>
      <c r="Q2558"/>
    </row>
    <row r="2559" spans="1:17" ht="13.15" customHeight="1" x14ac:dyDescent="0.2">
      <c r="A2559" s="1" t="s">
        <v>6615</v>
      </c>
      <c r="B2559" s="1" t="s">
        <v>6576</v>
      </c>
      <c r="C2559" s="580">
        <v>13</v>
      </c>
      <c r="D2559" s="1">
        <v>111.38</v>
      </c>
      <c r="E2559" t="s">
        <v>6576</v>
      </c>
      <c r="F2559" t="s">
        <v>6616</v>
      </c>
      <c r="G2559" s="580">
        <v>43.32</v>
      </c>
      <c r="H2559" s="1" t="s">
        <v>6617</v>
      </c>
      <c r="I2559" s="1"/>
      <c r="J2559" s="1"/>
      <c r="K2559" s="1"/>
      <c r="L2559" s="1"/>
      <c r="M2559" s="1"/>
      <c r="N2559" s="1"/>
      <c r="O2559" s="1"/>
      <c r="Q2559"/>
    </row>
    <row r="2560" spans="1:17" ht="13.15" customHeight="1" x14ac:dyDescent="0.2">
      <c r="A2560" s="1" t="s">
        <v>6618</v>
      </c>
      <c r="B2560" s="1" t="s">
        <v>6576</v>
      </c>
      <c r="C2560" s="580">
        <v>14</v>
      </c>
      <c r="D2560" s="1">
        <v>127.88</v>
      </c>
      <c r="E2560" t="s">
        <v>6576</v>
      </c>
      <c r="F2560" t="s">
        <v>6619</v>
      </c>
      <c r="G2560" s="580">
        <v>45.8</v>
      </c>
      <c r="H2560" s="1" t="s">
        <v>6620</v>
      </c>
      <c r="I2560" s="1"/>
      <c r="J2560" s="1"/>
      <c r="K2560" s="1"/>
      <c r="L2560" s="1"/>
      <c r="M2560" s="1"/>
      <c r="N2560" s="1"/>
      <c r="O2560" s="1"/>
      <c r="Q2560"/>
    </row>
    <row r="2561" spans="1:17" ht="13.15" customHeight="1" x14ac:dyDescent="0.2">
      <c r="A2561" s="1" t="s">
        <v>6621</v>
      </c>
      <c r="B2561" s="1" t="s">
        <v>6576</v>
      </c>
      <c r="C2561" s="580">
        <v>15</v>
      </c>
      <c r="D2561" s="1">
        <v>132</v>
      </c>
      <c r="E2561" t="s">
        <v>6576</v>
      </c>
      <c r="F2561" t="s">
        <v>6622</v>
      </c>
      <c r="G2561" s="580">
        <v>49.02</v>
      </c>
      <c r="H2561" s="1" t="s">
        <v>6623</v>
      </c>
      <c r="I2561" s="1"/>
      <c r="J2561" s="1"/>
      <c r="K2561" s="1"/>
      <c r="L2561" s="1"/>
      <c r="M2561" s="1"/>
      <c r="N2561" s="1"/>
      <c r="O2561" s="1"/>
      <c r="Q2561"/>
    </row>
    <row r="2562" spans="1:17" ht="13.15" customHeight="1" x14ac:dyDescent="0.2">
      <c r="A2562" s="1" t="s">
        <v>6624</v>
      </c>
      <c r="B2562" s="1" t="s">
        <v>6576</v>
      </c>
      <c r="C2562" s="580">
        <v>19</v>
      </c>
      <c r="D2562" s="1">
        <v>63.53</v>
      </c>
      <c r="E2562" t="s">
        <v>6576</v>
      </c>
      <c r="F2562" t="s">
        <v>6625</v>
      </c>
      <c r="G2562" s="580">
        <v>24</v>
      </c>
      <c r="H2562" s="1" t="s">
        <v>6626</v>
      </c>
      <c r="I2562" s="1"/>
      <c r="J2562" s="1"/>
      <c r="K2562" s="1"/>
      <c r="L2562" s="1"/>
      <c r="M2562" s="1"/>
      <c r="N2562" s="1"/>
      <c r="O2562" s="1"/>
      <c r="Q2562"/>
    </row>
    <row r="2563" spans="1:17" ht="13.15" customHeight="1" x14ac:dyDescent="0.2">
      <c r="A2563" s="1" t="s">
        <v>6627</v>
      </c>
      <c r="B2563" s="1" t="s">
        <v>6576</v>
      </c>
      <c r="C2563" s="580">
        <v>20</v>
      </c>
      <c r="D2563" s="1">
        <v>107.25</v>
      </c>
      <c r="E2563" t="s">
        <v>6576</v>
      </c>
      <c r="F2563" t="s">
        <v>6628</v>
      </c>
      <c r="G2563" s="580">
        <v>17.149999999999999</v>
      </c>
      <c r="H2563" s="1" t="s">
        <v>6629</v>
      </c>
      <c r="I2563" s="1"/>
      <c r="J2563" s="1"/>
      <c r="K2563" s="1"/>
      <c r="L2563" s="1"/>
      <c r="M2563" s="1"/>
      <c r="N2563" s="1"/>
      <c r="O2563" s="1"/>
      <c r="Q2563"/>
    </row>
    <row r="2564" spans="1:17" ht="13.15" customHeight="1" x14ac:dyDescent="0.2">
      <c r="A2564" s="1" t="s">
        <v>6630</v>
      </c>
      <c r="B2564" s="1" t="s">
        <v>6576</v>
      </c>
      <c r="C2564" s="580">
        <v>23</v>
      </c>
      <c r="D2564" s="1">
        <v>80.849999999999994</v>
      </c>
      <c r="E2564" t="s">
        <v>6576</v>
      </c>
      <c r="F2564" t="s">
        <v>6631</v>
      </c>
      <c r="G2564" s="580">
        <v>18.95</v>
      </c>
      <c r="H2564" s="1" t="s">
        <v>6632</v>
      </c>
      <c r="I2564" s="1"/>
      <c r="J2564" s="1"/>
      <c r="K2564" s="1"/>
      <c r="L2564" s="1"/>
      <c r="M2564" s="1"/>
      <c r="N2564" s="1"/>
      <c r="O2564" s="1"/>
      <c r="Q2564"/>
    </row>
    <row r="2565" spans="1:17" ht="13.15" customHeight="1" x14ac:dyDescent="0.2">
      <c r="A2565" s="1" t="s">
        <v>6633</v>
      </c>
      <c r="B2565" s="1" t="s">
        <v>6576</v>
      </c>
      <c r="C2565" s="580">
        <v>26</v>
      </c>
      <c r="D2565" s="1">
        <v>123.75</v>
      </c>
      <c r="E2565" t="s">
        <v>6576</v>
      </c>
      <c r="F2565" t="s">
        <v>6634</v>
      </c>
      <c r="G2565" s="580">
        <v>23.6</v>
      </c>
      <c r="H2565" s="1" t="s">
        <v>6635</v>
      </c>
      <c r="I2565" s="1"/>
      <c r="J2565" s="1"/>
      <c r="K2565" s="1"/>
      <c r="L2565" s="1"/>
      <c r="M2565" s="1"/>
      <c r="N2565" s="1"/>
      <c r="O2565" s="1"/>
      <c r="Q2565"/>
    </row>
    <row r="2566" spans="1:17" ht="13.15" customHeight="1" x14ac:dyDescent="0.2">
      <c r="A2566" s="1" t="s">
        <v>6636</v>
      </c>
      <c r="B2566" s="1" t="s">
        <v>6576</v>
      </c>
      <c r="C2566" s="580">
        <v>27</v>
      </c>
      <c r="D2566" s="1">
        <v>235.95</v>
      </c>
      <c r="E2566" t="s">
        <v>6576</v>
      </c>
      <c r="F2566" t="s">
        <v>6637</v>
      </c>
      <c r="G2566" s="580">
        <v>61.56</v>
      </c>
      <c r="H2566" s="1" t="s">
        <v>6638</v>
      </c>
      <c r="I2566" s="1"/>
      <c r="J2566" s="1"/>
      <c r="K2566" s="1"/>
      <c r="L2566" s="1"/>
      <c r="M2566" s="1"/>
      <c r="N2566" s="1"/>
      <c r="O2566" s="1"/>
      <c r="Q2566"/>
    </row>
    <row r="2567" spans="1:17" ht="13.15" customHeight="1" x14ac:dyDescent="0.2">
      <c r="A2567" s="1" t="s">
        <v>6639</v>
      </c>
      <c r="B2567" s="1" t="s">
        <v>6576</v>
      </c>
      <c r="C2567" s="580">
        <v>29</v>
      </c>
      <c r="D2567" s="1">
        <v>121.28</v>
      </c>
      <c r="E2567" t="s">
        <v>6576</v>
      </c>
      <c r="F2567" t="s">
        <v>6640</v>
      </c>
      <c r="G2567" s="580">
        <v>32.4</v>
      </c>
      <c r="H2567" s="1" t="s">
        <v>6641</v>
      </c>
      <c r="I2567" s="1"/>
      <c r="J2567" s="1"/>
      <c r="K2567" s="1"/>
      <c r="L2567" s="1"/>
      <c r="M2567" s="1"/>
      <c r="N2567" s="1"/>
      <c r="O2567" s="1"/>
      <c r="Q2567"/>
    </row>
    <row r="2568" spans="1:17" ht="13.15" customHeight="1" x14ac:dyDescent="0.2">
      <c r="A2568" s="1" t="s">
        <v>6642</v>
      </c>
      <c r="B2568" s="1" t="s">
        <v>6576</v>
      </c>
      <c r="C2568" s="580">
        <v>30</v>
      </c>
      <c r="D2568" s="1">
        <v>124.17</v>
      </c>
      <c r="E2568" t="s">
        <v>6576</v>
      </c>
      <c r="F2568" t="s">
        <v>6643</v>
      </c>
      <c r="G2568" s="580">
        <v>38.450000000000003</v>
      </c>
      <c r="H2568" s="1" t="s">
        <v>6644</v>
      </c>
      <c r="I2568" s="1"/>
      <c r="J2568" s="1"/>
      <c r="K2568" s="1"/>
      <c r="L2568" s="1"/>
      <c r="M2568" s="1"/>
      <c r="N2568" s="1"/>
      <c r="O2568" s="1"/>
      <c r="Q2568"/>
    </row>
    <row r="2569" spans="1:17" ht="13.15" customHeight="1" x14ac:dyDescent="0.2">
      <c r="A2569" s="1" t="s">
        <v>6645</v>
      </c>
      <c r="B2569" s="1" t="s">
        <v>6576</v>
      </c>
      <c r="C2569" s="580">
        <v>31</v>
      </c>
      <c r="D2569" s="1">
        <v>231</v>
      </c>
      <c r="E2569" t="s">
        <v>6576</v>
      </c>
      <c r="F2569" t="s">
        <v>6646</v>
      </c>
      <c r="G2569" s="580">
        <v>75</v>
      </c>
      <c r="H2569" s="1" t="s">
        <v>6647</v>
      </c>
      <c r="I2569" s="1"/>
      <c r="J2569" s="1"/>
      <c r="K2569" s="1"/>
      <c r="L2569" s="1"/>
      <c r="M2569" s="1"/>
      <c r="N2569" s="1"/>
      <c r="O2569" s="1"/>
      <c r="Q2569"/>
    </row>
    <row r="2570" spans="1:17" ht="13.15" customHeight="1" x14ac:dyDescent="0.2">
      <c r="A2570" s="1" t="s">
        <v>6648</v>
      </c>
      <c r="B2570" s="1" t="s">
        <v>6576</v>
      </c>
      <c r="C2570" s="580">
        <v>32</v>
      </c>
      <c r="D2570" s="1">
        <v>213.68</v>
      </c>
      <c r="E2570" t="s">
        <v>6576</v>
      </c>
      <c r="F2570" t="s">
        <v>6649</v>
      </c>
      <c r="G2570" s="580">
        <v>62.6</v>
      </c>
      <c r="H2570" s="1" t="s">
        <v>6650</v>
      </c>
      <c r="I2570" s="1"/>
      <c r="J2570" s="1"/>
      <c r="K2570" s="1"/>
      <c r="L2570" s="1"/>
      <c r="M2570" s="1"/>
      <c r="N2570" s="1"/>
      <c r="O2570" s="1"/>
      <c r="Q2570"/>
    </row>
    <row r="2571" spans="1:17" ht="13.15" customHeight="1" x14ac:dyDescent="0.2">
      <c r="A2571" s="1" t="s">
        <v>6651</v>
      </c>
      <c r="B2571" s="1" t="s">
        <v>6576</v>
      </c>
      <c r="C2571" s="580">
        <v>33</v>
      </c>
      <c r="D2571" s="1">
        <v>379.5</v>
      </c>
      <c r="E2571" t="s">
        <v>6576</v>
      </c>
      <c r="F2571" t="s">
        <v>6652</v>
      </c>
      <c r="G2571" s="580">
        <v>105</v>
      </c>
      <c r="H2571" s="1" t="s">
        <v>6653</v>
      </c>
      <c r="I2571" s="1"/>
      <c r="J2571" s="1"/>
      <c r="K2571" s="1"/>
      <c r="L2571" s="1"/>
      <c r="M2571" s="1"/>
      <c r="N2571" s="1"/>
      <c r="O2571" s="1"/>
      <c r="Q2571"/>
    </row>
    <row r="2572" spans="1:17" ht="13.15" customHeight="1" x14ac:dyDescent="0.2">
      <c r="A2572" s="1" t="s">
        <v>6654</v>
      </c>
      <c r="B2572" s="1" t="s">
        <v>6576</v>
      </c>
      <c r="C2572" s="580">
        <v>34</v>
      </c>
      <c r="D2572" s="1">
        <v>474.38</v>
      </c>
      <c r="E2572" t="s">
        <v>6576</v>
      </c>
      <c r="F2572" t="s">
        <v>6655</v>
      </c>
      <c r="G2572" s="580">
        <v>112</v>
      </c>
      <c r="H2572" s="1" t="s">
        <v>6656</v>
      </c>
      <c r="I2572" s="1"/>
      <c r="J2572" s="1"/>
      <c r="K2572" s="1"/>
      <c r="L2572" s="1"/>
      <c r="M2572" s="1"/>
      <c r="N2572" s="1"/>
      <c r="O2572" s="1"/>
      <c r="Q2572"/>
    </row>
    <row r="2573" spans="1:17" ht="13.15" customHeight="1" x14ac:dyDescent="0.2">
      <c r="A2573" s="1" t="s">
        <v>6657</v>
      </c>
      <c r="B2573" s="1" t="s">
        <v>6576</v>
      </c>
      <c r="C2573" s="580">
        <v>35</v>
      </c>
      <c r="D2573" s="1">
        <v>107.25</v>
      </c>
      <c r="E2573" t="s">
        <v>6576</v>
      </c>
      <c r="F2573" t="s">
        <v>6658</v>
      </c>
      <c r="G2573" s="580">
        <v>33.527000000000001</v>
      </c>
      <c r="H2573" s="1" t="s">
        <v>6659</v>
      </c>
      <c r="I2573" s="1"/>
      <c r="J2573" s="1"/>
      <c r="K2573" s="1"/>
      <c r="L2573" s="1"/>
      <c r="M2573" s="1"/>
      <c r="N2573" s="1"/>
      <c r="O2573" s="1"/>
      <c r="Q2573"/>
    </row>
    <row r="2574" spans="1:17" ht="13.15" customHeight="1" x14ac:dyDescent="0.2">
      <c r="A2574" s="1" t="s">
        <v>6660</v>
      </c>
      <c r="B2574" s="1" t="s">
        <v>6576</v>
      </c>
      <c r="C2574" s="580">
        <v>36</v>
      </c>
      <c r="D2574" s="1">
        <v>77.97</v>
      </c>
      <c r="E2574" t="s">
        <v>6576</v>
      </c>
      <c r="F2574" t="s">
        <v>6661</v>
      </c>
      <c r="G2574" s="580">
        <v>16.7</v>
      </c>
      <c r="H2574" s="1" t="s">
        <v>6662</v>
      </c>
      <c r="I2574" s="1"/>
      <c r="J2574" s="1"/>
      <c r="K2574" s="1"/>
      <c r="L2574" s="1"/>
      <c r="M2574" s="1"/>
      <c r="N2574" s="1"/>
      <c r="O2574" s="1"/>
      <c r="Q2574"/>
    </row>
    <row r="2575" spans="1:17" ht="13.15" customHeight="1" x14ac:dyDescent="0.2">
      <c r="A2575" s="1" t="s">
        <v>6663</v>
      </c>
      <c r="B2575" s="1" t="s">
        <v>6576</v>
      </c>
      <c r="C2575" s="580">
        <v>37</v>
      </c>
      <c r="D2575" s="1">
        <v>103.95</v>
      </c>
      <c r="E2575" t="s">
        <v>6576</v>
      </c>
      <c r="F2575" t="s">
        <v>6664</v>
      </c>
      <c r="G2575" s="580">
        <v>21.5</v>
      </c>
      <c r="H2575" s="1" t="s">
        <v>6665</v>
      </c>
      <c r="I2575" s="1"/>
      <c r="J2575" s="1"/>
      <c r="K2575" s="1"/>
      <c r="L2575" s="1"/>
      <c r="M2575" s="1"/>
      <c r="N2575" s="1"/>
      <c r="O2575" s="1"/>
      <c r="Q2575"/>
    </row>
    <row r="2576" spans="1:17" ht="13.15" customHeight="1" x14ac:dyDescent="0.2">
      <c r="A2576" s="1" t="s">
        <v>6666</v>
      </c>
      <c r="B2576" s="1" t="s">
        <v>6576</v>
      </c>
      <c r="C2576" s="580">
        <v>38</v>
      </c>
      <c r="D2576" s="1">
        <v>165</v>
      </c>
      <c r="E2576" t="s">
        <v>6576</v>
      </c>
      <c r="F2576" t="s">
        <v>6667</v>
      </c>
      <c r="G2576" s="580">
        <v>39.75</v>
      </c>
      <c r="H2576" s="1" t="s">
        <v>6668</v>
      </c>
      <c r="I2576" s="1"/>
      <c r="J2576" s="1"/>
      <c r="K2576" s="1"/>
      <c r="L2576" s="1"/>
      <c r="M2576" s="1"/>
      <c r="N2576" s="1"/>
      <c r="O2576" s="1"/>
      <c r="Q2576"/>
    </row>
    <row r="2577" spans="1:17" ht="13.15" customHeight="1" x14ac:dyDescent="0.2">
      <c r="A2577" s="1" t="s">
        <v>6669</v>
      </c>
      <c r="B2577" s="1" t="s">
        <v>6576</v>
      </c>
      <c r="C2577" s="580">
        <v>39</v>
      </c>
      <c r="D2577" s="1">
        <v>231</v>
      </c>
      <c r="E2577" t="s">
        <v>6576</v>
      </c>
      <c r="F2577" t="s">
        <v>6670</v>
      </c>
      <c r="G2577" s="580">
        <v>68.694000000000003</v>
      </c>
      <c r="H2577" s="1" t="s">
        <v>6671</v>
      </c>
      <c r="I2577" s="1"/>
      <c r="J2577" s="1"/>
      <c r="K2577" s="1"/>
      <c r="L2577" s="1"/>
      <c r="M2577" s="1"/>
      <c r="N2577" s="1"/>
      <c r="O2577" s="1"/>
      <c r="Q2577"/>
    </row>
    <row r="2578" spans="1:17" ht="13.15" customHeight="1" x14ac:dyDescent="0.2">
      <c r="A2578" s="1" t="s">
        <v>6672</v>
      </c>
      <c r="B2578" s="1" t="s">
        <v>6576</v>
      </c>
      <c r="C2578" s="580">
        <v>40</v>
      </c>
      <c r="D2578" s="1">
        <v>280.5</v>
      </c>
      <c r="E2578" t="s">
        <v>6576</v>
      </c>
      <c r="F2578" t="s">
        <v>6673</v>
      </c>
      <c r="G2578" s="580">
        <v>55.8</v>
      </c>
      <c r="H2578" s="1" t="s">
        <v>6674</v>
      </c>
      <c r="I2578" s="1"/>
      <c r="J2578" s="1"/>
      <c r="K2578" s="1"/>
      <c r="L2578" s="1"/>
      <c r="M2578" s="1"/>
      <c r="N2578" s="1"/>
      <c r="O2578" s="1"/>
      <c r="Q2578"/>
    </row>
    <row r="2579" spans="1:17" ht="13.15" customHeight="1" x14ac:dyDescent="0.2">
      <c r="A2579" s="1" t="s">
        <v>6675</v>
      </c>
      <c r="B2579" s="1" t="s">
        <v>6576</v>
      </c>
      <c r="C2579" s="580">
        <v>41</v>
      </c>
      <c r="D2579" s="1">
        <v>408.38</v>
      </c>
      <c r="E2579" t="s">
        <v>6576</v>
      </c>
      <c r="F2579" t="s">
        <v>6676</v>
      </c>
      <c r="G2579" s="580">
        <v>101.8961</v>
      </c>
      <c r="H2579" s="1" t="s">
        <v>6677</v>
      </c>
      <c r="I2579" s="1"/>
      <c r="J2579" s="1"/>
      <c r="K2579" s="1"/>
      <c r="L2579" s="1"/>
      <c r="M2579" s="1"/>
      <c r="N2579" s="1"/>
      <c r="O2579" s="1"/>
      <c r="Q2579"/>
    </row>
    <row r="2580" spans="1:17" ht="13.15" customHeight="1" x14ac:dyDescent="0.2">
      <c r="A2580" s="1" t="s">
        <v>6678</v>
      </c>
      <c r="B2580" s="1" t="s">
        <v>6576</v>
      </c>
      <c r="C2580" s="580">
        <v>42</v>
      </c>
      <c r="D2580" s="1">
        <v>490.88</v>
      </c>
      <c r="E2580" t="s">
        <v>6576</v>
      </c>
      <c r="F2580" t="s">
        <v>6679</v>
      </c>
      <c r="G2580" s="580">
        <v>88</v>
      </c>
      <c r="H2580" s="1" t="s">
        <v>6680</v>
      </c>
      <c r="I2580" s="1"/>
      <c r="J2580" s="1"/>
      <c r="K2580" s="1"/>
      <c r="L2580" s="1"/>
      <c r="M2580" s="1"/>
      <c r="N2580" s="1"/>
      <c r="O2580" s="1"/>
      <c r="Q2580"/>
    </row>
    <row r="2581" spans="1:17" ht="13.15" customHeight="1" x14ac:dyDescent="0.2">
      <c r="A2581" s="1" t="s">
        <v>6681</v>
      </c>
      <c r="B2581" s="1" t="s">
        <v>6576</v>
      </c>
      <c r="C2581" s="580">
        <v>44</v>
      </c>
      <c r="D2581" s="1">
        <v>99.33</v>
      </c>
      <c r="E2581" t="s">
        <v>6576</v>
      </c>
      <c r="F2581" t="s">
        <v>6682</v>
      </c>
      <c r="G2581" s="580">
        <v>19.399999999999999</v>
      </c>
      <c r="H2581" s="1" t="s">
        <v>6683</v>
      </c>
      <c r="I2581" s="1"/>
      <c r="J2581" s="1"/>
      <c r="K2581" s="1"/>
      <c r="L2581" s="1"/>
      <c r="M2581" s="1"/>
      <c r="N2581" s="1"/>
      <c r="O2581" s="1"/>
      <c r="Q2581"/>
    </row>
    <row r="2582" spans="1:17" ht="13.15" customHeight="1" x14ac:dyDescent="0.2">
      <c r="A2582" s="1" t="s">
        <v>6684</v>
      </c>
      <c r="B2582" s="1" t="s">
        <v>6576</v>
      </c>
      <c r="C2582" s="580">
        <v>45</v>
      </c>
      <c r="D2582" s="1">
        <v>181.5</v>
      </c>
      <c r="E2582" t="s">
        <v>6576</v>
      </c>
      <c r="F2582" t="s">
        <v>6685</v>
      </c>
      <c r="G2582" s="580">
        <v>68.400000000000006</v>
      </c>
      <c r="H2582" s="1" t="s">
        <v>6686</v>
      </c>
      <c r="I2582" s="1"/>
      <c r="J2582" s="1"/>
      <c r="K2582" s="1"/>
      <c r="L2582" s="1"/>
      <c r="M2582" s="1"/>
      <c r="N2582" s="1"/>
      <c r="O2582" s="1"/>
      <c r="Q2582"/>
    </row>
    <row r="2583" spans="1:17" ht="13.15" customHeight="1" x14ac:dyDescent="0.2">
      <c r="A2583" s="1" t="s">
        <v>6687</v>
      </c>
      <c r="B2583" s="1" t="s">
        <v>6576</v>
      </c>
      <c r="C2583" s="580">
        <v>46</v>
      </c>
      <c r="D2583" s="1">
        <v>136.13</v>
      </c>
      <c r="E2583" t="s">
        <v>6576</v>
      </c>
      <c r="F2583" t="s">
        <v>6688</v>
      </c>
      <c r="G2583" s="580">
        <v>35.799999999999997</v>
      </c>
      <c r="H2583" s="1" t="s">
        <v>6689</v>
      </c>
      <c r="I2583" s="1"/>
      <c r="J2583" s="1"/>
      <c r="K2583" s="1"/>
      <c r="L2583" s="1"/>
      <c r="M2583" s="1"/>
      <c r="N2583" s="1"/>
      <c r="O2583" s="1"/>
      <c r="Q2583"/>
    </row>
    <row r="2584" spans="1:17" ht="13.15" customHeight="1" x14ac:dyDescent="0.2">
      <c r="A2584" s="1" t="s">
        <v>6690</v>
      </c>
      <c r="B2584" s="1" t="s">
        <v>6576</v>
      </c>
      <c r="C2584" s="580">
        <v>47</v>
      </c>
      <c r="D2584" s="1">
        <v>148.5</v>
      </c>
      <c r="E2584" t="s">
        <v>6576</v>
      </c>
      <c r="F2584" t="s">
        <v>6691</v>
      </c>
      <c r="G2584" s="580">
        <v>27.477599999999999</v>
      </c>
      <c r="H2584" s="1" t="s">
        <v>6692</v>
      </c>
      <c r="I2584" s="1"/>
      <c r="J2584" s="1"/>
      <c r="K2584" s="1"/>
      <c r="L2584" s="1"/>
      <c r="M2584" s="1"/>
      <c r="N2584" s="1"/>
      <c r="O2584" s="1"/>
      <c r="Q2584"/>
    </row>
    <row r="2585" spans="1:17" ht="13.15" customHeight="1" x14ac:dyDescent="0.2">
      <c r="A2585" s="1" t="s">
        <v>6693</v>
      </c>
      <c r="B2585" s="1" t="s">
        <v>6576</v>
      </c>
      <c r="C2585" s="580">
        <v>48</v>
      </c>
      <c r="D2585" s="1">
        <v>155.93</v>
      </c>
      <c r="E2585" t="s">
        <v>6576</v>
      </c>
      <c r="F2585" t="s">
        <v>6694</v>
      </c>
      <c r="G2585" s="580">
        <v>43</v>
      </c>
      <c r="H2585" s="1" t="s">
        <v>6695</v>
      </c>
      <c r="I2585" s="1"/>
      <c r="J2585" s="1"/>
      <c r="K2585" s="1"/>
      <c r="L2585" s="1"/>
      <c r="M2585" s="1"/>
      <c r="N2585" s="1"/>
      <c r="O2585" s="1"/>
      <c r="Q2585"/>
    </row>
    <row r="2586" spans="1:17" ht="13.15" customHeight="1" x14ac:dyDescent="0.2">
      <c r="A2586" s="1" t="s">
        <v>6696</v>
      </c>
      <c r="B2586" s="1" t="s">
        <v>6576</v>
      </c>
      <c r="C2586" s="580">
        <v>50</v>
      </c>
      <c r="D2586" s="1">
        <v>155.93</v>
      </c>
      <c r="E2586" t="s">
        <v>6576</v>
      </c>
      <c r="F2586" t="s">
        <v>6697</v>
      </c>
      <c r="G2586" s="580">
        <v>33.527000000000001</v>
      </c>
      <c r="H2586" s="1" t="s">
        <v>6698</v>
      </c>
      <c r="I2586" s="1"/>
      <c r="J2586" s="1"/>
      <c r="K2586" s="1"/>
      <c r="L2586" s="1"/>
      <c r="M2586" s="1"/>
      <c r="N2586" s="1"/>
      <c r="O2586" s="1"/>
      <c r="Q2586"/>
    </row>
    <row r="2587" spans="1:17" ht="13.15" customHeight="1" x14ac:dyDescent="0.2">
      <c r="A2587" s="1" t="s">
        <v>6699</v>
      </c>
      <c r="B2587" s="1" t="s">
        <v>6576</v>
      </c>
      <c r="C2587" s="580">
        <v>51</v>
      </c>
      <c r="D2587" s="1">
        <v>164.59</v>
      </c>
      <c r="E2587" t="s">
        <v>6576</v>
      </c>
      <c r="F2587" t="s">
        <v>6700</v>
      </c>
      <c r="G2587" s="580">
        <v>42.3613</v>
      </c>
      <c r="H2587" s="1" t="s">
        <v>6701</v>
      </c>
      <c r="I2587" s="1"/>
      <c r="J2587" s="1"/>
      <c r="K2587" s="1"/>
      <c r="L2587" s="1"/>
      <c r="M2587" s="1"/>
      <c r="N2587" s="1"/>
      <c r="O2587" s="1"/>
      <c r="Q2587"/>
    </row>
    <row r="2588" spans="1:17" ht="13.15" customHeight="1" x14ac:dyDescent="0.2">
      <c r="A2588" s="1" t="s">
        <v>6702</v>
      </c>
      <c r="B2588" s="1" t="s">
        <v>6576</v>
      </c>
      <c r="C2588" s="580">
        <v>52</v>
      </c>
      <c r="D2588" s="1">
        <v>288.75</v>
      </c>
      <c r="E2588" t="s">
        <v>6576</v>
      </c>
      <c r="F2588" t="s">
        <v>6703</v>
      </c>
      <c r="G2588" s="580">
        <v>74.2</v>
      </c>
      <c r="H2588" s="1" t="s">
        <v>6704</v>
      </c>
      <c r="I2588" s="1"/>
      <c r="J2588" s="1"/>
      <c r="K2588" s="1"/>
      <c r="L2588" s="1"/>
      <c r="M2588" s="1"/>
      <c r="N2588" s="1"/>
      <c r="O2588" s="1"/>
      <c r="Q2588"/>
    </row>
    <row r="2589" spans="1:17" ht="13.15" customHeight="1" x14ac:dyDescent="0.2">
      <c r="A2589" s="1" t="s">
        <v>6705</v>
      </c>
      <c r="B2589" s="1" t="s">
        <v>6576</v>
      </c>
      <c r="C2589" s="580">
        <v>53</v>
      </c>
      <c r="D2589" s="1">
        <v>288.75</v>
      </c>
      <c r="E2589" t="s">
        <v>6576</v>
      </c>
      <c r="F2589" t="s">
        <v>6706</v>
      </c>
      <c r="G2589" s="580">
        <v>56.100099999999998</v>
      </c>
      <c r="H2589" s="1" t="s">
        <v>6707</v>
      </c>
      <c r="I2589" s="1"/>
      <c r="J2589" s="1"/>
      <c r="K2589" s="1"/>
      <c r="L2589" s="1"/>
      <c r="M2589" s="1"/>
      <c r="N2589" s="1"/>
      <c r="O2589" s="1"/>
      <c r="Q2589"/>
    </row>
    <row r="2590" spans="1:17" ht="13.15" customHeight="1" x14ac:dyDescent="0.2">
      <c r="A2590" s="1" t="s">
        <v>6708</v>
      </c>
      <c r="B2590" s="1" t="s">
        <v>6576</v>
      </c>
      <c r="C2590" s="580">
        <v>54</v>
      </c>
      <c r="D2590" s="1">
        <v>254.1</v>
      </c>
      <c r="E2590" t="s">
        <v>6576</v>
      </c>
      <c r="F2590" t="s">
        <v>6709</v>
      </c>
      <c r="G2590" s="580">
        <v>74.418499999999995</v>
      </c>
      <c r="H2590" s="1" t="s">
        <v>6710</v>
      </c>
      <c r="I2590" s="1"/>
      <c r="J2590" s="1"/>
      <c r="K2590" s="1"/>
      <c r="L2590" s="1"/>
      <c r="M2590" s="1"/>
      <c r="N2590" s="1"/>
      <c r="O2590" s="1"/>
      <c r="Q2590"/>
    </row>
    <row r="2591" spans="1:17" ht="13.15" customHeight="1" x14ac:dyDescent="0.2">
      <c r="A2591" s="1" t="s">
        <v>6711</v>
      </c>
      <c r="B2591" s="1" t="s">
        <v>6576</v>
      </c>
      <c r="C2591" s="580">
        <v>60</v>
      </c>
      <c r="D2591" s="1">
        <v>1357.13</v>
      </c>
      <c r="E2591" t="s">
        <v>6576</v>
      </c>
      <c r="F2591" t="s">
        <v>6712</v>
      </c>
      <c r="G2591" s="580">
        <v>235</v>
      </c>
      <c r="H2591" s="1" t="s">
        <v>6713</v>
      </c>
      <c r="I2591" s="1"/>
      <c r="J2591" s="1"/>
      <c r="K2591" s="1"/>
      <c r="L2591" s="1"/>
      <c r="M2591" s="1"/>
      <c r="N2591" s="1"/>
      <c r="O2591" s="1"/>
      <c r="Q2591"/>
    </row>
    <row r="2592" spans="1:17" ht="13.15" customHeight="1" x14ac:dyDescent="0.2">
      <c r="A2592" s="1" t="s">
        <v>6714</v>
      </c>
      <c r="B2592" s="1" t="s">
        <v>6576</v>
      </c>
      <c r="C2592" s="580">
        <v>61</v>
      </c>
      <c r="D2592" s="1">
        <v>1608.75</v>
      </c>
      <c r="E2592" t="s">
        <v>6576</v>
      </c>
      <c r="F2592" t="s">
        <v>6715</v>
      </c>
      <c r="G2592" s="580">
        <v>275</v>
      </c>
      <c r="H2592" s="1" t="s">
        <v>6716</v>
      </c>
      <c r="I2592" s="1"/>
      <c r="J2592" s="1"/>
      <c r="K2592" s="1"/>
      <c r="L2592" s="1"/>
      <c r="M2592" s="1"/>
      <c r="N2592" s="1"/>
      <c r="O2592" s="1"/>
      <c r="Q2592"/>
    </row>
    <row r="2593" spans="1:17" ht="13.15" customHeight="1" x14ac:dyDescent="0.2">
      <c r="A2593" s="1" t="s">
        <v>6717</v>
      </c>
      <c r="B2593" s="1" t="s">
        <v>6576</v>
      </c>
      <c r="C2593" s="580">
        <v>63</v>
      </c>
      <c r="D2593" s="1">
        <v>1460.25</v>
      </c>
      <c r="E2593" t="s">
        <v>6576</v>
      </c>
      <c r="F2593" t="s">
        <v>6718</v>
      </c>
      <c r="G2593" s="580">
        <v>297.67399999999998</v>
      </c>
      <c r="H2593" s="1" t="s">
        <v>6719</v>
      </c>
      <c r="I2593" s="1"/>
      <c r="J2593" s="1"/>
      <c r="K2593" s="1"/>
      <c r="L2593" s="1"/>
      <c r="M2593" s="1"/>
      <c r="N2593" s="1"/>
      <c r="O2593" s="1"/>
      <c r="Q2593"/>
    </row>
    <row r="2594" spans="1:17" ht="13.15" customHeight="1" x14ac:dyDescent="0.2">
      <c r="A2594" s="1" t="s">
        <v>6720</v>
      </c>
      <c r="B2594" s="1" t="s">
        <v>6576</v>
      </c>
      <c r="C2594" s="580">
        <v>64</v>
      </c>
      <c r="D2594" s="1">
        <v>1307.6300000000001</v>
      </c>
      <c r="E2594" t="s">
        <v>6576</v>
      </c>
      <c r="F2594" t="s">
        <v>6721</v>
      </c>
      <c r="G2594" s="580">
        <v>257.60250000000002</v>
      </c>
      <c r="H2594" s="1" t="s">
        <v>6722</v>
      </c>
      <c r="I2594" s="1"/>
      <c r="J2594" s="1"/>
      <c r="K2594" s="1"/>
      <c r="L2594" s="1"/>
      <c r="M2594" s="1"/>
      <c r="N2594" s="1"/>
      <c r="O2594" s="1"/>
      <c r="Q2594"/>
    </row>
    <row r="2595" spans="1:17" ht="13.15" customHeight="1" x14ac:dyDescent="0.2">
      <c r="A2595" s="1" t="s">
        <v>6723</v>
      </c>
      <c r="B2595" s="1" t="s">
        <v>6576</v>
      </c>
      <c r="C2595" s="580">
        <v>65</v>
      </c>
      <c r="D2595" s="1">
        <v>1621.13</v>
      </c>
      <c r="E2595" t="s">
        <v>6576</v>
      </c>
      <c r="F2595" t="s">
        <v>6724</v>
      </c>
      <c r="G2595" s="580">
        <v>337.74549999999999</v>
      </c>
      <c r="H2595" s="1" t="s">
        <v>6725</v>
      </c>
      <c r="I2595" s="1"/>
      <c r="J2595" s="1"/>
      <c r="K2595" s="1"/>
      <c r="L2595" s="1"/>
      <c r="M2595" s="1"/>
      <c r="N2595" s="1"/>
      <c r="O2595" s="1"/>
      <c r="Q2595"/>
    </row>
    <row r="2596" spans="1:17" ht="13.15" customHeight="1" x14ac:dyDescent="0.2">
      <c r="A2596" s="1" t="s">
        <v>6726</v>
      </c>
      <c r="B2596" s="1" t="s">
        <v>6576</v>
      </c>
      <c r="C2596" s="580">
        <v>66</v>
      </c>
      <c r="D2596" s="1">
        <v>1914</v>
      </c>
      <c r="E2596" t="s">
        <v>6576</v>
      </c>
      <c r="F2596" t="s">
        <v>6727</v>
      </c>
      <c r="G2596" s="580">
        <v>275</v>
      </c>
      <c r="H2596" s="1" t="s">
        <v>6728</v>
      </c>
      <c r="I2596" s="1"/>
      <c r="J2596" s="1"/>
      <c r="K2596" s="1"/>
      <c r="L2596" s="1"/>
      <c r="M2596" s="1"/>
      <c r="N2596" s="1"/>
      <c r="O2596" s="1"/>
      <c r="Q2596"/>
    </row>
    <row r="2597" spans="1:17" ht="13.15" customHeight="1" x14ac:dyDescent="0.2">
      <c r="A2597" s="1" t="s">
        <v>6729</v>
      </c>
      <c r="B2597" s="1" t="s">
        <v>6576</v>
      </c>
      <c r="C2597" s="580">
        <v>70</v>
      </c>
      <c r="D2597" s="1">
        <v>1258.1300000000001</v>
      </c>
      <c r="E2597" t="s">
        <v>6576</v>
      </c>
      <c r="F2597" t="s">
        <v>6730</v>
      </c>
      <c r="G2597" s="580">
        <v>251.87799999999999</v>
      </c>
      <c r="H2597" s="1" t="s">
        <v>6731</v>
      </c>
      <c r="I2597" s="1"/>
      <c r="J2597" s="1"/>
      <c r="K2597" s="1"/>
      <c r="L2597" s="1"/>
      <c r="M2597" s="1"/>
      <c r="N2597" s="1"/>
      <c r="O2597" s="1"/>
      <c r="Q2597"/>
    </row>
    <row r="2598" spans="1:17" ht="13.15" customHeight="1" x14ac:dyDescent="0.2">
      <c r="A2598" s="1" t="s">
        <v>6732</v>
      </c>
      <c r="B2598" s="1" t="s">
        <v>6576</v>
      </c>
      <c r="C2598" s="580">
        <v>71</v>
      </c>
      <c r="D2598" s="1">
        <v>1410.75</v>
      </c>
      <c r="E2598" t="s">
        <v>6576</v>
      </c>
      <c r="F2598" t="s">
        <v>6733</v>
      </c>
      <c r="G2598" s="580">
        <v>240.429</v>
      </c>
      <c r="H2598" s="1" t="s">
        <v>6734</v>
      </c>
      <c r="I2598" s="1"/>
      <c r="J2598" s="1"/>
      <c r="K2598" s="1"/>
      <c r="L2598" s="1"/>
      <c r="M2598" s="1"/>
      <c r="N2598" s="1"/>
      <c r="O2598" s="1"/>
      <c r="Q2598"/>
    </row>
    <row r="2599" spans="1:17" ht="13.15" customHeight="1" x14ac:dyDescent="0.2">
      <c r="A2599" s="1" t="s">
        <v>6735</v>
      </c>
      <c r="B2599" s="1" t="s">
        <v>6576</v>
      </c>
      <c r="C2599" s="580">
        <v>72</v>
      </c>
      <c r="D2599" s="1">
        <v>1367.3</v>
      </c>
      <c r="E2599" t="s">
        <v>6576</v>
      </c>
      <c r="F2599" t="s">
        <v>6736</v>
      </c>
      <c r="G2599" s="580">
        <v>729.6</v>
      </c>
      <c r="H2599" s="1" t="s">
        <v>6737</v>
      </c>
      <c r="I2599" s="1"/>
      <c r="J2599" s="1"/>
      <c r="K2599" s="1"/>
      <c r="L2599" s="1"/>
      <c r="M2599" s="1"/>
      <c r="N2599" s="1"/>
      <c r="O2599" s="1"/>
      <c r="Q2599"/>
    </row>
    <row r="2600" spans="1:17" ht="13.15" customHeight="1" x14ac:dyDescent="0.2">
      <c r="A2600" s="1" t="s">
        <v>6738</v>
      </c>
      <c r="B2600" s="1" t="s">
        <v>6576</v>
      </c>
      <c r="C2600" s="580">
        <v>75</v>
      </c>
      <c r="D2600" s="1">
        <v>742.5</v>
      </c>
      <c r="E2600" t="s">
        <v>6576</v>
      </c>
      <c r="F2600" t="s">
        <v>6739</v>
      </c>
      <c r="G2600" s="580">
        <v>282</v>
      </c>
      <c r="H2600" s="1" t="s">
        <v>6740</v>
      </c>
      <c r="I2600" s="1"/>
      <c r="J2600" s="1"/>
      <c r="K2600" s="1"/>
      <c r="L2600" s="1"/>
      <c r="M2600" s="1"/>
      <c r="N2600" s="1"/>
      <c r="O2600" s="1"/>
      <c r="Q2600"/>
    </row>
    <row r="2601" spans="1:17" ht="13.15" customHeight="1" x14ac:dyDescent="0.2">
      <c r="A2601" s="1" t="s">
        <v>6741</v>
      </c>
      <c r="B2601" s="1" t="s">
        <v>6576</v>
      </c>
      <c r="C2601" s="580">
        <v>76</v>
      </c>
      <c r="D2601" s="1">
        <v>1072.5</v>
      </c>
      <c r="E2601" t="s">
        <v>6576</v>
      </c>
      <c r="F2601" t="s">
        <v>6742</v>
      </c>
      <c r="G2601" s="580">
        <v>424</v>
      </c>
      <c r="H2601" s="1" t="s">
        <v>6743</v>
      </c>
      <c r="I2601" s="1"/>
      <c r="J2601" s="1"/>
      <c r="K2601" s="1"/>
      <c r="L2601" s="1"/>
      <c r="M2601" s="1"/>
      <c r="N2601" s="1"/>
      <c r="O2601" s="1"/>
      <c r="Q2601"/>
    </row>
    <row r="2602" spans="1:17" ht="13.15" customHeight="1" x14ac:dyDescent="0.2">
      <c r="A2602" s="1" t="s">
        <v>6744</v>
      </c>
      <c r="B2602" s="1" t="s">
        <v>6576</v>
      </c>
      <c r="C2602" s="580">
        <v>77</v>
      </c>
      <c r="D2602" s="1">
        <v>1402.5</v>
      </c>
      <c r="E2602" t="s">
        <v>6576</v>
      </c>
      <c r="F2602" t="s">
        <v>6745</v>
      </c>
      <c r="G2602" s="580">
        <v>529</v>
      </c>
      <c r="H2602" s="1" t="s">
        <v>6746</v>
      </c>
      <c r="I2602" s="1"/>
      <c r="J2602" s="1"/>
      <c r="K2602" s="1"/>
      <c r="L2602" s="1"/>
      <c r="M2602" s="1"/>
      <c r="N2602" s="1"/>
      <c r="O2602" s="1"/>
      <c r="Q2602"/>
    </row>
    <row r="2603" spans="1:17" ht="13.15" customHeight="1" x14ac:dyDescent="0.2">
      <c r="A2603" s="1" t="s">
        <v>6747</v>
      </c>
      <c r="B2603" s="1" t="s">
        <v>6576</v>
      </c>
      <c r="C2603" s="580">
        <v>78</v>
      </c>
      <c r="D2603" s="1">
        <v>1815</v>
      </c>
      <c r="E2603" t="s">
        <v>6576</v>
      </c>
      <c r="F2603" t="s">
        <v>6748</v>
      </c>
      <c r="G2603" s="580">
        <v>660</v>
      </c>
      <c r="H2603" s="1" t="s">
        <v>6749</v>
      </c>
      <c r="I2603" s="1"/>
      <c r="J2603" s="1"/>
      <c r="K2603" s="1"/>
      <c r="L2603" s="1"/>
      <c r="M2603" s="1"/>
      <c r="N2603" s="1"/>
      <c r="O2603" s="1"/>
      <c r="Q2603"/>
    </row>
    <row r="2604" spans="1:17" ht="13.15" customHeight="1" x14ac:dyDescent="0.2">
      <c r="A2604" s="1" t="s">
        <v>6750</v>
      </c>
      <c r="B2604" s="1" t="s">
        <v>6576</v>
      </c>
      <c r="C2604" s="580">
        <v>120</v>
      </c>
      <c r="D2604" s="1">
        <v>297</v>
      </c>
      <c r="E2604" t="s">
        <v>6576</v>
      </c>
      <c r="F2604" t="s">
        <v>6751</v>
      </c>
      <c r="G2604" s="580">
        <v>112</v>
      </c>
      <c r="H2604" s="1" t="s">
        <v>6752</v>
      </c>
      <c r="I2604" s="1"/>
      <c r="J2604" s="1"/>
      <c r="K2604" s="1"/>
      <c r="L2604" s="1"/>
      <c r="M2604" s="1"/>
      <c r="N2604" s="1"/>
      <c r="O2604" s="1"/>
      <c r="Q2604"/>
    </row>
    <row r="2605" spans="1:17" ht="13.15" customHeight="1" x14ac:dyDescent="0.2">
      <c r="A2605" s="1" t="s">
        <v>6753</v>
      </c>
      <c r="B2605" s="1" t="s">
        <v>6576</v>
      </c>
      <c r="C2605" s="580">
        <v>121</v>
      </c>
      <c r="D2605" s="1">
        <v>338.25</v>
      </c>
      <c r="E2605" t="s">
        <v>6576</v>
      </c>
      <c r="F2605" t="s">
        <v>6754</v>
      </c>
      <c r="G2605" s="580">
        <v>132</v>
      </c>
      <c r="H2605" s="1" t="s">
        <v>6755</v>
      </c>
      <c r="I2605" s="1"/>
      <c r="J2605" s="1"/>
      <c r="K2605" s="1"/>
      <c r="L2605" s="1"/>
      <c r="M2605" s="1"/>
      <c r="N2605" s="1"/>
      <c r="O2605" s="1"/>
      <c r="Q2605"/>
    </row>
    <row r="2606" spans="1:17" ht="13.15" customHeight="1" x14ac:dyDescent="0.2">
      <c r="A2606" s="1" t="s">
        <v>6756</v>
      </c>
      <c r="B2606" s="1" t="s">
        <v>6576</v>
      </c>
      <c r="C2606" s="580">
        <v>122</v>
      </c>
      <c r="D2606" s="1">
        <v>371.25</v>
      </c>
      <c r="E2606" t="s">
        <v>6576</v>
      </c>
      <c r="F2606" t="s">
        <v>6757</v>
      </c>
      <c r="G2606" s="580">
        <v>150</v>
      </c>
      <c r="H2606" s="1" t="s">
        <v>6758</v>
      </c>
      <c r="I2606" s="1"/>
      <c r="J2606" s="1"/>
      <c r="K2606" s="1"/>
      <c r="L2606" s="1"/>
      <c r="M2606" s="1"/>
      <c r="N2606" s="1"/>
      <c r="O2606" s="1"/>
      <c r="Q2606"/>
    </row>
    <row r="2607" spans="1:17" ht="13.15" customHeight="1" x14ac:dyDescent="0.2">
      <c r="A2607" s="1" t="s">
        <v>6759</v>
      </c>
      <c r="B2607" s="1" t="s">
        <v>6576</v>
      </c>
      <c r="C2607" s="580">
        <v>123</v>
      </c>
      <c r="D2607" s="1">
        <v>412.5</v>
      </c>
      <c r="E2607" t="s">
        <v>6576</v>
      </c>
      <c r="F2607" t="s">
        <v>6760</v>
      </c>
      <c r="G2607" s="580">
        <v>167</v>
      </c>
      <c r="H2607" s="1" t="s">
        <v>6761</v>
      </c>
      <c r="I2607" s="1"/>
      <c r="J2607" s="1"/>
      <c r="K2607" s="1"/>
      <c r="L2607" s="1"/>
      <c r="M2607" s="1"/>
      <c r="N2607" s="1"/>
      <c r="O2607" s="1"/>
      <c r="Q2607"/>
    </row>
    <row r="2608" spans="1:17" ht="13.15" customHeight="1" x14ac:dyDescent="0.2">
      <c r="A2608" s="1" t="s">
        <v>6762</v>
      </c>
      <c r="B2608" s="1" t="s">
        <v>6576</v>
      </c>
      <c r="C2608" s="580">
        <v>124</v>
      </c>
      <c r="D2608" s="1">
        <v>495</v>
      </c>
      <c r="E2608" t="s">
        <v>6576</v>
      </c>
      <c r="F2608" t="s">
        <v>6763</v>
      </c>
      <c r="G2608" s="580">
        <v>195</v>
      </c>
      <c r="H2608" s="1" t="s">
        <v>6764</v>
      </c>
      <c r="I2608" s="1"/>
      <c r="J2608" s="1"/>
      <c r="K2608" s="1"/>
      <c r="L2608" s="1"/>
      <c r="M2608" s="1"/>
      <c r="N2608" s="1"/>
      <c r="O2608" s="1"/>
      <c r="Q2608"/>
    </row>
    <row r="2609" spans="1:17" ht="13.15" customHeight="1" x14ac:dyDescent="0.2">
      <c r="A2609" s="1" t="s">
        <v>6765</v>
      </c>
      <c r="B2609" s="1" t="s">
        <v>6576</v>
      </c>
      <c r="C2609" s="580">
        <v>125</v>
      </c>
      <c r="D2609" s="1">
        <v>643.5</v>
      </c>
      <c r="E2609" t="s">
        <v>6576</v>
      </c>
      <c r="F2609" t="s">
        <v>6766</v>
      </c>
      <c r="G2609" s="580">
        <v>235</v>
      </c>
      <c r="H2609" s="1" t="s">
        <v>6767</v>
      </c>
      <c r="I2609" s="1"/>
      <c r="J2609" s="1"/>
      <c r="K2609" s="1"/>
      <c r="L2609" s="1"/>
      <c r="M2609" s="1"/>
      <c r="N2609" s="1"/>
      <c r="O2609" s="1"/>
      <c r="Q2609"/>
    </row>
    <row r="2610" spans="1:17" ht="13.15" customHeight="1" x14ac:dyDescent="0.2">
      <c r="A2610" s="1" t="s">
        <v>6768</v>
      </c>
      <c r="B2610" s="1" t="s">
        <v>6576</v>
      </c>
      <c r="C2610" s="580">
        <v>80</v>
      </c>
      <c r="D2610" s="1">
        <v>92.44</v>
      </c>
      <c r="E2610" t="s">
        <v>6576</v>
      </c>
      <c r="F2610">
        <v>0</v>
      </c>
      <c r="G2610" s="580">
        <v>0</v>
      </c>
      <c r="H2610" s="1" t="s">
        <v>6769</v>
      </c>
      <c r="I2610" s="1"/>
      <c r="J2610" s="1"/>
      <c r="K2610" s="1"/>
      <c r="L2610" s="1"/>
      <c r="M2610" s="1"/>
      <c r="N2610" s="1"/>
      <c r="O2610" s="1"/>
      <c r="Q2610"/>
    </row>
    <row r="2611" spans="1:17" ht="13.15" customHeight="1" x14ac:dyDescent="0.2">
      <c r="A2611" s="1" t="s">
        <v>6770</v>
      </c>
      <c r="B2611" s="1" t="s">
        <v>6576</v>
      </c>
      <c r="C2611" s="580">
        <v>81</v>
      </c>
      <c r="D2611" s="1">
        <v>77.64</v>
      </c>
      <c r="E2611" t="s">
        <v>6576</v>
      </c>
      <c r="F2611">
        <v>0</v>
      </c>
      <c r="G2611" s="580">
        <v>0</v>
      </c>
      <c r="H2611" s="1" t="s">
        <v>6771</v>
      </c>
      <c r="I2611" s="1"/>
      <c r="J2611" s="1"/>
      <c r="K2611" s="1"/>
      <c r="L2611" s="1"/>
      <c r="M2611" s="1"/>
      <c r="N2611" s="1"/>
      <c r="O2611" s="1"/>
      <c r="Q2611"/>
    </row>
    <row r="2612" spans="1:17" ht="13.15" customHeight="1" x14ac:dyDescent="0.2">
      <c r="A2612" s="1" t="s">
        <v>6772</v>
      </c>
      <c r="B2612" s="1" t="s">
        <v>6576</v>
      </c>
      <c r="C2612" s="580">
        <v>82</v>
      </c>
      <c r="D2612" s="1">
        <v>122</v>
      </c>
      <c r="E2612" t="s">
        <v>6576</v>
      </c>
      <c r="F2612">
        <v>0</v>
      </c>
      <c r="G2612" s="580">
        <v>0</v>
      </c>
      <c r="H2612" s="1" t="s">
        <v>6773</v>
      </c>
      <c r="I2612" s="1"/>
      <c r="J2612" s="1"/>
      <c r="K2612" s="1"/>
      <c r="L2612" s="1"/>
      <c r="M2612" s="1"/>
      <c r="N2612" s="1"/>
      <c r="O2612" s="1"/>
      <c r="Q2612"/>
    </row>
    <row r="2613" spans="1:17" ht="13.15" customHeight="1" x14ac:dyDescent="0.2">
      <c r="A2613" s="1" t="s">
        <v>6774</v>
      </c>
      <c r="B2613" s="1" t="s">
        <v>6576</v>
      </c>
      <c r="C2613" s="580">
        <v>83</v>
      </c>
      <c r="D2613" s="1">
        <v>127.56</v>
      </c>
      <c r="E2613" t="s">
        <v>6576</v>
      </c>
      <c r="F2613">
        <v>0</v>
      </c>
      <c r="G2613" s="580">
        <v>0</v>
      </c>
      <c r="H2613" s="1" t="s">
        <v>6775</v>
      </c>
      <c r="I2613" s="1"/>
      <c r="J2613" s="1"/>
      <c r="K2613" s="1"/>
      <c r="L2613" s="1"/>
      <c r="M2613" s="1"/>
      <c r="N2613" s="1"/>
      <c r="O2613" s="1"/>
      <c r="Q2613"/>
    </row>
    <row r="2614" spans="1:17" ht="13.15" customHeight="1" x14ac:dyDescent="0.2">
      <c r="A2614" s="1" t="s">
        <v>6776</v>
      </c>
      <c r="B2614" s="1" t="s">
        <v>6576</v>
      </c>
      <c r="C2614" s="580">
        <v>84</v>
      </c>
      <c r="D2614" s="1">
        <v>158.96</v>
      </c>
      <c r="E2614" t="s">
        <v>6576</v>
      </c>
      <c r="F2614">
        <v>0</v>
      </c>
      <c r="G2614" s="580">
        <v>0</v>
      </c>
      <c r="H2614" s="1" t="s">
        <v>6777</v>
      </c>
      <c r="I2614" s="1"/>
      <c r="J2614" s="1"/>
      <c r="K2614" s="1"/>
      <c r="L2614" s="1"/>
      <c r="M2614" s="1"/>
      <c r="N2614" s="1"/>
      <c r="O2614" s="1"/>
      <c r="Q2614"/>
    </row>
    <row r="2615" spans="1:17" ht="13.15" customHeight="1" x14ac:dyDescent="0.2">
      <c r="A2615" s="1" t="s">
        <v>6778</v>
      </c>
      <c r="B2615" s="1" t="s">
        <v>6576</v>
      </c>
      <c r="C2615" s="580">
        <v>85</v>
      </c>
      <c r="D2615" s="1">
        <v>188.56</v>
      </c>
      <c r="E2615" t="s">
        <v>6576</v>
      </c>
      <c r="F2615">
        <v>0</v>
      </c>
      <c r="G2615" s="580">
        <v>0</v>
      </c>
      <c r="H2615" s="1" t="s">
        <v>6779</v>
      </c>
      <c r="I2615" s="1"/>
      <c r="J2615" s="1"/>
      <c r="K2615" s="1"/>
      <c r="L2615" s="1"/>
      <c r="M2615" s="1"/>
      <c r="N2615" s="1"/>
      <c r="O2615" s="1"/>
      <c r="Q2615"/>
    </row>
    <row r="2616" spans="1:17" ht="13.15" customHeight="1" x14ac:dyDescent="0.2">
      <c r="A2616" s="1" t="s">
        <v>6780</v>
      </c>
      <c r="B2616" s="1" t="s">
        <v>6576</v>
      </c>
      <c r="C2616" s="580">
        <v>86</v>
      </c>
      <c r="D2616" s="1">
        <v>203.36</v>
      </c>
      <c r="E2616" t="s">
        <v>6576</v>
      </c>
      <c r="F2616">
        <v>0</v>
      </c>
      <c r="G2616" s="580">
        <v>0</v>
      </c>
      <c r="H2616" s="1" t="s">
        <v>6781</v>
      </c>
      <c r="I2616" s="1"/>
      <c r="J2616" s="1"/>
      <c r="K2616" s="1"/>
      <c r="L2616" s="1"/>
      <c r="M2616" s="1"/>
      <c r="N2616" s="1"/>
      <c r="O2616" s="1"/>
      <c r="Q2616"/>
    </row>
    <row r="2617" spans="1:17" ht="13.15" customHeight="1" x14ac:dyDescent="0.2">
      <c r="A2617" s="1" t="s">
        <v>6782</v>
      </c>
      <c r="B2617" s="1" t="s">
        <v>6576</v>
      </c>
      <c r="C2617" s="580">
        <v>87</v>
      </c>
      <c r="D2617" s="1">
        <v>580.48</v>
      </c>
      <c r="E2617" t="s">
        <v>6576</v>
      </c>
      <c r="F2617">
        <v>0</v>
      </c>
      <c r="G2617" s="580">
        <v>0</v>
      </c>
      <c r="H2617" s="1" t="s">
        <v>6783</v>
      </c>
      <c r="I2617" s="1"/>
      <c r="J2617" s="1"/>
      <c r="K2617" s="1"/>
      <c r="L2617" s="1"/>
      <c r="M2617" s="1"/>
      <c r="N2617" s="1"/>
      <c r="O2617" s="1"/>
      <c r="Q2617"/>
    </row>
    <row r="2618" spans="1:17" ht="13.15" customHeight="1" x14ac:dyDescent="0.2">
      <c r="A2618" s="1" t="s">
        <v>6784</v>
      </c>
      <c r="B2618" s="1" t="s">
        <v>6576</v>
      </c>
      <c r="C2618" s="580">
        <v>90</v>
      </c>
      <c r="D2618" s="1">
        <v>127.56</v>
      </c>
      <c r="E2618" t="s">
        <v>6576</v>
      </c>
      <c r="F2618">
        <v>0</v>
      </c>
      <c r="G2618" s="580">
        <v>0</v>
      </c>
      <c r="H2618" s="1" t="s">
        <v>6785</v>
      </c>
      <c r="I2618" s="1"/>
      <c r="J2618" s="1"/>
      <c r="K2618" s="1"/>
      <c r="L2618" s="1"/>
      <c r="M2618" s="1"/>
      <c r="N2618" s="1"/>
      <c r="O2618" s="1"/>
      <c r="Q2618"/>
    </row>
    <row r="2619" spans="1:17" ht="13.15" customHeight="1" x14ac:dyDescent="0.2">
      <c r="A2619" s="1" t="s">
        <v>6786</v>
      </c>
      <c r="B2619" s="1" t="s">
        <v>6576</v>
      </c>
      <c r="C2619" s="580">
        <v>91</v>
      </c>
      <c r="D2619" s="1">
        <v>122</v>
      </c>
      <c r="E2619" t="s">
        <v>6576</v>
      </c>
      <c r="F2619">
        <v>0</v>
      </c>
      <c r="G2619" s="580">
        <v>0</v>
      </c>
      <c r="H2619" s="1" t="s">
        <v>6787</v>
      </c>
      <c r="I2619" s="1"/>
      <c r="J2619" s="1"/>
      <c r="K2619" s="1"/>
      <c r="L2619" s="1"/>
      <c r="M2619" s="1"/>
      <c r="N2619" s="1"/>
      <c r="O2619" s="1"/>
      <c r="Q2619"/>
    </row>
    <row r="2620" spans="1:17" ht="13.15" customHeight="1" x14ac:dyDescent="0.2">
      <c r="A2620" s="1" t="s">
        <v>6788</v>
      </c>
      <c r="B2620" s="1" t="s">
        <v>6576</v>
      </c>
      <c r="C2620" s="580">
        <v>92</v>
      </c>
      <c r="D2620" s="1">
        <v>177.48</v>
      </c>
      <c r="E2620" t="s">
        <v>6576</v>
      </c>
      <c r="F2620">
        <v>0</v>
      </c>
      <c r="G2620" s="580">
        <v>0</v>
      </c>
      <c r="H2620" s="1" t="s">
        <v>6789</v>
      </c>
      <c r="I2620" s="1"/>
      <c r="J2620" s="1"/>
      <c r="K2620" s="1"/>
      <c r="L2620" s="1"/>
      <c r="M2620" s="1"/>
      <c r="N2620" s="1"/>
      <c r="O2620" s="1"/>
      <c r="Q2620"/>
    </row>
    <row r="2621" spans="1:17" ht="13.15" customHeight="1" x14ac:dyDescent="0.2">
      <c r="A2621" s="1" t="s">
        <v>6790</v>
      </c>
      <c r="B2621" s="1" t="s">
        <v>6576</v>
      </c>
      <c r="C2621" s="580">
        <v>93</v>
      </c>
      <c r="D2621" s="1">
        <v>166.36</v>
      </c>
      <c r="E2621" t="s">
        <v>6576</v>
      </c>
      <c r="F2621">
        <v>0</v>
      </c>
      <c r="G2621" s="580">
        <v>0</v>
      </c>
      <c r="H2621" s="1" t="s">
        <v>6791</v>
      </c>
      <c r="I2621" s="1"/>
      <c r="J2621" s="1"/>
      <c r="K2621" s="1"/>
      <c r="L2621" s="1"/>
      <c r="M2621" s="1"/>
      <c r="N2621" s="1"/>
      <c r="O2621" s="1"/>
      <c r="Q2621"/>
    </row>
    <row r="2622" spans="1:17" ht="13.15" customHeight="1" x14ac:dyDescent="0.2">
      <c r="A2622" s="1" t="s">
        <v>6792</v>
      </c>
      <c r="B2622" s="1" t="s">
        <v>6576</v>
      </c>
      <c r="C2622" s="580">
        <v>94</v>
      </c>
      <c r="D2622" s="1">
        <v>251.4</v>
      </c>
      <c r="E2622" t="s">
        <v>6576</v>
      </c>
      <c r="F2622">
        <v>0</v>
      </c>
      <c r="G2622" s="580">
        <v>0</v>
      </c>
      <c r="H2622" s="1" t="s">
        <v>6793</v>
      </c>
      <c r="I2622" s="1"/>
      <c r="J2622" s="1"/>
      <c r="K2622" s="1"/>
      <c r="L2622" s="1"/>
      <c r="M2622" s="1"/>
      <c r="N2622" s="1"/>
      <c r="O2622" s="1"/>
      <c r="Q2622"/>
    </row>
    <row r="2623" spans="1:17" ht="13.15" customHeight="1" x14ac:dyDescent="0.2">
      <c r="A2623" s="1" t="s">
        <v>6794</v>
      </c>
      <c r="B2623" s="1" t="s">
        <v>6576</v>
      </c>
      <c r="C2623" s="580">
        <v>95</v>
      </c>
      <c r="D2623" s="1">
        <v>251.4</v>
      </c>
      <c r="E2623" t="s">
        <v>6576</v>
      </c>
      <c r="F2623">
        <v>0</v>
      </c>
      <c r="G2623" s="580">
        <v>0</v>
      </c>
      <c r="H2623" s="1" t="s">
        <v>6795</v>
      </c>
      <c r="I2623" s="1"/>
      <c r="J2623" s="1"/>
      <c r="K2623" s="1"/>
      <c r="L2623" s="1"/>
      <c r="M2623" s="1"/>
      <c r="N2623" s="1"/>
      <c r="O2623" s="1"/>
      <c r="Q2623"/>
    </row>
    <row r="2624" spans="1:17" ht="13.15" customHeight="1" x14ac:dyDescent="0.2">
      <c r="A2624" s="1" t="s">
        <v>6796</v>
      </c>
      <c r="B2624" s="1" t="s">
        <v>6576</v>
      </c>
      <c r="C2624" s="580">
        <v>100</v>
      </c>
      <c r="D2624" s="1">
        <v>77.64</v>
      </c>
      <c r="E2624" t="s">
        <v>6576</v>
      </c>
      <c r="F2624">
        <v>0</v>
      </c>
      <c r="G2624" s="580">
        <v>0</v>
      </c>
      <c r="H2624" s="1" t="s">
        <v>6797</v>
      </c>
      <c r="I2624" s="1"/>
      <c r="J2624" s="1"/>
      <c r="K2624" s="1"/>
      <c r="L2624" s="1"/>
      <c r="M2624" s="1"/>
      <c r="N2624" s="1"/>
      <c r="O2624" s="1"/>
      <c r="Q2624"/>
    </row>
    <row r="2625" spans="1:17" ht="13.15" customHeight="1" x14ac:dyDescent="0.2">
      <c r="A2625" s="1" t="s">
        <v>6798</v>
      </c>
      <c r="B2625" s="1" t="s">
        <v>6576</v>
      </c>
      <c r="C2625" s="580">
        <v>101</v>
      </c>
      <c r="D2625" s="1">
        <v>127.56</v>
      </c>
      <c r="E2625" t="s">
        <v>6576</v>
      </c>
      <c r="F2625">
        <v>0</v>
      </c>
      <c r="G2625" s="580">
        <v>0</v>
      </c>
      <c r="H2625" s="1" t="s">
        <v>6799</v>
      </c>
      <c r="I2625" s="1"/>
      <c r="J2625" s="1"/>
      <c r="K2625" s="1"/>
      <c r="L2625" s="1"/>
      <c r="M2625" s="1"/>
      <c r="N2625" s="1"/>
      <c r="O2625" s="1"/>
      <c r="Q2625"/>
    </row>
    <row r="2626" spans="1:17" ht="13.15" customHeight="1" x14ac:dyDescent="0.2">
      <c r="A2626" s="1" t="s">
        <v>6800</v>
      </c>
      <c r="B2626" s="1" t="s">
        <v>6576</v>
      </c>
      <c r="C2626" s="580">
        <v>102</v>
      </c>
      <c r="D2626" s="1">
        <v>158.96</v>
      </c>
      <c r="E2626" t="s">
        <v>6576</v>
      </c>
      <c r="F2626">
        <v>0</v>
      </c>
      <c r="G2626" s="580">
        <v>0</v>
      </c>
      <c r="H2626" s="1" t="s">
        <v>6801</v>
      </c>
      <c r="I2626" s="1"/>
      <c r="J2626" s="1"/>
      <c r="K2626" s="1"/>
      <c r="L2626" s="1"/>
      <c r="M2626" s="1"/>
      <c r="N2626" s="1"/>
      <c r="O2626" s="1"/>
      <c r="Q2626"/>
    </row>
    <row r="2627" spans="1:17" ht="13.15" customHeight="1" x14ac:dyDescent="0.2">
      <c r="A2627" s="1" t="s">
        <v>6802</v>
      </c>
      <c r="B2627" s="1" t="s">
        <v>6576</v>
      </c>
      <c r="C2627" s="580">
        <v>103</v>
      </c>
      <c r="D2627" s="1">
        <v>188.56</v>
      </c>
      <c r="E2627" t="s">
        <v>6576</v>
      </c>
      <c r="F2627">
        <v>0</v>
      </c>
      <c r="G2627" s="580">
        <v>0</v>
      </c>
      <c r="H2627" s="1" t="s">
        <v>6803</v>
      </c>
      <c r="I2627" s="1"/>
      <c r="J2627" s="1"/>
      <c r="K2627" s="1"/>
      <c r="L2627" s="1"/>
      <c r="M2627" s="1"/>
      <c r="N2627" s="1"/>
      <c r="O2627" s="1"/>
      <c r="Q2627"/>
    </row>
    <row r="2628" spans="1:17" ht="13.15" customHeight="1" x14ac:dyDescent="0.2">
      <c r="A2628" s="1" t="s">
        <v>6804</v>
      </c>
      <c r="B2628" s="1" t="s">
        <v>6576</v>
      </c>
      <c r="C2628" s="580">
        <v>104</v>
      </c>
      <c r="D2628" s="1">
        <v>203.36</v>
      </c>
      <c r="E2628" t="s">
        <v>6576</v>
      </c>
      <c r="F2628">
        <v>0</v>
      </c>
      <c r="G2628" s="580">
        <v>0</v>
      </c>
      <c r="H2628" s="1" t="s">
        <v>6805</v>
      </c>
      <c r="I2628" s="1"/>
      <c r="J2628" s="1"/>
      <c r="K2628" s="1"/>
      <c r="L2628" s="1"/>
      <c r="M2628" s="1"/>
      <c r="N2628" s="1"/>
      <c r="O2628" s="1"/>
      <c r="Q2628"/>
    </row>
    <row r="2629" spans="1:17" ht="13.15" customHeight="1" x14ac:dyDescent="0.2">
      <c r="A2629" s="1" t="s">
        <v>6806</v>
      </c>
      <c r="B2629" s="1" t="s">
        <v>6576</v>
      </c>
      <c r="C2629" s="580">
        <v>108</v>
      </c>
      <c r="D2629" s="1">
        <v>127.56</v>
      </c>
      <c r="E2629" t="s">
        <v>6576</v>
      </c>
      <c r="F2629">
        <v>0</v>
      </c>
      <c r="G2629" s="580">
        <v>0</v>
      </c>
      <c r="H2629" s="1" t="s">
        <v>6807</v>
      </c>
      <c r="I2629" s="1"/>
      <c r="J2629" s="1"/>
      <c r="K2629" s="1"/>
      <c r="L2629" s="1"/>
      <c r="M2629" s="1"/>
      <c r="N2629" s="1"/>
      <c r="O2629" s="1"/>
      <c r="Q2629"/>
    </row>
    <row r="2630" spans="1:17" ht="13.15" customHeight="1" x14ac:dyDescent="0.2">
      <c r="A2630" s="1" t="s">
        <v>6808</v>
      </c>
      <c r="B2630" s="1" t="s">
        <v>6576</v>
      </c>
      <c r="C2630" s="580">
        <v>109</v>
      </c>
      <c r="D2630" s="1">
        <v>177.48</v>
      </c>
      <c r="E2630" t="s">
        <v>6576</v>
      </c>
      <c r="F2630">
        <v>0</v>
      </c>
      <c r="G2630" s="580">
        <v>0</v>
      </c>
      <c r="H2630" s="1" t="s">
        <v>6809</v>
      </c>
      <c r="I2630" s="1"/>
      <c r="J2630" s="1"/>
      <c r="K2630" s="1"/>
      <c r="L2630" s="1"/>
      <c r="M2630" s="1"/>
      <c r="N2630" s="1"/>
      <c r="O2630" s="1"/>
      <c r="Q2630"/>
    </row>
    <row r="2631" spans="1:17" ht="13.15" customHeight="1" x14ac:dyDescent="0.2">
      <c r="A2631" s="1" t="s">
        <v>6810</v>
      </c>
      <c r="B2631" s="1" t="s">
        <v>6576</v>
      </c>
      <c r="C2631" s="580">
        <v>110</v>
      </c>
      <c r="D2631" s="1">
        <v>166.36</v>
      </c>
      <c r="E2631" t="s">
        <v>6576</v>
      </c>
      <c r="F2631">
        <v>0</v>
      </c>
      <c r="G2631" s="580">
        <v>0</v>
      </c>
      <c r="H2631" s="1" t="s">
        <v>6811</v>
      </c>
      <c r="I2631" s="1"/>
      <c r="J2631" s="1"/>
      <c r="K2631" s="1"/>
      <c r="L2631" s="1"/>
      <c r="M2631" s="1"/>
      <c r="N2631" s="1"/>
      <c r="O2631" s="1"/>
      <c r="Q2631"/>
    </row>
    <row r="2632" spans="1:17" ht="13.15" customHeight="1" x14ac:dyDescent="0.2">
      <c r="A2632" s="1" t="s">
        <v>6812</v>
      </c>
      <c r="B2632" s="1" t="s">
        <v>6576</v>
      </c>
      <c r="C2632" s="580">
        <v>111</v>
      </c>
      <c r="D2632" s="1">
        <v>251.4</v>
      </c>
      <c r="E2632" t="s">
        <v>6576</v>
      </c>
      <c r="F2632">
        <v>0</v>
      </c>
      <c r="G2632" s="580">
        <v>0</v>
      </c>
      <c r="H2632" s="1" t="s">
        <v>6813</v>
      </c>
      <c r="I2632" s="1"/>
      <c r="J2632" s="1"/>
      <c r="K2632" s="1"/>
      <c r="L2632" s="1"/>
      <c r="M2632" s="1"/>
      <c r="N2632" s="1"/>
      <c r="O2632" s="1"/>
      <c r="Q2632"/>
    </row>
    <row r="2633" spans="1:17" ht="13.15" customHeight="1" x14ac:dyDescent="0.2">
      <c r="A2633" s="1" t="s">
        <v>6814</v>
      </c>
      <c r="B2633" s="1" t="s">
        <v>6576</v>
      </c>
      <c r="C2633" s="580">
        <v>112</v>
      </c>
      <c r="D2633" s="1">
        <v>251.4</v>
      </c>
      <c r="E2633" t="s">
        <v>6576</v>
      </c>
      <c r="F2633">
        <v>0</v>
      </c>
      <c r="G2633" s="580">
        <v>0</v>
      </c>
      <c r="H2633" s="1" t="s">
        <v>6815</v>
      </c>
      <c r="I2633" s="1"/>
      <c r="J2633" s="1"/>
      <c r="K2633" s="1"/>
      <c r="L2633" s="1"/>
      <c r="M2633" s="1"/>
      <c r="N2633" s="1"/>
      <c r="O2633" s="1"/>
      <c r="Q2633"/>
    </row>
    <row r="2634" spans="1:17" ht="13.15" customHeight="1" x14ac:dyDescent="0.2">
      <c r="A2634" s="1" t="s">
        <v>6816</v>
      </c>
      <c r="B2634" s="1" t="s">
        <v>6817</v>
      </c>
      <c r="C2634" s="580" t="s">
        <v>6818</v>
      </c>
      <c r="D2634" s="1">
        <v>4650.6189999999997</v>
      </c>
      <c r="E2634" t="s">
        <v>6819</v>
      </c>
      <c r="F2634">
        <v>6004</v>
      </c>
      <c r="G2634" s="580">
        <v>1566.075</v>
      </c>
      <c r="H2634" s="1" t="s">
        <v>6820</v>
      </c>
      <c r="I2634" s="1"/>
      <c r="J2634" s="1"/>
      <c r="K2634" s="1"/>
      <c r="L2634" s="1"/>
      <c r="M2634" s="1"/>
      <c r="N2634" s="1"/>
      <c r="O2634" s="1"/>
      <c r="Q2634"/>
    </row>
    <row r="2635" spans="1:17" ht="13.15" customHeight="1" x14ac:dyDescent="0.2">
      <c r="A2635" s="1" t="s">
        <v>6821</v>
      </c>
      <c r="B2635" s="1" t="s">
        <v>6817</v>
      </c>
      <c r="C2635" s="580" t="s">
        <v>6822</v>
      </c>
      <c r="D2635" s="1">
        <v>5714</v>
      </c>
      <c r="E2635" t="s">
        <v>6819</v>
      </c>
      <c r="F2635">
        <v>6006</v>
      </c>
      <c r="G2635" s="580">
        <v>1435.075</v>
      </c>
      <c r="H2635" s="1" t="s">
        <v>6823</v>
      </c>
      <c r="I2635" s="1"/>
      <c r="J2635" s="1"/>
      <c r="K2635" s="1"/>
      <c r="L2635" s="1"/>
      <c r="M2635" s="1"/>
      <c r="N2635" s="1"/>
      <c r="O2635" s="1"/>
      <c r="Q2635"/>
    </row>
    <row r="2636" spans="1:17" ht="13.15" customHeight="1" x14ac:dyDescent="0.2">
      <c r="A2636" s="1" t="s">
        <v>6824</v>
      </c>
      <c r="B2636" s="1" t="s">
        <v>6817</v>
      </c>
      <c r="C2636" s="580" t="s">
        <v>6825</v>
      </c>
      <c r="D2636" s="1">
        <v>8578.1429000000007</v>
      </c>
      <c r="E2636" t="s">
        <v>6819</v>
      </c>
      <c r="F2636">
        <v>6007</v>
      </c>
      <c r="G2636" s="580">
        <v>2206.3249999999998</v>
      </c>
      <c r="H2636" s="1" t="s">
        <v>6826</v>
      </c>
      <c r="I2636" s="1"/>
      <c r="J2636" s="1"/>
      <c r="K2636" s="1"/>
      <c r="L2636" s="1"/>
      <c r="M2636" s="1"/>
      <c r="N2636" s="1"/>
      <c r="O2636" s="1"/>
      <c r="Q2636"/>
    </row>
    <row r="2637" spans="1:17" ht="13.15" customHeight="1" x14ac:dyDescent="0.2">
      <c r="A2637" s="1" t="s">
        <v>6827</v>
      </c>
      <c r="B2637" s="1" t="s">
        <v>6817</v>
      </c>
      <c r="C2637" s="580" t="s">
        <v>6828</v>
      </c>
      <c r="D2637" s="1">
        <v>5649.3095000000003</v>
      </c>
      <c r="E2637" t="s">
        <v>6819</v>
      </c>
      <c r="F2637" t="s">
        <v>6829</v>
      </c>
      <c r="G2637" s="580">
        <v>1605.41</v>
      </c>
      <c r="H2637" s="1" t="s">
        <v>6830</v>
      </c>
      <c r="I2637" s="1"/>
      <c r="J2637" s="1"/>
      <c r="K2637" s="1"/>
      <c r="L2637" s="1"/>
      <c r="M2637" s="1"/>
      <c r="N2637" s="1"/>
      <c r="O2637" s="1"/>
      <c r="Q2637"/>
    </row>
    <row r="2638" spans="1:17" ht="13.15" customHeight="1" x14ac:dyDescent="0.2">
      <c r="A2638" s="1" t="s">
        <v>6831</v>
      </c>
      <c r="B2638" s="1" t="s">
        <v>6817</v>
      </c>
      <c r="C2638" s="580" t="s">
        <v>6832</v>
      </c>
      <c r="D2638" s="1">
        <v>5936.0713999999998</v>
      </c>
      <c r="E2638" t="s">
        <v>6819</v>
      </c>
      <c r="F2638">
        <v>6008</v>
      </c>
      <c r="G2638" s="580">
        <v>1526.575</v>
      </c>
      <c r="H2638" s="1" t="s">
        <v>6833</v>
      </c>
      <c r="I2638" s="1"/>
      <c r="J2638" s="1"/>
      <c r="K2638" s="1"/>
      <c r="L2638" s="1"/>
      <c r="M2638" s="1"/>
      <c r="N2638" s="1"/>
      <c r="O2638" s="1"/>
      <c r="Q2638"/>
    </row>
    <row r="2639" spans="1:17" ht="13.15" customHeight="1" x14ac:dyDescent="0.2">
      <c r="A2639" s="1" t="s">
        <v>6834</v>
      </c>
      <c r="B2639" s="1" t="s">
        <v>6817</v>
      </c>
      <c r="C2639" s="580" t="s">
        <v>6835</v>
      </c>
      <c r="D2639" s="1">
        <v>6201.8571000000002</v>
      </c>
      <c r="E2639" t="s">
        <v>6819</v>
      </c>
      <c r="F2639" t="s">
        <v>6836</v>
      </c>
      <c r="G2639" s="580">
        <v>1594.95</v>
      </c>
      <c r="H2639" s="1" t="s">
        <v>6837</v>
      </c>
      <c r="I2639" s="1"/>
      <c r="J2639" s="1"/>
      <c r="K2639" s="1"/>
      <c r="L2639" s="1"/>
      <c r="M2639" s="1"/>
      <c r="N2639" s="1"/>
      <c r="O2639" s="1"/>
      <c r="Q2639"/>
    </row>
    <row r="2640" spans="1:17" ht="13.15" customHeight="1" x14ac:dyDescent="0.2">
      <c r="A2640" s="1" t="s">
        <v>6838</v>
      </c>
      <c r="B2640" s="1" t="s">
        <v>6817</v>
      </c>
      <c r="C2640" s="580" t="s">
        <v>6839</v>
      </c>
      <c r="D2640" s="1">
        <v>6330.1428999999998</v>
      </c>
      <c r="E2640" t="s">
        <v>6819</v>
      </c>
      <c r="F2640">
        <v>6010</v>
      </c>
      <c r="G2640" s="580">
        <v>1628.0250000000001</v>
      </c>
      <c r="H2640" s="1" t="s">
        <v>6840</v>
      </c>
      <c r="I2640" s="1"/>
      <c r="J2640" s="1"/>
      <c r="K2640" s="1"/>
      <c r="L2640" s="1"/>
      <c r="M2640" s="1"/>
      <c r="N2640" s="1"/>
      <c r="O2640" s="1"/>
      <c r="Q2640"/>
    </row>
    <row r="2641" spans="1:17" ht="13.15" customHeight="1" x14ac:dyDescent="0.2">
      <c r="A2641" s="1" t="s">
        <v>6841</v>
      </c>
      <c r="B2641" s="1" t="s">
        <v>6817</v>
      </c>
      <c r="C2641" s="580" t="s">
        <v>6842</v>
      </c>
      <c r="D2641" s="1">
        <v>7664.8810000000003</v>
      </c>
      <c r="E2641" t="s">
        <v>6819</v>
      </c>
      <c r="F2641">
        <v>6012</v>
      </c>
      <c r="G2641" s="580">
        <v>1971.4549999999999</v>
      </c>
      <c r="H2641" s="1" t="s">
        <v>6843</v>
      </c>
      <c r="I2641" s="1"/>
      <c r="J2641" s="1"/>
      <c r="K2641" s="1"/>
      <c r="L2641" s="1"/>
      <c r="M2641" s="1"/>
      <c r="N2641" s="1"/>
      <c r="O2641" s="1"/>
      <c r="Q2641"/>
    </row>
    <row r="2642" spans="1:17" ht="13.15" customHeight="1" x14ac:dyDescent="0.2">
      <c r="A2642" s="1" t="s">
        <v>6844</v>
      </c>
      <c r="B2642" s="1" t="s">
        <v>6817</v>
      </c>
      <c r="C2642" s="580" t="s">
        <v>6845</v>
      </c>
      <c r="D2642" s="1">
        <v>7961.1189999999997</v>
      </c>
      <c r="E2642" t="s">
        <v>6819</v>
      </c>
      <c r="F2642">
        <v>6013</v>
      </c>
      <c r="G2642" s="580">
        <v>2047.125</v>
      </c>
      <c r="H2642" s="1" t="s">
        <v>6846</v>
      </c>
      <c r="I2642" s="1"/>
      <c r="J2642" s="1"/>
      <c r="K2642" s="1"/>
      <c r="L2642" s="1"/>
      <c r="M2642" s="1"/>
      <c r="N2642" s="1"/>
      <c r="O2642" s="1"/>
      <c r="Q2642"/>
    </row>
    <row r="2643" spans="1:17" ht="13.15" customHeight="1" x14ac:dyDescent="0.2">
      <c r="A2643" s="1" t="s">
        <v>6847</v>
      </c>
      <c r="B2643" s="1" t="s">
        <v>6817</v>
      </c>
      <c r="C2643" s="580" t="s">
        <v>6848</v>
      </c>
      <c r="D2643" s="1">
        <v>5404.6428999999998</v>
      </c>
      <c r="E2643" t="s">
        <v>6819</v>
      </c>
      <c r="F2643">
        <v>6014</v>
      </c>
      <c r="G2643" s="580">
        <v>1402.51</v>
      </c>
      <c r="H2643" s="1" t="s">
        <v>6849</v>
      </c>
      <c r="I2643" s="1"/>
      <c r="J2643" s="1"/>
      <c r="K2643" s="1"/>
      <c r="L2643" s="1"/>
      <c r="M2643" s="1"/>
      <c r="N2643" s="1"/>
      <c r="O2643" s="1"/>
      <c r="Q2643"/>
    </row>
    <row r="2644" spans="1:17" ht="13.15" customHeight="1" x14ac:dyDescent="0.2">
      <c r="A2644" s="1" t="s">
        <v>6850</v>
      </c>
      <c r="B2644" s="1" t="s">
        <v>6817</v>
      </c>
      <c r="C2644" s="580" t="s">
        <v>6851</v>
      </c>
      <c r="D2644" s="1">
        <v>4867.9762000000001</v>
      </c>
      <c r="E2644" t="s">
        <v>6819</v>
      </c>
      <c r="F2644" t="s">
        <v>6852</v>
      </c>
      <c r="G2644" s="580">
        <v>1328.9849999999999</v>
      </c>
      <c r="H2644" s="1" t="s">
        <v>6853</v>
      </c>
      <c r="I2644" s="1"/>
      <c r="J2644" s="1"/>
      <c r="K2644" s="1"/>
      <c r="L2644" s="1"/>
      <c r="M2644" s="1"/>
      <c r="N2644" s="1"/>
      <c r="O2644" s="1"/>
      <c r="Q2644"/>
    </row>
    <row r="2645" spans="1:17" ht="13.15" customHeight="1" x14ac:dyDescent="0.2">
      <c r="A2645" s="1" t="s">
        <v>6854</v>
      </c>
      <c r="B2645" s="1" t="s">
        <v>6817</v>
      </c>
      <c r="C2645" s="580" t="s">
        <v>6855</v>
      </c>
      <c r="D2645" s="1">
        <v>12393.642900000001</v>
      </c>
      <c r="E2645" t="s">
        <v>6819</v>
      </c>
      <c r="F2645">
        <v>6017</v>
      </c>
      <c r="G2645" s="580">
        <v>3187.4349999999999</v>
      </c>
      <c r="H2645" s="1" t="s">
        <v>6856</v>
      </c>
      <c r="I2645" s="1"/>
      <c r="J2645" s="1"/>
      <c r="K2645" s="1"/>
      <c r="L2645" s="1"/>
      <c r="M2645" s="1"/>
      <c r="N2645" s="1"/>
      <c r="O2645" s="1"/>
      <c r="Q2645"/>
    </row>
    <row r="2646" spans="1:17" ht="13.15" customHeight="1" x14ac:dyDescent="0.2">
      <c r="A2646" s="1" t="s">
        <v>6857</v>
      </c>
      <c r="B2646" s="1" t="s">
        <v>6817</v>
      </c>
      <c r="C2646" s="580" t="s">
        <v>6858</v>
      </c>
      <c r="D2646" s="1">
        <v>5957</v>
      </c>
      <c r="E2646" t="s">
        <v>6819</v>
      </c>
      <c r="F2646" t="s">
        <v>6859</v>
      </c>
      <c r="G2646" s="580">
        <v>1574.125</v>
      </c>
      <c r="H2646" s="1" t="s">
        <v>6860</v>
      </c>
      <c r="I2646" s="1"/>
      <c r="J2646" s="1"/>
      <c r="K2646" s="1"/>
      <c r="L2646" s="1"/>
      <c r="M2646" s="1"/>
      <c r="N2646" s="1"/>
      <c r="O2646" s="1"/>
      <c r="Q2646"/>
    </row>
    <row r="2647" spans="1:17" ht="13.15" customHeight="1" x14ac:dyDescent="0.2">
      <c r="A2647" s="1" t="s">
        <v>6861</v>
      </c>
      <c r="B2647" s="1" t="s">
        <v>6817</v>
      </c>
      <c r="C2647" s="580" t="s">
        <v>6862</v>
      </c>
      <c r="D2647" s="1">
        <v>6285.6428999999998</v>
      </c>
      <c r="E2647" t="s">
        <v>6819</v>
      </c>
      <c r="F2647">
        <v>6029</v>
      </c>
      <c r="G2647" s="580">
        <v>1668.45</v>
      </c>
      <c r="H2647" s="1" t="s">
        <v>6863</v>
      </c>
      <c r="I2647" s="1"/>
      <c r="J2647" s="1"/>
      <c r="K2647" s="1"/>
      <c r="L2647" s="1"/>
      <c r="M2647" s="1"/>
      <c r="N2647" s="1"/>
      <c r="O2647" s="1"/>
      <c r="Q2647"/>
    </row>
    <row r="2648" spans="1:17" ht="13.15" customHeight="1" x14ac:dyDescent="0.2">
      <c r="A2648" s="1" t="s">
        <v>6864</v>
      </c>
      <c r="B2648" s="1" t="s">
        <v>6817</v>
      </c>
      <c r="C2648" s="580" t="s">
        <v>6865</v>
      </c>
      <c r="D2648" s="1">
        <v>6383.9286000000002</v>
      </c>
      <c r="E2648" t="s">
        <v>6819</v>
      </c>
      <c r="F2648">
        <v>6030</v>
      </c>
      <c r="G2648" s="580">
        <v>1701</v>
      </c>
      <c r="H2648" s="1" t="s">
        <v>6866</v>
      </c>
      <c r="I2648" s="1"/>
      <c r="J2648" s="1"/>
      <c r="K2648" s="1"/>
      <c r="L2648" s="1"/>
      <c r="M2648" s="1"/>
      <c r="N2648" s="1"/>
      <c r="O2648" s="1"/>
      <c r="Q2648"/>
    </row>
    <row r="2649" spans="1:17" ht="13.15" customHeight="1" x14ac:dyDescent="0.2">
      <c r="A2649" s="1" t="s">
        <v>6867</v>
      </c>
      <c r="B2649" s="1" t="s">
        <v>6817</v>
      </c>
      <c r="C2649" s="580" t="s">
        <v>6868</v>
      </c>
      <c r="D2649" s="1">
        <v>5508.4048000000003</v>
      </c>
      <c r="E2649" t="s">
        <v>6819</v>
      </c>
      <c r="F2649">
        <v>6031</v>
      </c>
      <c r="G2649" s="580">
        <v>1496.99</v>
      </c>
      <c r="H2649" s="1" t="s">
        <v>6869</v>
      </c>
      <c r="I2649" s="1"/>
      <c r="J2649" s="1"/>
      <c r="K2649" s="1"/>
      <c r="L2649" s="1"/>
      <c r="M2649" s="1"/>
      <c r="N2649" s="1"/>
      <c r="O2649" s="1"/>
      <c r="Q2649"/>
    </row>
    <row r="2650" spans="1:17" ht="13.15" customHeight="1" x14ac:dyDescent="0.2">
      <c r="A2650" s="1" t="s">
        <v>6870</v>
      </c>
      <c r="B2650" s="1" t="s">
        <v>6817</v>
      </c>
      <c r="C2650" s="580" t="s">
        <v>6871</v>
      </c>
      <c r="D2650" s="1">
        <v>14625.619000000001</v>
      </c>
      <c r="E2650" t="s">
        <v>6819</v>
      </c>
      <c r="F2650">
        <v>6032</v>
      </c>
      <c r="G2650" s="580">
        <v>3760.8150000000001</v>
      </c>
      <c r="H2650" s="1" t="s">
        <v>6872</v>
      </c>
      <c r="I2650" s="1"/>
      <c r="J2650" s="1"/>
      <c r="K2650" s="1"/>
      <c r="L2650" s="1"/>
      <c r="M2650" s="1"/>
      <c r="N2650" s="1"/>
      <c r="O2650" s="1"/>
      <c r="Q2650"/>
    </row>
    <row r="2651" spans="1:17" ht="13.15" customHeight="1" x14ac:dyDescent="0.2">
      <c r="A2651" s="1" t="s">
        <v>6873</v>
      </c>
      <c r="B2651" s="1" t="s">
        <v>6817</v>
      </c>
      <c r="C2651" s="580" t="s">
        <v>6874</v>
      </c>
      <c r="D2651" s="1">
        <v>6784.1666999999998</v>
      </c>
      <c r="E2651" t="s">
        <v>6819</v>
      </c>
      <c r="F2651">
        <v>6033</v>
      </c>
      <c r="G2651" s="580">
        <v>1791.05</v>
      </c>
      <c r="H2651" s="1" t="s">
        <v>6875</v>
      </c>
      <c r="I2651" s="1"/>
      <c r="J2651" s="1"/>
      <c r="K2651" s="1"/>
      <c r="L2651" s="1"/>
      <c r="M2651" s="1"/>
      <c r="N2651" s="1"/>
      <c r="O2651" s="1"/>
      <c r="Q2651"/>
    </row>
    <row r="2652" spans="1:17" ht="13.15" customHeight="1" x14ac:dyDescent="0.2">
      <c r="A2652" s="1" t="s">
        <v>6876</v>
      </c>
      <c r="B2652" s="1" t="s">
        <v>6817</v>
      </c>
      <c r="C2652" s="580" t="s">
        <v>6877</v>
      </c>
      <c r="D2652" s="1">
        <v>6388.8571000000002</v>
      </c>
      <c r="E2652" t="s">
        <v>6819</v>
      </c>
      <c r="F2652">
        <v>6034</v>
      </c>
      <c r="G2652" s="580">
        <v>1728.03</v>
      </c>
      <c r="H2652" s="1" t="s">
        <v>6878</v>
      </c>
      <c r="I2652" s="1"/>
      <c r="J2652" s="1"/>
      <c r="K2652" s="1"/>
      <c r="L2652" s="1"/>
      <c r="M2652" s="1"/>
      <c r="N2652" s="1"/>
      <c r="O2652" s="1"/>
      <c r="Q2652"/>
    </row>
    <row r="2653" spans="1:17" ht="13.15" customHeight="1" x14ac:dyDescent="0.2">
      <c r="A2653" s="1" t="s">
        <v>6879</v>
      </c>
      <c r="B2653" s="1" t="s">
        <v>6817</v>
      </c>
      <c r="C2653" s="580" t="s">
        <v>6880</v>
      </c>
      <c r="D2653" s="1">
        <v>7131.3333000000002</v>
      </c>
      <c r="E2653" t="s">
        <v>6819</v>
      </c>
      <c r="F2653">
        <v>6035</v>
      </c>
      <c r="G2653" s="580">
        <v>1854.7249999999999</v>
      </c>
      <c r="H2653" s="1" t="s">
        <v>6881</v>
      </c>
      <c r="I2653" s="1"/>
      <c r="J2653" s="1"/>
      <c r="K2653" s="1"/>
      <c r="L2653" s="1"/>
      <c r="M2653" s="1"/>
      <c r="N2653" s="1"/>
      <c r="O2653" s="1"/>
      <c r="Q2653"/>
    </row>
    <row r="2654" spans="1:17" ht="13.15" customHeight="1" x14ac:dyDescent="0.2">
      <c r="A2654" s="1" t="s">
        <v>6882</v>
      </c>
      <c r="B2654" s="1" t="s">
        <v>6817</v>
      </c>
      <c r="C2654" s="580" t="s">
        <v>6883</v>
      </c>
      <c r="D2654" s="1">
        <v>6433.9762000000001</v>
      </c>
      <c r="E2654" t="s">
        <v>6819</v>
      </c>
      <c r="F2654">
        <v>6038</v>
      </c>
      <c r="G2654" s="580">
        <v>1726.095</v>
      </c>
      <c r="H2654" s="1" t="s">
        <v>6884</v>
      </c>
      <c r="I2654" s="1"/>
      <c r="J2654" s="1"/>
      <c r="K2654" s="1"/>
      <c r="L2654" s="1"/>
      <c r="M2654" s="1"/>
      <c r="N2654" s="1"/>
      <c r="O2654" s="1"/>
      <c r="Q2654"/>
    </row>
    <row r="2655" spans="1:17" ht="13.15" customHeight="1" x14ac:dyDescent="0.2">
      <c r="A2655" s="1" t="s">
        <v>6885</v>
      </c>
      <c r="B2655" s="1" t="s">
        <v>6817</v>
      </c>
      <c r="C2655" s="580" t="s">
        <v>6886</v>
      </c>
      <c r="D2655" s="1">
        <v>11201.1667</v>
      </c>
      <c r="E2655" t="s">
        <v>6819</v>
      </c>
      <c r="F2655">
        <v>6039</v>
      </c>
      <c r="G2655" s="580">
        <v>2880.59</v>
      </c>
      <c r="H2655" s="1" t="s">
        <v>6887</v>
      </c>
      <c r="I2655" s="1"/>
      <c r="J2655" s="1"/>
      <c r="K2655" s="1"/>
      <c r="L2655" s="1"/>
      <c r="M2655" s="1"/>
      <c r="N2655" s="1"/>
      <c r="O2655" s="1"/>
      <c r="Q2655"/>
    </row>
    <row r="2656" spans="1:17" ht="13.15" customHeight="1" x14ac:dyDescent="0.2">
      <c r="A2656" s="1" t="s">
        <v>6888</v>
      </c>
      <c r="B2656" s="1" t="s">
        <v>6817</v>
      </c>
      <c r="C2656" s="580" t="s">
        <v>6889</v>
      </c>
      <c r="D2656" s="1">
        <v>7861.0713999999998</v>
      </c>
      <c r="E2656" t="s">
        <v>6819</v>
      </c>
      <c r="F2656">
        <v>6041</v>
      </c>
      <c r="G2656" s="580">
        <v>2021.575</v>
      </c>
      <c r="H2656" s="1" t="s">
        <v>6890</v>
      </c>
      <c r="I2656" s="1"/>
      <c r="J2656" s="1"/>
      <c r="K2656" s="1"/>
      <c r="L2656" s="1"/>
      <c r="M2656" s="1"/>
      <c r="N2656" s="1"/>
      <c r="O2656" s="1"/>
      <c r="Q2656"/>
    </row>
    <row r="2657" spans="1:17" ht="13.15" customHeight="1" x14ac:dyDescent="0.2">
      <c r="A2657" s="1" t="s">
        <v>6891</v>
      </c>
      <c r="B2657" s="1" t="s">
        <v>6817</v>
      </c>
      <c r="C2657" s="580" t="s">
        <v>6892</v>
      </c>
      <c r="D2657" s="1">
        <v>7861.0713999999998</v>
      </c>
      <c r="E2657" t="s">
        <v>6819</v>
      </c>
      <c r="F2657">
        <v>6042</v>
      </c>
      <c r="G2657" s="580">
        <v>2021.575</v>
      </c>
      <c r="H2657" s="1" t="s">
        <v>6893</v>
      </c>
      <c r="I2657" s="1"/>
      <c r="J2657" s="1"/>
      <c r="K2657" s="1"/>
      <c r="L2657" s="1"/>
      <c r="M2657" s="1"/>
      <c r="N2657" s="1"/>
      <c r="O2657" s="1"/>
      <c r="Q2657"/>
    </row>
    <row r="2658" spans="1:17" ht="13.15" customHeight="1" x14ac:dyDescent="0.2">
      <c r="A2658" s="1" t="s">
        <v>6894</v>
      </c>
      <c r="B2658" s="1" t="s">
        <v>6817</v>
      </c>
      <c r="C2658" s="580" t="s">
        <v>6895</v>
      </c>
      <c r="D2658" s="1">
        <v>5207.5713999999998</v>
      </c>
      <c r="E2658" t="s">
        <v>6819</v>
      </c>
      <c r="F2658">
        <v>6044</v>
      </c>
      <c r="G2658" s="580">
        <v>1449.325</v>
      </c>
      <c r="H2658" s="1" t="s">
        <v>6896</v>
      </c>
      <c r="I2658" s="1"/>
      <c r="J2658" s="1"/>
      <c r="K2658" s="1"/>
      <c r="L2658" s="1"/>
      <c r="M2658" s="1"/>
      <c r="N2658" s="1"/>
      <c r="O2658" s="1"/>
      <c r="Q2658"/>
    </row>
    <row r="2659" spans="1:17" ht="13.15" customHeight="1" x14ac:dyDescent="0.2">
      <c r="A2659" s="1" t="s">
        <v>6897</v>
      </c>
      <c r="B2659" s="1" t="s">
        <v>6817</v>
      </c>
      <c r="C2659" s="580" t="s">
        <v>6898</v>
      </c>
      <c r="D2659" s="1">
        <v>5149.78</v>
      </c>
      <c r="E2659" t="s">
        <v>6819</v>
      </c>
      <c r="F2659">
        <v>6049</v>
      </c>
      <c r="G2659" s="580">
        <v>1517</v>
      </c>
      <c r="H2659" s="1" t="s">
        <v>6899</v>
      </c>
      <c r="I2659" s="1"/>
      <c r="J2659" s="1"/>
      <c r="K2659" s="1"/>
      <c r="L2659" s="1"/>
      <c r="M2659" s="1"/>
      <c r="N2659" s="1"/>
      <c r="O2659" s="1"/>
      <c r="Q2659"/>
    </row>
    <row r="2660" spans="1:17" ht="13.15" customHeight="1" x14ac:dyDescent="0.2">
      <c r="A2660" s="1" t="s">
        <v>6900</v>
      </c>
      <c r="B2660" s="1" t="s">
        <v>6901</v>
      </c>
      <c r="C2660" s="580">
        <v>1</v>
      </c>
      <c r="D2660" s="1">
        <v>8436.9599999999991</v>
      </c>
      <c r="E2660" t="s">
        <v>3282</v>
      </c>
      <c r="F2660">
        <v>0</v>
      </c>
      <c r="G2660" s="580">
        <v>0</v>
      </c>
      <c r="H2660" s="1" t="s">
        <v>6902</v>
      </c>
      <c r="I2660" s="1"/>
      <c r="J2660" s="1"/>
      <c r="K2660" s="1"/>
      <c r="L2660" s="1"/>
      <c r="M2660" s="1"/>
      <c r="N2660" s="1"/>
      <c r="O2660" s="1"/>
      <c r="Q2660"/>
    </row>
    <row r="2661" spans="1:17" ht="13.15" customHeight="1" x14ac:dyDescent="0.2">
      <c r="A2661" s="1" t="s">
        <v>6903</v>
      </c>
      <c r="B2661" s="1" t="s">
        <v>6901</v>
      </c>
      <c r="C2661" s="580">
        <v>2</v>
      </c>
      <c r="D2661" s="1">
        <v>8989.4</v>
      </c>
      <c r="E2661" t="s">
        <v>3282</v>
      </c>
      <c r="F2661">
        <v>0</v>
      </c>
      <c r="G2661" s="580">
        <v>0</v>
      </c>
      <c r="H2661" s="1" t="s">
        <v>6904</v>
      </c>
      <c r="I2661" s="1"/>
      <c r="J2661" s="1"/>
      <c r="K2661" s="1"/>
      <c r="L2661" s="1"/>
      <c r="M2661" s="1"/>
      <c r="N2661" s="1"/>
      <c r="O2661" s="1"/>
      <c r="Q2661"/>
    </row>
    <row r="2662" spans="1:17" ht="13.15" customHeight="1" x14ac:dyDescent="0.2">
      <c r="A2662" s="1" t="s">
        <v>6905</v>
      </c>
      <c r="B2662" s="1" t="s">
        <v>6901</v>
      </c>
      <c r="C2662" s="580">
        <v>3</v>
      </c>
      <c r="D2662" s="1">
        <v>9541.7999999999993</v>
      </c>
      <c r="E2662" t="s">
        <v>3282</v>
      </c>
      <c r="F2662">
        <v>0</v>
      </c>
      <c r="G2662" s="580">
        <v>0</v>
      </c>
      <c r="H2662" s="1" t="s">
        <v>6906</v>
      </c>
      <c r="I2662" s="1"/>
      <c r="J2662" s="1"/>
      <c r="K2662" s="1"/>
      <c r="L2662" s="1"/>
      <c r="M2662" s="1"/>
      <c r="N2662" s="1"/>
      <c r="O2662" s="1"/>
      <c r="Q2662"/>
    </row>
    <row r="2663" spans="1:17" ht="13.15" customHeight="1" x14ac:dyDescent="0.2">
      <c r="A2663" s="1" t="s">
        <v>6907</v>
      </c>
      <c r="B2663" s="1" t="s">
        <v>6901</v>
      </c>
      <c r="C2663" s="580">
        <v>4</v>
      </c>
      <c r="D2663" s="1">
        <v>10044</v>
      </c>
      <c r="E2663" t="s">
        <v>3282</v>
      </c>
      <c r="F2663">
        <v>0</v>
      </c>
      <c r="G2663" s="580">
        <v>0</v>
      </c>
      <c r="H2663" s="1" t="s">
        <v>6908</v>
      </c>
      <c r="I2663" s="1"/>
      <c r="J2663" s="1"/>
      <c r="K2663" s="1"/>
      <c r="L2663" s="1"/>
      <c r="M2663" s="1"/>
      <c r="N2663" s="1"/>
      <c r="O2663" s="1"/>
      <c r="Q2663"/>
    </row>
    <row r="2664" spans="1:17" ht="13.15" customHeight="1" x14ac:dyDescent="0.2">
      <c r="A2664" s="1" t="s">
        <v>6909</v>
      </c>
      <c r="B2664" s="1" t="s">
        <v>6901</v>
      </c>
      <c r="C2664" s="580">
        <v>5</v>
      </c>
      <c r="D2664" s="1">
        <v>10646.64</v>
      </c>
      <c r="E2664" t="s">
        <v>3282</v>
      </c>
      <c r="F2664">
        <v>0</v>
      </c>
      <c r="G2664" s="580">
        <v>0</v>
      </c>
      <c r="H2664" s="1" t="s">
        <v>6910</v>
      </c>
      <c r="I2664" s="1"/>
      <c r="J2664" s="1"/>
      <c r="K2664" s="1"/>
      <c r="L2664" s="1"/>
      <c r="M2664" s="1"/>
      <c r="N2664" s="1"/>
      <c r="O2664" s="1"/>
      <c r="Q2664"/>
    </row>
    <row r="2665" spans="1:17" ht="13.15" customHeight="1" x14ac:dyDescent="0.2">
      <c r="A2665" s="1" t="s">
        <v>6911</v>
      </c>
      <c r="B2665" s="1" t="s">
        <v>6901</v>
      </c>
      <c r="C2665" s="580">
        <v>6</v>
      </c>
      <c r="D2665" s="1">
        <v>11158.88</v>
      </c>
      <c r="E2665" t="s">
        <v>3282</v>
      </c>
      <c r="F2665">
        <v>0</v>
      </c>
      <c r="G2665" s="580">
        <v>0</v>
      </c>
      <c r="H2665" s="1" t="s">
        <v>6912</v>
      </c>
      <c r="I2665" s="1"/>
      <c r="J2665" s="1"/>
      <c r="K2665" s="1"/>
      <c r="L2665" s="1"/>
      <c r="M2665" s="1"/>
      <c r="N2665" s="1"/>
      <c r="O2665" s="1"/>
      <c r="Q2665"/>
    </row>
    <row r="2666" spans="1:17" ht="13.15" customHeight="1" x14ac:dyDescent="0.2">
      <c r="A2666" s="1" t="s">
        <v>6913</v>
      </c>
      <c r="B2666" s="1" t="s">
        <v>6901</v>
      </c>
      <c r="C2666" s="580">
        <v>7</v>
      </c>
      <c r="D2666" s="1">
        <v>11701.28</v>
      </c>
      <c r="E2666" t="s">
        <v>3282</v>
      </c>
      <c r="F2666">
        <v>0</v>
      </c>
      <c r="G2666" s="580">
        <v>0</v>
      </c>
      <c r="H2666" s="1" t="s">
        <v>6914</v>
      </c>
      <c r="I2666" s="1"/>
      <c r="J2666" s="1"/>
      <c r="K2666" s="1"/>
      <c r="L2666" s="1"/>
      <c r="M2666" s="1"/>
      <c r="N2666" s="1"/>
      <c r="O2666" s="1"/>
      <c r="Q2666"/>
    </row>
    <row r="2667" spans="1:17" ht="13.15" customHeight="1" x14ac:dyDescent="0.2">
      <c r="A2667" s="1" t="s">
        <v>6915</v>
      </c>
      <c r="B2667" s="1" t="s">
        <v>6901</v>
      </c>
      <c r="C2667" s="580">
        <v>8</v>
      </c>
      <c r="D2667" s="1">
        <v>12203.48</v>
      </c>
      <c r="E2667" t="s">
        <v>3282</v>
      </c>
      <c r="F2667">
        <v>0</v>
      </c>
      <c r="G2667" s="580">
        <v>0</v>
      </c>
      <c r="H2667" s="1" t="s">
        <v>6916</v>
      </c>
      <c r="I2667" s="1"/>
      <c r="J2667" s="1"/>
      <c r="K2667" s="1"/>
      <c r="L2667" s="1"/>
      <c r="M2667" s="1"/>
      <c r="N2667" s="1"/>
      <c r="O2667" s="1"/>
      <c r="Q2667"/>
    </row>
    <row r="2668" spans="1:17" ht="13.15" customHeight="1" x14ac:dyDescent="0.2">
      <c r="A2668" s="1" t="s">
        <v>6917</v>
      </c>
      <c r="B2668" s="1" t="s">
        <v>6901</v>
      </c>
      <c r="C2668" s="580">
        <v>9</v>
      </c>
      <c r="D2668" s="1">
        <v>12755.88</v>
      </c>
      <c r="E2668" t="s">
        <v>3282</v>
      </c>
      <c r="F2668">
        <v>0</v>
      </c>
      <c r="G2668" s="580">
        <v>0</v>
      </c>
      <c r="H2668" s="1" t="s">
        <v>6918</v>
      </c>
      <c r="I2668" s="1"/>
      <c r="J2668" s="1"/>
      <c r="K2668" s="1"/>
      <c r="L2668" s="1"/>
      <c r="M2668" s="1"/>
      <c r="N2668" s="1"/>
      <c r="O2668" s="1"/>
      <c r="Q2668"/>
    </row>
    <row r="2669" spans="1:17" ht="13.15" customHeight="1" x14ac:dyDescent="0.2">
      <c r="A2669" s="1" t="s">
        <v>6919</v>
      </c>
      <c r="B2669" s="1" t="s">
        <v>6901</v>
      </c>
      <c r="C2669" s="580">
        <v>10</v>
      </c>
      <c r="D2669" s="1">
        <v>4896.4399999999996</v>
      </c>
      <c r="E2669" t="s">
        <v>3282</v>
      </c>
      <c r="F2669">
        <v>0</v>
      </c>
      <c r="G2669" s="580">
        <v>0</v>
      </c>
      <c r="H2669" s="1" t="s">
        <v>6920</v>
      </c>
      <c r="I2669" s="1"/>
      <c r="J2669" s="1"/>
      <c r="K2669" s="1"/>
      <c r="L2669" s="1"/>
      <c r="M2669" s="1"/>
      <c r="N2669" s="1"/>
      <c r="O2669" s="1"/>
      <c r="Q2669"/>
    </row>
    <row r="2670" spans="1:17" ht="13.15" customHeight="1" x14ac:dyDescent="0.2">
      <c r="A2670" s="1" t="s">
        <v>6921</v>
      </c>
      <c r="B2670" s="1" t="s">
        <v>6901</v>
      </c>
      <c r="C2670" s="580">
        <v>11</v>
      </c>
      <c r="D2670" s="1">
        <v>5443.84</v>
      </c>
      <c r="E2670" t="s">
        <v>3282</v>
      </c>
      <c r="F2670">
        <v>0</v>
      </c>
      <c r="G2670" s="580">
        <v>0</v>
      </c>
      <c r="H2670" s="1" t="s">
        <v>6922</v>
      </c>
      <c r="I2670" s="1"/>
      <c r="J2670" s="1"/>
      <c r="K2670" s="1"/>
      <c r="L2670" s="1"/>
      <c r="M2670" s="1"/>
      <c r="N2670" s="1"/>
      <c r="O2670" s="1"/>
      <c r="Q2670"/>
    </row>
    <row r="2671" spans="1:17" ht="13.15" customHeight="1" x14ac:dyDescent="0.2">
      <c r="A2671" s="1" t="s">
        <v>6923</v>
      </c>
      <c r="B2671" s="1" t="s">
        <v>6901</v>
      </c>
      <c r="C2671" s="580">
        <v>12</v>
      </c>
      <c r="D2671" s="1">
        <v>5986.24</v>
      </c>
      <c r="E2671" t="s">
        <v>3282</v>
      </c>
      <c r="F2671">
        <v>0</v>
      </c>
      <c r="G2671" s="580">
        <v>0</v>
      </c>
      <c r="H2671" s="1" t="s">
        <v>6924</v>
      </c>
      <c r="I2671" s="1"/>
      <c r="J2671" s="1"/>
      <c r="K2671" s="1"/>
      <c r="L2671" s="1"/>
      <c r="M2671" s="1"/>
      <c r="N2671" s="1"/>
      <c r="O2671" s="1"/>
      <c r="Q2671"/>
    </row>
    <row r="2672" spans="1:17" ht="13.15" customHeight="1" x14ac:dyDescent="0.2">
      <c r="A2672" s="1" t="s">
        <v>6925</v>
      </c>
      <c r="B2672" s="1" t="s">
        <v>6901</v>
      </c>
      <c r="C2672" s="580">
        <v>13</v>
      </c>
      <c r="D2672" s="1">
        <v>6528.6</v>
      </c>
      <c r="E2672" t="s">
        <v>3282</v>
      </c>
      <c r="F2672">
        <v>0</v>
      </c>
      <c r="G2672" s="580">
        <v>0</v>
      </c>
      <c r="H2672" s="1" t="s">
        <v>6926</v>
      </c>
      <c r="I2672" s="1"/>
      <c r="J2672" s="1"/>
      <c r="K2672" s="1"/>
      <c r="L2672" s="1"/>
      <c r="M2672" s="1"/>
      <c r="N2672" s="1"/>
      <c r="O2672" s="1"/>
      <c r="Q2672"/>
    </row>
    <row r="2673" spans="1:17" ht="13.15" customHeight="1" x14ac:dyDescent="0.2">
      <c r="A2673" s="1" t="s">
        <v>6927</v>
      </c>
      <c r="B2673" s="1" t="s">
        <v>6901</v>
      </c>
      <c r="C2673" s="580">
        <v>14</v>
      </c>
      <c r="D2673" s="1">
        <v>7081.04</v>
      </c>
      <c r="E2673" t="s">
        <v>3282</v>
      </c>
      <c r="F2673">
        <v>0</v>
      </c>
      <c r="G2673" s="580">
        <v>0</v>
      </c>
      <c r="H2673" s="1" t="s">
        <v>6928</v>
      </c>
      <c r="I2673" s="1"/>
      <c r="J2673" s="1"/>
      <c r="K2673" s="1"/>
      <c r="L2673" s="1"/>
      <c r="M2673" s="1"/>
      <c r="N2673" s="1"/>
      <c r="O2673" s="1"/>
      <c r="Q2673"/>
    </row>
    <row r="2674" spans="1:17" ht="13.15" customHeight="1" x14ac:dyDescent="0.2">
      <c r="A2674" s="1" t="s">
        <v>6929</v>
      </c>
      <c r="B2674" s="1" t="s">
        <v>6901</v>
      </c>
      <c r="C2674" s="580">
        <v>15</v>
      </c>
      <c r="D2674" s="1">
        <v>7633.44</v>
      </c>
      <c r="E2674" t="s">
        <v>3282</v>
      </c>
      <c r="F2674">
        <v>0</v>
      </c>
      <c r="G2674" s="580">
        <v>0</v>
      </c>
      <c r="H2674" s="1" t="s">
        <v>6930</v>
      </c>
      <c r="I2674" s="1"/>
      <c r="J2674" s="1"/>
      <c r="K2674" s="1"/>
      <c r="L2674" s="1"/>
      <c r="M2674" s="1"/>
      <c r="N2674" s="1"/>
      <c r="O2674" s="1"/>
      <c r="Q2674"/>
    </row>
    <row r="2675" spans="1:17" ht="13.15" customHeight="1" x14ac:dyDescent="0.2">
      <c r="A2675" s="1" t="s">
        <v>6931</v>
      </c>
      <c r="B2675" s="1" t="s">
        <v>6901</v>
      </c>
      <c r="C2675" s="580">
        <v>16</v>
      </c>
      <c r="D2675" s="1">
        <v>8160.76</v>
      </c>
      <c r="E2675" t="s">
        <v>3282</v>
      </c>
      <c r="F2675">
        <v>0</v>
      </c>
      <c r="G2675" s="580">
        <v>0</v>
      </c>
      <c r="H2675" s="1" t="s">
        <v>6932</v>
      </c>
      <c r="I2675" s="1"/>
      <c r="J2675" s="1"/>
      <c r="K2675" s="1"/>
      <c r="L2675" s="1"/>
      <c r="M2675" s="1"/>
      <c r="N2675" s="1"/>
      <c r="O2675" s="1"/>
      <c r="Q2675"/>
    </row>
    <row r="2676" spans="1:17" ht="13.15" customHeight="1" x14ac:dyDescent="0.2">
      <c r="A2676" s="1" t="s">
        <v>6933</v>
      </c>
      <c r="B2676" s="1" t="s">
        <v>6901</v>
      </c>
      <c r="C2676" s="580">
        <v>17</v>
      </c>
      <c r="D2676" s="1">
        <v>4354.08</v>
      </c>
      <c r="E2676" t="s">
        <v>3282</v>
      </c>
      <c r="F2676">
        <v>0</v>
      </c>
      <c r="G2676" s="580">
        <v>0</v>
      </c>
      <c r="H2676" s="1" t="s">
        <v>6934</v>
      </c>
      <c r="I2676" s="1"/>
      <c r="J2676" s="1"/>
      <c r="K2676" s="1"/>
      <c r="L2676" s="1"/>
      <c r="M2676" s="1"/>
      <c r="N2676" s="1"/>
      <c r="O2676" s="1"/>
      <c r="Q2676"/>
    </row>
    <row r="2677" spans="1:17" ht="13.15" customHeight="1" x14ac:dyDescent="0.2">
      <c r="A2677" s="1" t="s">
        <v>6935</v>
      </c>
      <c r="B2677" s="1" t="s">
        <v>6901</v>
      </c>
      <c r="C2677" s="580">
        <v>18</v>
      </c>
      <c r="D2677" s="1">
        <v>4896.4399999999996</v>
      </c>
      <c r="E2677" t="s">
        <v>3282</v>
      </c>
      <c r="F2677">
        <v>0</v>
      </c>
      <c r="G2677" s="580">
        <v>0</v>
      </c>
      <c r="H2677" s="1" t="s">
        <v>6936</v>
      </c>
      <c r="I2677" s="1"/>
      <c r="J2677" s="1"/>
      <c r="K2677" s="1"/>
      <c r="L2677" s="1"/>
      <c r="M2677" s="1"/>
      <c r="N2677" s="1"/>
      <c r="O2677" s="1"/>
      <c r="Q2677"/>
    </row>
    <row r="2678" spans="1:17" ht="13.15" customHeight="1" x14ac:dyDescent="0.2">
      <c r="A2678" s="1" t="s">
        <v>6937</v>
      </c>
      <c r="B2678" s="1" t="s">
        <v>6901</v>
      </c>
      <c r="C2678" s="580">
        <v>19</v>
      </c>
      <c r="D2678" s="1">
        <v>5443.84</v>
      </c>
      <c r="E2678" t="s">
        <v>3282</v>
      </c>
      <c r="F2678">
        <v>0</v>
      </c>
      <c r="G2678" s="580">
        <v>0</v>
      </c>
      <c r="H2678" s="1" t="s">
        <v>6938</v>
      </c>
      <c r="I2678" s="1"/>
      <c r="J2678" s="1"/>
      <c r="K2678" s="1"/>
      <c r="L2678" s="1"/>
      <c r="M2678" s="1"/>
      <c r="N2678" s="1"/>
      <c r="O2678" s="1"/>
      <c r="Q2678"/>
    </row>
    <row r="2679" spans="1:17" ht="13.15" customHeight="1" x14ac:dyDescent="0.2">
      <c r="A2679" s="1" t="s">
        <v>6939</v>
      </c>
      <c r="B2679" s="1" t="s">
        <v>6901</v>
      </c>
      <c r="C2679" s="580">
        <v>20</v>
      </c>
      <c r="D2679" s="1">
        <v>5986.24</v>
      </c>
      <c r="E2679" t="s">
        <v>3282</v>
      </c>
      <c r="F2679">
        <v>0</v>
      </c>
      <c r="G2679" s="580">
        <v>0</v>
      </c>
      <c r="H2679" s="1" t="s">
        <v>6940</v>
      </c>
      <c r="I2679" s="1"/>
      <c r="J2679" s="1"/>
      <c r="K2679" s="1"/>
      <c r="L2679" s="1"/>
      <c r="M2679" s="1"/>
      <c r="N2679" s="1"/>
      <c r="O2679" s="1"/>
      <c r="Q2679"/>
    </row>
    <row r="2680" spans="1:17" ht="13.15" customHeight="1" x14ac:dyDescent="0.2">
      <c r="A2680" s="1" t="s">
        <v>6941</v>
      </c>
      <c r="B2680" s="1" t="s">
        <v>6901</v>
      </c>
      <c r="C2680" s="580">
        <v>21</v>
      </c>
      <c r="D2680" s="1">
        <v>6528.6</v>
      </c>
      <c r="E2680" t="s">
        <v>3282</v>
      </c>
      <c r="F2680">
        <v>0</v>
      </c>
      <c r="G2680" s="580">
        <v>0</v>
      </c>
      <c r="H2680" s="1" t="s">
        <v>6942</v>
      </c>
      <c r="I2680" s="1"/>
      <c r="J2680" s="1"/>
      <c r="K2680" s="1"/>
      <c r="L2680" s="1"/>
      <c r="M2680" s="1"/>
      <c r="N2680" s="1"/>
      <c r="O2680" s="1"/>
      <c r="Q2680"/>
    </row>
    <row r="2681" spans="1:17" ht="13.15" customHeight="1" x14ac:dyDescent="0.2">
      <c r="A2681" s="1" t="s">
        <v>6943</v>
      </c>
      <c r="B2681" s="1" t="s">
        <v>6901</v>
      </c>
      <c r="C2681" s="580">
        <v>22</v>
      </c>
      <c r="D2681" s="1">
        <v>7081.04</v>
      </c>
      <c r="E2681" t="s">
        <v>3282</v>
      </c>
      <c r="F2681">
        <v>0</v>
      </c>
      <c r="G2681" s="580">
        <v>0</v>
      </c>
      <c r="H2681" s="1" t="s">
        <v>6944</v>
      </c>
      <c r="I2681" s="1"/>
      <c r="J2681" s="1"/>
      <c r="K2681" s="1"/>
      <c r="L2681" s="1"/>
      <c r="M2681" s="1"/>
      <c r="N2681" s="1"/>
      <c r="O2681" s="1"/>
      <c r="Q2681"/>
    </row>
    <row r="2682" spans="1:17" ht="13.15" customHeight="1" x14ac:dyDescent="0.2">
      <c r="A2682" s="1" t="s">
        <v>6945</v>
      </c>
      <c r="B2682" s="1" t="s">
        <v>6901</v>
      </c>
      <c r="C2682" s="580">
        <v>23</v>
      </c>
      <c r="D2682" s="1">
        <v>7623.4</v>
      </c>
      <c r="E2682" t="s">
        <v>3282</v>
      </c>
      <c r="F2682">
        <v>0</v>
      </c>
      <c r="G2682" s="580">
        <v>0</v>
      </c>
      <c r="H2682" s="1" t="s">
        <v>6946</v>
      </c>
      <c r="I2682" s="1"/>
      <c r="J2682" s="1"/>
      <c r="K2682" s="1"/>
      <c r="L2682" s="1"/>
      <c r="M2682" s="1"/>
      <c r="N2682" s="1"/>
      <c r="O2682" s="1"/>
      <c r="Q2682"/>
    </row>
    <row r="2683" spans="1:17" ht="13.15" customHeight="1" x14ac:dyDescent="0.2">
      <c r="A2683" s="1" t="s">
        <v>6947</v>
      </c>
      <c r="B2683" s="1" t="s">
        <v>6901</v>
      </c>
      <c r="C2683" s="580">
        <v>24</v>
      </c>
      <c r="D2683" s="1">
        <v>8165.76</v>
      </c>
      <c r="E2683" t="s">
        <v>3282</v>
      </c>
      <c r="F2683">
        <v>0</v>
      </c>
      <c r="G2683" s="580">
        <v>0</v>
      </c>
      <c r="H2683" s="1" t="s">
        <v>6948</v>
      </c>
      <c r="I2683" s="1"/>
      <c r="J2683" s="1"/>
      <c r="K2683" s="1"/>
      <c r="L2683" s="1"/>
      <c r="M2683" s="1"/>
      <c r="N2683" s="1"/>
      <c r="O2683" s="1"/>
      <c r="Q2683"/>
    </row>
    <row r="2684" spans="1:17" ht="13.15" customHeight="1" x14ac:dyDescent="0.2">
      <c r="A2684" s="1" t="s">
        <v>6949</v>
      </c>
      <c r="B2684" s="1" t="s">
        <v>6950</v>
      </c>
      <c r="C2684" s="580">
        <v>1</v>
      </c>
      <c r="D2684" s="1">
        <v>4872</v>
      </c>
      <c r="E2684" t="s">
        <v>3282</v>
      </c>
      <c r="F2684">
        <v>0</v>
      </c>
      <c r="G2684" s="580">
        <v>0</v>
      </c>
      <c r="H2684" s="1" t="s">
        <v>6951</v>
      </c>
      <c r="I2684" s="1"/>
      <c r="J2684" s="1"/>
      <c r="K2684" s="1"/>
      <c r="L2684" s="1"/>
      <c r="M2684" s="1"/>
      <c r="N2684" s="1"/>
      <c r="O2684" s="1"/>
      <c r="Q2684"/>
    </row>
    <row r="2685" spans="1:17" ht="13.15" customHeight="1" x14ac:dyDescent="0.2">
      <c r="A2685" s="1" t="s">
        <v>6952</v>
      </c>
      <c r="B2685" s="1" t="s">
        <v>6950</v>
      </c>
      <c r="C2685" s="580">
        <v>2</v>
      </c>
      <c r="D2685" s="1">
        <v>6828</v>
      </c>
      <c r="E2685" t="s">
        <v>3282</v>
      </c>
      <c r="F2685">
        <v>0</v>
      </c>
      <c r="G2685" s="580">
        <v>0</v>
      </c>
      <c r="H2685" s="1" t="s">
        <v>6953</v>
      </c>
      <c r="I2685" s="1"/>
      <c r="J2685" s="1"/>
      <c r="K2685" s="1"/>
      <c r="L2685" s="1"/>
      <c r="M2685" s="1"/>
      <c r="N2685" s="1"/>
      <c r="O2685" s="1"/>
      <c r="Q2685"/>
    </row>
    <row r="2686" spans="1:17" ht="13.15" customHeight="1" x14ac:dyDescent="0.2">
      <c r="A2686" s="1" t="s">
        <v>6954</v>
      </c>
      <c r="B2686" s="1" t="s">
        <v>6950</v>
      </c>
      <c r="C2686" s="580">
        <v>3</v>
      </c>
      <c r="D2686" s="1">
        <v>5112</v>
      </c>
      <c r="E2686" t="s">
        <v>3282</v>
      </c>
      <c r="F2686">
        <v>0</v>
      </c>
      <c r="G2686" s="580">
        <v>0</v>
      </c>
      <c r="H2686" s="1" t="s">
        <v>6955</v>
      </c>
      <c r="I2686" s="1"/>
      <c r="J2686" s="1"/>
      <c r="K2686" s="1"/>
      <c r="L2686" s="1"/>
      <c r="M2686" s="1"/>
      <c r="N2686" s="1"/>
      <c r="O2686" s="1"/>
      <c r="Q2686"/>
    </row>
    <row r="2687" spans="1:17" ht="13.15" customHeight="1" x14ac:dyDescent="0.2">
      <c r="A2687" s="1" t="s">
        <v>6956</v>
      </c>
      <c r="B2687" s="1" t="s">
        <v>6950</v>
      </c>
      <c r="C2687" s="580">
        <v>4</v>
      </c>
      <c r="D2687" s="1">
        <v>7044</v>
      </c>
      <c r="E2687" t="s">
        <v>3282</v>
      </c>
      <c r="F2687">
        <v>0</v>
      </c>
      <c r="G2687" s="580">
        <v>0</v>
      </c>
      <c r="H2687" s="1" t="s">
        <v>6957</v>
      </c>
      <c r="I2687" s="1"/>
      <c r="J2687" s="1"/>
      <c r="K2687" s="1"/>
      <c r="L2687" s="1"/>
      <c r="M2687" s="1"/>
      <c r="N2687" s="1"/>
      <c r="O2687" s="1"/>
      <c r="Q2687"/>
    </row>
    <row r="2688" spans="1:17" ht="13.15" customHeight="1" x14ac:dyDescent="0.2">
      <c r="A2688" s="1" t="s">
        <v>6958</v>
      </c>
      <c r="B2688" s="1" t="s">
        <v>6950</v>
      </c>
      <c r="C2688" s="580">
        <v>5</v>
      </c>
      <c r="D2688" s="1">
        <v>8688</v>
      </c>
      <c r="E2688" t="s">
        <v>3282</v>
      </c>
      <c r="F2688">
        <v>0</v>
      </c>
      <c r="G2688" s="580">
        <v>0</v>
      </c>
      <c r="H2688" s="1" t="s">
        <v>6957</v>
      </c>
      <c r="I2688" s="1"/>
      <c r="J2688" s="1"/>
      <c r="K2688" s="1"/>
      <c r="L2688" s="1"/>
      <c r="M2688" s="1"/>
      <c r="N2688" s="1"/>
      <c r="O2688" s="1"/>
      <c r="Q2688"/>
    </row>
    <row r="2689" spans="1:17" ht="13.15" customHeight="1" x14ac:dyDescent="0.2">
      <c r="A2689" s="1" t="s">
        <v>6959</v>
      </c>
      <c r="B2689" s="1" t="s">
        <v>6950</v>
      </c>
      <c r="C2689" s="580">
        <v>6</v>
      </c>
      <c r="D2689" s="1">
        <v>10800</v>
      </c>
      <c r="E2689" t="s">
        <v>3282</v>
      </c>
      <c r="F2689">
        <v>0</v>
      </c>
      <c r="G2689" s="580">
        <v>0</v>
      </c>
      <c r="H2689" s="1" t="s">
        <v>6960</v>
      </c>
      <c r="I2689" s="1"/>
      <c r="J2689" s="1"/>
      <c r="K2689" s="1"/>
      <c r="L2689" s="1"/>
      <c r="M2689" s="1"/>
      <c r="N2689" s="1"/>
      <c r="O2689" s="1"/>
      <c r="Q2689"/>
    </row>
    <row r="2690" spans="1:17" ht="13.15" customHeight="1" x14ac:dyDescent="0.2">
      <c r="A2690" s="1" t="s">
        <v>6961</v>
      </c>
      <c r="B2690" s="1" t="s">
        <v>6950</v>
      </c>
      <c r="C2690" s="580">
        <v>7</v>
      </c>
      <c r="D2690" s="1">
        <v>16380</v>
      </c>
      <c r="E2690" t="s">
        <v>3282</v>
      </c>
      <c r="F2690">
        <v>0</v>
      </c>
      <c r="G2690" s="580">
        <v>0</v>
      </c>
      <c r="H2690" s="1" t="s">
        <v>6962</v>
      </c>
      <c r="I2690" s="1"/>
      <c r="J2690" s="1"/>
      <c r="K2690" s="1"/>
      <c r="L2690" s="1"/>
      <c r="M2690" s="1"/>
      <c r="N2690" s="1"/>
      <c r="O2690" s="1"/>
      <c r="Q2690"/>
    </row>
    <row r="2691" spans="1:17" ht="13.15" customHeight="1" x14ac:dyDescent="0.2">
      <c r="A2691" s="1" t="s">
        <v>6963</v>
      </c>
      <c r="B2691" s="1" t="s">
        <v>6950</v>
      </c>
      <c r="C2691" s="580" t="s">
        <v>6964</v>
      </c>
      <c r="D2691" s="1">
        <v>7380</v>
      </c>
      <c r="E2691" t="s">
        <v>3282</v>
      </c>
      <c r="F2691">
        <v>0</v>
      </c>
      <c r="G2691" s="580">
        <v>0</v>
      </c>
      <c r="H2691" s="1" t="s">
        <v>6965</v>
      </c>
      <c r="I2691" s="1"/>
      <c r="J2691" s="1"/>
      <c r="K2691" s="1"/>
      <c r="L2691" s="1"/>
      <c r="M2691" s="1"/>
      <c r="N2691" s="1"/>
      <c r="O2691" s="1"/>
      <c r="Q2691"/>
    </row>
    <row r="2692" spans="1:17" ht="13.15" customHeight="1" x14ac:dyDescent="0.2">
      <c r="A2692" s="1" t="s">
        <v>6966</v>
      </c>
      <c r="B2692" s="1" t="s">
        <v>6950</v>
      </c>
      <c r="C2692" s="580" t="s">
        <v>6967</v>
      </c>
      <c r="D2692" s="1">
        <v>8640</v>
      </c>
      <c r="E2692" t="s">
        <v>3282</v>
      </c>
      <c r="F2692">
        <v>0</v>
      </c>
      <c r="G2692" s="580">
        <v>0</v>
      </c>
      <c r="H2692" s="1" t="s">
        <v>6968</v>
      </c>
      <c r="I2692" s="1"/>
      <c r="J2692" s="1"/>
      <c r="K2692" s="1"/>
      <c r="L2692" s="1"/>
      <c r="M2692" s="1"/>
      <c r="N2692" s="1"/>
      <c r="O2692" s="1"/>
      <c r="Q2692"/>
    </row>
    <row r="2693" spans="1:17" ht="13.15" customHeight="1" x14ac:dyDescent="0.2">
      <c r="A2693" s="1" t="s">
        <v>6969</v>
      </c>
      <c r="B2693" s="1" t="s">
        <v>6950</v>
      </c>
      <c r="C2693" s="580" t="s">
        <v>6970</v>
      </c>
      <c r="D2693" s="1">
        <v>16500</v>
      </c>
      <c r="E2693" t="s">
        <v>3282</v>
      </c>
      <c r="F2693">
        <v>0</v>
      </c>
      <c r="G2693" s="580">
        <v>0</v>
      </c>
      <c r="H2693" s="1" t="s">
        <v>6971</v>
      </c>
      <c r="I2693" s="1"/>
      <c r="J2693" s="1"/>
      <c r="K2693" s="1"/>
      <c r="L2693" s="1"/>
      <c r="M2693" s="1"/>
      <c r="N2693" s="1"/>
      <c r="O2693" s="1"/>
      <c r="Q2693"/>
    </row>
    <row r="2694" spans="1:17" ht="13.15" customHeight="1" x14ac:dyDescent="0.2">
      <c r="A2694" s="1" t="s">
        <v>6972</v>
      </c>
      <c r="B2694" s="1" t="s">
        <v>6950</v>
      </c>
      <c r="C2694" s="580">
        <v>9</v>
      </c>
      <c r="D2694" s="1">
        <v>6720</v>
      </c>
      <c r="E2694" t="s">
        <v>3282</v>
      </c>
      <c r="F2694">
        <v>0</v>
      </c>
      <c r="G2694" s="580">
        <v>0</v>
      </c>
      <c r="H2694" s="1" t="s">
        <v>6973</v>
      </c>
      <c r="I2694" s="1"/>
      <c r="J2694" s="1"/>
      <c r="K2694" s="1"/>
      <c r="L2694" s="1"/>
      <c r="M2694" s="1"/>
      <c r="N2694" s="1"/>
      <c r="O2694" s="1"/>
      <c r="Q2694"/>
    </row>
    <row r="2695" spans="1:17" ht="13.15" customHeight="1" x14ac:dyDescent="0.2">
      <c r="A2695" s="1" t="s">
        <v>6974</v>
      </c>
      <c r="B2695" s="1" t="s">
        <v>6950</v>
      </c>
      <c r="C2695" s="580">
        <v>10</v>
      </c>
      <c r="D2695" s="1">
        <v>9600</v>
      </c>
      <c r="E2695" t="s">
        <v>3282</v>
      </c>
      <c r="F2695">
        <v>0</v>
      </c>
      <c r="G2695" s="580">
        <v>0</v>
      </c>
      <c r="H2695" s="1" t="s">
        <v>6975</v>
      </c>
      <c r="I2695" s="1"/>
      <c r="J2695" s="1"/>
      <c r="K2695" s="1"/>
      <c r="L2695" s="1"/>
      <c r="M2695" s="1"/>
      <c r="N2695" s="1"/>
      <c r="O2695" s="1"/>
      <c r="Q2695"/>
    </row>
    <row r="2696" spans="1:17" ht="13.15" customHeight="1" x14ac:dyDescent="0.2">
      <c r="A2696" s="1" t="s">
        <v>6976</v>
      </c>
      <c r="B2696" s="1" t="s">
        <v>6950</v>
      </c>
      <c r="C2696" s="580">
        <v>14</v>
      </c>
      <c r="D2696" s="1">
        <v>12540</v>
      </c>
      <c r="E2696" t="s">
        <v>3282</v>
      </c>
      <c r="F2696">
        <v>0</v>
      </c>
      <c r="G2696" s="580">
        <v>0</v>
      </c>
      <c r="H2696" s="1" t="s">
        <v>6977</v>
      </c>
      <c r="I2696" s="1"/>
      <c r="J2696" s="1"/>
      <c r="K2696" s="1"/>
      <c r="L2696" s="1"/>
      <c r="M2696" s="1"/>
      <c r="N2696" s="1"/>
      <c r="O2696" s="1"/>
      <c r="Q2696"/>
    </row>
    <row r="2697" spans="1:17" ht="13.15" customHeight="1" x14ac:dyDescent="0.2">
      <c r="A2697" s="1" t="s">
        <v>6978</v>
      </c>
      <c r="B2697" s="1" t="s">
        <v>6950</v>
      </c>
      <c r="C2697" s="580">
        <v>15</v>
      </c>
      <c r="D2697" s="1">
        <v>20520</v>
      </c>
      <c r="E2697" t="s">
        <v>3282</v>
      </c>
      <c r="F2697">
        <v>0</v>
      </c>
      <c r="G2697" s="580">
        <v>0</v>
      </c>
      <c r="H2697" s="1" t="s">
        <v>6979</v>
      </c>
      <c r="I2697" s="1"/>
      <c r="J2697" s="1"/>
      <c r="K2697" s="1"/>
      <c r="L2697" s="1"/>
      <c r="M2697" s="1"/>
      <c r="N2697" s="1"/>
      <c r="O2697" s="1"/>
      <c r="Q2697"/>
    </row>
    <row r="2698" spans="1:17" ht="13.15" customHeight="1" x14ac:dyDescent="0.2">
      <c r="A2698" s="1" t="s">
        <v>6980</v>
      </c>
      <c r="B2698" s="1" t="s">
        <v>6950</v>
      </c>
      <c r="C2698" s="580">
        <v>16</v>
      </c>
      <c r="D2698" s="1">
        <v>9900</v>
      </c>
      <c r="E2698" t="s">
        <v>3282</v>
      </c>
      <c r="F2698">
        <v>0</v>
      </c>
      <c r="G2698" s="580">
        <v>0</v>
      </c>
      <c r="H2698" s="1" t="s">
        <v>6981</v>
      </c>
      <c r="I2698" s="1"/>
      <c r="J2698" s="1"/>
      <c r="K2698" s="1"/>
      <c r="L2698" s="1"/>
      <c r="M2698" s="1"/>
      <c r="N2698" s="1"/>
      <c r="O2698" s="1"/>
      <c r="Q2698"/>
    </row>
    <row r="2699" spans="1:17" ht="13.15" customHeight="1" x14ac:dyDescent="0.2">
      <c r="A2699" s="1" t="s">
        <v>6982</v>
      </c>
      <c r="B2699" s="1" t="s">
        <v>6950</v>
      </c>
      <c r="C2699" s="580">
        <v>17</v>
      </c>
      <c r="D2699" s="1">
        <v>7680</v>
      </c>
      <c r="E2699" t="s">
        <v>3282</v>
      </c>
      <c r="F2699">
        <v>0</v>
      </c>
      <c r="G2699" s="580">
        <v>0</v>
      </c>
      <c r="H2699" s="1" t="s">
        <v>6983</v>
      </c>
      <c r="I2699" s="1"/>
      <c r="J2699" s="1"/>
      <c r="K2699" s="1"/>
      <c r="L2699" s="1"/>
      <c r="M2699" s="1"/>
      <c r="N2699" s="1"/>
      <c r="O2699" s="1"/>
      <c r="Q2699"/>
    </row>
    <row r="2700" spans="1:17" ht="13.15" customHeight="1" x14ac:dyDescent="0.2">
      <c r="A2700" s="1" t="s">
        <v>6984</v>
      </c>
      <c r="B2700" s="1" t="s">
        <v>6950</v>
      </c>
      <c r="C2700" s="580">
        <v>23</v>
      </c>
      <c r="D2700" s="1">
        <v>18720</v>
      </c>
      <c r="E2700" t="s">
        <v>3282</v>
      </c>
      <c r="F2700">
        <v>0</v>
      </c>
      <c r="G2700" s="580">
        <v>0</v>
      </c>
      <c r="H2700" s="1" t="s">
        <v>6985</v>
      </c>
      <c r="I2700" s="1"/>
      <c r="J2700" s="1"/>
      <c r="K2700" s="1"/>
      <c r="L2700" s="1"/>
      <c r="M2700" s="1"/>
      <c r="N2700" s="1"/>
      <c r="O2700" s="1"/>
      <c r="Q2700"/>
    </row>
    <row r="2701" spans="1:17" ht="13.15" customHeight="1" x14ac:dyDescent="0.2">
      <c r="A2701" s="1" t="s">
        <v>6986</v>
      </c>
      <c r="B2701" s="1" t="s">
        <v>6950</v>
      </c>
      <c r="C2701" s="580">
        <v>31</v>
      </c>
      <c r="D2701" s="1">
        <v>15060</v>
      </c>
      <c r="E2701" t="s">
        <v>3282</v>
      </c>
      <c r="F2701">
        <v>0</v>
      </c>
      <c r="G2701" s="580">
        <v>0</v>
      </c>
      <c r="H2701" s="1" t="s">
        <v>6987</v>
      </c>
      <c r="I2701" s="1"/>
      <c r="J2701" s="1"/>
      <c r="K2701" s="1"/>
      <c r="L2701" s="1"/>
      <c r="M2701" s="1"/>
      <c r="N2701" s="1"/>
      <c r="O2701" s="1"/>
      <c r="Q2701"/>
    </row>
    <row r="2702" spans="1:17" ht="13.15" customHeight="1" x14ac:dyDescent="0.2">
      <c r="A2702" s="1" t="s">
        <v>6988</v>
      </c>
      <c r="B2702" s="1" t="s">
        <v>6950</v>
      </c>
      <c r="C2702" s="580">
        <v>30</v>
      </c>
      <c r="D2702" s="1">
        <v>10980</v>
      </c>
      <c r="E2702" t="s">
        <v>3282</v>
      </c>
      <c r="F2702">
        <v>0</v>
      </c>
      <c r="G2702" s="580">
        <v>0</v>
      </c>
      <c r="H2702" s="1" t="s">
        <v>6989</v>
      </c>
      <c r="I2702" s="1"/>
      <c r="J2702" s="1"/>
      <c r="K2702" s="1"/>
      <c r="L2702" s="1"/>
      <c r="M2702" s="1"/>
      <c r="N2702" s="1"/>
      <c r="O2702" s="1"/>
      <c r="Q2702"/>
    </row>
    <row r="2703" spans="1:17" ht="13.15" customHeight="1" x14ac:dyDescent="0.2">
      <c r="A2703" s="1" t="s">
        <v>6990</v>
      </c>
      <c r="B2703" s="1" t="s">
        <v>6950</v>
      </c>
      <c r="C2703" s="580">
        <v>29</v>
      </c>
      <c r="D2703" s="1">
        <v>12360</v>
      </c>
      <c r="E2703" t="s">
        <v>3282</v>
      </c>
      <c r="F2703">
        <v>0</v>
      </c>
      <c r="G2703" s="580">
        <v>0</v>
      </c>
      <c r="H2703" s="1" t="s">
        <v>6991</v>
      </c>
      <c r="I2703" s="1"/>
      <c r="J2703" s="1"/>
      <c r="K2703" s="1"/>
      <c r="L2703" s="1"/>
      <c r="M2703" s="1"/>
      <c r="N2703" s="1"/>
      <c r="O2703" s="1"/>
      <c r="Q2703"/>
    </row>
    <row r="2704" spans="1:17" ht="13.15" customHeight="1" x14ac:dyDescent="0.2">
      <c r="A2704" s="1" t="s">
        <v>6992</v>
      </c>
      <c r="B2704" s="1" t="s">
        <v>6950</v>
      </c>
      <c r="C2704" s="580">
        <v>28</v>
      </c>
      <c r="D2704" s="1">
        <v>9360</v>
      </c>
      <c r="E2704" t="s">
        <v>3282</v>
      </c>
      <c r="F2704">
        <v>0</v>
      </c>
      <c r="G2704" s="580">
        <v>0</v>
      </c>
      <c r="H2704" s="1" t="s">
        <v>6993</v>
      </c>
      <c r="I2704" s="1"/>
      <c r="J2704" s="1"/>
      <c r="K2704" s="1"/>
      <c r="L2704" s="1"/>
      <c r="M2704" s="1"/>
      <c r="N2704" s="1"/>
      <c r="O2704" s="1"/>
      <c r="Q2704"/>
    </row>
    <row r="2705" spans="1:17" ht="13.15" customHeight="1" x14ac:dyDescent="0.2">
      <c r="A2705" s="1" t="s">
        <v>6994</v>
      </c>
      <c r="B2705" s="1" t="s">
        <v>6950</v>
      </c>
      <c r="C2705" s="580">
        <v>27</v>
      </c>
      <c r="D2705" s="1">
        <v>6720</v>
      </c>
      <c r="E2705" t="s">
        <v>3282</v>
      </c>
      <c r="F2705">
        <v>0</v>
      </c>
      <c r="G2705" s="580">
        <v>0</v>
      </c>
      <c r="H2705" s="1" t="s">
        <v>6995</v>
      </c>
      <c r="I2705" s="1"/>
      <c r="J2705" s="1"/>
      <c r="K2705" s="1"/>
      <c r="L2705" s="1"/>
      <c r="M2705" s="1"/>
      <c r="N2705" s="1"/>
      <c r="O2705" s="1"/>
      <c r="Q2705"/>
    </row>
    <row r="2706" spans="1:17" ht="13.15" customHeight="1" x14ac:dyDescent="0.2">
      <c r="A2706" s="1" t="s">
        <v>6996</v>
      </c>
      <c r="B2706" s="1" t="s">
        <v>6950</v>
      </c>
      <c r="C2706" s="580">
        <v>26</v>
      </c>
      <c r="D2706" s="1">
        <v>10620</v>
      </c>
      <c r="E2706" t="s">
        <v>3282</v>
      </c>
      <c r="F2706">
        <v>0</v>
      </c>
      <c r="G2706" s="580">
        <v>0</v>
      </c>
      <c r="H2706" s="1" t="s">
        <v>6997</v>
      </c>
      <c r="I2706" s="1"/>
      <c r="J2706" s="1"/>
      <c r="K2706" s="1"/>
      <c r="L2706" s="1"/>
      <c r="M2706" s="1"/>
      <c r="N2706" s="1"/>
      <c r="O2706" s="1"/>
      <c r="Q2706"/>
    </row>
    <row r="2707" spans="1:17" ht="13.15" customHeight="1" x14ac:dyDescent="0.2">
      <c r="A2707" s="1" t="s">
        <v>6998</v>
      </c>
      <c r="B2707" s="1" t="s">
        <v>6950</v>
      </c>
      <c r="C2707" s="580">
        <v>24</v>
      </c>
      <c r="D2707" s="1">
        <v>10620</v>
      </c>
      <c r="E2707" t="s">
        <v>3282</v>
      </c>
      <c r="F2707">
        <v>0</v>
      </c>
      <c r="G2707" s="580">
        <v>0</v>
      </c>
      <c r="H2707" s="1" t="s">
        <v>6999</v>
      </c>
      <c r="I2707" s="1"/>
      <c r="J2707" s="1"/>
      <c r="K2707" s="1"/>
      <c r="L2707" s="1"/>
      <c r="M2707" s="1"/>
      <c r="N2707" s="1"/>
      <c r="O2707" s="1"/>
      <c r="Q2707"/>
    </row>
    <row r="2708" spans="1:17" ht="13.15" customHeight="1" x14ac:dyDescent="0.2">
      <c r="A2708" s="1" t="s">
        <v>7000</v>
      </c>
      <c r="B2708" s="1" t="s">
        <v>6950</v>
      </c>
      <c r="C2708" s="580">
        <v>91</v>
      </c>
      <c r="D2708" s="1">
        <v>10800</v>
      </c>
      <c r="E2708" t="s">
        <v>3282</v>
      </c>
      <c r="F2708">
        <v>0</v>
      </c>
      <c r="G2708" s="580">
        <v>0</v>
      </c>
      <c r="H2708" s="1" t="s">
        <v>7001</v>
      </c>
      <c r="I2708" s="1"/>
      <c r="J2708" s="1"/>
      <c r="K2708" s="1"/>
      <c r="L2708" s="1"/>
      <c r="M2708" s="1"/>
      <c r="N2708" s="1"/>
      <c r="O2708" s="1"/>
      <c r="Q2708"/>
    </row>
    <row r="2709" spans="1:17" ht="13.15" customHeight="1" x14ac:dyDescent="0.2">
      <c r="A2709" s="1" t="s">
        <v>7002</v>
      </c>
      <c r="B2709" s="1" t="s">
        <v>7003</v>
      </c>
      <c r="C2709" s="580">
        <v>10010</v>
      </c>
      <c r="D2709" s="1">
        <v>1533</v>
      </c>
      <c r="E2709" t="s">
        <v>3615</v>
      </c>
      <c r="F2709">
        <v>0</v>
      </c>
      <c r="G2709" s="580">
        <v>0</v>
      </c>
      <c r="H2709" s="1" t="s">
        <v>7004</v>
      </c>
      <c r="I2709" s="1"/>
      <c r="J2709" s="1"/>
      <c r="K2709" s="1"/>
      <c r="L2709" s="1"/>
      <c r="M2709" s="1"/>
      <c r="N2709" s="1"/>
      <c r="O2709" s="1"/>
      <c r="Q2709"/>
    </row>
    <row r="2710" spans="1:17" ht="13.15" customHeight="1" x14ac:dyDescent="0.2">
      <c r="A2710" s="1" t="s">
        <v>7005</v>
      </c>
      <c r="B2710" s="1" t="s">
        <v>7003</v>
      </c>
      <c r="C2710" s="580">
        <v>10011</v>
      </c>
      <c r="D2710" s="1">
        <v>1533</v>
      </c>
      <c r="E2710" t="s">
        <v>3615</v>
      </c>
      <c r="F2710">
        <v>0</v>
      </c>
      <c r="G2710" s="580">
        <v>0</v>
      </c>
      <c r="H2710" s="1" t="s">
        <v>7006</v>
      </c>
      <c r="I2710" s="1"/>
      <c r="J2710" s="1"/>
      <c r="K2710" s="1"/>
      <c r="L2710" s="1"/>
      <c r="M2710" s="1"/>
      <c r="N2710" s="1"/>
      <c r="O2710" s="1"/>
      <c r="Q2710"/>
    </row>
    <row r="2711" spans="1:17" ht="13.15" customHeight="1" x14ac:dyDescent="0.2">
      <c r="A2711" s="1" t="s">
        <v>7007</v>
      </c>
      <c r="B2711" s="1" t="s">
        <v>7003</v>
      </c>
      <c r="C2711" s="580">
        <v>10015</v>
      </c>
      <c r="D2711" s="1">
        <v>2409</v>
      </c>
      <c r="E2711" t="s">
        <v>3615</v>
      </c>
      <c r="F2711">
        <v>0</v>
      </c>
      <c r="G2711" s="580">
        <v>0</v>
      </c>
      <c r="H2711" s="1" t="s">
        <v>7008</v>
      </c>
      <c r="I2711" s="1"/>
      <c r="J2711" s="1"/>
      <c r="K2711" s="1"/>
      <c r="L2711" s="1"/>
      <c r="M2711" s="1"/>
      <c r="N2711" s="1"/>
      <c r="O2711" s="1"/>
      <c r="Q2711"/>
    </row>
    <row r="2712" spans="1:17" ht="13.15" customHeight="1" x14ac:dyDescent="0.2">
      <c r="A2712" s="1" t="s">
        <v>7009</v>
      </c>
      <c r="B2712" s="1" t="s">
        <v>7003</v>
      </c>
      <c r="C2712" s="580">
        <v>10018</v>
      </c>
      <c r="D2712" s="1">
        <v>2409</v>
      </c>
      <c r="E2712" t="s">
        <v>3615</v>
      </c>
      <c r="F2712">
        <v>0</v>
      </c>
      <c r="G2712" s="580">
        <v>0</v>
      </c>
      <c r="H2712" s="1" t="s">
        <v>7010</v>
      </c>
      <c r="I2712" s="1"/>
      <c r="J2712" s="1"/>
      <c r="K2712" s="1"/>
      <c r="L2712" s="1"/>
      <c r="M2712" s="1"/>
      <c r="N2712" s="1"/>
      <c r="O2712" s="1"/>
      <c r="Q2712"/>
    </row>
    <row r="2713" spans="1:17" ht="13.15" customHeight="1" x14ac:dyDescent="0.2">
      <c r="A2713" s="1" t="s">
        <v>7011</v>
      </c>
      <c r="B2713" s="1" t="s">
        <v>7003</v>
      </c>
      <c r="C2713" s="580">
        <v>10019</v>
      </c>
      <c r="D2713" s="1">
        <v>1095</v>
      </c>
      <c r="E2713" t="s">
        <v>3615</v>
      </c>
      <c r="F2713">
        <v>0</v>
      </c>
      <c r="G2713" s="580">
        <v>0</v>
      </c>
      <c r="H2713" s="1" t="s">
        <v>7012</v>
      </c>
      <c r="I2713" s="1"/>
      <c r="J2713" s="1"/>
      <c r="K2713" s="1"/>
      <c r="L2713" s="1"/>
      <c r="M2713" s="1"/>
      <c r="N2713" s="1"/>
      <c r="O2713" s="1"/>
      <c r="Q2713"/>
    </row>
    <row r="2714" spans="1:17" ht="13.15" customHeight="1" x14ac:dyDescent="0.2">
      <c r="A2714" s="1" t="s">
        <v>7013</v>
      </c>
      <c r="B2714" s="1" t="s">
        <v>7003</v>
      </c>
      <c r="C2714" s="580">
        <v>10020</v>
      </c>
      <c r="D2714" s="1">
        <v>1095</v>
      </c>
      <c r="E2714" t="s">
        <v>3615</v>
      </c>
      <c r="F2714">
        <v>0</v>
      </c>
      <c r="G2714" s="580">
        <v>0</v>
      </c>
      <c r="H2714" s="1" t="s">
        <v>7014</v>
      </c>
      <c r="I2714" s="1"/>
      <c r="J2714" s="1"/>
      <c r="K2714" s="1"/>
      <c r="L2714" s="1"/>
      <c r="M2714" s="1"/>
      <c r="N2714" s="1"/>
      <c r="O2714" s="1"/>
      <c r="Q2714"/>
    </row>
    <row r="2715" spans="1:17" ht="13.15" customHeight="1" x14ac:dyDescent="0.2">
      <c r="A2715" s="1" t="s">
        <v>7015</v>
      </c>
      <c r="B2715" s="1" t="s">
        <v>7003</v>
      </c>
      <c r="C2715" s="580">
        <v>20003</v>
      </c>
      <c r="D2715" s="1">
        <v>876</v>
      </c>
      <c r="E2715" t="s">
        <v>3615</v>
      </c>
      <c r="F2715">
        <v>0</v>
      </c>
      <c r="G2715" s="580">
        <v>0</v>
      </c>
      <c r="H2715" s="1" t="s">
        <v>7016</v>
      </c>
      <c r="I2715" s="1"/>
      <c r="J2715" s="1"/>
      <c r="K2715" s="1"/>
      <c r="L2715" s="1"/>
      <c r="M2715" s="1"/>
      <c r="N2715" s="1"/>
      <c r="O2715" s="1"/>
      <c r="Q2715"/>
    </row>
    <row r="2716" spans="1:17" ht="13.15" customHeight="1" x14ac:dyDescent="0.2">
      <c r="A2716" s="1" t="s">
        <v>7017</v>
      </c>
      <c r="B2716" s="1" t="s">
        <v>7003</v>
      </c>
      <c r="C2716" s="580">
        <v>20012</v>
      </c>
      <c r="D2716" s="1">
        <v>3066</v>
      </c>
      <c r="E2716" t="s">
        <v>3615</v>
      </c>
      <c r="F2716">
        <v>0</v>
      </c>
      <c r="G2716" s="580">
        <v>0</v>
      </c>
      <c r="H2716" s="1" t="s">
        <v>7018</v>
      </c>
      <c r="I2716" s="1"/>
      <c r="J2716" s="1"/>
      <c r="K2716" s="1"/>
      <c r="L2716" s="1"/>
      <c r="M2716" s="1"/>
      <c r="N2716" s="1"/>
      <c r="O2716" s="1"/>
      <c r="Q2716"/>
    </row>
    <row r="2717" spans="1:17" ht="13.15" customHeight="1" x14ac:dyDescent="0.2">
      <c r="A2717" s="1" t="s">
        <v>7019</v>
      </c>
      <c r="B2717" s="1" t="s">
        <v>7003</v>
      </c>
      <c r="C2717" s="580">
        <v>20016</v>
      </c>
      <c r="D2717" s="1">
        <v>4380</v>
      </c>
      <c r="E2717" t="s">
        <v>3615</v>
      </c>
      <c r="F2717">
        <v>0</v>
      </c>
      <c r="G2717" s="580">
        <v>0</v>
      </c>
      <c r="H2717" s="1" t="s">
        <v>7020</v>
      </c>
      <c r="I2717" s="1"/>
      <c r="J2717" s="1"/>
      <c r="K2717" s="1"/>
      <c r="L2717" s="1"/>
      <c r="M2717" s="1"/>
      <c r="N2717" s="1"/>
      <c r="O2717" s="1"/>
      <c r="Q2717"/>
    </row>
    <row r="2718" spans="1:17" ht="13.15" customHeight="1" x14ac:dyDescent="0.2">
      <c r="A2718" s="1" t="s">
        <v>7021</v>
      </c>
      <c r="B2718" s="1" t="s">
        <v>7003</v>
      </c>
      <c r="C2718" s="580">
        <v>20017</v>
      </c>
      <c r="D2718" s="1">
        <v>1204.52</v>
      </c>
      <c r="E2718" t="s">
        <v>3615</v>
      </c>
      <c r="F2718">
        <v>0</v>
      </c>
      <c r="G2718" s="580">
        <v>0</v>
      </c>
      <c r="H2718" s="1" t="s">
        <v>7022</v>
      </c>
      <c r="I2718" s="1"/>
      <c r="J2718" s="1"/>
      <c r="K2718" s="1"/>
      <c r="L2718" s="1"/>
      <c r="M2718" s="1"/>
      <c r="N2718" s="1"/>
      <c r="O2718" s="1"/>
      <c r="Q2718"/>
    </row>
    <row r="2719" spans="1:17" ht="13.15" customHeight="1" x14ac:dyDescent="0.2">
      <c r="A2719" s="1" t="s">
        <v>7023</v>
      </c>
      <c r="B2719" s="1" t="s">
        <v>7003</v>
      </c>
      <c r="C2719" s="580">
        <v>20018</v>
      </c>
      <c r="D2719" s="1">
        <v>1204.52</v>
      </c>
      <c r="E2719" t="s">
        <v>3615</v>
      </c>
      <c r="F2719">
        <v>0</v>
      </c>
      <c r="G2719" s="580">
        <v>0</v>
      </c>
      <c r="H2719" s="1" t="s">
        <v>7024</v>
      </c>
      <c r="I2719" s="1"/>
      <c r="J2719" s="1"/>
      <c r="K2719" s="1"/>
      <c r="L2719" s="1"/>
      <c r="M2719" s="1"/>
      <c r="N2719" s="1"/>
      <c r="O2719" s="1"/>
      <c r="Q2719"/>
    </row>
    <row r="2720" spans="1:17" ht="13.15" customHeight="1" x14ac:dyDescent="0.2">
      <c r="A2720" s="1" t="s">
        <v>7025</v>
      </c>
      <c r="B2720" s="1" t="s">
        <v>7003</v>
      </c>
      <c r="C2720" s="580">
        <v>20019</v>
      </c>
      <c r="D2720" s="1">
        <v>2409</v>
      </c>
      <c r="E2720" t="s">
        <v>3615</v>
      </c>
      <c r="F2720">
        <v>0</v>
      </c>
      <c r="G2720" s="580">
        <v>0</v>
      </c>
      <c r="H2720" s="1" t="s">
        <v>7026</v>
      </c>
      <c r="I2720" s="1"/>
      <c r="J2720" s="1"/>
      <c r="K2720" s="1"/>
      <c r="L2720" s="1"/>
      <c r="M2720" s="1"/>
      <c r="N2720" s="1"/>
      <c r="O2720" s="1"/>
      <c r="Q2720"/>
    </row>
    <row r="2721" spans="1:17" ht="13.15" customHeight="1" x14ac:dyDescent="0.2">
      <c r="A2721" s="1" t="s">
        <v>7027</v>
      </c>
      <c r="B2721" s="1" t="s">
        <v>7003</v>
      </c>
      <c r="C2721" s="580">
        <v>20020</v>
      </c>
      <c r="D2721" s="1">
        <v>1971</v>
      </c>
      <c r="E2721" t="s">
        <v>3615</v>
      </c>
      <c r="F2721">
        <v>0</v>
      </c>
      <c r="G2721" s="580">
        <v>0</v>
      </c>
      <c r="H2721" s="1" t="s">
        <v>7028</v>
      </c>
      <c r="I2721" s="1"/>
      <c r="J2721" s="1"/>
      <c r="K2721" s="1"/>
      <c r="L2721" s="1"/>
      <c r="M2721" s="1"/>
      <c r="N2721" s="1"/>
      <c r="O2721" s="1"/>
      <c r="Q2721"/>
    </row>
    <row r="2722" spans="1:17" ht="13.15" customHeight="1" x14ac:dyDescent="0.2">
      <c r="A2722" s="1" t="s">
        <v>7029</v>
      </c>
      <c r="B2722" s="1" t="s">
        <v>7003</v>
      </c>
      <c r="C2722" s="580">
        <v>20024</v>
      </c>
      <c r="D2722" s="1">
        <v>1095</v>
      </c>
      <c r="E2722" t="s">
        <v>3615</v>
      </c>
      <c r="F2722">
        <v>0</v>
      </c>
      <c r="G2722" s="580">
        <v>0</v>
      </c>
      <c r="H2722" s="1" t="s">
        <v>7030</v>
      </c>
      <c r="I2722" s="1"/>
      <c r="J2722" s="1"/>
      <c r="K2722" s="1"/>
      <c r="L2722" s="1"/>
      <c r="M2722" s="1"/>
      <c r="N2722" s="1"/>
      <c r="O2722" s="1"/>
      <c r="Q2722"/>
    </row>
    <row r="2723" spans="1:17" ht="13.15" customHeight="1" x14ac:dyDescent="0.2">
      <c r="A2723" s="1" t="s">
        <v>7031</v>
      </c>
      <c r="B2723" s="1" t="s">
        <v>7003</v>
      </c>
      <c r="C2723" s="580">
        <v>20027</v>
      </c>
      <c r="D2723" s="1">
        <v>1971</v>
      </c>
      <c r="E2723" t="s">
        <v>3615</v>
      </c>
      <c r="F2723">
        <v>0</v>
      </c>
      <c r="G2723" s="580">
        <v>0</v>
      </c>
      <c r="H2723" s="1" t="s">
        <v>7032</v>
      </c>
      <c r="I2723" s="1"/>
      <c r="J2723" s="1"/>
      <c r="K2723" s="1"/>
      <c r="L2723" s="1"/>
      <c r="M2723" s="1"/>
      <c r="N2723" s="1"/>
      <c r="O2723" s="1"/>
      <c r="Q2723"/>
    </row>
    <row r="2724" spans="1:17" ht="13.15" customHeight="1" x14ac:dyDescent="0.2">
      <c r="A2724" s="1" t="s">
        <v>7033</v>
      </c>
      <c r="B2724" s="1" t="s">
        <v>7003</v>
      </c>
      <c r="C2724" s="580">
        <v>20028</v>
      </c>
      <c r="D2724" s="1">
        <v>1971</v>
      </c>
      <c r="E2724" t="s">
        <v>3615</v>
      </c>
      <c r="F2724">
        <v>0</v>
      </c>
      <c r="G2724" s="580">
        <v>0</v>
      </c>
      <c r="H2724" s="1" t="s">
        <v>7034</v>
      </c>
      <c r="I2724" s="1"/>
      <c r="J2724" s="1"/>
      <c r="K2724" s="1"/>
      <c r="L2724" s="1"/>
      <c r="M2724" s="1"/>
      <c r="N2724" s="1"/>
      <c r="O2724" s="1"/>
      <c r="Q2724"/>
    </row>
    <row r="2725" spans="1:17" ht="13.15" customHeight="1" x14ac:dyDescent="0.2">
      <c r="A2725" s="1" t="s">
        <v>7035</v>
      </c>
      <c r="B2725" s="1" t="s">
        <v>7003</v>
      </c>
      <c r="C2725" s="580">
        <v>20029</v>
      </c>
      <c r="D2725" s="1">
        <v>1971</v>
      </c>
      <c r="E2725" t="s">
        <v>3615</v>
      </c>
      <c r="F2725">
        <v>0</v>
      </c>
      <c r="G2725" s="580">
        <v>0</v>
      </c>
      <c r="H2725" s="1" t="s">
        <v>7036</v>
      </c>
      <c r="I2725" s="1"/>
      <c r="J2725" s="1"/>
      <c r="K2725" s="1"/>
      <c r="L2725" s="1"/>
      <c r="M2725" s="1"/>
      <c r="N2725" s="1"/>
      <c r="O2725" s="1"/>
      <c r="Q2725"/>
    </row>
    <row r="2726" spans="1:17" ht="13.15" customHeight="1" x14ac:dyDescent="0.2">
      <c r="A2726" s="1" t="s">
        <v>7037</v>
      </c>
      <c r="B2726" s="1" t="s">
        <v>7003</v>
      </c>
      <c r="C2726" s="580">
        <v>20034</v>
      </c>
      <c r="D2726" s="1">
        <v>1095</v>
      </c>
      <c r="E2726" t="s">
        <v>3615</v>
      </c>
      <c r="F2726">
        <v>0</v>
      </c>
      <c r="G2726" s="580">
        <v>0</v>
      </c>
      <c r="H2726" s="1" t="s">
        <v>7038</v>
      </c>
      <c r="I2726" s="1"/>
      <c r="J2726" s="1"/>
      <c r="K2726" s="1"/>
      <c r="L2726" s="1"/>
      <c r="M2726" s="1"/>
      <c r="N2726" s="1"/>
      <c r="O2726" s="1"/>
      <c r="Q2726"/>
    </row>
    <row r="2727" spans="1:17" ht="13.15" customHeight="1" x14ac:dyDescent="0.2">
      <c r="A2727" s="1" t="s">
        <v>7039</v>
      </c>
      <c r="B2727" s="1" t="s">
        <v>7003</v>
      </c>
      <c r="C2727" s="580">
        <v>20035</v>
      </c>
      <c r="D2727" s="1">
        <v>1095</v>
      </c>
      <c r="E2727" t="s">
        <v>3615</v>
      </c>
      <c r="F2727">
        <v>0</v>
      </c>
      <c r="G2727" s="580">
        <v>0</v>
      </c>
      <c r="H2727" s="1" t="s">
        <v>7040</v>
      </c>
      <c r="I2727" s="1"/>
      <c r="J2727" s="1"/>
      <c r="K2727" s="1"/>
      <c r="L2727" s="1"/>
      <c r="M2727" s="1"/>
      <c r="N2727" s="1"/>
      <c r="O2727" s="1"/>
      <c r="Q2727"/>
    </row>
    <row r="2728" spans="1:17" ht="13.15" customHeight="1" x14ac:dyDescent="0.2">
      <c r="A2728" s="1" t="s">
        <v>7041</v>
      </c>
      <c r="B2728" s="1" t="s">
        <v>7003</v>
      </c>
      <c r="C2728" s="580">
        <v>20036</v>
      </c>
      <c r="D2728" s="1">
        <v>2409</v>
      </c>
      <c r="E2728" t="s">
        <v>3615</v>
      </c>
      <c r="F2728">
        <v>0</v>
      </c>
      <c r="G2728" s="580">
        <v>0</v>
      </c>
      <c r="H2728" s="1" t="s">
        <v>7042</v>
      </c>
      <c r="I2728" s="1"/>
      <c r="J2728" s="1"/>
      <c r="K2728" s="1"/>
      <c r="L2728" s="1"/>
      <c r="M2728" s="1"/>
      <c r="N2728" s="1"/>
      <c r="O2728" s="1"/>
      <c r="Q2728"/>
    </row>
    <row r="2729" spans="1:17" ht="13.15" customHeight="1" x14ac:dyDescent="0.2">
      <c r="A2729" s="1" t="s">
        <v>7043</v>
      </c>
      <c r="B2729" s="1" t="s">
        <v>7003</v>
      </c>
      <c r="C2729" s="580">
        <v>20037</v>
      </c>
      <c r="D2729" s="1">
        <v>2409</v>
      </c>
      <c r="E2729" t="s">
        <v>3615</v>
      </c>
      <c r="F2729">
        <v>0</v>
      </c>
      <c r="G2729" s="580">
        <v>0</v>
      </c>
      <c r="H2729" s="1" t="s">
        <v>7044</v>
      </c>
      <c r="I2729" s="1"/>
      <c r="J2729" s="1"/>
      <c r="K2729" s="1"/>
      <c r="L2729" s="1"/>
      <c r="M2729" s="1"/>
      <c r="N2729" s="1"/>
      <c r="O2729" s="1"/>
      <c r="Q2729"/>
    </row>
    <row r="2730" spans="1:17" ht="13.15" customHeight="1" x14ac:dyDescent="0.2">
      <c r="A2730" s="1" t="s">
        <v>7045</v>
      </c>
      <c r="B2730" s="1" t="s">
        <v>7003</v>
      </c>
      <c r="C2730" s="580">
        <v>20038</v>
      </c>
      <c r="D2730" s="1">
        <v>2409</v>
      </c>
      <c r="E2730" t="s">
        <v>3615</v>
      </c>
      <c r="F2730">
        <v>0</v>
      </c>
      <c r="G2730" s="580">
        <v>0</v>
      </c>
      <c r="H2730" s="1" t="s">
        <v>7046</v>
      </c>
      <c r="I2730" s="1"/>
      <c r="J2730" s="1"/>
      <c r="K2730" s="1"/>
      <c r="L2730" s="1"/>
      <c r="M2730" s="1"/>
      <c r="N2730" s="1"/>
      <c r="O2730" s="1"/>
      <c r="Q2730"/>
    </row>
    <row r="2731" spans="1:17" ht="13.15" customHeight="1" x14ac:dyDescent="0.2">
      <c r="A2731" s="1" t="s">
        <v>7047</v>
      </c>
      <c r="B2731" s="1" t="s">
        <v>7003</v>
      </c>
      <c r="C2731" s="580">
        <v>20039</v>
      </c>
      <c r="D2731" s="1">
        <v>1204.52</v>
      </c>
      <c r="E2731" t="s">
        <v>3615</v>
      </c>
      <c r="F2731">
        <v>0</v>
      </c>
      <c r="G2731" s="580">
        <v>0</v>
      </c>
      <c r="H2731" s="1" t="s">
        <v>7048</v>
      </c>
      <c r="I2731" s="1"/>
      <c r="J2731" s="1"/>
      <c r="K2731" s="1"/>
      <c r="L2731" s="1"/>
      <c r="M2731" s="1"/>
      <c r="N2731" s="1"/>
      <c r="O2731" s="1"/>
      <c r="Q2731"/>
    </row>
    <row r="2732" spans="1:17" ht="13.15" customHeight="1" x14ac:dyDescent="0.2">
      <c r="A2732" s="1" t="s">
        <v>7049</v>
      </c>
      <c r="B2732" s="1" t="s">
        <v>7003</v>
      </c>
      <c r="C2732" s="580">
        <v>20040</v>
      </c>
      <c r="D2732" s="1">
        <v>1204.52</v>
      </c>
      <c r="E2732" t="s">
        <v>3615</v>
      </c>
      <c r="F2732">
        <v>0</v>
      </c>
      <c r="G2732" s="580">
        <v>0</v>
      </c>
      <c r="H2732" s="1" t="s">
        <v>7050</v>
      </c>
      <c r="I2732" s="1"/>
      <c r="J2732" s="1"/>
      <c r="K2732" s="1"/>
      <c r="L2732" s="1"/>
      <c r="M2732" s="1"/>
      <c r="N2732" s="1"/>
      <c r="O2732" s="1"/>
      <c r="Q2732"/>
    </row>
    <row r="2733" spans="1:17" ht="13.15" customHeight="1" x14ac:dyDescent="0.2">
      <c r="A2733" s="1" t="s">
        <v>7051</v>
      </c>
      <c r="B2733" s="1" t="s">
        <v>7003</v>
      </c>
      <c r="C2733" s="580">
        <v>20041</v>
      </c>
      <c r="D2733" s="1">
        <v>1204.52</v>
      </c>
      <c r="E2733" t="s">
        <v>3615</v>
      </c>
      <c r="F2733">
        <v>0</v>
      </c>
      <c r="G2733" s="580">
        <v>0</v>
      </c>
      <c r="H2733" s="1" t="s">
        <v>7052</v>
      </c>
      <c r="I2733" s="1"/>
      <c r="J2733" s="1"/>
      <c r="K2733" s="1"/>
      <c r="L2733" s="1"/>
      <c r="M2733" s="1"/>
      <c r="N2733" s="1"/>
      <c r="O2733" s="1"/>
      <c r="Q2733"/>
    </row>
    <row r="2734" spans="1:17" ht="13.15" customHeight="1" x14ac:dyDescent="0.2">
      <c r="A2734" s="1" t="s">
        <v>7053</v>
      </c>
      <c r="B2734" s="1" t="s">
        <v>7003</v>
      </c>
      <c r="C2734" s="580">
        <v>20042</v>
      </c>
      <c r="D2734" s="1">
        <v>547.52</v>
      </c>
      <c r="E2734" t="s">
        <v>3615</v>
      </c>
      <c r="F2734">
        <v>0</v>
      </c>
      <c r="G2734" s="580">
        <v>0</v>
      </c>
      <c r="H2734" s="1" t="s">
        <v>7054</v>
      </c>
      <c r="I2734" s="1"/>
      <c r="J2734" s="1"/>
      <c r="K2734" s="1"/>
      <c r="L2734" s="1"/>
      <c r="M2734" s="1"/>
      <c r="N2734" s="1"/>
      <c r="O2734" s="1"/>
      <c r="Q2734"/>
    </row>
    <row r="2735" spans="1:17" ht="13.15" customHeight="1" x14ac:dyDescent="0.2">
      <c r="A2735" s="1" t="s">
        <v>7055</v>
      </c>
      <c r="B2735" s="1" t="s">
        <v>7003</v>
      </c>
      <c r="C2735" s="580">
        <v>20043</v>
      </c>
      <c r="D2735" s="1">
        <v>5256</v>
      </c>
      <c r="E2735" t="s">
        <v>3615</v>
      </c>
      <c r="F2735">
        <v>0</v>
      </c>
      <c r="G2735" s="580">
        <v>0</v>
      </c>
      <c r="H2735" s="1" t="s">
        <v>7056</v>
      </c>
      <c r="I2735" s="1"/>
      <c r="J2735" s="1"/>
      <c r="K2735" s="1"/>
      <c r="L2735" s="1"/>
      <c r="M2735" s="1"/>
      <c r="N2735" s="1"/>
      <c r="O2735" s="1"/>
      <c r="Q2735"/>
    </row>
    <row r="2736" spans="1:17" ht="13.15" customHeight="1" x14ac:dyDescent="0.2">
      <c r="A2736" s="1" t="s">
        <v>7057</v>
      </c>
      <c r="B2736" s="1" t="s">
        <v>7003</v>
      </c>
      <c r="C2736" s="580">
        <v>20044</v>
      </c>
      <c r="D2736" s="1">
        <v>1204.52</v>
      </c>
      <c r="E2736" t="s">
        <v>3615</v>
      </c>
      <c r="F2736">
        <v>0</v>
      </c>
      <c r="G2736" s="580">
        <v>0</v>
      </c>
      <c r="H2736" s="1" t="s">
        <v>7058</v>
      </c>
      <c r="I2736" s="1"/>
      <c r="J2736" s="1"/>
      <c r="K2736" s="1"/>
      <c r="L2736" s="1"/>
      <c r="M2736" s="1"/>
      <c r="N2736" s="1"/>
      <c r="O2736" s="1"/>
      <c r="Q2736"/>
    </row>
    <row r="2737" spans="1:17" ht="13.15" customHeight="1" x14ac:dyDescent="0.2">
      <c r="A2737" s="1" t="s">
        <v>7059</v>
      </c>
      <c r="B2737" s="1" t="s">
        <v>7003</v>
      </c>
      <c r="C2737" s="580">
        <v>40007</v>
      </c>
      <c r="D2737" s="1">
        <v>2190</v>
      </c>
      <c r="E2737" t="s">
        <v>3615</v>
      </c>
      <c r="F2737">
        <v>0</v>
      </c>
      <c r="G2737" s="580">
        <v>0</v>
      </c>
      <c r="H2737" s="1" t="s">
        <v>7060</v>
      </c>
      <c r="I2737" s="1"/>
      <c r="J2737" s="1"/>
      <c r="K2737" s="1"/>
      <c r="L2737" s="1"/>
      <c r="M2737" s="1"/>
      <c r="N2737" s="1"/>
      <c r="O2737" s="1"/>
      <c r="Q2737"/>
    </row>
    <row r="2738" spans="1:17" ht="13.15" customHeight="1" x14ac:dyDescent="0.2">
      <c r="A2738" s="1" t="s">
        <v>7061</v>
      </c>
      <c r="B2738" s="1" t="s">
        <v>7003</v>
      </c>
      <c r="C2738" s="580">
        <v>40008</v>
      </c>
      <c r="D2738" s="1">
        <v>2190</v>
      </c>
      <c r="E2738" t="s">
        <v>3615</v>
      </c>
      <c r="F2738">
        <v>0</v>
      </c>
      <c r="G2738" s="580">
        <v>0</v>
      </c>
      <c r="H2738" s="1" t="s">
        <v>7062</v>
      </c>
      <c r="I2738" s="1"/>
      <c r="J2738" s="1"/>
      <c r="K2738" s="1"/>
      <c r="L2738" s="1"/>
      <c r="M2738" s="1"/>
      <c r="N2738" s="1"/>
      <c r="O2738" s="1"/>
      <c r="Q2738"/>
    </row>
    <row r="2739" spans="1:17" ht="13.15" customHeight="1" x14ac:dyDescent="0.2">
      <c r="A2739" s="1" t="s">
        <v>7063</v>
      </c>
      <c r="B2739" s="1" t="s">
        <v>7003</v>
      </c>
      <c r="C2739" s="580">
        <v>40009</v>
      </c>
      <c r="D2739" s="1">
        <v>2409</v>
      </c>
      <c r="E2739" t="s">
        <v>3615</v>
      </c>
      <c r="F2739">
        <v>0</v>
      </c>
      <c r="G2739" s="580">
        <v>0</v>
      </c>
      <c r="H2739" s="1" t="s">
        <v>7064</v>
      </c>
      <c r="I2739" s="1"/>
      <c r="J2739" s="1"/>
      <c r="K2739" s="1"/>
      <c r="L2739" s="1"/>
      <c r="M2739" s="1"/>
      <c r="N2739" s="1"/>
      <c r="O2739" s="1"/>
      <c r="Q2739"/>
    </row>
    <row r="2740" spans="1:17" ht="13.15" customHeight="1" x14ac:dyDescent="0.2">
      <c r="A2740" s="1" t="s">
        <v>7065</v>
      </c>
      <c r="B2740" s="1" t="s">
        <v>7003</v>
      </c>
      <c r="C2740" s="580">
        <v>40010</v>
      </c>
      <c r="D2740" s="1">
        <v>2628</v>
      </c>
      <c r="E2740" t="s">
        <v>3615</v>
      </c>
      <c r="F2740">
        <v>0</v>
      </c>
      <c r="G2740" s="580">
        <v>0</v>
      </c>
      <c r="H2740" s="1" t="s">
        <v>7066</v>
      </c>
      <c r="I2740" s="1"/>
      <c r="J2740" s="1"/>
      <c r="K2740" s="1"/>
      <c r="L2740" s="1"/>
      <c r="M2740" s="1"/>
      <c r="N2740" s="1"/>
      <c r="O2740" s="1"/>
      <c r="Q2740"/>
    </row>
    <row r="2741" spans="1:17" ht="13.15" customHeight="1" x14ac:dyDescent="0.2">
      <c r="A2741" s="1" t="s">
        <v>7067</v>
      </c>
      <c r="B2741" s="1" t="s">
        <v>7003</v>
      </c>
      <c r="C2741" s="580">
        <v>40011</v>
      </c>
      <c r="D2741" s="1">
        <v>2847</v>
      </c>
      <c r="E2741" t="s">
        <v>3615</v>
      </c>
      <c r="F2741">
        <v>0</v>
      </c>
      <c r="G2741" s="580">
        <v>0</v>
      </c>
      <c r="H2741" s="1" t="s">
        <v>7068</v>
      </c>
      <c r="I2741" s="1"/>
      <c r="J2741" s="1"/>
      <c r="K2741" s="1"/>
      <c r="L2741" s="1"/>
      <c r="M2741" s="1"/>
      <c r="N2741" s="1"/>
      <c r="O2741" s="1"/>
      <c r="Q2741"/>
    </row>
    <row r="2742" spans="1:17" ht="13.15" customHeight="1" x14ac:dyDescent="0.2">
      <c r="A2742" s="1" t="s">
        <v>7069</v>
      </c>
      <c r="B2742" s="1" t="s">
        <v>7003</v>
      </c>
      <c r="C2742" s="580">
        <v>40012</v>
      </c>
      <c r="D2742" s="1">
        <v>2628</v>
      </c>
      <c r="E2742" t="s">
        <v>3615</v>
      </c>
      <c r="F2742">
        <v>0</v>
      </c>
      <c r="G2742" s="580">
        <v>0</v>
      </c>
      <c r="H2742" s="1" t="s">
        <v>7070</v>
      </c>
      <c r="I2742" s="1"/>
      <c r="J2742" s="1"/>
      <c r="K2742" s="1"/>
      <c r="L2742" s="1"/>
      <c r="M2742" s="1"/>
      <c r="N2742" s="1"/>
      <c r="O2742" s="1"/>
      <c r="Q2742"/>
    </row>
    <row r="2743" spans="1:17" ht="13.15" customHeight="1" x14ac:dyDescent="0.2">
      <c r="A2743" s="1" t="s">
        <v>7071</v>
      </c>
      <c r="B2743" s="1" t="s">
        <v>7003</v>
      </c>
      <c r="C2743" s="580">
        <v>50010</v>
      </c>
      <c r="D2743" s="1">
        <v>1204.52</v>
      </c>
      <c r="E2743" t="s">
        <v>3615</v>
      </c>
      <c r="F2743">
        <v>0</v>
      </c>
      <c r="G2743" s="580">
        <v>0</v>
      </c>
      <c r="H2743" s="1" t="s">
        <v>7072</v>
      </c>
      <c r="I2743" s="1"/>
      <c r="J2743" s="1"/>
      <c r="K2743" s="1"/>
      <c r="L2743" s="1"/>
      <c r="M2743" s="1"/>
      <c r="N2743" s="1"/>
      <c r="O2743" s="1"/>
      <c r="Q2743"/>
    </row>
    <row r="2744" spans="1:17" ht="13.15" customHeight="1" x14ac:dyDescent="0.2">
      <c r="A2744" s="1" t="s">
        <v>7073</v>
      </c>
      <c r="B2744" s="1" t="s">
        <v>7003</v>
      </c>
      <c r="C2744" s="580">
        <v>50011</v>
      </c>
      <c r="D2744" s="1">
        <v>2190</v>
      </c>
      <c r="E2744" t="s">
        <v>3615</v>
      </c>
      <c r="F2744">
        <v>0</v>
      </c>
      <c r="G2744" s="580">
        <v>0</v>
      </c>
      <c r="H2744" s="1" t="s">
        <v>7074</v>
      </c>
      <c r="I2744" s="1"/>
      <c r="J2744" s="1"/>
      <c r="K2744" s="1"/>
      <c r="L2744" s="1"/>
      <c r="M2744" s="1"/>
      <c r="N2744" s="1"/>
      <c r="O2744" s="1"/>
      <c r="Q2744"/>
    </row>
    <row r="2745" spans="1:17" ht="13.15" customHeight="1" x14ac:dyDescent="0.2">
      <c r="A2745" s="1" t="s">
        <v>7075</v>
      </c>
      <c r="B2745" s="1" t="s">
        <v>7076</v>
      </c>
      <c r="C2745" s="580">
        <v>6</v>
      </c>
      <c r="D2745" s="1">
        <v>1305.5999999999999</v>
      </c>
      <c r="E2745" t="s">
        <v>4624</v>
      </c>
      <c r="F2745">
        <v>6</v>
      </c>
      <c r="G2745" s="580">
        <v>0</v>
      </c>
      <c r="H2745" s="1" t="s">
        <v>7077</v>
      </c>
      <c r="I2745" s="1"/>
      <c r="J2745" s="1"/>
      <c r="K2745" s="1"/>
      <c r="L2745" s="1"/>
      <c r="M2745" s="1"/>
      <c r="N2745" s="1"/>
      <c r="O2745" s="1"/>
      <c r="Q2745"/>
    </row>
    <row r="2746" spans="1:17" ht="13.15" customHeight="1" x14ac:dyDescent="0.2">
      <c r="A2746" s="1" t="s">
        <v>7078</v>
      </c>
      <c r="B2746" s="1" t="s">
        <v>7076</v>
      </c>
      <c r="C2746" s="580">
        <v>7</v>
      </c>
      <c r="D2746" s="1">
        <v>1305.5999999999999</v>
      </c>
      <c r="E2746" t="s">
        <v>4624</v>
      </c>
      <c r="F2746">
        <v>7</v>
      </c>
      <c r="G2746" s="580">
        <v>0</v>
      </c>
      <c r="H2746" s="1" t="s">
        <v>7079</v>
      </c>
      <c r="I2746" s="1"/>
      <c r="J2746" s="1"/>
      <c r="K2746" s="1"/>
      <c r="L2746" s="1"/>
      <c r="M2746" s="1"/>
      <c r="N2746" s="1"/>
      <c r="O2746" s="1"/>
      <c r="Q2746"/>
    </row>
    <row r="2747" spans="1:17" ht="13.15" customHeight="1" x14ac:dyDescent="0.2">
      <c r="A2747" s="1" t="s">
        <v>7080</v>
      </c>
      <c r="B2747" s="1" t="s">
        <v>7076</v>
      </c>
      <c r="C2747" s="580">
        <v>8</v>
      </c>
      <c r="D2747" s="1">
        <v>1305.5999999999999</v>
      </c>
      <c r="E2747" t="s">
        <v>4624</v>
      </c>
      <c r="F2747">
        <v>8</v>
      </c>
      <c r="G2747" s="580">
        <v>0</v>
      </c>
      <c r="H2747" s="1" t="s">
        <v>7081</v>
      </c>
      <c r="I2747" s="1"/>
      <c r="J2747" s="1"/>
      <c r="K2747" s="1"/>
      <c r="L2747" s="1"/>
      <c r="M2747" s="1"/>
      <c r="N2747" s="1"/>
      <c r="O2747" s="1"/>
      <c r="Q2747"/>
    </row>
    <row r="2748" spans="1:17" ht="13.15" customHeight="1" x14ac:dyDescent="0.2">
      <c r="A2748" s="1" t="s">
        <v>7082</v>
      </c>
      <c r="B2748" s="1" t="s">
        <v>7076</v>
      </c>
      <c r="C2748" s="580">
        <v>9</v>
      </c>
      <c r="D2748" s="1">
        <v>1305.5999999999999</v>
      </c>
      <c r="E2748" t="s">
        <v>4624</v>
      </c>
      <c r="F2748">
        <v>9</v>
      </c>
      <c r="G2748" s="580">
        <v>0</v>
      </c>
      <c r="H2748" s="1" t="s">
        <v>7083</v>
      </c>
      <c r="I2748" s="1"/>
      <c r="J2748" s="1"/>
      <c r="K2748" s="1"/>
      <c r="L2748" s="1"/>
      <c r="M2748" s="1"/>
      <c r="N2748" s="1"/>
      <c r="O2748" s="1"/>
      <c r="Q2748"/>
    </row>
    <row r="2749" spans="1:17" ht="13.15" customHeight="1" x14ac:dyDescent="0.2">
      <c r="A2749" s="1" t="s">
        <v>7084</v>
      </c>
      <c r="B2749" s="1" t="s">
        <v>7076</v>
      </c>
      <c r="C2749" s="580">
        <v>10</v>
      </c>
      <c r="D2749" s="1">
        <v>1305.5999999999999</v>
      </c>
      <c r="E2749" t="s">
        <v>4624</v>
      </c>
      <c r="F2749">
        <v>10</v>
      </c>
      <c r="G2749" s="580">
        <v>0</v>
      </c>
      <c r="H2749" s="1" t="s">
        <v>7085</v>
      </c>
      <c r="I2749" s="1"/>
      <c r="J2749" s="1"/>
      <c r="K2749" s="1"/>
      <c r="L2749" s="1"/>
      <c r="M2749" s="1"/>
      <c r="N2749" s="1"/>
      <c r="O2749" s="1"/>
      <c r="Q2749"/>
    </row>
    <row r="2750" spans="1:17" ht="13.15" customHeight="1" x14ac:dyDescent="0.2">
      <c r="A2750" s="1" t="s">
        <v>7086</v>
      </c>
      <c r="B2750" s="1" t="s">
        <v>7076</v>
      </c>
      <c r="C2750" s="580">
        <v>11</v>
      </c>
      <c r="D2750" s="1">
        <v>1305.5999999999999</v>
      </c>
      <c r="E2750" t="s">
        <v>4624</v>
      </c>
      <c r="F2750">
        <v>11</v>
      </c>
      <c r="G2750" s="580">
        <v>0</v>
      </c>
      <c r="H2750" s="1" t="s">
        <v>7087</v>
      </c>
      <c r="I2750" s="1"/>
      <c r="J2750" s="1"/>
      <c r="K2750" s="1"/>
      <c r="L2750" s="1"/>
      <c r="M2750" s="1"/>
      <c r="N2750" s="1"/>
      <c r="O2750" s="1"/>
      <c r="Q2750"/>
    </row>
    <row r="2751" spans="1:17" ht="13.15" customHeight="1" x14ac:dyDescent="0.2">
      <c r="A2751" s="1" t="s">
        <v>7088</v>
      </c>
      <c r="B2751" s="1" t="s">
        <v>7076</v>
      </c>
      <c r="C2751" s="580">
        <v>12</v>
      </c>
      <c r="D2751" s="1">
        <v>1305.5999999999999</v>
      </c>
      <c r="E2751" t="s">
        <v>4624</v>
      </c>
      <c r="F2751">
        <v>12</v>
      </c>
      <c r="G2751" s="580">
        <v>0</v>
      </c>
      <c r="H2751" s="1" t="s">
        <v>7089</v>
      </c>
      <c r="I2751" s="1"/>
      <c r="J2751" s="1"/>
      <c r="K2751" s="1"/>
      <c r="L2751" s="1"/>
      <c r="M2751" s="1"/>
      <c r="N2751" s="1"/>
      <c r="O2751" s="1"/>
      <c r="Q2751"/>
    </row>
    <row r="2752" spans="1:17" ht="13.15" customHeight="1" x14ac:dyDescent="0.2">
      <c r="A2752" s="1" t="s">
        <v>7090</v>
      </c>
      <c r="B2752" s="1" t="s">
        <v>7076</v>
      </c>
      <c r="C2752" s="580">
        <v>14</v>
      </c>
      <c r="D2752" s="1">
        <v>1536</v>
      </c>
      <c r="E2752" t="s">
        <v>4624</v>
      </c>
      <c r="F2752">
        <v>14</v>
      </c>
      <c r="G2752" s="580">
        <v>0</v>
      </c>
      <c r="H2752" s="1" t="s">
        <v>7091</v>
      </c>
      <c r="I2752" s="1"/>
      <c r="J2752" s="1"/>
      <c r="K2752" s="1"/>
      <c r="L2752" s="1"/>
      <c r="M2752" s="1"/>
      <c r="N2752" s="1"/>
      <c r="O2752" s="1"/>
      <c r="Q2752"/>
    </row>
    <row r="2753" spans="1:17" ht="13.15" customHeight="1" x14ac:dyDescent="0.2">
      <c r="A2753" s="1" t="s">
        <v>7092</v>
      </c>
      <c r="B2753" s="1" t="s">
        <v>7076</v>
      </c>
      <c r="C2753" s="580">
        <v>16</v>
      </c>
      <c r="D2753" s="1">
        <v>1536</v>
      </c>
      <c r="E2753" t="s">
        <v>4624</v>
      </c>
      <c r="F2753">
        <v>16</v>
      </c>
      <c r="G2753" s="580">
        <v>0</v>
      </c>
      <c r="H2753" s="1" t="s">
        <v>7093</v>
      </c>
      <c r="I2753" s="1"/>
      <c r="J2753" s="1"/>
      <c r="K2753" s="1"/>
      <c r="L2753" s="1"/>
      <c r="M2753" s="1"/>
      <c r="N2753" s="1"/>
      <c r="O2753" s="1"/>
      <c r="Q2753"/>
    </row>
    <row r="2754" spans="1:17" ht="13.15" customHeight="1" x14ac:dyDescent="0.2">
      <c r="A2754" s="1" t="s">
        <v>7094</v>
      </c>
      <c r="B2754" s="1" t="s">
        <v>7076</v>
      </c>
      <c r="C2754" s="580">
        <v>18</v>
      </c>
      <c r="D2754" s="1">
        <v>1536</v>
      </c>
      <c r="E2754" t="s">
        <v>4624</v>
      </c>
      <c r="F2754">
        <v>18</v>
      </c>
      <c r="G2754" s="580">
        <v>0</v>
      </c>
      <c r="H2754" s="1" t="s">
        <v>7095</v>
      </c>
      <c r="I2754" s="1"/>
      <c r="J2754" s="1"/>
      <c r="K2754" s="1"/>
      <c r="L2754" s="1"/>
      <c r="M2754" s="1"/>
      <c r="N2754" s="1"/>
      <c r="O2754" s="1"/>
      <c r="Q2754"/>
    </row>
    <row r="2755" spans="1:17" ht="13.15" customHeight="1" x14ac:dyDescent="0.2">
      <c r="A2755" s="1" t="s">
        <v>7096</v>
      </c>
      <c r="B2755" s="1" t="s">
        <v>7076</v>
      </c>
      <c r="C2755" s="580">
        <v>19</v>
      </c>
      <c r="D2755" s="1">
        <v>1881.6</v>
      </c>
      <c r="E2755" t="s">
        <v>4624</v>
      </c>
      <c r="F2755">
        <v>19</v>
      </c>
      <c r="G2755" s="580">
        <v>0</v>
      </c>
      <c r="H2755" s="1" t="s">
        <v>7097</v>
      </c>
      <c r="I2755" s="1"/>
      <c r="J2755" s="1"/>
      <c r="K2755" s="1"/>
      <c r="L2755" s="1"/>
      <c r="M2755" s="1"/>
      <c r="N2755" s="1"/>
      <c r="O2755" s="1"/>
      <c r="Q2755"/>
    </row>
    <row r="2756" spans="1:17" ht="13.15" customHeight="1" x14ac:dyDescent="0.2">
      <c r="A2756" s="1" t="s">
        <v>7098</v>
      </c>
      <c r="B2756" s="1" t="s">
        <v>7076</v>
      </c>
      <c r="C2756" s="580">
        <v>20</v>
      </c>
      <c r="D2756" s="1">
        <v>1881.6</v>
      </c>
      <c r="E2756" t="s">
        <v>4624</v>
      </c>
      <c r="F2756">
        <v>20</v>
      </c>
      <c r="G2756" s="580">
        <v>0</v>
      </c>
      <c r="H2756" s="1" t="s">
        <v>7099</v>
      </c>
      <c r="I2756" s="1"/>
      <c r="J2756" s="1"/>
      <c r="K2756" s="1"/>
      <c r="L2756" s="1"/>
      <c r="M2756" s="1"/>
      <c r="N2756" s="1"/>
      <c r="O2756" s="1"/>
      <c r="Q2756"/>
    </row>
    <row r="2757" spans="1:17" ht="13.15" customHeight="1" x14ac:dyDescent="0.2">
      <c r="A2757" s="1" t="s">
        <v>7100</v>
      </c>
      <c r="B2757" s="1" t="s">
        <v>7076</v>
      </c>
      <c r="C2757" s="580">
        <v>22</v>
      </c>
      <c r="D2757" s="1">
        <v>1881.6</v>
      </c>
      <c r="E2757" t="s">
        <v>4624</v>
      </c>
      <c r="F2757">
        <v>22</v>
      </c>
      <c r="G2757" s="580">
        <v>0</v>
      </c>
      <c r="H2757" s="1" t="s">
        <v>7101</v>
      </c>
      <c r="I2757" s="1"/>
      <c r="J2757" s="1"/>
      <c r="K2757" s="1"/>
      <c r="L2757" s="1"/>
      <c r="M2757" s="1"/>
      <c r="N2757" s="1"/>
      <c r="O2757" s="1"/>
      <c r="Q2757"/>
    </row>
    <row r="2758" spans="1:17" ht="13.15" customHeight="1" x14ac:dyDescent="0.2">
      <c r="A2758" s="1" t="s">
        <v>7102</v>
      </c>
      <c r="B2758" s="1" t="s">
        <v>7076</v>
      </c>
      <c r="C2758" s="580">
        <v>25</v>
      </c>
      <c r="D2758" s="1">
        <v>2304</v>
      </c>
      <c r="E2758" t="s">
        <v>4624</v>
      </c>
      <c r="F2758">
        <v>25</v>
      </c>
      <c r="G2758" s="580">
        <v>0</v>
      </c>
      <c r="H2758" s="1" t="s">
        <v>7103</v>
      </c>
      <c r="I2758" s="1"/>
      <c r="J2758" s="1"/>
      <c r="K2758" s="1"/>
      <c r="L2758" s="1"/>
      <c r="M2758" s="1"/>
      <c r="N2758" s="1"/>
      <c r="O2758" s="1"/>
      <c r="Q2758"/>
    </row>
    <row r="2759" spans="1:17" ht="13.15" customHeight="1" x14ac:dyDescent="0.2">
      <c r="A2759" s="1" t="s">
        <v>7104</v>
      </c>
      <c r="B2759" s="1" t="s">
        <v>7076</v>
      </c>
      <c r="C2759" s="580">
        <v>28</v>
      </c>
      <c r="D2759" s="1">
        <v>2304</v>
      </c>
      <c r="E2759" t="s">
        <v>4624</v>
      </c>
      <c r="F2759">
        <v>28</v>
      </c>
      <c r="G2759" s="580">
        <v>0</v>
      </c>
      <c r="H2759" s="1" t="s">
        <v>7105</v>
      </c>
      <c r="I2759" s="1"/>
      <c r="J2759" s="1"/>
      <c r="K2759" s="1"/>
      <c r="L2759" s="1"/>
      <c r="M2759" s="1"/>
      <c r="N2759" s="1"/>
      <c r="O2759" s="1"/>
      <c r="Q2759"/>
    </row>
    <row r="2760" spans="1:17" ht="13.15" customHeight="1" x14ac:dyDescent="0.2">
      <c r="A2760" s="1" t="s">
        <v>7106</v>
      </c>
      <c r="B2760" s="1" t="s">
        <v>7076</v>
      </c>
      <c r="C2760" s="580">
        <v>30</v>
      </c>
      <c r="D2760" s="1">
        <v>2304</v>
      </c>
      <c r="E2760" t="s">
        <v>4624</v>
      </c>
      <c r="F2760">
        <v>30</v>
      </c>
      <c r="G2760" s="580">
        <v>0</v>
      </c>
      <c r="H2760" s="1" t="s">
        <v>7107</v>
      </c>
      <c r="I2760" s="1"/>
      <c r="J2760" s="1"/>
      <c r="K2760" s="1"/>
      <c r="L2760" s="1"/>
      <c r="M2760" s="1"/>
      <c r="N2760" s="1"/>
      <c r="O2760" s="1"/>
      <c r="Q2760"/>
    </row>
    <row r="2761" spans="1:17" ht="13.15" customHeight="1" x14ac:dyDescent="0.2">
      <c r="A2761" s="1" t="s">
        <v>7108</v>
      </c>
      <c r="B2761" s="1" t="s">
        <v>7076</v>
      </c>
      <c r="C2761" s="580">
        <v>32</v>
      </c>
      <c r="D2761" s="1">
        <v>2592</v>
      </c>
      <c r="E2761" t="s">
        <v>4624</v>
      </c>
      <c r="F2761">
        <v>32</v>
      </c>
      <c r="G2761" s="580">
        <v>0</v>
      </c>
      <c r="H2761" s="1" t="s">
        <v>7109</v>
      </c>
      <c r="I2761" s="1"/>
      <c r="J2761" s="1"/>
      <c r="K2761" s="1"/>
      <c r="L2761" s="1"/>
      <c r="M2761" s="1"/>
      <c r="N2761" s="1"/>
      <c r="O2761" s="1"/>
      <c r="Q2761"/>
    </row>
    <row r="2762" spans="1:17" ht="13.15" customHeight="1" x14ac:dyDescent="0.2">
      <c r="A2762" s="1" t="s">
        <v>7110</v>
      </c>
      <c r="B2762" s="1" t="s">
        <v>7076</v>
      </c>
      <c r="C2762" s="580">
        <v>35</v>
      </c>
      <c r="D2762" s="1">
        <v>2688</v>
      </c>
      <c r="E2762" t="s">
        <v>4624</v>
      </c>
      <c r="F2762">
        <v>35</v>
      </c>
      <c r="G2762" s="580">
        <v>0</v>
      </c>
      <c r="H2762" s="1" t="s">
        <v>7111</v>
      </c>
      <c r="I2762" s="1"/>
      <c r="J2762" s="1"/>
      <c r="K2762" s="1"/>
      <c r="L2762" s="1"/>
      <c r="M2762" s="1"/>
      <c r="N2762" s="1"/>
      <c r="O2762" s="1"/>
      <c r="Q2762"/>
    </row>
    <row r="2763" spans="1:17" ht="13.15" customHeight="1" x14ac:dyDescent="0.2">
      <c r="A2763" s="1" t="s">
        <v>7112</v>
      </c>
      <c r="B2763" s="1" t="s">
        <v>7113</v>
      </c>
      <c r="C2763" s="580">
        <v>6</v>
      </c>
      <c r="D2763" s="1">
        <v>1044.48</v>
      </c>
      <c r="E2763" t="s">
        <v>4624</v>
      </c>
      <c r="F2763">
        <v>6</v>
      </c>
      <c r="G2763" s="580">
        <v>0</v>
      </c>
      <c r="H2763" s="1" t="s">
        <v>7077</v>
      </c>
      <c r="I2763" s="1"/>
      <c r="J2763" s="1"/>
      <c r="K2763" s="1"/>
      <c r="L2763" s="1"/>
      <c r="M2763" s="1"/>
      <c r="N2763" s="1"/>
      <c r="O2763" s="1"/>
      <c r="Q2763"/>
    </row>
    <row r="2764" spans="1:17" ht="13.15" customHeight="1" x14ac:dyDescent="0.2">
      <c r="A2764" s="1" t="s">
        <v>7114</v>
      </c>
      <c r="B2764" s="1" t="s">
        <v>7113</v>
      </c>
      <c r="C2764" s="580">
        <v>7</v>
      </c>
      <c r="D2764" s="1">
        <v>1044.48</v>
      </c>
      <c r="E2764" t="s">
        <v>4624</v>
      </c>
      <c r="F2764">
        <v>7</v>
      </c>
      <c r="G2764" s="580">
        <v>0</v>
      </c>
      <c r="H2764" s="1" t="s">
        <v>7079</v>
      </c>
      <c r="I2764" s="1"/>
      <c r="J2764" s="1"/>
      <c r="K2764" s="1"/>
      <c r="L2764" s="1"/>
      <c r="M2764" s="1"/>
      <c r="N2764" s="1"/>
      <c r="O2764" s="1"/>
      <c r="Q2764"/>
    </row>
    <row r="2765" spans="1:17" ht="13.15" customHeight="1" x14ac:dyDescent="0.2">
      <c r="A2765" s="1" t="s">
        <v>7115</v>
      </c>
      <c r="B2765" s="1" t="s">
        <v>7113</v>
      </c>
      <c r="C2765" s="580">
        <v>8</v>
      </c>
      <c r="D2765" s="1">
        <v>1044.48</v>
      </c>
      <c r="E2765" t="s">
        <v>4624</v>
      </c>
      <c r="F2765">
        <v>8</v>
      </c>
      <c r="G2765" s="580">
        <v>0</v>
      </c>
      <c r="H2765" s="1" t="s">
        <v>7081</v>
      </c>
      <c r="I2765" s="1"/>
      <c r="J2765" s="1"/>
      <c r="K2765" s="1"/>
      <c r="L2765" s="1"/>
      <c r="M2765" s="1"/>
      <c r="N2765" s="1"/>
      <c r="O2765" s="1"/>
      <c r="Q2765"/>
    </row>
    <row r="2766" spans="1:17" ht="13.15" customHeight="1" x14ac:dyDescent="0.2">
      <c r="A2766" s="1" t="s">
        <v>7116</v>
      </c>
      <c r="B2766" s="1" t="s">
        <v>7113</v>
      </c>
      <c r="C2766" s="580">
        <v>9</v>
      </c>
      <c r="D2766" s="1">
        <v>1044.48</v>
      </c>
      <c r="E2766" t="s">
        <v>4624</v>
      </c>
      <c r="F2766">
        <v>9</v>
      </c>
      <c r="G2766" s="580">
        <v>0</v>
      </c>
      <c r="H2766" s="1" t="s">
        <v>7083</v>
      </c>
      <c r="I2766" s="1"/>
      <c r="J2766" s="1"/>
      <c r="K2766" s="1"/>
      <c r="L2766" s="1"/>
      <c r="M2766" s="1"/>
      <c r="N2766" s="1"/>
      <c r="O2766" s="1"/>
      <c r="Q2766"/>
    </row>
    <row r="2767" spans="1:17" ht="13.15" customHeight="1" x14ac:dyDescent="0.2">
      <c r="A2767" s="1" t="s">
        <v>7117</v>
      </c>
      <c r="B2767" s="1" t="s">
        <v>7113</v>
      </c>
      <c r="C2767" s="580">
        <v>10</v>
      </c>
      <c r="D2767" s="1">
        <v>1044.48</v>
      </c>
      <c r="E2767" t="s">
        <v>4624</v>
      </c>
      <c r="F2767">
        <v>10</v>
      </c>
      <c r="G2767" s="580">
        <v>0</v>
      </c>
      <c r="H2767" s="1" t="s">
        <v>7085</v>
      </c>
      <c r="I2767" s="1"/>
      <c r="J2767" s="1"/>
      <c r="K2767" s="1"/>
      <c r="L2767" s="1"/>
      <c r="M2767" s="1"/>
      <c r="N2767" s="1"/>
      <c r="O2767" s="1"/>
      <c r="Q2767"/>
    </row>
    <row r="2768" spans="1:17" ht="13.15" customHeight="1" x14ac:dyDescent="0.2">
      <c r="A2768" s="1" t="s">
        <v>7118</v>
      </c>
      <c r="B2768" s="1" t="s">
        <v>7113</v>
      </c>
      <c r="C2768" s="580">
        <v>11</v>
      </c>
      <c r="D2768" s="1">
        <v>1044.48</v>
      </c>
      <c r="E2768" t="s">
        <v>4624</v>
      </c>
      <c r="F2768">
        <v>11</v>
      </c>
      <c r="G2768" s="580">
        <v>0</v>
      </c>
      <c r="H2768" s="1" t="s">
        <v>7087</v>
      </c>
      <c r="I2768" s="1"/>
      <c r="J2768" s="1"/>
      <c r="K2768" s="1"/>
      <c r="L2768" s="1"/>
      <c r="M2768" s="1"/>
      <c r="N2768" s="1"/>
      <c r="O2768" s="1"/>
      <c r="Q2768"/>
    </row>
    <row r="2769" spans="1:17" ht="13.15" customHeight="1" x14ac:dyDescent="0.2">
      <c r="A2769" s="1" t="s">
        <v>7119</v>
      </c>
      <c r="B2769" s="1" t="s">
        <v>7113</v>
      </c>
      <c r="C2769" s="580">
        <v>12</v>
      </c>
      <c r="D2769" s="1">
        <v>1044.48</v>
      </c>
      <c r="E2769" t="s">
        <v>4624</v>
      </c>
      <c r="F2769">
        <v>12</v>
      </c>
      <c r="G2769" s="580">
        <v>0</v>
      </c>
      <c r="H2769" s="1" t="s">
        <v>7089</v>
      </c>
      <c r="I2769" s="1"/>
      <c r="J2769" s="1"/>
      <c r="K2769" s="1"/>
      <c r="L2769" s="1"/>
      <c r="M2769" s="1"/>
      <c r="N2769" s="1"/>
      <c r="O2769" s="1"/>
      <c r="Q2769"/>
    </row>
    <row r="2770" spans="1:17" ht="13.15" customHeight="1" x14ac:dyDescent="0.2">
      <c r="A2770" s="1" t="s">
        <v>7120</v>
      </c>
      <c r="B2770" s="1" t="s">
        <v>7113</v>
      </c>
      <c r="C2770" s="580">
        <v>14</v>
      </c>
      <c r="D2770" s="1">
        <v>1228.8</v>
      </c>
      <c r="E2770" t="s">
        <v>4624</v>
      </c>
      <c r="F2770">
        <v>14</v>
      </c>
      <c r="G2770" s="580">
        <v>0</v>
      </c>
      <c r="H2770" s="1" t="s">
        <v>7091</v>
      </c>
      <c r="I2770" s="1"/>
      <c r="J2770" s="1"/>
      <c r="K2770" s="1"/>
      <c r="L2770" s="1"/>
      <c r="M2770" s="1"/>
      <c r="N2770" s="1"/>
      <c r="O2770" s="1"/>
      <c r="Q2770"/>
    </row>
    <row r="2771" spans="1:17" ht="13.15" customHeight="1" x14ac:dyDescent="0.2">
      <c r="A2771" s="1" t="s">
        <v>7121</v>
      </c>
      <c r="B2771" s="1" t="s">
        <v>7113</v>
      </c>
      <c r="C2771" s="580">
        <v>16</v>
      </c>
      <c r="D2771" s="1">
        <v>1228.8</v>
      </c>
      <c r="E2771" t="s">
        <v>4624</v>
      </c>
      <c r="F2771">
        <v>16</v>
      </c>
      <c r="G2771" s="580">
        <v>0</v>
      </c>
      <c r="H2771" s="1" t="s">
        <v>7093</v>
      </c>
      <c r="I2771" s="1"/>
      <c r="J2771" s="1"/>
      <c r="K2771" s="1"/>
      <c r="L2771" s="1"/>
      <c r="M2771" s="1"/>
      <c r="N2771" s="1"/>
      <c r="O2771" s="1"/>
      <c r="Q2771"/>
    </row>
    <row r="2772" spans="1:17" ht="13.15" customHeight="1" x14ac:dyDescent="0.2">
      <c r="A2772" s="1" t="s">
        <v>7122</v>
      </c>
      <c r="B2772" s="1" t="s">
        <v>7113</v>
      </c>
      <c r="C2772" s="580">
        <v>18</v>
      </c>
      <c r="D2772" s="1">
        <v>1228.8</v>
      </c>
      <c r="E2772" t="s">
        <v>4624</v>
      </c>
      <c r="F2772">
        <v>18</v>
      </c>
      <c r="G2772" s="580">
        <v>0</v>
      </c>
      <c r="H2772" s="1" t="s">
        <v>7095</v>
      </c>
      <c r="I2772" s="1"/>
      <c r="J2772" s="1"/>
      <c r="K2772" s="1"/>
      <c r="L2772" s="1"/>
      <c r="M2772" s="1"/>
      <c r="N2772" s="1"/>
      <c r="O2772" s="1"/>
      <c r="Q2772"/>
    </row>
    <row r="2773" spans="1:17" ht="13.15" customHeight="1" x14ac:dyDescent="0.2">
      <c r="A2773" s="1" t="s">
        <v>7123</v>
      </c>
      <c r="B2773" s="1" t="s">
        <v>7113</v>
      </c>
      <c r="C2773" s="580">
        <v>19</v>
      </c>
      <c r="D2773" s="1">
        <v>1505.28</v>
      </c>
      <c r="E2773" t="s">
        <v>4624</v>
      </c>
      <c r="F2773">
        <v>19</v>
      </c>
      <c r="G2773" s="580">
        <v>0</v>
      </c>
      <c r="H2773" s="1" t="s">
        <v>7097</v>
      </c>
      <c r="I2773" s="1"/>
      <c r="J2773" s="1"/>
      <c r="K2773" s="1"/>
      <c r="L2773" s="1"/>
      <c r="M2773" s="1"/>
      <c r="N2773" s="1"/>
      <c r="O2773" s="1"/>
      <c r="Q2773"/>
    </row>
    <row r="2774" spans="1:17" ht="13.15" customHeight="1" x14ac:dyDescent="0.2">
      <c r="A2774" s="1" t="s">
        <v>7124</v>
      </c>
      <c r="B2774" s="1" t="s">
        <v>7113</v>
      </c>
      <c r="C2774" s="580">
        <v>20</v>
      </c>
      <c r="D2774" s="1">
        <v>1505.28</v>
      </c>
      <c r="E2774" t="s">
        <v>4624</v>
      </c>
      <c r="F2774">
        <v>20</v>
      </c>
      <c r="G2774" s="580">
        <v>0</v>
      </c>
      <c r="H2774" s="1" t="s">
        <v>7099</v>
      </c>
      <c r="I2774" s="1"/>
      <c r="J2774" s="1"/>
      <c r="K2774" s="1"/>
      <c r="L2774" s="1"/>
      <c r="M2774" s="1"/>
      <c r="N2774" s="1"/>
      <c r="O2774" s="1"/>
      <c r="Q2774"/>
    </row>
    <row r="2775" spans="1:17" ht="13.15" customHeight="1" x14ac:dyDescent="0.2">
      <c r="A2775" s="1" t="s">
        <v>7125</v>
      </c>
      <c r="B2775" s="1" t="s">
        <v>7113</v>
      </c>
      <c r="C2775" s="580">
        <v>22</v>
      </c>
      <c r="D2775" s="1">
        <v>1505.28</v>
      </c>
      <c r="E2775" t="s">
        <v>4624</v>
      </c>
      <c r="F2775">
        <v>22</v>
      </c>
      <c r="G2775" s="580">
        <v>0</v>
      </c>
      <c r="H2775" s="1" t="s">
        <v>7101</v>
      </c>
      <c r="I2775" s="1"/>
      <c r="J2775" s="1"/>
      <c r="K2775" s="1"/>
      <c r="L2775" s="1"/>
      <c r="M2775" s="1"/>
      <c r="N2775" s="1"/>
      <c r="O2775" s="1"/>
      <c r="Q2775"/>
    </row>
    <row r="2776" spans="1:17" ht="13.15" customHeight="1" x14ac:dyDescent="0.2">
      <c r="A2776" s="1" t="s">
        <v>7126</v>
      </c>
      <c r="B2776" s="1" t="s">
        <v>7113</v>
      </c>
      <c r="C2776" s="580">
        <v>25</v>
      </c>
      <c r="D2776" s="1">
        <v>1843.2</v>
      </c>
      <c r="E2776" t="s">
        <v>4624</v>
      </c>
      <c r="F2776">
        <v>25</v>
      </c>
      <c r="G2776" s="580">
        <v>0</v>
      </c>
      <c r="H2776" s="1" t="s">
        <v>7103</v>
      </c>
      <c r="I2776" s="1"/>
      <c r="J2776" s="1"/>
      <c r="K2776" s="1"/>
      <c r="L2776" s="1"/>
      <c r="M2776" s="1"/>
      <c r="N2776" s="1"/>
      <c r="O2776" s="1"/>
      <c r="Q2776"/>
    </row>
    <row r="2777" spans="1:17" ht="13.15" customHeight="1" x14ac:dyDescent="0.2">
      <c r="A2777" s="1" t="s">
        <v>7127</v>
      </c>
      <c r="B2777" s="1" t="s">
        <v>7113</v>
      </c>
      <c r="C2777" s="580">
        <v>28</v>
      </c>
      <c r="D2777" s="1">
        <v>1843.2</v>
      </c>
      <c r="E2777" t="s">
        <v>4624</v>
      </c>
      <c r="F2777">
        <v>28</v>
      </c>
      <c r="G2777" s="580">
        <v>0</v>
      </c>
      <c r="H2777" s="1" t="s">
        <v>7105</v>
      </c>
      <c r="I2777" s="1"/>
      <c r="J2777" s="1"/>
      <c r="K2777" s="1"/>
      <c r="L2777" s="1"/>
      <c r="M2777" s="1"/>
      <c r="N2777" s="1"/>
      <c r="O2777" s="1"/>
      <c r="Q2777"/>
    </row>
    <row r="2778" spans="1:17" ht="13.15" customHeight="1" x14ac:dyDescent="0.2">
      <c r="A2778" s="1" t="s">
        <v>7128</v>
      </c>
      <c r="B2778" s="1" t="s">
        <v>7113</v>
      </c>
      <c r="C2778" s="580">
        <v>30</v>
      </c>
      <c r="D2778" s="1">
        <v>1843.2</v>
      </c>
      <c r="E2778" t="s">
        <v>4624</v>
      </c>
      <c r="F2778">
        <v>30</v>
      </c>
      <c r="G2778" s="580">
        <v>0</v>
      </c>
      <c r="H2778" s="1" t="s">
        <v>7107</v>
      </c>
      <c r="I2778" s="1"/>
      <c r="J2778" s="1"/>
      <c r="K2778" s="1"/>
      <c r="L2778" s="1"/>
      <c r="M2778" s="1"/>
      <c r="N2778" s="1"/>
      <c r="O2778" s="1"/>
      <c r="Q2778"/>
    </row>
    <row r="2779" spans="1:17" ht="13.15" customHeight="1" x14ac:dyDescent="0.2">
      <c r="A2779" s="1" t="s">
        <v>7129</v>
      </c>
      <c r="B2779" s="1" t="s">
        <v>7113</v>
      </c>
      <c r="C2779" s="580">
        <v>32</v>
      </c>
      <c r="D2779" s="1">
        <v>2073.6</v>
      </c>
      <c r="E2779" t="s">
        <v>4624</v>
      </c>
      <c r="F2779">
        <v>32</v>
      </c>
      <c r="G2779" s="580">
        <v>0</v>
      </c>
      <c r="H2779" s="1" t="s">
        <v>7109</v>
      </c>
      <c r="I2779" s="1"/>
      <c r="J2779" s="1"/>
      <c r="K2779" s="1"/>
      <c r="L2779" s="1"/>
      <c r="M2779" s="1"/>
      <c r="N2779" s="1"/>
      <c r="O2779" s="1"/>
      <c r="Q2779"/>
    </row>
    <row r="2780" spans="1:17" ht="13.15" customHeight="1" x14ac:dyDescent="0.2">
      <c r="A2780" s="1" t="s">
        <v>7130</v>
      </c>
      <c r="B2780" s="1" t="s">
        <v>7113</v>
      </c>
      <c r="C2780" s="580">
        <v>35</v>
      </c>
      <c r="D2780" s="1">
        <v>2150.4</v>
      </c>
      <c r="E2780" t="s">
        <v>4624</v>
      </c>
      <c r="F2780">
        <v>35</v>
      </c>
      <c r="G2780" s="580">
        <v>0</v>
      </c>
      <c r="H2780" s="1" t="s">
        <v>7111</v>
      </c>
      <c r="I2780" s="1"/>
      <c r="J2780" s="1"/>
      <c r="K2780" s="1"/>
      <c r="L2780" s="1"/>
      <c r="M2780" s="1"/>
      <c r="N2780" s="1"/>
      <c r="O2780" s="1"/>
      <c r="Q2780"/>
    </row>
    <row r="2781" spans="1:17" ht="13.15" customHeight="1" x14ac:dyDescent="0.2">
      <c r="A2781" s="1" t="s">
        <v>7131</v>
      </c>
      <c r="B2781" s="1" t="s">
        <v>4871</v>
      </c>
      <c r="C2781" s="580" t="s">
        <v>7132</v>
      </c>
      <c r="D2781" s="1">
        <v>15000</v>
      </c>
      <c r="E2781" t="s">
        <v>3282</v>
      </c>
      <c r="F2781">
        <v>0</v>
      </c>
      <c r="G2781" s="580">
        <v>0</v>
      </c>
      <c r="H2781" s="1" t="s">
        <v>7133</v>
      </c>
      <c r="I2781" s="1"/>
      <c r="J2781" s="1"/>
      <c r="K2781" s="1"/>
      <c r="L2781" s="1"/>
      <c r="M2781" s="1"/>
      <c r="N2781" s="1"/>
      <c r="O2781" s="1"/>
      <c r="Q2781"/>
    </row>
    <row r="2782" spans="1:17" ht="13.15" customHeight="1" x14ac:dyDescent="0.2">
      <c r="A2782" s="1" t="s">
        <v>7134</v>
      </c>
      <c r="B2782" s="1" t="s">
        <v>6316</v>
      </c>
      <c r="C2782" s="580" t="s">
        <v>7132</v>
      </c>
      <c r="D2782" s="1">
        <v>15000</v>
      </c>
      <c r="E2782" t="s">
        <v>3282</v>
      </c>
      <c r="F2782">
        <v>0</v>
      </c>
      <c r="G2782" s="580">
        <v>0</v>
      </c>
      <c r="H2782" s="1" t="s">
        <v>7133</v>
      </c>
      <c r="I2782" s="1"/>
      <c r="J2782" s="1"/>
      <c r="K2782" s="1"/>
      <c r="L2782" s="1"/>
      <c r="M2782" s="1"/>
      <c r="N2782" s="1"/>
      <c r="O2782" s="1"/>
      <c r="Q2782"/>
    </row>
    <row r="2783" spans="1:17" ht="13.15" customHeight="1" x14ac:dyDescent="0.2">
      <c r="A2783" s="1" t="s">
        <v>7135</v>
      </c>
      <c r="B2783" s="1" t="s">
        <v>7076</v>
      </c>
      <c r="C2783" s="580" t="s">
        <v>7132</v>
      </c>
      <c r="D2783" s="1">
        <v>15000</v>
      </c>
      <c r="E2783" t="s">
        <v>3282</v>
      </c>
      <c r="F2783">
        <v>0</v>
      </c>
      <c r="G2783" s="580">
        <v>0</v>
      </c>
      <c r="H2783" s="1" t="s">
        <v>7133</v>
      </c>
      <c r="I2783" s="1"/>
      <c r="J2783" s="1"/>
      <c r="K2783" s="1"/>
      <c r="L2783" s="1"/>
      <c r="M2783" s="1"/>
      <c r="N2783" s="1"/>
      <c r="O2783" s="1"/>
      <c r="Q2783"/>
    </row>
    <row r="2784" spans="1:17" ht="13.15" customHeight="1" x14ac:dyDescent="0.2">
      <c r="A2784" s="1" t="s">
        <v>7136</v>
      </c>
      <c r="B2784" s="1" t="s">
        <v>7113</v>
      </c>
      <c r="C2784" s="580" t="s">
        <v>7132</v>
      </c>
      <c r="D2784" s="1">
        <v>15000</v>
      </c>
      <c r="E2784" t="s">
        <v>3282</v>
      </c>
      <c r="F2784">
        <v>0</v>
      </c>
      <c r="G2784" s="580">
        <v>0</v>
      </c>
      <c r="H2784" s="1" t="s">
        <v>7133</v>
      </c>
      <c r="I2784" s="1"/>
      <c r="J2784" s="1"/>
      <c r="K2784" s="1"/>
      <c r="L2784" s="1"/>
      <c r="M2784" s="1"/>
      <c r="N2784" s="1"/>
      <c r="O2784" s="1"/>
      <c r="Q2784"/>
    </row>
    <row r="2785" spans="1:17" ht="13.15" customHeight="1" x14ac:dyDescent="0.2">
      <c r="A2785" s="1" t="s">
        <v>7137</v>
      </c>
      <c r="B2785" s="1" t="s">
        <v>2023</v>
      </c>
      <c r="C2785" s="580" t="s">
        <v>7132</v>
      </c>
      <c r="D2785" s="1">
        <v>15000</v>
      </c>
      <c r="E2785" t="s">
        <v>3282</v>
      </c>
      <c r="F2785">
        <v>0</v>
      </c>
      <c r="G2785" s="580">
        <v>0</v>
      </c>
      <c r="H2785" s="1" t="s">
        <v>7133</v>
      </c>
      <c r="I2785" s="1"/>
      <c r="J2785" s="1"/>
      <c r="K2785" s="1"/>
      <c r="L2785" s="1"/>
      <c r="M2785" s="1"/>
      <c r="N2785" s="1"/>
      <c r="O2785" s="1"/>
      <c r="Q2785"/>
    </row>
    <row r="2786" spans="1:17" ht="13.15" customHeight="1" x14ac:dyDescent="0.2">
      <c r="A2786" s="1" t="s">
        <v>7138</v>
      </c>
      <c r="B2786" s="1" t="s">
        <v>6950</v>
      </c>
      <c r="C2786" s="580" t="s">
        <v>7132</v>
      </c>
      <c r="D2786" s="1">
        <v>16000</v>
      </c>
      <c r="E2786" t="s">
        <v>3282</v>
      </c>
      <c r="F2786">
        <v>0</v>
      </c>
      <c r="G2786" s="580">
        <v>0</v>
      </c>
      <c r="H2786" s="1" t="s">
        <v>7139</v>
      </c>
      <c r="I2786" s="1"/>
      <c r="J2786" s="1"/>
      <c r="K2786" s="1"/>
      <c r="L2786" s="1"/>
      <c r="M2786" s="1"/>
      <c r="N2786" s="1"/>
      <c r="O2786" s="1"/>
      <c r="Q2786"/>
    </row>
    <row r="2787" spans="1:17" ht="13.15" customHeight="1" x14ac:dyDescent="0.2">
      <c r="A2787" s="1" t="s">
        <v>7140</v>
      </c>
      <c r="B2787" s="1" t="s">
        <v>6901</v>
      </c>
      <c r="C2787" s="580" t="s">
        <v>7132</v>
      </c>
      <c r="D2787" s="1">
        <v>13000</v>
      </c>
      <c r="E2787" t="s">
        <v>3282</v>
      </c>
      <c r="F2787">
        <v>0</v>
      </c>
      <c r="G2787" s="580">
        <v>0</v>
      </c>
      <c r="H2787" s="1" t="s">
        <v>7141</v>
      </c>
      <c r="I2787" s="1"/>
      <c r="J2787" s="1"/>
      <c r="K2787" s="1"/>
      <c r="L2787" s="1"/>
      <c r="M2787" s="1"/>
      <c r="N2787" s="1"/>
      <c r="O2787" s="1"/>
      <c r="Q2787"/>
    </row>
    <row r="2788" spans="1:17" ht="13.15" customHeight="1" x14ac:dyDescent="0.2">
      <c r="A2788" s="1" t="s">
        <v>7142</v>
      </c>
      <c r="B2788" s="1" t="s">
        <v>6817</v>
      </c>
      <c r="C2788" s="580" t="s">
        <v>7132</v>
      </c>
      <c r="D2788" s="1">
        <v>13000</v>
      </c>
      <c r="E2788" t="s">
        <v>3282</v>
      </c>
      <c r="F2788">
        <v>0</v>
      </c>
      <c r="G2788" s="580">
        <v>0</v>
      </c>
      <c r="H2788" s="1" t="s">
        <v>7141</v>
      </c>
      <c r="I2788" s="1"/>
      <c r="J2788" s="1"/>
      <c r="K2788" s="1"/>
      <c r="L2788" s="1"/>
      <c r="M2788" s="1"/>
      <c r="N2788" s="1"/>
      <c r="O2788" s="1"/>
      <c r="Q2788"/>
    </row>
    <row r="2789" spans="1:17" ht="13.15" customHeight="1" x14ac:dyDescent="0.2">
      <c r="A2789" s="1" t="s">
        <v>7143</v>
      </c>
      <c r="B2789" s="1" t="s">
        <v>3468</v>
      </c>
      <c r="C2789" s="580" t="s">
        <v>7132</v>
      </c>
      <c r="D2789" s="1">
        <v>13000</v>
      </c>
      <c r="E2789" t="s">
        <v>3282</v>
      </c>
      <c r="F2789">
        <v>0</v>
      </c>
      <c r="G2789" s="580">
        <v>0</v>
      </c>
      <c r="H2789" s="1" t="s">
        <v>7141</v>
      </c>
      <c r="I2789" s="1"/>
      <c r="J2789" s="1"/>
      <c r="K2789" s="1"/>
      <c r="L2789" s="1"/>
      <c r="M2789" s="1"/>
      <c r="N2789" s="1"/>
      <c r="O2789" s="1"/>
      <c r="Q2789"/>
    </row>
    <row r="2790" spans="1:17" ht="13.15" customHeight="1" x14ac:dyDescent="0.2">
      <c r="A2790" s="1" t="s">
        <v>7144</v>
      </c>
      <c r="B2790" s="1" t="s">
        <v>3369</v>
      </c>
      <c r="C2790" s="580" t="s">
        <v>7132</v>
      </c>
      <c r="D2790" s="1">
        <v>13000</v>
      </c>
      <c r="E2790" t="s">
        <v>3282</v>
      </c>
      <c r="F2790">
        <v>0</v>
      </c>
      <c r="G2790" s="580">
        <v>0</v>
      </c>
      <c r="H2790" s="1" t="s">
        <v>7141</v>
      </c>
      <c r="I2790" s="1"/>
      <c r="J2790" s="1"/>
      <c r="K2790" s="1"/>
      <c r="L2790" s="1"/>
      <c r="M2790" s="1"/>
      <c r="N2790" s="1"/>
      <c r="O2790" s="1"/>
      <c r="Q2790"/>
    </row>
    <row r="2791" spans="1:17" ht="13.15" customHeight="1" x14ac:dyDescent="0.2">
      <c r="A2791" s="1" t="s">
        <v>7145</v>
      </c>
      <c r="B2791" s="1" t="s">
        <v>3600</v>
      </c>
      <c r="C2791" s="580" t="s">
        <v>7132</v>
      </c>
      <c r="D2791" s="1">
        <v>13000</v>
      </c>
      <c r="E2791" t="s">
        <v>3282</v>
      </c>
      <c r="F2791">
        <v>0</v>
      </c>
      <c r="G2791" s="580">
        <v>0</v>
      </c>
      <c r="H2791" s="1" t="s">
        <v>7141</v>
      </c>
      <c r="I2791" s="1"/>
      <c r="J2791" s="1"/>
      <c r="K2791" s="1"/>
      <c r="L2791" s="1"/>
      <c r="M2791" s="1"/>
      <c r="N2791" s="1"/>
      <c r="O2791" s="1"/>
      <c r="Q2791"/>
    </row>
    <row r="2792" spans="1:17" ht="13.15" customHeight="1" x14ac:dyDescent="0.2">
      <c r="A2792" s="1" t="s">
        <v>7146</v>
      </c>
      <c r="B2792" s="1" t="s">
        <v>6576</v>
      </c>
      <c r="C2792" s="580" t="s">
        <v>7132</v>
      </c>
      <c r="D2792" s="1">
        <v>16000</v>
      </c>
      <c r="E2792" t="s">
        <v>3282</v>
      </c>
      <c r="F2792">
        <v>0</v>
      </c>
      <c r="G2792" s="580">
        <v>0</v>
      </c>
      <c r="H2792" s="1" t="s">
        <v>7139</v>
      </c>
      <c r="I2792" s="1"/>
      <c r="J2792" s="1"/>
      <c r="K2792" s="1"/>
      <c r="L2792" s="1"/>
      <c r="M2792" s="1"/>
      <c r="N2792" s="1"/>
      <c r="O2792" s="1"/>
      <c r="Q2792"/>
    </row>
    <row r="2793" spans="1:17" ht="13.15" customHeight="1" x14ac:dyDescent="0.2">
      <c r="A2793" s="1" t="s">
        <v>7147</v>
      </c>
      <c r="B2793" s="1" t="s">
        <v>6462</v>
      </c>
      <c r="C2793" s="580" t="s">
        <v>7132</v>
      </c>
      <c r="D2793" s="1">
        <v>13000</v>
      </c>
      <c r="E2793" t="s">
        <v>3282</v>
      </c>
      <c r="F2793">
        <v>0</v>
      </c>
      <c r="G2793" s="580">
        <v>0</v>
      </c>
      <c r="H2793" s="1" t="s">
        <v>7141</v>
      </c>
      <c r="I2793" s="1"/>
      <c r="J2793" s="1"/>
      <c r="K2793" s="1"/>
      <c r="L2793" s="1"/>
      <c r="M2793" s="1"/>
      <c r="N2793" s="1"/>
      <c r="O2793" s="1"/>
      <c r="Q2793"/>
    </row>
    <row r="2794" spans="1:17" ht="13.15" customHeight="1" x14ac:dyDescent="0.2">
      <c r="A2794" s="1" t="s">
        <v>7148</v>
      </c>
      <c r="B2794" s="1" t="s">
        <v>6102</v>
      </c>
      <c r="C2794" s="580" t="s">
        <v>7132</v>
      </c>
      <c r="D2794" s="1">
        <v>15000</v>
      </c>
      <c r="E2794" t="s">
        <v>3282</v>
      </c>
      <c r="F2794">
        <v>0</v>
      </c>
      <c r="G2794" s="580">
        <v>0</v>
      </c>
      <c r="H2794" s="1" t="s">
        <v>7133</v>
      </c>
      <c r="I2794" s="1"/>
      <c r="J2794" s="1"/>
      <c r="K2794" s="1"/>
      <c r="L2794" s="1"/>
      <c r="M2794" s="1"/>
      <c r="N2794" s="1"/>
      <c r="O2794" s="1"/>
      <c r="Q2794"/>
    </row>
    <row r="2795" spans="1:17" ht="13.15" customHeight="1" x14ac:dyDescent="0.2">
      <c r="A2795" s="1" t="s">
        <v>7149</v>
      </c>
      <c r="B2795" s="1" t="s">
        <v>6029</v>
      </c>
      <c r="C2795" s="580" t="s">
        <v>7132</v>
      </c>
      <c r="D2795" s="1">
        <v>13000</v>
      </c>
      <c r="E2795" t="s">
        <v>3282</v>
      </c>
      <c r="F2795">
        <v>0</v>
      </c>
      <c r="G2795" s="580">
        <v>0</v>
      </c>
      <c r="H2795" s="1" t="s">
        <v>7141</v>
      </c>
      <c r="I2795" s="1"/>
      <c r="J2795" s="1"/>
      <c r="K2795" s="1"/>
      <c r="L2795" s="1"/>
      <c r="M2795" s="1"/>
      <c r="N2795" s="1"/>
      <c r="O2795" s="1"/>
      <c r="Q2795"/>
    </row>
    <row r="2796" spans="1:17" ht="13.15" customHeight="1" x14ac:dyDescent="0.2">
      <c r="A2796" s="1" t="s">
        <v>7150</v>
      </c>
      <c r="B2796" s="1" t="s">
        <v>5939</v>
      </c>
      <c r="C2796" s="580" t="s">
        <v>7132</v>
      </c>
      <c r="D2796" s="1">
        <v>13000</v>
      </c>
      <c r="E2796" t="s">
        <v>3282</v>
      </c>
      <c r="F2796">
        <v>0</v>
      </c>
      <c r="G2796" s="580">
        <v>0</v>
      </c>
      <c r="H2796" s="1" t="s">
        <v>7141</v>
      </c>
      <c r="I2796" s="1"/>
      <c r="J2796" s="1"/>
      <c r="K2796" s="1"/>
      <c r="L2796" s="1"/>
      <c r="M2796" s="1"/>
      <c r="N2796" s="1"/>
      <c r="O2796" s="1"/>
      <c r="Q2796"/>
    </row>
    <row r="2797" spans="1:17" ht="13.15" customHeight="1" x14ac:dyDescent="0.2">
      <c r="A2797" s="1" t="s">
        <v>7151</v>
      </c>
      <c r="B2797" s="1" t="s">
        <v>5826</v>
      </c>
      <c r="C2797" s="580" t="s">
        <v>7132</v>
      </c>
      <c r="D2797" s="1">
        <v>13000</v>
      </c>
      <c r="E2797" t="s">
        <v>3282</v>
      </c>
      <c r="F2797">
        <v>0</v>
      </c>
      <c r="G2797" s="580">
        <v>0</v>
      </c>
      <c r="H2797" s="1" t="s">
        <v>7141</v>
      </c>
      <c r="I2797" s="1"/>
      <c r="J2797" s="1"/>
      <c r="K2797" s="1"/>
      <c r="L2797" s="1"/>
      <c r="M2797" s="1"/>
      <c r="N2797" s="1"/>
      <c r="O2797" s="1"/>
      <c r="Q2797"/>
    </row>
    <row r="2798" spans="1:17" ht="13.15" customHeight="1" x14ac:dyDescent="0.2">
      <c r="A2798" s="1" t="s">
        <v>7152</v>
      </c>
      <c r="B2798" s="1" t="s">
        <v>5462</v>
      </c>
      <c r="C2798" s="580" t="s">
        <v>7132</v>
      </c>
      <c r="D2798" s="1">
        <v>15000</v>
      </c>
      <c r="E2798" t="s">
        <v>3282</v>
      </c>
      <c r="F2798">
        <v>0</v>
      </c>
      <c r="G2798" s="580">
        <v>0</v>
      </c>
      <c r="H2798" s="1" t="s">
        <v>7133</v>
      </c>
      <c r="I2798" s="1"/>
      <c r="J2798" s="1"/>
      <c r="K2798" s="1"/>
      <c r="L2798" s="1"/>
      <c r="M2798" s="1"/>
      <c r="N2798" s="1"/>
      <c r="O2798" s="1"/>
      <c r="Q2798"/>
    </row>
    <row r="2799" spans="1:17" ht="13.15" customHeight="1" x14ac:dyDescent="0.2">
      <c r="A2799" s="1" t="s">
        <v>7153</v>
      </c>
      <c r="B2799" s="1" t="s">
        <v>5540</v>
      </c>
      <c r="C2799" s="580" t="s">
        <v>7132</v>
      </c>
      <c r="D2799" s="1">
        <v>13000</v>
      </c>
      <c r="E2799" t="s">
        <v>3282</v>
      </c>
      <c r="F2799">
        <v>0</v>
      </c>
      <c r="G2799" s="580">
        <v>0</v>
      </c>
      <c r="H2799" s="1" t="s">
        <v>7141</v>
      </c>
      <c r="I2799" s="1"/>
      <c r="J2799" s="1"/>
      <c r="K2799" s="1"/>
      <c r="L2799" s="1"/>
      <c r="M2799" s="1"/>
      <c r="N2799" s="1"/>
      <c r="O2799" s="1"/>
      <c r="Q2799"/>
    </row>
    <row r="2800" spans="1:17" ht="13.15" customHeight="1" x14ac:dyDescent="0.2">
      <c r="A2800" s="1" t="s">
        <v>7154</v>
      </c>
      <c r="B2800" s="1" t="s">
        <v>5586</v>
      </c>
      <c r="C2800" s="580" t="s">
        <v>7132</v>
      </c>
      <c r="D2800" s="1">
        <v>13000</v>
      </c>
      <c r="E2800" t="s">
        <v>3282</v>
      </c>
      <c r="F2800">
        <v>0</v>
      </c>
      <c r="G2800" s="580">
        <v>0</v>
      </c>
      <c r="H2800" s="1" t="s">
        <v>7141</v>
      </c>
      <c r="I2800" s="1"/>
      <c r="J2800" s="1"/>
      <c r="K2800" s="1"/>
      <c r="L2800" s="1"/>
      <c r="M2800" s="1"/>
      <c r="N2800" s="1"/>
      <c r="O2800" s="1"/>
      <c r="Q2800"/>
    </row>
    <row r="2801" spans="1:17" ht="13.15" customHeight="1" x14ac:dyDescent="0.2">
      <c r="A2801" s="1" t="s">
        <v>7155</v>
      </c>
      <c r="B2801" s="1" t="s">
        <v>5242</v>
      </c>
      <c r="C2801" s="580" t="s">
        <v>7132</v>
      </c>
      <c r="D2801" s="1">
        <v>13000</v>
      </c>
      <c r="E2801" t="s">
        <v>3282</v>
      </c>
      <c r="F2801">
        <v>0</v>
      </c>
      <c r="G2801" s="580">
        <v>0</v>
      </c>
      <c r="H2801" s="1" t="s">
        <v>7141</v>
      </c>
      <c r="I2801" s="1"/>
      <c r="J2801" s="1"/>
      <c r="K2801" s="1"/>
      <c r="L2801" s="1"/>
      <c r="M2801" s="1"/>
      <c r="N2801" s="1"/>
      <c r="O2801" s="1"/>
      <c r="Q2801"/>
    </row>
    <row r="2802" spans="1:17" ht="13.15" customHeight="1" x14ac:dyDescent="0.2">
      <c r="A2802" s="1" t="s">
        <v>7156</v>
      </c>
      <c r="B2802" s="1" t="s">
        <v>4745</v>
      </c>
      <c r="C2802" s="580" t="s">
        <v>7132</v>
      </c>
      <c r="D2802" s="1">
        <v>15000</v>
      </c>
      <c r="E2802" t="s">
        <v>3282</v>
      </c>
      <c r="F2802">
        <v>0</v>
      </c>
      <c r="G2802" s="580">
        <v>0</v>
      </c>
      <c r="H2802" s="1" t="s">
        <v>7133</v>
      </c>
      <c r="I2802" s="1"/>
      <c r="J2802" s="1"/>
      <c r="K2802" s="1"/>
      <c r="L2802" s="1"/>
      <c r="M2802" s="1"/>
      <c r="N2802" s="1"/>
      <c r="O2802" s="1"/>
      <c r="Q2802"/>
    </row>
    <row r="2803" spans="1:17" ht="13.15" customHeight="1" x14ac:dyDescent="0.2">
      <c r="A2803" s="1" t="s">
        <v>7157</v>
      </c>
      <c r="B2803" s="1" t="s">
        <v>15</v>
      </c>
      <c r="C2803" s="580" t="s">
        <v>7132</v>
      </c>
      <c r="D2803" s="1">
        <v>15000</v>
      </c>
      <c r="E2803" t="s">
        <v>3282</v>
      </c>
      <c r="F2803">
        <v>0</v>
      </c>
      <c r="G2803" s="580">
        <v>0</v>
      </c>
      <c r="H2803" s="1" t="s">
        <v>7133</v>
      </c>
      <c r="I2803" s="1"/>
      <c r="J2803" s="1"/>
      <c r="K2803" s="1"/>
      <c r="L2803" s="1"/>
      <c r="M2803" s="1"/>
      <c r="N2803" s="1"/>
      <c r="O2803" s="1"/>
      <c r="Q2803"/>
    </row>
    <row r="2804" spans="1:17" ht="13.15" customHeight="1" x14ac:dyDescent="0.2">
      <c r="A2804" s="1" t="s">
        <v>7158</v>
      </c>
      <c r="B2804" s="1" t="s">
        <v>1197</v>
      </c>
      <c r="C2804" s="580" t="s">
        <v>7132</v>
      </c>
      <c r="D2804" s="1">
        <v>15000</v>
      </c>
      <c r="E2804" t="s">
        <v>3282</v>
      </c>
      <c r="F2804">
        <v>0</v>
      </c>
      <c r="G2804" s="580">
        <v>0</v>
      </c>
      <c r="H2804" s="1" t="s">
        <v>7133</v>
      </c>
      <c r="I2804" s="1"/>
      <c r="J2804" s="1"/>
      <c r="K2804" s="1"/>
      <c r="L2804" s="1"/>
      <c r="M2804" s="1"/>
      <c r="N2804" s="1"/>
      <c r="O2804" s="1"/>
      <c r="Q2804"/>
    </row>
    <row r="2805" spans="1:17" ht="13.15" customHeight="1" x14ac:dyDescent="0.2">
      <c r="A2805" s="1" t="s">
        <v>7159</v>
      </c>
      <c r="B2805" s="1" t="s">
        <v>1381</v>
      </c>
      <c r="C2805" s="580" t="s">
        <v>7132</v>
      </c>
      <c r="D2805" s="1">
        <v>15000</v>
      </c>
      <c r="E2805" t="s">
        <v>3282</v>
      </c>
      <c r="F2805">
        <v>0</v>
      </c>
      <c r="G2805" s="580">
        <v>0</v>
      </c>
      <c r="H2805" s="1" t="s">
        <v>7133</v>
      </c>
      <c r="I2805" s="1"/>
      <c r="J2805" s="1"/>
      <c r="K2805" s="1"/>
      <c r="L2805" s="1"/>
      <c r="M2805" s="1"/>
      <c r="N2805" s="1"/>
      <c r="O2805" s="1"/>
      <c r="Q2805"/>
    </row>
    <row r="2806" spans="1:17" ht="13.15" customHeight="1" x14ac:dyDescent="0.2">
      <c r="A2806" s="1" t="s">
        <v>7160</v>
      </c>
      <c r="B2806" s="1" t="s">
        <v>1602</v>
      </c>
      <c r="C2806" s="580" t="s">
        <v>7132</v>
      </c>
      <c r="D2806" s="1">
        <v>15000</v>
      </c>
      <c r="E2806" t="s">
        <v>3282</v>
      </c>
      <c r="F2806">
        <v>0</v>
      </c>
      <c r="G2806" s="580">
        <v>0</v>
      </c>
      <c r="H2806" s="1" t="s">
        <v>7133</v>
      </c>
      <c r="I2806" s="1"/>
      <c r="J2806" s="1"/>
      <c r="K2806" s="1"/>
      <c r="L2806" s="1"/>
      <c r="M2806" s="1"/>
      <c r="N2806" s="1"/>
      <c r="O2806" s="1"/>
      <c r="Q2806"/>
    </row>
    <row r="2807" spans="1:17" ht="13.15" customHeight="1" x14ac:dyDescent="0.2">
      <c r="A2807" s="1" t="s">
        <v>7161</v>
      </c>
      <c r="B2807" s="1" t="s">
        <v>1685</v>
      </c>
      <c r="C2807" s="580" t="s">
        <v>7132</v>
      </c>
      <c r="D2807" s="1">
        <v>15000</v>
      </c>
      <c r="E2807" t="s">
        <v>3282</v>
      </c>
      <c r="F2807">
        <v>0</v>
      </c>
      <c r="G2807" s="580">
        <v>0</v>
      </c>
      <c r="H2807" s="1" t="s">
        <v>7133</v>
      </c>
      <c r="I2807" s="1"/>
      <c r="J2807" s="1"/>
      <c r="K2807" s="1"/>
      <c r="L2807" s="1"/>
      <c r="M2807" s="1"/>
      <c r="N2807" s="1"/>
      <c r="O2807" s="1"/>
      <c r="Q2807"/>
    </row>
    <row r="2808" spans="1:17" ht="13.15" customHeight="1" x14ac:dyDescent="0.2">
      <c r="A2808" s="1" t="s">
        <v>7162</v>
      </c>
      <c r="B2808" s="1" t="s">
        <v>2096</v>
      </c>
      <c r="C2808" s="580" t="s">
        <v>7132</v>
      </c>
      <c r="D2808" s="1">
        <v>13000</v>
      </c>
      <c r="E2808" t="s">
        <v>3282</v>
      </c>
      <c r="F2808">
        <v>0</v>
      </c>
      <c r="G2808" s="580">
        <v>0</v>
      </c>
      <c r="H2808" s="1" t="s">
        <v>7141</v>
      </c>
      <c r="I2808" s="1"/>
      <c r="J2808" s="1"/>
      <c r="K2808" s="1"/>
      <c r="L2808" s="1"/>
      <c r="M2808" s="1"/>
      <c r="N2808" s="1"/>
      <c r="O2808" s="1"/>
      <c r="Q2808"/>
    </row>
    <row r="2809" spans="1:17" ht="13.15" customHeight="1" x14ac:dyDescent="0.2">
      <c r="A2809" s="1" t="s">
        <v>7163</v>
      </c>
      <c r="B2809" s="1" t="s">
        <v>2281</v>
      </c>
      <c r="C2809" s="580" t="s">
        <v>7132</v>
      </c>
      <c r="D2809" s="1">
        <v>13000</v>
      </c>
      <c r="E2809" t="s">
        <v>3282</v>
      </c>
      <c r="F2809">
        <v>0</v>
      </c>
      <c r="G2809" s="580">
        <v>0</v>
      </c>
      <c r="H2809" s="1" t="s">
        <v>7141</v>
      </c>
      <c r="I2809" s="1"/>
      <c r="J2809" s="1"/>
      <c r="K2809" s="1"/>
      <c r="L2809" s="1"/>
      <c r="M2809" s="1"/>
      <c r="N2809" s="1"/>
      <c r="O2809" s="1"/>
      <c r="Q2809"/>
    </row>
    <row r="2810" spans="1:17" ht="13.15" customHeight="1" x14ac:dyDescent="0.2">
      <c r="A2810" s="1" t="s">
        <v>7164</v>
      </c>
      <c r="B2810" s="1" t="s">
        <v>2480</v>
      </c>
      <c r="C2810" s="580" t="s">
        <v>7132</v>
      </c>
      <c r="D2810" s="1">
        <v>15000</v>
      </c>
      <c r="E2810" t="s">
        <v>3282</v>
      </c>
      <c r="F2810">
        <v>0</v>
      </c>
      <c r="G2810" s="580">
        <v>0</v>
      </c>
      <c r="H2810" s="1" t="s">
        <v>7133</v>
      </c>
      <c r="I2810" s="1"/>
      <c r="J2810" s="1"/>
      <c r="K2810" s="1"/>
      <c r="L2810" s="1"/>
      <c r="M2810" s="1"/>
      <c r="N2810" s="1"/>
      <c r="O2810" s="1"/>
      <c r="Q2810"/>
    </row>
    <row r="2811" spans="1:17" ht="13.15" customHeight="1" x14ac:dyDescent="0.2">
      <c r="A2811" s="1" t="s">
        <v>7165</v>
      </c>
      <c r="B2811" s="1" t="s">
        <v>2780</v>
      </c>
      <c r="C2811" s="580" t="s">
        <v>7132</v>
      </c>
      <c r="D2811" s="1">
        <v>13000</v>
      </c>
      <c r="E2811" t="s">
        <v>3282</v>
      </c>
      <c r="F2811">
        <v>0</v>
      </c>
      <c r="G2811" s="580">
        <v>0</v>
      </c>
      <c r="H2811" s="1" t="s">
        <v>7141</v>
      </c>
      <c r="I2811" s="1"/>
      <c r="J2811" s="1"/>
      <c r="K2811" s="1"/>
      <c r="L2811" s="1"/>
      <c r="M2811" s="1"/>
      <c r="N2811" s="1"/>
      <c r="O2811" s="1"/>
      <c r="Q2811"/>
    </row>
    <row r="2812" spans="1:17" ht="13.15" customHeight="1" x14ac:dyDescent="0.2">
      <c r="A2812" s="1" t="s">
        <v>7166</v>
      </c>
      <c r="B2812" s="1" t="s">
        <v>2833</v>
      </c>
      <c r="C2812" s="580" t="s">
        <v>7132</v>
      </c>
      <c r="D2812" s="1">
        <v>16000</v>
      </c>
      <c r="E2812" t="s">
        <v>3282</v>
      </c>
      <c r="F2812">
        <v>0</v>
      </c>
      <c r="G2812" s="580">
        <v>0</v>
      </c>
      <c r="H2812" s="1" t="s">
        <v>7139</v>
      </c>
      <c r="I2812" s="1"/>
      <c r="J2812" s="1"/>
      <c r="K2812" s="1"/>
      <c r="L2812" s="1"/>
      <c r="M2812" s="1"/>
      <c r="N2812" s="1"/>
      <c r="O2812" s="1"/>
      <c r="Q2812"/>
    </row>
    <row r="2813" spans="1:17" ht="13.15" customHeight="1" x14ac:dyDescent="0.2">
      <c r="A2813" s="1" t="s">
        <v>7167</v>
      </c>
      <c r="B2813" s="1" t="s">
        <v>2967</v>
      </c>
      <c r="C2813" s="580" t="s">
        <v>7132</v>
      </c>
      <c r="D2813" s="1">
        <v>15000</v>
      </c>
      <c r="E2813" t="s">
        <v>3282</v>
      </c>
      <c r="F2813">
        <v>0</v>
      </c>
      <c r="G2813" s="580">
        <v>0</v>
      </c>
      <c r="H2813" s="1" t="s">
        <v>7133</v>
      </c>
      <c r="I2813" s="1"/>
      <c r="J2813" s="1"/>
      <c r="K2813" s="1"/>
      <c r="L2813" s="1"/>
      <c r="M2813" s="1"/>
      <c r="N2813" s="1"/>
      <c r="O2813" s="1"/>
      <c r="Q2813"/>
    </row>
    <row r="2814" spans="1:17" ht="13.15" customHeight="1" x14ac:dyDescent="0.2">
      <c r="A2814" s="1" t="s">
        <v>7168</v>
      </c>
      <c r="B2814" s="1" t="s">
        <v>3093</v>
      </c>
      <c r="C2814" s="580" t="s">
        <v>7132</v>
      </c>
      <c r="D2814" s="1">
        <v>15000</v>
      </c>
      <c r="E2814" t="s">
        <v>3282</v>
      </c>
      <c r="F2814">
        <v>0</v>
      </c>
      <c r="G2814" s="580">
        <v>0</v>
      </c>
      <c r="H2814" s="1" t="s">
        <v>7133</v>
      </c>
      <c r="I2814" s="1"/>
      <c r="J2814" s="1"/>
      <c r="K2814" s="1"/>
      <c r="L2814" s="1"/>
      <c r="M2814" s="1"/>
      <c r="N2814" s="1"/>
      <c r="O2814" s="1"/>
      <c r="Q2814"/>
    </row>
    <row r="2815" spans="1:17" ht="13.15" customHeight="1" x14ac:dyDescent="0.2">
      <c r="A2815" s="1" t="s">
        <v>7169</v>
      </c>
      <c r="B2815" s="1" t="s">
        <v>3175</v>
      </c>
      <c r="C2815" s="580" t="s">
        <v>7132</v>
      </c>
      <c r="D2815" s="1">
        <v>13000</v>
      </c>
      <c r="E2815" t="s">
        <v>3282</v>
      </c>
      <c r="F2815">
        <v>0</v>
      </c>
      <c r="G2815" s="580">
        <v>0</v>
      </c>
      <c r="H2815" s="1" t="s">
        <v>7141</v>
      </c>
      <c r="I2815" s="1"/>
      <c r="J2815" s="1"/>
      <c r="K2815" s="1"/>
      <c r="L2815" s="1"/>
      <c r="M2815" s="1"/>
      <c r="N2815" s="1"/>
      <c r="O2815" s="1"/>
      <c r="Q2815"/>
    </row>
    <row r="2816" spans="1:17" ht="13.15" customHeight="1" x14ac:dyDescent="0.2">
      <c r="A2816" s="1" t="s">
        <v>7170</v>
      </c>
      <c r="B2816" s="1" t="s">
        <v>3280</v>
      </c>
      <c r="C2816" s="580" t="s">
        <v>7132</v>
      </c>
      <c r="D2816" s="1">
        <v>13000</v>
      </c>
      <c r="E2816" t="s">
        <v>3282</v>
      </c>
      <c r="F2816">
        <v>0</v>
      </c>
      <c r="G2816" s="580">
        <v>0</v>
      </c>
      <c r="H2816" s="1" t="s">
        <v>7141</v>
      </c>
      <c r="I2816" s="1"/>
      <c r="J2816" s="1"/>
      <c r="K2816" s="1"/>
      <c r="L2816" s="1"/>
      <c r="M2816" s="1"/>
      <c r="N2816" s="1"/>
      <c r="O2816" s="1"/>
      <c r="Q2816"/>
    </row>
    <row r="2817" spans="1:17" ht="13.15" customHeight="1" x14ac:dyDescent="0.2">
      <c r="A2817" s="1" t="s">
        <v>7171</v>
      </c>
      <c r="B2817" s="1" t="s">
        <v>3533</v>
      </c>
      <c r="C2817" s="580" t="s">
        <v>7132</v>
      </c>
      <c r="D2817" s="1">
        <v>13000</v>
      </c>
      <c r="E2817" t="s">
        <v>3282</v>
      </c>
      <c r="F2817">
        <v>0</v>
      </c>
      <c r="G2817" s="580">
        <v>0</v>
      </c>
      <c r="H2817" s="1" t="s">
        <v>7141</v>
      </c>
      <c r="I2817" s="1"/>
      <c r="J2817" s="1"/>
      <c r="K2817" s="1"/>
      <c r="L2817" s="1"/>
      <c r="M2817" s="1"/>
      <c r="N2817" s="1"/>
      <c r="O2817" s="1"/>
      <c r="Q2817"/>
    </row>
    <row r="2818" spans="1:17" ht="13.15" customHeight="1" x14ac:dyDescent="0.2">
      <c r="A2818" s="1" t="s">
        <v>7172</v>
      </c>
      <c r="B2818" s="1" t="s">
        <v>7173</v>
      </c>
      <c r="C2818" s="580" t="s">
        <v>7132</v>
      </c>
      <c r="D2818" s="1">
        <v>15000</v>
      </c>
      <c r="E2818" t="s">
        <v>3282</v>
      </c>
      <c r="F2818">
        <v>0</v>
      </c>
      <c r="G2818" s="580">
        <v>0</v>
      </c>
      <c r="H2818" s="1" t="s">
        <v>7133</v>
      </c>
      <c r="I2818" s="1"/>
      <c r="J2818" s="1"/>
      <c r="K2818" s="1"/>
      <c r="L2818" s="1"/>
      <c r="M2818" s="1"/>
      <c r="N2818" s="1"/>
      <c r="O2818" s="1"/>
      <c r="Q2818"/>
    </row>
    <row r="2819" spans="1:17" ht="13.15" customHeight="1" x14ac:dyDescent="0.2">
      <c r="A2819" s="1" t="s">
        <v>7174</v>
      </c>
      <c r="B2819" s="1" t="s">
        <v>4540</v>
      </c>
      <c r="C2819" s="580" t="s">
        <v>7132</v>
      </c>
      <c r="D2819" s="1">
        <v>13000</v>
      </c>
      <c r="E2819" t="s">
        <v>3282</v>
      </c>
      <c r="F2819">
        <v>0</v>
      </c>
      <c r="G2819" s="580">
        <v>0</v>
      </c>
      <c r="H2819" s="1" t="s">
        <v>7141</v>
      </c>
      <c r="I2819" s="1"/>
      <c r="J2819" s="1"/>
      <c r="K2819" s="1"/>
      <c r="L2819" s="1"/>
      <c r="M2819" s="1"/>
      <c r="N2819" s="1"/>
      <c r="O2819" s="1"/>
      <c r="Q2819"/>
    </row>
    <row r="2820" spans="1:17" ht="13.15" customHeight="1" x14ac:dyDescent="0.2">
      <c r="A2820" s="1" t="s">
        <v>7175</v>
      </c>
      <c r="B2820" s="1" t="s">
        <v>4948</v>
      </c>
      <c r="C2820" s="580" t="s">
        <v>7132</v>
      </c>
      <c r="D2820" s="1">
        <v>16000</v>
      </c>
      <c r="E2820" t="s">
        <v>3282</v>
      </c>
      <c r="F2820">
        <v>0</v>
      </c>
      <c r="G2820" s="580">
        <v>0</v>
      </c>
      <c r="H2820" s="1" t="s">
        <v>7139</v>
      </c>
      <c r="I2820" s="1"/>
      <c r="J2820" s="1"/>
      <c r="K2820" s="1"/>
      <c r="L2820" s="1"/>
      <c r="M2820" s="1"/>
      <c r="N2820" s="1"/>
      <c r="O2820" s="1"/>
      <c r="Q2820"/>
    </row>
    <row r="2821" spans="1:17" ht="13.15" customHeight="1" x14ac:dyDescent="0.2">
      <c r="A2821" s="1" t="s">
        <v>7176</v>
      </c>
      <c r="B2821" s="1" t="s">
        <v>5112</v>
      </c>
      <c r="C2821" s="580" t="s">
        <v>7132</v>
      </c>
      <c r="D2821" s="1">
        <v>16000</v>
      </c>
      <c r="E2821" t="s">
        <v>3282</v>
      </c>
      <c r="F2821">
        <v>0</v>
      </c>
      <c r="G2821" s="580">
        <v>0</v>
      </c>
      <c r="H2821" s="1" t="s">
        <v>7139</v>
      </c>
      <c r="I2821" s="1"/>
      <c r="J2821" s="1"/>
      <c r="K2821" s="1"/>
      <c r="L2821" s="1"/>
      <c r="M2821" s="1"/>
      <c r="N2821" s="1"/>
      <c r="O2821" s="1"/>
      <c r="Q2821"/>
    </row>
    <row r="2822" spans="1:17" ht="13.15" customHeight="1" x14ac:dyDescent="0.2">
      <c r="A2822" s="1" t="s">
        <v>7177</v>
      </c>
      <c r="B2822" s="1" t="s">
        <v>1969</v>
      </c>
      <c r="C2822" s="580" t="s">
        <v>7132</v>
      </c>
      <c r="D2822" s="1">
        <v>15000</v>
      </c>
      <c r="E2822" t="s">
        <v>3282</v>
      </c>
      <c r="F2822">
        <v>0</v>
      </c>
      <c r="G2822" s="580">
        <v>0</v>
      </c>
      <c r="H2822" s="1" t="s">
        <v>7133</v>
      </c>
      <c r="I2822" s="1"/>
      <c r="J2822" s="1"/>
      <c r="K2822" s="1"/>
      <c r="L2822" s="1"/>
      <c r="M2822" s="1"/>
      <c r="N2822" s="1"/>
      <c r="O2822" s="1"/>
      <c r="Q2822"/>
    </row>
    <row r="2823" spans="1:17" ht="13.15" customHeight="1" x14ac:dyDescent="0.2">
      <c r="A2823" s="1" t="s">
        <v>7178</v>
      </c>
      <c r="B2823" s="1" t="s">
        <v>5634</v>
      </c>
      <c r="C2823" s="580" t="s">
        <v>7132</v>
      </c>
      <c r="D2823" s="1">
        <v>15000</v>
      </c>
      <c r="E2823" t="s">
        <v>3282</v>
      </c>
      <c r="F2823">
        <v>0</v>
      </c>
      <c r="G2823" s="580">
        <v>0</v>
      </c>
      <c r="H2823" s="1" t="s">
        <v>7133</v>
      </c>
      <c r="I2823" s="1"/>
      <c r="J2823" s="1"/>
      <c r="K2823" s="1"/>
      <c r="L2823" s="1"/>
      <c r="M2823" s="1"/>
      <c r="N2823" s="1"/>
      <c r="O2823" s="1"/>
      <c r="Q2823"/>
    </row>
    <row r="2824" spans="1:17" ht="13.15" customHeight="1" x14ac:dyDescent="0.2">
      <c r="A2824" s="1" t="s">
        <v>7179</v>
      </c>
      <c r="B2824" s="1" t="s">
        <v>4353</v>
      </c>
      <c r="C2824" s="580" t="s">
        <v>7132</v>
      </c>
      <c r="D2824" s="1">
        <v>15000</v>
      </c>
      <c r="E2824" t="s">
        <v>3282</v>
      </c>
      <c r="F2824">
        <v>0</v>
      </c>
      <c r="G2824" s="580">
        <v>0</v>
      </c>
      <c r="H2824" s="1" t="s">
        <v>7133</v>
      </c>
      <c r="I2824" s="1"/>
      <c r="J2824" s="1"/>
      <c r="K2824" s="1"/>
      <c r="L2824" s="1"/>
      <c r="M2824" s="1"/>
      <c r="N2824" s="1"/>
      <c r="O2824" s="1"/>
      <c r="Q2824"/>
    </row>
    <row r="2825" spans="1:17" ht="13.15" customHeight="1" x14ac:dyDescent="0.2">
      <c r="A2825" s="1" t="s">
        <v>7180</v>
      </c>
      <c r="B2825" s="1" t="s">
        <v>5039</v>
      </c>
      <c r="C2825" s="580" t="s">
        <v>7132</v>
      </c>
      <c r="D2825" s="1">
        <v>15000</v>
      </c>
      <c r="E2825" t="s">
        <v>3282</v>
      </c>
      <c r="F2825">
        <v>0</v>
      </c>
      <c r="G2825" s="580">
        <v>0</v>
      </c>
      <c r="H2825" s="1" t="s">
        <v>7133</v>
      </c>
      <c r="I2825" s="1"/>
      <c r="J2825" s="1"/>
      <c r="K2825" s="1"/>
      <c r="L2825" s="1"/>
      <c r="M2825" s="1"/>
      <c r="N2825" s="1"/>
      <c r="O2825" s="1"/>
      <c r="Q2825"/>
    </row>
    <row r="2826" spans="1:17" ht="13.15" customHeight="1" x14ac:dyDescent="0.2">
      <c r="A2826" s="1" t="s">
        <v>7181</v>
      </c>
      <c r="B2826" s="1" t="s">
        <v>7182</v>
      </c>
      <c r="C2826" s="580" t="s">
        <v>7183</v>
      </c>
      <c r="D2826" s="1">
        <v>16800</v>
      </c>
      <c r="E2826" t="s">
        <v>3282</v>
      </c>
      <c r="F2826">
        <v>0</v>
      </c>
      <c r="G2826" s="580">
        <v>0</v>
      </c>
      <c r="H2826" s="1" t="s">
        <v>7184</v>
      </c>
      <c r="I2826" s="1"/>
      <c r="J2826" s="1"/>
      <c r="K2826" s="1"/>
      <c r="L2826" s="1"/>
      <c r="M2826" s="1"/>
      <c r="N2826" s="1"/>
      <c r="O2826" s="1"/>
      <c r="Q2826"/>
    </row>
    <row r="2827" spans="1:17" ht="13.15" customHeight="1" x14ac:dyDescent="0.2">
      <c r="A2827" s="1" t="s">
        <v>7185</v>
      </c>
      <c r="B2827" s="1" t="s">
        <v>7186</v>
      </c>
      <c r="C2827" s="580" t="s">
        <v>7183</v>
      </c>
      <c r="D2827" s="1">
        <v>30000</v>
      </c>
      <c r="E2827" t="s">
        <v>3282</v>
      </c>
      <c r="F2827">
        <v>0</v>
      </c>
      <c r="G2827" s="580">
        <v>0</v>
      </c>
      <c r="H2827" s="1" t="s">
        <v>7187</v>
      </c>
      <c r="I2827" s="1"/>
      <c r="J2827" s="1"/>
      <c r="K2827" s="1"/>
      <c r="L2827" s="1"/>
      <c r="M2827" s="1"/>
      <c r="N2827" s="1"/>
      <c r="O2827" s="1"/>
      <c r="Q2827"/>
    </row>
    <row r="2828" spans="1:17" ht="13.15" customHeight="1" x14ac:dyDescent="0.2">
      <c r="A2828" s="1" t="s">
        <v>7188</v>
      </c>
      <c r="B2828" s="1" t="s">
        <v>7189</v>
      </c>
      <c r="C2828" s="580" t="s">
        <v>7190</v>
      </c>
      <c r="D2828" s="1">
        <v>26000</v>
      </c>
      <c r="E2828" t="s">
        <v>7191</v>
      </c>
      <c r="F2828" t="s">
        <v>7190</v>
      </c>
      <c r="G2828" s="580">
        <v>0</v>
      </c>
      <c r="H2828" s="1" t="s">
        <v>7192</v>
      </c>
      <c r="I2828" s="1"/>
      <c r="J2828" s="1"/>
      <c r="K2828" s="1"/>
      <c r="L2828" s="1"/>
      <c r="M2828" s="1"/>
      <c r="N2828" s="1"/>
      <c r="O2828" s="1"/>
      <c r="Q2828"/>
    </row>
    <row r="2829" spans="1:17" ht="13.15" customHeight="1" x14ac:dyDescent="0.2">
      <c r="A2829" s="1" t="s">
        <v>7193</v>
      </c>
      <c r="B2829" s="1" t="s">
        <v>7189</v>
      </c>
      <c r="C2829" s="580" t="s">
        <v>7194</v>
      </c>
      <c r="D2829" s="1">
        <v>18800</v>
      </c>
      <c r="E2829" t="s">
        <v>7191</v>
      </c>
      <c r="F2829" t="s">
        <v>7194</v>
      </c>
      <c r="G2829" s="580">
        <v>0</v>
      </c>
      <c r="H2829" s="1" t="s">
        <v>7195</v>
      </c>
      <c r="I2829" s="1"/>
      <c r="J2829" s="1"/>
      <c r="K2829" s="1"/>
      <c r="L2829" s="1"/>
      <c r="M2829" s="1"/>
      <c r="N2829" s="1"/>
      <c r="O2829" s="1"/>
      <c r="Q2829"/>
    </row>
    <row r="2830" spans="1:17" ht="13.15" customHeight="1" x14ac:dyDescent="0.2">
      <c r="A2830" s="1" t="s">
        <v>7196</v>
      </c>
      <c r="B2830" s="1" t="s">
        <v>7189</v>
      </c>
      <c r="C2830" s="580" t="s">
        <v>7197</v>
      </c>
      <c r="D2830" s="1">
        <v>18800</v>
      </c>
      <c r="E2830" t="s">
        <v>7191</v>
      </c>
      <c r="F2830" t="s">
        <v>7197</v>
      </c>
      <c r="G2830" s="580">
        <v>556</v>
      </c>
      <c r="H2830" s="1" t="s">
        <v>7198</v>
      </c>
      <c r="I2830" s="1"/>
      <c r="J2830" s="1"/>
      <c r="K2830" s="1"/>
      <c r="L2830" s="1"/>
      <c r="M2830" s="1"/>
      <c r="N2830" s="1"/>
      <c r="O2830" s="1"/>
      <c r="Q2830"/>
    </row>
    <row r="2831" spans="1:17" ht="13.15" customHeight="1" x14ac:dyDescent="0.2">
      <c r="A2831" s="1" t="s">
        <v>7199</v>
      </c>
      <c r="B2831" s="1" t="s">
        <v>7189</v>
      </c>
      <c r="C2831" s="580" t="s">
        <v>7200</v>
      </c>
      <c r="D2831" s="1">
        <v>18800</v>
      </c>
      <c r="E2831" t="s">
        <v>7191</v>
      </c>
      <c r="F2831" t="s">
        <v>7200</v>
      </c>
      <c r="G2831" s="580">
        <v>0</v>
      </c>
      <c r="H2831" s="1" t="s">
        <v>7201</v>
      </c>
      <c r="I2831" s="1"/>
      <c r="J2831" s="1"/>
      <c r="K2831" s="1"/>
      <c r="L2831" s="1"/>
      <c r="M2831" s="1"/>
      <c r="N2831" s="1"/>
      <c r="O2831" s="1"/>
      <c r="Q2831"/>
    </row>
    <row r="2832" spans="1:17" ht="13.15" customHeight="1" x14ac:dyDescent="0.2">
      <c r="A2832" s="1" t="s">
        <v>7202</v>
      </c>
      <c r="B2832" s="1" t="s">
        <v>7189</v>
      </c>
      <c r="C2832" s="580" t="s">
        <v>7203</v>
      </c>
      <c r="D2832" s="1">
        <v>18800</v>
      </c>
      <c r="E2832" t="s">
        <v>7191</v>
      </c>
      <c r="F2832" t="s">
        <v>7203</v>
      </c>
      <c r="G2832" s="580">
        <v>0</v>
      </c>
      <c r="H2832" s="1" t="s">
        <v>7204</v>
      </c>
      <c r="I2832" s="1"/>
      <c r="J2832" s="1"/>
      <c r="K2832" s="1"/>
      <c r="L2832" s="1"/>
      <c r="M2832" s="1"/>
      <c r="N2832" s="1"/>
      <c r="O2832" s="1"/>
      <c r="Q2832"/>
    </row>
    <row r="2833" spans="1:17" ht="13.15" customHeight="1" x14ac:dyDescent="0.2">
      <c r="A2833" s="1" t="s">
        <v>7205</v>
      </c>
      <c r="B2833" s="1" t="s">
        <v>7189</v>
      </c>
      <c r="C2833" s="580" t="s">
        <v>7206</v>
      </c>
      <c r="D2833" s="1">
        <v>15200</v>
      </c>
      <c r="E2833" t="s">
        <v>7191</v>
      </c>
      <c r="F2833" t="s">
        <v>7206</v>
      </c>
      <c r="G2833" s="580">
        <v>535</v>
      </c>
      <c r="H2833" s="1" t="s">
        <v>7207</v>
      </c>
      <c r="I2833" s="1"/>
      <c r="J2833" s="1"/>
      <c r="K2833" s="1"/>
      <c r="L2833" s="1"/>
      <c r="M2833" s="1"/>
      <c r="N2833" s="1"/>
      <c r="O2833" s="1"/>
      <c r="Q2833"/>
    </row>
    <row r="2834" spans="1:17" ht="13.15" customHeight="1" x14ac:dyDescent="0.2">
      <c r="A2834" s="1" t="s">
        <v>7208</v>
      </c>
      <c r="B2834" s="1" t="s">
        <v>7189</v>
      </c>
      <c r="C2834" s="580" t="s">
        <v>7209</v>
      </c>
      <c r="D2834" s="1">
        <v>18800</v>
      </c>
      <c r="E2834" t="s">
        <v>7191</v>
      </c>
      <c r="F2834" t="s">
        <v>7209</v>
      </c>
      <c r="G2834" s="580">
        <v>0</v>
      </c>
      <c r="H2834" s="1" t="s">
        <v>7210</v>
      </c>
      <c r="I2834" s="1"/>
      <c r="J2834" s="1"/>
      <c r="K2834" s="1"/>
      <c r="L2834" s="1"/>
      <c r="M2834" s="1"/>
      <c r="N2834" s="1"/>
      <c r="O2834" s="1"/>
      <c r="Q2834"/>
    </row>
    <row r="2835" spans="1:17" ht="13.15" customHeight="1" x14ac:dyDescent="0.2">
      <c r="A2835" s="1" t="s">
        <v>7211</v>
      </c>
      <c r="B2835" s="1" t="s">
        <v>3282</v>
      </c>
      <c r="C2835" s="580" t="s">
        <v>3282</v>
      </c>
      <c r="D2835" s="1">
        <v>0</v>
      </c>
      <c r="E2835" t="s">
        <v>3282</v>
      </c>
      <c r="F2835">
        <v>0</v>
      </c>
      <c r="G2835" s="580">
        <v>0</v>
      </c>
      <c r="H2835" s="1">
        <v>0</v>
      </c>
      <c r="I2835" s="1"/>
      <c r="J2835" s="1"/>
      <c r="K2835" s="1"/>
      <c r="L2835" s="1"/>
      <c r="M2835" s="1"/>
      <c r="N2835" s="1"/>
      <c r="O2835" s="1"/>
      <c r="Q2835"/>
    </row>
    <row r="2836" spans="1:17" ht="13.15" customHeight="1" x14ac:dyDescent="0.2">
      <c r="A2836" s="1" t="s">
        <v>7212</v>
      </c>
      <c r="B2836" s="1" t="s">
        <v>7213</v>
      </c>
      <c r="C2836" s="580" t="s">
        <v>7213</v>
      </c>
      <c r="D2836" s="1">
        <v>216000</v>
      </c>
      <c r="E2836" t="s">
        <v>3282</v>
      </c>
      <c r="F2836">
        <v>0</v>
      </c>
      <c r="G2836" s="580">
        <v>0</v>
      </c>
      <c r="H2836" s="1" t="s">
        <v>7214</v>
      </c>
      <c r="I2836" s="1"/>
      <c r="J2836" s="1"/>
      <c r="K2836" s="1"/>
      <c r="L2836" s="1"/>
      <c r="M2836" s="1"/>
      <c r="N2836" s="1"/>
      <c r="O2836" s="1"/>
      <c r="Q2836"/>
    </row>
    <row r="2837" spans="1:17" ht="13.15" customHeight="1" x14ac:dyDescent="0.2">
      <c r="A2837" s="1" t="s">
        <v>7215</v>
      </c>
      <c r="B2837" s="1" t="s">
        <v>7216</v>
      </c>
      <c r="C2837" s="580">
        <v>10200</v>
      </c>
      <c r="D2837" s="1">
        <v>125680.88</v>
      </c>
      <c r="E2837" t="s">
        <v>3615</v>
      </c>
      <c r="F2837">
        <v>10200</v>
      </c>
      <c r="G2837" s="580">
        <v>0</v>
      </c>
      <c r="H2837" s="1" t="s">
        <v>7217</v>
      </c>
      <c r="I2837" s="1"/>
      <c r="J2837" s="1"/>
      <c r="K2837" s="1"/>
      <c r="L2837" s="1"/>
      <c r="M2837" s="1"/>
      <c r="N2837" s="1"/>
      <c r="O2837" s="1"/>
      <c r="Q2837"/>
    </row>
    <row r="2838" spans="1:17" ht="13.15" customHeight="1" x14ac:dyDescent="0.2">
      <c r="A2838" s="1" t="s">
        <v>7218</v>
      </c>
      <c r="B2838" s="1" t="s">
        <v>7216</v>
      </c>
      <c r="C2838" s="580">
        <v>10410</v>
      </c>
      <c r="D2838" s="1">
        <v>111541.8</v>
      </c>
      <c r="E2838" t="s">
        <v>3615</v>
      </c>
      <c r="F2838">
        <v>10410</v>
      </c>
      <c r="G2838" s="580">
        <v>0</v>
      </c>
      <c r="H2838" s="1" t="s">
        <v>7219</v>
      </c>
      <c r="I2838" s="1"/>
      <c r="J2838" s="1"/>
      <c r="K2838" s="1"/>
      <c r="L2838" s="1"/>
      <c r="M2838" s="1"/>
      <c r="N2838" s="1"/>
      <c r="O2838" s="1"/>
      <c r="Q2838"/>
    </row>
    <row r="2839" spans="1:17" ht="13.15" customHeight="1" x14ac:dyDescent="0.2">
      <c r="A2839" s="1" t="s">
        <v>7220</v>
      </c>
      <c r="B2839" s="1" t="s">
        <v>7216</v>
      </c>
      <c r="C2839" s="580">
        <v>10710</v>
      </c>
      <c r="D2839" s="1">
        <v>136154.32</v>
      </c>
      <c r="E2839" t="s">
        <v>3615</v>
      </c>
      <c r="F2839">
        <v>10710</v>
      </c>
      <c r="G2839" s="580">
        <v>0</v>
      </c>
      <c r="H2839" s="1" t="s">
        <v>7221</v>
      </c>
      <c r="I2839" s="1"/>
      <c r="J2839" s="1"/>
      <c r="K2839" s="1"/>
      <c r="L2839" s="1"/>
      <c r="M2839" s="1"/>
      <c r="N2839" s="1"/>
      <c r="O2839" s="1"/>
      <c r="Q2839"/>
    </row>
    <row r="2840" spans="1:17" ht="13.15" customHeight="1" x14ac:dyDescent="0.2">
      <c r="A2840" s="1" t="s">
        <v>7222</v>
      </c>
      <c r="B2840" s="1" t="s">
        <v>7216</v>
      </c>
      <c r="C2840" s="580">
        <v>11110</v>
      </c>
      <c r="D2840" s="1">
        <v>151340.76</v>
      </c>
      <c r="E2840" t="s">
        <v>3615</v>
      </c>
      <c r="F2840">
        <v>11110</v>
      </c>
      <c r="G2840" s="580">
        <v>0</v>
      </c>
      <c r="H2840" s="1" t="s">
        <v>7223</v>
      </c>
      <c r="I2840" s="1"/>
      <c r="J2840" s="1"/>
      <c r="K2840" s="1"/>
      <c r="L2840" s="1"/>
      <c r="M2840" s="1"/>
      <c r="N2840" s="1"/>
      <c r="O2840" s="1"/>
      <c r="Q2840"/>
    </row>
    <row r="2841" spans="1:17" ht="13.15" customHeight="1" x14ac:dyDescent="0.2">
      <c r="A2841" s="1" t="s">
        <v>7224</v>
      </c>
      <c r="B2841" s="1" t="s">
        <v>7216</v>
      </c>
      <c r="C2841" s="580">
        <v>11210</v>
      </c>
      <c r="D2841" s="1">
        <v>169145.52</v>
      </c>
      <c r="E2841" t="s">
        <v>3615</v>
      </c>
      <c r="F2841">
        <v>11210</v>
      </c>
      <c r="G2841" s="580">
        <v>0</v>
      </c>
      <c r="H2841" s="1" t="s">
        <v>7225</v>
      </c>
      <c r="I2841" s="1"/>
      <c r="J2841" s="1"/>
      <c r="K2841" s="1"/>
      <c r="L2841" s="1"/>
      <c r="M2841" s="1"/>
      <c r="N2841" s="1"/>
      <c r="O2841" s="1"/>
      <c r="Q2841"/>
    </row>
    <row r="2842" spans="1:17" ht="13.15" customHeight="1" x14ac:dyDescent="0.2">
      <c r="A2842" s="1" t="s">
        <v>7226</v>
      </c>
      <c r="B2842" s="1" t="s">
        <v>7216</v>
      </c>
      <c r="C2842" s="580">
        <v>11510</v>
      </c>
      <c r="D2842" s="1">
        <v>267595.56</v>
      </c>
      <c r="E2842" t="s">
        <v>3615</v>
      </c>
      <c r="F2842">
        <v>11510</v>
      </c>
      <c r="G2842" s="580">
        <v>0</v>
      </c>
      <c r="H2842" s="1" t="s">
        <v>7227</v>
      </c>
      <c r="I2842" s="1"/>
      <c r="J2842" s="1"/>
      <c r="K2842" s="1"/>
      <c r="L2842" s="1"/>
      <c r="M2842" s="1"/>
      <c r="N2842" s="1"/>
      <c r="O2842" s="1"/>
      <c r="Q2842"/>
    </row>
    <row r="2843" spans="1:17" ht="13.15" customHeight="1" x14ac:dyDescent="0.2">
      <c r="A2843" s="1" t="s">
        <v>7228</v>
      </c>
      <c r="B2843" s="1" t="s">
        <v>7216</v>
      </c>
      <c r="C2843" s="580">
        <v>11610</v>
      </c>
      <c r="D2843" s="1">
        <v>145789.84</v>
      </c>
      <c r="E2843" t="s">
        <v>3615</v>
      </c>
      <c r="F2843">
        <v>11610</v>
      </c>
      <c r="G2843" s="580">
        <v>0</v>
      </c>
      <c r="H2843" s="1" t="s">
        <v>7229</v>
      </c>
      <c r="I2843" s="1"/>
      <c r="J2843" s="1"/>
      <c r="K2843" s="1"/>
      <c r="L2843" s="1"/>
      <c r="M2843" s="1"/>
      <c r="N2843" s="1"/>
      <c r="O2843" s="1"/>
      <c r="Q2843"/>
    </row>
    <row r="2844" spans="1:17" ht="13.15" customHeight="1" x14ac:dyDescent="0.2">
      <c r="A2844" s="1" t="s">
        <v>7230</v>
      </c>
      <c r="B2844" s="1" t="s">
        <v>7216</v>
      </c>
      <c r="C2844" s="580">
        <v>11710</v>
      </c>
      <c r="D2844" s="1">
        <v>159614.72</v>
      </c>
      <c r="E2844" t="s">
        <v>3615</v>
      </c>
      <c r="F2844">
        <v>11710</v>
      </c>
      <c r="G2844" s="580">
        <v>0</v>
      </c>
      <c r="H2844" s="1" t="s">
        <v>7231</v>
      </c>
      <c r="I2844" s="1"/>
      <c r="J2844" s="1"/>
      <c r="K2844" s="1"/>
      <c r="L2844" s="1"/>
      <c r="M2844" s="1"/>
      <c r="N2844" s="1"/>
      <c r="O2844" s="1"/>
      <c r="Q2844"/>
    </row>
    <row r="2845" spans="1:17" ht="13.15" customHeight="1" x14ac:dyDescent="0.2">
      <c r="A2845" s="1" t="s">
        <v>7232</v>
      </c>
      <c r="B2845" s="1" t="s">
        <v>7216</v>
      </c>
      <c r="C2845" s="580">
        <v>11810</v>
      </c>
      <c r="D2845" s="1">
        <v>174696.44</v>
      </c>
      <c r="E2845" t="s">
        <v>3615</v>
      </c>
      <c r="F2845">
        <v>11810</v>
      </c>
      <c r="G2845" s="580">
        <v>0</v>
      </c>
      <c r="H2845" s="1" t="s">
        <v>7233</v>
      </c>
      <c r="I2845" s="1"/>
      <c r="J2845" s="1"/>
      <c r="K2845" s="1"/>
      <c r="L2845" s="1"/>
      <c r="M2845" s="1"/>
      <c r="N2845" s="1"/>
      <c r="O2845" s="1"/>
      <c r="Q2845"/>
    </row>
    <row r="2846" spans="1:17" ht="13.15" customHeight="1" x14ac:dyDescent="0.2">
      <c r="A2846" s="1" t="s">
        <v>7234</v>
      </c>
      <c r="B2846" s="1" t="s">
        <v>7216</v>
      </c>
      <c r="C2846" s="580">
        <v>11860</v>
      </c>
      <c r="D2846" s="1">
        <v>256389.04</v>
      </c>
      <c r="E2846" t="s">
        <v>3615</v>
      </c>
      <c r="F2846">
        <v>11860</v>
      </c>
      <c r="G2846" s="580">
        <v>0</v>
      </c>
      <c r="H2846" s="1" t="s">
        <v>7235</v>
      </c>
      <c r="I2846" s="1"/>
      <c r="J2846" s="1"/>
      <c r="K2846" s="1"/>
      <c r="L2846" s="1"/>
      <c r="M2846" s="1"/>
      <c r="N2846" s="1"/>
      <c r="O2846" s="1"/>
      <c r="Q2846"/>
    </row>
    <row r="2847" spans="1:17" ht="13.15" customHeight="1" x14ac:dyDescent="0.2">
      <c r="A2847" s="1" t="s">
        <v>7236</v>
      </c>
      <c r="B2847" s="1" t="s">
        <v>7216</v>
      </c>
      <c r="C2847" s="580">
        <v>11910</v>
      </c>
      <c r="D2847" s="1">
        <v>335986.92</v>
      </c>
      <c r="E2847" t="s">
        <v>3615</v>
      </c>
      <c r="F2847">
        <v>11910</v>
      </c>
      <c r="G2847" s="580">
        <v>0</v>
      </c>
      <c r="H2847" s="1" t="s">
        <v>7237</v>
      </c>
      <c r="I2847" s="1"/>
      <c r="J2847" s="1"/>
      <c r="K2847" s="1"/>
      <c r="L2847" s="1"/>
      <c r="M2847" s="1"/>
      <c r="N2847" s="1"/>
      <c r="O2847" s="1"/>
      <c r="Q2847"/>
    </row>
    <row r="2848" spans="1:17" ht="13.15" customHeight="1" x14ac:dyDescent="0.2">
      <c r="A2848" s="1" t="s">
        <v>7238</v>
      </c>
      <c r="B2848" s="1" t="s">
        <v>7216</v>
      </c>
      <c r="C2848" s="580">
        <v>21000</v>
      </c>
      <c r="D2848" s="1">
        <v>133012.28</v>
      </c>
      <c r="E2848" t="s">
        <v>3615</v>
      </c>
      <c r="F2848">
        <v>21000</v>
      </c>
      <c r="G2848" s="580">
        <v>0</v>
      </c>
      <c r="H2848" s="1" t="s">
        <v>7239</v>
      </c>
      <c r="I2848" s="1"/>
      <c r="J2848" s="1"/>
      <c r="K2848" s="1"/>
      <c r="L2848" s="1"/>
      <c r="M2848" s="1"/>
      <c r="N2848" s="1"/>
      <c r="O2848" s="1"/>
      <c r="Q2848"/>
    </row>
    <row r="2849" spans="1:17" ht="13.15" customHeight="1" x14ac:dyDescent="0.2">
      <c r="A2849" s="1" t="s">
        <v>7240</v>
      </c>
      <c r="B2849" s="1" t="s">
        <v>7216</v>
      </c>
      <c r="C2849" s="580">
        <v>21310</v>
      </c>
      <c r="D2849" s="1">
        <v>102639.4</v>
      </c>
      <c r="E2849" t="s">
        <v>3615</v>
      </c>
      <c r="F2849">
        <v>21310</v>
      </c>
      <c r="G2849" s="580">
        <v>0</v>
      </c>
      <c r="H2849" s="1" t="s">
        <v>7241</v>
      </c>
      <c r="I2849" s="1"/>
      <c r="J2849" s="1"/>
      <c r="K2849" s="1"/>
      <c r="L2849" s="1"/>
      <c r="M2849" s="1"/>
      <c r="N2849" s="1"/>
      <c r="O2849" s="1"/>
      <c r="Q2849"/>
    </row>
    <row r="2850" spans="1:17" ht="13.15" customHeight="1" x14ac:dyDescent="0.2">
      <c r="A2850" s="1" t="s">
        <v>7242</v>
      </c>
      <c r="B2850" s="1" t="s">
        <v>7216</v>
      </c>
      <c r="C2850" s="580">
        <v>21410</v>
      </c>
      <c r="D2850" s="1">
        <v>110180.24</v>
      </c>
      <c r="E2850" t="s">
        <v>3615</v>
      </c>
      <c r="F2850">
        <v>21410</v>
      </c>
      <c r="G2850" s="580">
        <v>0</v>
      </c>
      <c r="H2850" s="1" t="s">
        <v>7243</v>
      </c>
      <c r="I2850" s="1"/>
      <c r="J2850" s="1"/>
      <c r="K2850" s="1"/>
      <c r="L2850" s="1"/>
      <c r="M2850" s="1"/>
      <c r="N2850" s="1"/>
      <c r="O2850" s="1"/>
      <c r="Q2850"/>
    </row>
    <row r="2851" spans="1:17" ht="13.15" customHeight="1" x14ac:dyDescent="0.2">
      <c r="A2851" s="1" t="s">
        <v>7244</v>
      </c>
      <c r="B2851" s="1" t="s">
        <v>7216</v>
      </c>
      <c r="C2851" s="580">
        <v>22010</v>
      </c>
      <c r="D2851" s="1">
        <v>124424.08</v>
      </c>
      <c r="E2851" t="s">
        <v>3615</v>
      </c>
      <c r="F2851">
        <v>22010</v>
      </c>
      <c r="G2851" s="580">
        <v>0</v>
      </c>
      <c r="H2851" s="1" t="s">
        <v>7245</v>
      </c>
      <c r="I2851" s="1"/>
      <c r="J2851" s="1"/>
      <c r="K2851" s="1"/>
      <c r="L2851" s="1"/>
      <c r="M2851" s="1"/>
      <c r="N2851" s="1"/>
      <c r="O2851" s="1"/>
      <c r="Q2851"/>
    </row>
    <row r="2852" spans="1:17" ht="13.15" customHeight="1" x14ac:dyDescent="0.2">
      <c r="A2852" s="1" t="s">
        <v>7246</v>
      </c>
      <c r="B2852" s="1" t="s">
        <v>7216</v>
      </c>
      <c r="C2852" s="580">
        <v>22100</v>
      </c>
      <c r="D2852" s="1">
        <v>336196.4</v>
      </c>
      <c r="E2852" t="s">
        <v>3615</v>
      </c>
      <c r="F2852">
        <v>22100</v>
      </c>
      <c r="G2852" s="580">
        <v>0</v>
      </c>
      <c r="H2852" s="1" t="s">
        <v>7247</v>
      </c>
      <c r="I2852" s="1"/>
      <c r="J2852" s="1"/>
      <c r="K2852" s="1"/>
      <c r="L2852" s="1"/>
      <c r="M2852" s="1"/>
      <c r="N2852" s="1"/>
      <c r="O2852" s="1"/>
      <c r="Q2852"/>
    </row>
    <row r="2853" spans="1:17" ht="13.15" customHeight="1" x14ac:dyDescent="0.2">
      <c r="A2853" s="1" t="s">
        <v>7248</v>
      </c>
      <c r="B2853" s="1" t="s">
        <v>7216</v>
      </c>
      <c r="C2853" s="580">
        <v>22110</v>
      </c>
      <c r="D2853" s="1">
        <v>134478.56</v>
      </c>
      <c r="E2853" t="s">
        <v>3615</v>
      </c>
      <c r="F2853">
        <v>22110</v>
      </c>
      <c r="G2853" s="580">
        <v>0</v>
      </c>
      <c r="H2853" s="1" t="s">
        <v>7249</v>
      </c>
      <c r="I2853" s="1"/>
      <c r="J2853" s="1"/>
      <c r="K2853" s="1"/>
      <c r="L2853" s="1"/>
      <c r="M2853" s="1"/>
      <c r="N2853" s="1"/>
      <c r="O2853" s="1"/>
      <c r="Q2853"/>
    </row>
    <row r="2854" spans="1:17" ht="13.15" customHeight="1" x14ac:dyDescent="0.2">
      <c r="A2854" s="1" t="s">
        <v>7250</v>
      </c>
      <c r="B2854" s="1" t="s">
        <v>7216</v>
      </c>
      <c r="C2854" s="580">
        <v>22510</v>
      </c>
      <c r="D2854" s="1">
        <v>180980.48000000001</v>
      </c>
      <c r="E2854" t="s">
        <v>3615</v>
      </c>
      <c r="F2854">
        <v>22510</v>
      </c>
      <c r="G2854" s="580">
        <v>0</v>
      </c>
      <c r="H2854" s="1" t="s">
        <v>7251</v>
      </c>
      <c r="I2854" s="1"/>
      <c r="J2854" s="1"/>
      <c r="K2854" s="1"/>
      <c r="L2854" s="1"/>
      <c r="M2854" s="1"/>
      <c r="N2854" s="1"/>
      <c r="O2854" s="1"/>
      <c r="Q2854"/>
    </row>
    <row r="2855" spans="1:17" ht="13.15" customHeight="1" x14ac:dyDescent="0.2">
      <c r="A2855" s="1" t="s">
        <v>7252</v>
      </c>
      <c r="B2855" s="1" t="s">
        <v>7253</v>
      </c>
      <c r="C2855" s="580">
        <v>12000</v>
      </c>
      <c r="D2855" s="1">
        <v>236070.6</v>
      </c>
      <c r="E2855" t="s">
        <v>3615</v>
      </c>
      <c r="F2855">
        <v>12000</v>
      </c>
      <c r="G2855" s="580">
        <v>0</v>
      </c>
      <c r="H2855" s="1" t="s">
        <v>7254</v>
      </c>
      <c r="I2855" s="1"/>
      <c r="J2855" s="1"/>
      <c r="K2855" s="1"/>
      <c r="L2855" s="1"/>
      <c r="M2855" s="1"/>
      <c r="N2855" s="1"/>
      <c r="O2855" s="1"/>
      <c r="Q2855"/>
    </row>
    <row r="2856" spans="1:17" ht="13.15" customHeight="1" x14ac:dyDescent="0.2">
      <c r="A2856" s="1" t="s">
        <v>7255</v>
      </c>
      <c r="B2856" s="1" t="s">
        <v>7253</v>
      </c>
      <c r="C2856" s="580">
        <v>12300</v>
      </c>
      <c r="D2856" s="1">
        <v>79178.960000000006</v>
      </c>
      <c r="E2856" t="s">
        <v>3615</v>
      </c>
      <c r="F2856">
        <v>12300</v>
      </c>
      <c r="G2856" s="580">
        <v>0</v>
      </c>
      <c r="H2856" s="1" t="s">
        <v>7256</v>
      </c>
      <c r="I2856" s="1"/>
      <c r="J2856" s="1"/>
      <c r="K2856" s="1"/>
      <c r="L2856" s="1"/>
      <c r="M2856" s="1"/>
      <c r="N2856" s="1"/>
      <c r="O2856" s="1"/>
      <c r="Q2856"/>
    </row>
    <row r="2857" spans="1:17" ht="13.15" customHeight="1" x14ac:dyDescent="0.2">
      <c r="A2857" s="1" t="s">
        <v>7257</v>
      </c>
      <c r="B2857" s="1" t="s">
        <v>7253</v>
      </c>
      <c r="C2857" s="580">
        <v>12500</v>
      </c>
      <c r="D2857" s="1">
        <v>166422.44</v>
      </c>
      <c r="E2857" t="s">
        <v>3615</v>
      </c>
      <c r="F2857">
        <v>12500</v>
      </c>
      <c r="G2857" s="580">
        <v>0</v>
      </c>
      <c r="H2857" s="1" t="s">
        <v>7258</v>
      </c>
      <c r="I2857" s="1"/>
      <c r="J2857" s="1"/>
      <c r="K2857" s="1"/>
      <c r="L2857" s="1"/>
      <c r="M2857" s="1"/>
      <c r="N2857" s="1"/>
      <c r="O2857" s="1"/>
      <c r="Q2857"/>
    </row>
    <row r="2858" spans="1:17" ht="13.15" customHeight="1" x14ac:dyDescent="0.2">
      <c r="A2858" s="1" t="s">
        <v>7259</v>
      </c>
      <c r="B2858" s="1" t="s">
        <v>7260</v>
      </c>
      <c r="C2858" s="580">
        <v>13100</v>
      </c>
      <c r="D2858" s="1">
        <v>654262.52</v>
      </c>
      <c r="E2858" t="s">
        <v>3615</v>
      </c>
      <c r="F2858">
        <v>13100</v>
      </c>
      <c r="G2858" s="580">
        <v>0</v>
      </c>
      <c r="H2858" s="1" t="s">
        <v>7261</v>
      </c>
      <c r="I2858" s="1"/>
      <c r="J2858" s="1"/>
      <c r="K2858" s="1"/>
      <c r="L2858" s="1"/>
      <c r="M2858" s="1"/>
      <c r="N2858" s="1"/>
      <c r="O2858" s="1"/>
      <c r="Q2858"/>
    </row>
    <row r="2859" spans="1:17" ht="13.15" customHeight="1" x14ac:dyDescent="0.2">
      <c r="A2859" s="1" t="s">
        <v>7262</v>
      </c>
      <c r="B2859" s="1" t="s">
        <v>7263</v>
      </c>
      <c r="C2859" s="580">
        <v>14100</v>
      </c>
      <c r="D2859" s="1">
        <v>352584</v>
      </c>
      <c r="E2859" t="s">
        <v>3615</v>
      </c>
      <c r="F2859">
        <v>14100</v>
      </c>
      <c r="G2859" s="580">
        <v>0</v>
      </c>
      <c r="H2859" s="1" t="s">
        <v>7264</v>
      </c>
      <c r="I2859" s="1"/>
      <c r="J2859" s="1"/>
      <c r="K2859" s="1"/>
      <c r="L2859" s="1"/>
      <c r="M2859" s="1"/>
      <c r="N2859" s="1"/>
      <c r="O2859" s="1"/>
      <c r="Q2859"/>
    </row>
    <row r="2860" spans="1:17" ht="13.15" customHeight="1" x14ac:dyDescent="0.2">
      <c r="A2860" s="1" t="s">
        <v>7265</v>
      </c>
      <c r="B2860" s="1" t="s">
        <v>7266</v>
      </c>
      <c r="C2860" s="580">
        <v>15100</v>
      </c>
      <c r="D2860" s="1">
        <v>230414.96</v>
      </c>
      <c r="E2860" t="s">
        <v>3615</v>
      </c>
      <c r="F2860">
        <v>15100</v>
      </c>
      <c r="G2860" s="580">
        <v>0</v>
      </c>
      <c r="H2860" s="1" t="s">
        <v>7267</v>
      </c>
      <c r="I2860" s="1"/>
      <c r="J2860" s="1"/>
      <c r="K2860" s="1"/>
      <c r="L2860" s="1"/>
      <c r="M2860" s="1"/>
      <c r="N2860" s="1"/>
      <c r="O2860" s="1"/>
      <c r="Q2860"/>
    </row>
    <row r="2861" spans="1:17" ht="13.15" customHeight="1" x14ac:dyDescent="0.2">
      <c r="A2861" s="1" t="s">
        <v>7268</v>
      </c>
      <c r="B2861" s="1" t="s">
        <v>7269</v>
      </c>
      <c r="C2861" s="580">
        <v>15200</v>
      </c>
      <c r="D2861" s="1">
        <v>413362.52</v>
      </c>
      <c r="E2861" t="s">
        <v>3615</v>
      </c>
      <c r="F2861">
        <v>15200</v>
      </c>
      <c r="G2861" s="580">
        <v>0</v>
      </c>
      <c r="H2861" s="1" t="s">
        <v>7270</v>
      </c>
      <c r="I2861" s="1"/>
      <c r="J2861" s="1"/>
      <c r="K2861" s="1"/>
      <c r="L2861" s="1"/>
      <c r="M2861" s="1"/>
      <c r="N2861" s="1"/>
      <c r="O2861" s="1"/>
      <c r="Q2861"/>
    </row>
    <row r="2862" spans="1:17" ht="13.15" customHeight="1" x14ac:dyDescent="0.2">
      <c r="A2862" s="1" t="s">
        <v>7271</v>
      </c>
      <c r="B2862" s="1" t="s">
        <v>7272</v>
      </c>
      <c r="C2862" s="580">
        <v>16100</v>
      </c>
      <c r="D2862" s="1">
        <v>447300</v>
      </c>
      <c r="E2862" t="s">
        <v>3615</v>
      </c>
      <c r="F2862">
        <v>16100</v>
      </c>
      <c r="G2862" s="580">
        <v>0</v>
      </c>
      <c r="H2862" s="1" t="s">
        <v>7273</v>
      </c>
      <c r="I2862" s="1"/>
      <c r="J2862" s="1"/>
      <c r="K2862" s="1"/>
      <c r="L2862" s="1"/>
      <c r="M2862" s="1"/>
      <c r="N2862" s="1"/>
      <c r="O2862" s="1"/>
      <c r="Q2862"/>
    </row>
    <row r="2863" spans="1:17" ht="13.15" customHeight="1" x14ac:dyDescent="0.2">
      <c r="A2863" s="1" t="s">
        <v>7274</v>
      </c>
      <c r="B2863" s="1" t="s">
        <v>7272</v>
      </c>
      <c r="C2863" s="580">
        <v>16200</v>
      </c>
      <c r="D2863" s="1">
        <v>214620</v>
      </c>
      <c r="E2863" t="s">
        <v>3615</v>
      </c>
      <c r="F2863">
        <v>16200</v>
      </c>
      <c r="G2863" s="580">
        <v>0</v>
      </c>
      <c r="H2863" s="1" t="s">
        <v>7275</v>
      </c>
      <c r="I2863" s="1"/>
      <c r="J2863" s="1"/>
      <c r="K2863" s="1"/>
      <c r="L2863" s="1"/>
      <c r="M2863" s="1"/>
      <c r="N2863" s="1"/>
      <c r="O2863" s="1"/>
      <c r="Q2863"/>
    </row>
    <row r="2864" spans="1:17" ht="13.15" customHeight="1" x14ac:dyDescent="0.2">
      <c r="A2864" s="1" t="s">
        <v>7276</v>
      </c>
      <c r="B2864" s="1" t="s">
        <v>7272</v>
      </c>
      <c r="C2864" s="580">
        <v>16300</v>
      </c>
      <c r="D2864" s="1">
        <v>177828</v>
      </c>
      <c r="E2864" t="s">
        <v>3615</v>
      </c>
      <c r="F2864">
        <v>16300</v>
      </c>
      <c r="G2864" s="580">
        <v>0</v>
      </c>
      <c r="H2864" s="1" t="s">
        <v>7277</v>
      </c>
      <c r="I2864" s="1"/>
      <c r="J2864" s="1"/>
      <c r="K2864" s="1"/>
      <c r="L2864" s="1"/>
      <c r="M2864" s="1"/>
      <c r="N2864" s="1"/>
      <c r="O2864" s="1"/>
      <c r="Q2864"/>
    </row>
    <row r="2865" spans="1:17" ht="13.15" customHeight="1" x14ac:dyDescent="0.2">
      <c r="A2865" s="1" t="s">
        <v>7278</v>
      </c>
      <c r="B2865" s="1" t="s">
        <v>7272</v>
      </c>
      <c r="C2865" s="580">
        <v>16400</v>
      </c>
      <c r="D2865" s="1">
        <v>297840</v>
      </c>
      <c r="E2865" t="s">
        <v>3615</v>
      </c>
      <c r="F2865">
        <v>16400</v>
      </c>
      <c r="G2865" s="580">
        <v>0</v>
      </c>
      <c r="H2865" s="1" t="s">
        <v>7279</v>
      </c>
      <c r="I2865" s="1"/>
      <c r="J2865" s="1"/>
      <c r="K2865" s="1"/>
      <c r="L2865" s="1"/>
      <c r="M2865" s="1"/>
      <c r="N2865" s="1"/>
      <c r="O2865" s="1"/>
      <c r="Q2865"/>
    </row>
    <row r="2866" spans="1:17" ht="13.15" customHeight="1" x14ac:dyDescent="0.2">
      <c r="A2866" s="1" t="s">
        <v>7280</v>
      </c>
      <c r="B2866" s="1" t="s">
        <v>7272</v>
      </c>
      <c r="C2866" s="580">
        <v>16800</v>
      </c>
      <c r="D2866" s="1">
        <v>203184.12</v>
      </c>
      <c r="E2866" t="s">
        <v>3615</v>
      </c>
      <c r="F2866">
        <v>16800</v>
      </c>
      <c r="G2866" s="580">
        <v>0</v>
      </c>
      <c r="H2866" s="1" t="s">
        <v>7281</v>
      </c>
      <c r="I2866" s="1"/>
      <c r="J2866" s="1"/>
      <c r="K2866" s="1"/>
      <c r="L2866" s="1"/>
      <c r="M2866" s="1"/>
      <c r="N2866" s="1"/>
      <c r="O2866" s="1"/>
      <c r="Q2866"/>
    </row>
    <row r="2867" spans="1:17" ht="13.15" customHeight="1" x14ac:dyDescent="0.2">
      <c r="A2867" s="1" t="s">
        <v>7282</v>
      </c>
      <c r="B2867" s="1" t="s">
        <v>7272</v>
      </c>
      <c r="C2867" s="580">
        <v>16900</v>
      </c>
      <c r="D2867" s="1">
        <v>311060.2</v>
      </c>
      <c r="E2867" t="s">
        <v>3615</v>
      </c>
      <c r="F2867">
        <v>16900</v>
      </c>
      <c r="G2867" s="580">
        <v>0</v>
      </c>
      <c r="H2867" s="1" t="s">
        <v>7283</v>
      </c>
      <c r="I2867" s="1"/>
      <c r="J2867" s="1"/>
      <c r="K2867" s="1"/>
      <c r="L2867" s="1"/>
      <c r="M2867" s="1"/>
      <c r="N2867" s="1"/>
      <c r="O2867" s="1"/>
      <c r="Q2867"/>
    </row>
    <row r="2868" spans="1:17" ht="13.15" customHeight="1" x14ac:dyDescent="0.2">
      <c r="A2868" s="1" t="s">
        <v>7284</v>
      </c>
      <c r="B2868" s="1" t="s">
        <v>3285</v>
      </c>
      <c r="C2868" s="580" t="s">
        <v>3285</v>
      </c>
      <c r="D2868" s="1">
        <v>0</v>
      </c>
      <c r="E2868" t="s">
        <v>3282</v>
      </c>
      <c r="F2868">
        <v>0</v>
      </c>
      <c r="G2868" s="580">
        <v>0</v>
      </c>
      <c r="H2868" s="1">
        <v>0</v>
      </c>
      <c r="I2868" s="1"/>
      <c r="J2868" s="1"/>
      <c r="K2868" s="1"/>
      <c r="L2868" s="1"/>
      <c r="M2868" s="1"/>
      <c r="N2868" s="1"/>
      <c r="O2868" s="1"/>
      <c r="Q2868"/>
    </row>
    <row r="2869" spans="1:17" ht="13.15" customHeight="1" x14ac:dyDescent="0.2">
      <c r="A2869" s="1" t="s">
        <v>7285</v>
      </c>
      <c r="B2869" s="1" t="s">
        <v>7286</v>
      </c>
      <c r="C2869" s="580" t="s">
        <v>7287</v>
      </c>
      <c r="D2869" s="1">
        <v>0</v>
      </c>
      <c r="E2869" t="s">
        <v>7288</v>
      </c>
      <c r="F2869" t="s">
        <v>7288</v>
      </c>
      <c r="G2869" s="580">
        <v>0</v>
      </c>
      <c r="H2869" s="1" t="s">
        <v>7289</v>
      </c>
      <c r="I2869" s="1"/>
      <c r="J2869" s="1"/>
      <c r="K2869" s="1"/>
      <c r="L2869" s="1"/>
      <c r="M2869" s="1"/>
      <c r="N2869" s="1"/>
      <c r="O2869" s="1"/>
      <c r="Q2869"/>
    </row>
    <row r="2870" spans="1:17" ht="13.15" customHeight="1" x14ac:dyDescent="0.2">
      <c r="A2870" s="1" t="s">
        <v>7290</v>
      </c>
      <c r="B2870" s="1" t="s">
        <v>7291</v>
      </c>
      <c r="C2870" s="580" t="s">
        <v>7292</v>
      </c>
      <c r="D2870" s="1">
        <v>69800</v>
      </c>
      <c r="E2870" t="s">
        <v>7191</v>
      </c>
      <c r="F2870" t="s">
        <v>7292</v>
      </c>
      <c r="G2870" s="580">
        <v>4800</v>
      </c>
      <c r="H2870" s="1" t="s">
        <v>7293</v>
      </c>
      <c r="I2870" s="1"/>
      <c r="J2870" s="1"/>
      <c r="K2870" s="1"/>
      <c r="L2870" s="1"/>
      <c r="M2870" s="1"/>
      <c r="N2870" s="1"/>
      <c r="O2870" s="1"/>
      <c r="Q2870"/>
    </row>
    <row r="2871" spans="1:17" ht="13.15" customHeight="1" x14ac:dyDescent="0.2">
      <c r="A2871" s="1" t="s">
        <v>7294</v>
      </c>
      <c r="B2871" s="1" t="s">
        <v>7291</v>
      </c>
      <c r="C2871" s="580" t="s">
        <v>7295</v>
      </c>
      <c r="D2871" s="1">
        <v>79080</v>
      </c>
      <c r="E2871" t="s">
        <v>7191</v>
      </c>
      <c r="F2871" t="s">
        <v>7295</v>
      </c>
      <c r="G2871" s="580">
        <v>5800</v>
      </c>
      <c r="H2871" s="1" t="s">
        <v>7296</v>
      </c>
      <c r="I2871" s="1"/>
      <c r="J2871" s="1"/>
      <c r="K2871" s="1"/>
      <c r="L2871" s="1"/>
      <c r="M2871" s="1"/>
      <c r="N2871" s="1"/>
      <c r="O2871" s="1"/>
      <c r="Q2871"/>
    </row>
    <row r="2872" spans="1:17" ht="13.15" customHeight="1" x14ac:dyDescent="0.2">
      <c r="A2872" s="1" t="s">
        <v>7297</v>
      </c>
      <c r="B2872" s="1" t="s">
        <v>7291</v>
      </c>
      <c r="C2872" s="580" t="s">
        <v>7298</v>
      </c>
      <c r="D2872" s="1">
        <v>88400</v>
      </c>
      <c r="E2872" t="s">
        <v>7191</v>
      </c>
      <c r="F2872" t="s">
        <v>7298</v>
      </c>
      <c r="G2872" s="580">
        <v>6800</v>
      </c>
      <c r="H2872" s="1" t="s">
        <v>7299</v>
      </c>
      <c r="I2872" s="1"/>
      <c r="J2872" s="1"/>
      <c r="K2872" s="1"/>
      <c r="L2872" s="1"/>
      <c r="M2872" s="1"/>
      <c r="N2872" s="1"/>
      <c r="O2872" s="1"/>
      <c r="Q2872"/>
    </row>
    <row r="2873" spans="1:17" ht="13.15" customHeight="1" x14ac:dyDescent="0.2">
      <c r="A2873" s="1" t="s">
        <v>7300</v>
      </c>
      <c r="B2873" s="1" t="s">
        <v>7301</v>
      </c>
      <c r="C2873" s="580">
        <v>50</v>
      </c>
      <c r="D2873" s="1">
        <v>239.54</v>
      </c>
      <c r="E2873" t="s">
        <v>7302</v>
      </c>
      <c r="F2873" t="s">
        <v>7303</v>
      </c>
      <c r="G2873" s="580">
        <v>42.845100000000002</v>
      </c>
      <c r="H2873" s="1" t="s">
        <v>7304</v>
      </c>
      <c r="I2873" s="1"/>
      <c r="J2873" s="1"/>
      <c r="K2873" s="1"/>
      <c r="L2873" s="1"/>
      <c r="M2873" s="1"/>
      <c r="N2873" s="1"/>
      <c r="O2873" s="1"/>
      <c r="Q2873"/>
    </row>
    <row r="2874" spans="1:17" ht="13.15" customHeight="1" x14ac:dyDescent="0.2">
      <c r="A2874" s="1" t="s">
        <v>7305</v>
      </c>
      <c r="B2874" s="1" t="s">
        <v>7301</v>
      </c>
      <c r="C2874" s="580">
        <v>51</v>
      </c>
      <c r="D2874" s="1">
        <v>368.25</v>
      </c>
      <c r="E2874" t="s">
        <v>7302</v>
      </c>
      <c r="F2874" t="s">
        <v>7306</v>
      </c>
      <c r="G2874" s="580">
        <v>65.863600000000005</v>
      </c>
      <c r="H2874" s="1" t="s">
        <v>7307</v>
      </c>
      <c r="I2874" s="1"/>
      <c r="J2874" s="1"/>
      <c r="K2874" s="1"/>
      <c r="L2874" s="1"/>
      <c r="M2874" s="1"/>
      <c r="N2874" s="1"/>
      <c r="O2874" s="1"/>
      <c r="Q2874"/>
    </row>
    <row r="2875" spans="1:17" ht="13.15" customHeight="1" x14ac:dyDescent="0.2">
      <c r="A2875" s="1" t="s">
        <v>7308</v>
      </c>
      <c r="B2875" s="1" t="s">
        <v>7301</v>
      </c>
      <c r="C2875" s="580">
        <v>52</v>
      </c>
      <c r="D2875" s="1">
        <v>561.73</v>
      </c>
      <c r="E2875" t="s">
        <v>7302</v>
      </c>
      <c r="F2875" t="s">
        <v>7309</v>
      </c>
      <c r="G2875" s="580">
        <v>100.4654</v>
      </c>
      <c r="H2875" s="1" t="s">
        <v>7310</v>
      </c>
      <c r="I2875" s="1"/>
      <c r="J2875" s="1"/>
      <c r="K2875" s="1"/>
      <c r="L2875" s="1"/>
      <c r="M2875" s="1"/>
      <c r="N2875" s="1"/>
      <c r="O2875" s="1"/>
      <c r="Q2875"/>
    </row>
    <row r="2876" spans="1:17" ht="13.15" customHeight="1" x14ac:dyDescent="0.2">
      <c r="A2876" s="1" t="s">
        <v>7311</v>
      </c>
      <c r="B2876" s="1" t="s">
        <v>7301</v>
      </c>
      <c r="C2876" s="580">
        <v>53</v>
      </c>
      <c r="D2876" s="1">
        <v>1114.1600000000001</v>
      </c>
      <c r="E2876" t="s">
        <v>7302</v>
      </c>
      <c r="F2876" t="s">
        <v>7312</v>
      </c>
      <c r="G2876" s="580">
        <v>199.26050000000001</v>
      </c>
      <c r="H2876" s="1" t="s">
        <v>7313</v>
      </c>
      <c r="I2876" s="1"/>
      <c r="J2876" s="1"/>
      <c r="K2876" s="1"/>
      <c r="L2876" s="1"/>
      <c r="M2876" s="1"/>
      <c r="N2876" s="1"/>
      <c r="O2876" s="1"/>
      <c r="Q2876"/>
    </row>
    <row r="2877" spans="1:17" ht="13.15" customHeight="1" x14ac:dyDescent="0.2">
      <c r="A2877" s="1" t="s">
        <v>7314</v>
      </c>
      <c r="B2877" s="1" t="s">
        <v>7301</v>
      </c>
      <c r="C2877" s="580">
        <v>54</v>
      </c>
      <c r="D2877" s="1">
        <v>1019.33</v>
      </c>
      <c r="E2877" t="s">
        <v>7302</v>
      </c>
      <c r="F2877" t="s">
        <v>7315</v>
      </c>
      <c r="G2877" s="580">
        <v>182.309</v>
      </c>
      <c r="H2877" s="1" t="s">
        <v>7316</v>
      </c>
      <c r="I2877" s="1"/>
      <c r="J2877" s="1"/>
      <c r="K2877" s="1"/>
      <c r="L2877" s="1"/>
      <c r="M2877" s="1"/>
      <c r="N2877" s="1"/>
      <c r="O2877" s="1"/>
      <c r="Q2877"/>
    </row>
    <row r="2878" spans="1:17" ht="13.15" customHeight="1" x14ac:dyDescent="0.2">
      <c r="A2878" s="1" t="s">
        <v>7317</v>
      </c>
      <c r="B2878" s="1" t="s">
        <v>7301</v>
      </c>
      <c r="C2878" s="580">
        <v>55</v>
      </c>
      <c r="D2878" s="1">
        <v>239.54</v>
      </c>
      <c r="E2878" t="s">
        <v>7302</v>
      </c>
      <c r="F2878" t="s">
        <v>7318</v>
      </c>
      <c r="G2878" s="580">
        <v>42.845100000000002</v>
      </c>
      <c r="H2878" s="1" t="s">
        <v>7319</v>
      </c>
      <c r="I2878" s="1"/>
      <c r="J2878" s="1"/>
      <c r="K2878" s="1"/>
      <c r="L2878" s="1"/>
      <c r="M2878" s="1"/>
      <c r="N2878" s="1"/>
      <c r="O2878" s="1"/>
      <c r="Q2878"/>
    </row>
    <row r="2879" spans="1:17" ht="13.15" customHeight="1" x14ac:dyDescent="0.2">
      <c r="A2879" s="1" t="s">
        <v>7320</v>
      </c>
      <c r="B2879" s="1" t="s">
        <v>7301</v>
      </c>
      <c r="C2879" s="580">
        <v>56</v>
      </c>
      <c r="D2879" s="1">
        <v>306.89</v>
      </c>
      <c r="E2879" t="s">
        <v>7302</v>
      </c>
      <c r="F2879" t="s">
        <v>7321</v>
      </c>
      <c r="G2879" s="580">
        <v>54.886299999999999</v>
      </c>
      <c r="H2879" s="1" t="s">
        <v>7322</v>
      </c>
      <c r="I2879" s="1"/>
      <c r="J2879" s="1"/>
      <c r="K2879" s="1"/>
      <c r="L2879" s="1"/>
      <c r="M2879" s="1"/>
      <c r="N2879" s="1"/>
      <c r="O2879" s="1"/>
      <c r="Q2879"/>
    </row>
    <row r="2880" spans="1:17" ht="13.15" customHeight="1" x14ac:dyDescent="0.2">
      <c r="A2880" s="1" t="s">
        <v>7323</v>
      </c>
      <c r="B2880" s="1" t="s">
        <v>7301</v>
      </c>
      <c r="C2880" s="580">
        <v>57</v>
      </c>
      <c r="D2880" s="1">
        <v>515.57000000000005</v>
      </c>
      <c r="E2880" t="s">
        <v>7302</v>
      </c>
      <c r="F2880" t="s">
        <v>7324</v>
      </c>
      <c r="G2880" s="580">
        <v>92.205699999999993</v>
      </c>
      <c r="H2880" s="1" t="s">
        <v>7325</v>
      </c>
      <c r="I2880" s="1"/>
      <c r="J2880" s="1"/>
      <c r="K2880" s="1"/>
      <c r="L2880" s="1"/>
      <c r="M2880" s="1"/>
      <c r="N2880" s="1"/>
      <c r="O2880" s="1"/>
      <c r="Q2880"/>
    </row>
    <row r="2881" spans="1:17" ht="13.15" customHeight="1" x14ac:dyDescent="0.2">
      <c r="A2881" s="1" t="s">
        <v>7326</v>
      </c>
      <c r="B2881" s="1" t="s">
        <v>7301</v>
      </c>
      <c r="C2881" s="580">
        <v>58</v>
      </c>
      <c r="D2881" s="1">
        <v>814.53</v>
      </c>
      <c r="E2881" t="s">
        <v>7302</v>
      </c>
      <c r="F2881" t="s">
        <v>7327</v>
      </c>
      <c r="G2881" s="580">
        <v>145.6799</v>
      </c>
      <c r="H2881" s="1" t="s">
        <v>7328</v>
      </c>
      <c r="I2881" s="1"/>
      <c r="J2881" s="1"/>
      <c r="K2881" s="1"/>
      <c r="L2881" s="1"/>
      <c r="M2881" s="1"/>
      <c r="N2881" s="1"/>
      <c r="O2881" s="1"/>
      <c r="Q2881"/>
    </row>
    <row r="2882" spans="1:17" ht="13.15" customHeight="1" x14ac:dyDescent="0.2">
      <c r="A2882" s="1" t="s">
        <v>7329</v>
      </c>
      <c r="B2882" s="1" t="s">
        <v>7301</v>
      </c>
      <c r="C2882" s="580">
        <v>59</v>
      </c>
      <c r="D2882" s="1">
        <v>445.43</v>
      </c>
      <c r="E2882" t="s">
        <v>7302</v>
      </c>
      <c r="F2882" t="s">
        <v>7330</v>
      </c>
      <c r="G2882" s="580">
        <v>79.659700000000001</v>
      </c>
      <c r="H2882" s="1" t="s">
        <v>7331</v>
      </c>
      <c r="I2882" s="1"/>
      <c r="J2882" s="1"/>
      <c r="K2882" s="1"/>
      <c r="L2882" s="1"/>
      <c r="M2882" s="1"/>
      <c r="N2882" s="1"/>
      <c r="O2882" s="1"/>
      <c r="Q2882"/>
    </row>
    <row r="2883" spans="1:17" ht="13.15" customHeight="1" x14ac:dyDescent="0.2">
      <c r="A2883" s="1" t="s">
        <v>7332</v>
      </c>
      <c r="B2883" s="1" t="s">
        <v>7301</v>
      </c>
      <c r="C2883" s="580">
        <v>60</v>
      </c>
      <c r="D2883" s="1">
        <v>533.45000000000005</v>
      </c>
      <c r="E2883" t="s">
        <v>7302</v>
      </c>
      <c r="F2883" t="s">
        <v>7333</v>
      </c>
      <c r="G2883" s="580">
        <v>95.404700000000005</v>
      </c>
      <c r="H2883" s="1" t="s">
        <v>7334</v>
      </c>
      <c r="I2883" s="1"/>
      <c r="J2883" s="1"/>
      <c r="K2883" s="1"/>
      <c r="L2883" s="1"/>
      <c r="M2883" s="1"/>
      <c r="N2883" s="1"/>
      <c r="O2883" s="1"/>
      <c r="Q2883"/>
    </row>
    <row r="2884" spans="1:17" ht="13.15" customHeight="1" x14ac:dyDescent="0.2">
      <c r="A2884" s="1" t="s">
        <v>7335</v>
      </c>
      <c r="B2884" s="1" t="s">
        <v>7301</v>
      </c>
      <c r="C2884" s="580">
        <v>61</v>
      </c>
      <c r="D2884" s="1">
        <v>1136.01</v>
      </c>
      <c r="E2884" t="s">
        <v>7302</v>
      </c>
      <c r="F2884" t="s">
        <v>7336</v>
      </c>
      <c r="G2884" s="580">
        <v>203.16990000000001</v>
      </c>
      <c r="H2884" s="1" t="s">
        <v>7337</v>
      </c>
      <c r="I2884" s="1"/>
      <c r="J2884" s="1"/>
      <c r="K2884" s="1"/>
      <c r="L2884" s="1"/>
      <c r="M2884" s="1"/>
      <c r="N2884" s="1"/>
      <c r="O2884" s="1"/>
      <c r="Q2884"/>
    </row>
    <row r="2885" spans="1:17" ht="13.15" customHeight="1" x14ac:dyDescent="0.2">
      <c r="A2885" s="1" t="s">
        <v>7338</v>
      </c>
      <c r="B2885" s="1" t="s">
        <v>7301</v>
      </c>
      <c r="C2885" s="580">
        <v>62</v>
      </c>
      <c r="D2885" s="1">
        <v>800.89</v>
      </c>
      <c r="E2885" t="s">
        <v>7302</v>
      </c>
      <c r="F2885" t="s">
        <v>7339</v>
      </c>
      <c r="G2885" s="580">
        <v>143.23439999999999</v>
      </c>
      <c r="H2885" s="1" t="s">
        <v>7340</v>
      </c>
      <c r="I2885" s="1"/>
      <c r="J2885" s="1"/>
      <c r="K2885" s="1"/>
      <c r="L2885" s="1"/>
      <c r="M2885" s="1"/>
      <c r="N2885" s="1"/>
      <c r="O2885" s="1"/>
      <c r="Q2885"/>
    </row>
    <row r="2886" spans="1:17" ht="13.15" customHeight="1" x14ac:dyDescent="0.2">
      <c r="A2886" s="1" t="s">
        <v>7341</v>
      </c>
      <c r="B2886" s="1" t="s">
        <v>7301</v>
      </c>
      <c r="C2886" s="580">
        <v>63</v>
      </c>
      <c r="D2886" s="1">
        <v>862.77</v>
      </c>
      <c r="E2886" t="s">
        <v>7302</v>
      </c>
      <c r="F2886" t="s">
        <v>7342</v>
      </c>
      <c r="G2886" s="580">
        <v>154.30199999999999</v>
      </c>
      <c r="H2886" s="1" t="s">
        <v>7343</v>
      </c>
      <c r="I2886" s="1"/>
      <c r="J2886" s="1"/>
      <c r="K2886" s="1"/>
      <c r="L2886" s="1"/>
      <c r="M2886" s="1"/>
      <c r="N2886" s="1"/>
      <c r="O2886" s="1"/>
      <c r="Q2886"/>
    </row>
    <row r="2887" spans="1:17" ht="13.15" customHeight="1" x14ac:dyDescent="0.2">
      <c r="A2887" s="1" t="s">
        <v>7344</v>
      </c>
      <c r="B2887" s="1" t="s">
        <v>7301</v>
      </c>
      <c r="C2887" s="580">
        <v>64</v>
      </c>
      <c r="D2887" s="1">
        <v>528.91999999999996</v>
      </c>
      <c r="E2887" t="s">
        <v>7302</v>
      </c>
      <c r="F2887" t="s">
        <v>7345</v>
      </c>
      <c r="G2887" s="580">
        <v>94.595100000000002</v>
      </c>
      <c r="H2887" s="1" t="s">
        <v>7346</v>
      </c>
      <c r="I2887" s="1"/>
      <c r="J2887" s="1"/>
      <c r="K2887" s="1"/>
      <c r="L2887" s="1"/>
      <c r="M2887" s="1"/>
      <c r="N2887" s="1"/>
      <c r="O2887" s="1"/>
      <c r="Q2887"/>
    </row>
    <row r="2888" spans="1:17" ht="13.15" customHeight="1" x14ac:dyDescent="0.2">
      <c r="A2888" s="1" t="s">
        <v>7347</v>
      </c>
      <c r="B2888" s="1" t="s">
        <v>7301</v>
      </c>
      <c r="C2888" s="580">
        <v>65</v>
      </c>
      <c r="D2888" s="1">
        <v>555.30999999999995</v>
      </c>
      <c r="E2888" t="s">
        <v>7302</v>
      </c>
      <c r="F2888" t="s">
        <v>7348</v>
      </c>
      <c r="G2888" s="580">
        <v>99.312899999999999</v>
      </c>
      <c r="H2888" s="1" t="s">
        <v>7349</v>
      </c>
      <c r="I2888" s="1"/>
      <c r="J2888" s="1"/>
      <c r="K2888" s="1"/>
      <c r="L2888" s="1"/>
      <c r="M2888" s="1"/>
      <c r="N2888" s="1"/>
      <c r="O2888" s="1"/>
      <c r="Q2888"/>
    </row>
    <row r="2889" spans="1:17" ht="13.15" customHeight="1" x14ac:dyDescent="0.2">
      <c r="A2889" s="1" t="s">
        <v>7350</v>
      </c>
      <c r="B2889" s="1" t="s">
        <v>7301</v>
      </c>
      <c r="C2889" s="580">
        <v>66</v>
      </c>
      <c r="D2889" s="1">
        <v>560.16999999999996</v>
      </c>
      <c r="E2889" t="s">
        <v>7302</v>
      </c>
      <c r="F2889" t="s">
        <v>7351</v>
      </c>
      <c r="G2889" s="580">
        <v>100.1884</v>
      </c>
      <c r="H2889" s="1" t="s">
        <v>7352</v>
      </c>
      <c r="I2889" s="1"/>
      <c r="J2889" s="1"/>
      <c r="K2889" s="1"/>
      <c r="L2889" s="1"/>
      <c r="M2889" s="1"/>
      <c r="N2889" s="1"/>
      <c r="O2889" s="1"/>
      <c r="Q2889"/>
    </row>
    <row r="2890" spans="1:17" ht="13.15" customHeight="1" x14ac:dyDescent="0.2">
      <c r="A2890" s="1" t="s">
        <v>7353</v>
      </c>
      <c r="B2890" s="1" t="s">
        <v>7301</v>
      </c>
      <c r="C2890" s="580">
        <v>67</v>
      </c>
      <c r="D2890" s="1">
        <v>814.72</v>
      </c>
      <c r="E2890" t="s">
        <v>7302</v>
      </c>
      <c r="F2890" t="s">
        <v>7354</v>
      </c>
      <c r="G2890" s="580">
        <v>145.71369999999999</v>
      </c>
      <c r="H2890" s="1" t="s">
        <v>7355</v>
      </c>
      <c r="I2890" s="1"/>
      <c r="J2890" s="1"/>
      <c r="K2890" s="1"/>
      <c r="L2890" s="1"/>
      <c r="M2890" s="1"/>
      <c r="N2890" s="1"/>
      <c r="O2890" s="1"/>
      <c r="Q2890"/>
    </row>
    <row r="2891" spans="1:17" ht="13.15" customHeight="1" x14ac:dyDescent="0.2">
      <c r="A2891" s="1" t="s">
        <v>7356</v>
      </c>
      <c r="B2891" s="1" t="s">
        <v>7301</v>
      </c>
      <c r="C2891" s="580">
        <v>68</v>
      </c>
      <c r="D2891" s="1">
        <v>1697.78</v>
      </c>
      <c r="E2891" t="s">
        <v>7302</v>
      </c>
      <c r="F2891" t="s">
        <v>7357</v>
      </c>
      <c r="G2891" s="580">
        <v>303.64089999999999</v>
      </c>
      <c r="H2891" s="1" t="s">
        <v>7358</v>
      </c>
      <c r="I2891" s="1"/>
      <c r="J2891" s="1"/>
      <c r="K2891" s="1"/>
      <c r="L2891" s="1"/>
      <c r="M2891" s="1"/>
      <c r="N2891" s="1"/>
      <c r="O2891" s="1"/>
      <c r="Q2891"/>
    </row>
    <row r="2892" spans="1:17" ht="13.15" customHeight="1" x14ac:dyDescent="0.2">
      <c r="A2892" s="1" t="s">
        <v>7359</v>
      </c>
      <c r="B2892" s="1" t="s">
        <v>7301</v>
      </c>
      <c r="C2892" s="580">
        <v>69</v>
      </c>
      <c r="D2892" s="1">
        <v>1858.83</v>
      </c>
      <c r="E2892" t="s">
        <v>7302</v>
      </c>
      <c r="F2892" t="s">
        <v>7360</v>
      </c>
      <c r="G2892" s="580">
        <v>332.44779999999997</v>
      </c>
      <c r="H2892" s="1" t="s">
        <v>7361</v>
      </c>
      <c r="I2892" s="1"/>
      <c r="J2892" s="1"/>
      <c r="K2892" s="1"/>
      <c r="L2892" s="1"/>
      <c r="M2892" s="1"/>
      <c r="N2892" s="1"/>
      <c r="O2892" s="1"/>
      <c r="Q2892"/>
    </row>
    <row r="2893" spans="1:17" ht="13.15" customHeight="1" x14ac:dyDescent="0.2">
      <c r="A2893" s="1" t="s">
        <v>7362</v>
      </c>
      <c r="B2893" s="1" t="s">
        <v>7301</v>
      </c>
      <c r="C2893" s="580" t="s">
        <v>7132</v>
      </c>
      <c r="D2893" s="1">
        <v>15000</v>
      </c>
      <c r="E2893" t="s">
        <v>7302</v>
      </c>
      <c r="F2893">
        <v>0</v>
      </c>
      <c r="G2893" s="580">
        <v>0</v>
      </c>
      <c r="H2893" s="1">
        <v>0</v>
      </c>
      <c r="I2893" s="1"/>
      <c r="J2893" s="1"/>
      <c r="K2893" s="1"/>
      <c r="L2893" s="1"/>
      <c r="M2893" s="1"/>
      <c r="N2893" s="1"/>
      <c r="O2893" s="1"/>
      <c r="Q2893"/>
    </row>
    <row r="2894" spans="1:17" ht="13.15" customHeight="1" x14ac:dyDescent="0.2">
      <c r="A2894" s="1" t="s">
        <v>7363</v>
      </c>
      <c r="B2894" s="1" t="s">
        <v>7364</v>
      </c>
      <c r="C2894" s="580">
        <v>1</v>
      </c>
      <c r="D2894" s="1">
        <v>8571.4285999999993</v>
      </c>
      <c r="E2894" t="s">
        <v>7365</v>
      </c>
      <c r="F2894">
        <v>4</v>
      </c>
      <c r="G2894" s="580">
        <v>2070</v>
      </c>
      <c r="H2894" s="1" t="s">
        <v>7366</v>
      </c>
      <c r="I2894" s="1"/>
      <c r="J2894" s="1"/>
      <c r="K2894" s="1"/>
      <c r="L2894" s="1"/>
      <c r="M2894" s="1"/>
      <c r="N2894" s="1"/>
      <c r="O2894" s="1"/>
      <c r="Q2894"/>
    </row>
    <row r="2895" spans="1:17" ht="13.15" customHeight="1" x14ac:dyDescent="0.2">
      <c r="A2895" s="1" t="s">
        <v>7367</v>
      </c>
      <c r="B2895" s="1" t="s">
        <v>7364</v>
      </c>
      <c r="C2895" s="580">
        <v>2</v>
      </c>
      <c r="D2895" s="1">
        <v>9523.8094999999994</v>
      </c>
      <c r="E2895" t="s">
        <v>7365</v>
      </c>
      <c r="F2895">
        <v>732</v>
      </c>
      <c r="G2895" s="580">
        <v>2340</v>
      </c>
      <c r="H2895" s="1" t="s">
        <v>7368</v>
      </c>
      <c r="I2895" s="1"/>
      <c r="J2895" s="1"/>
      <c r="K2895" s="1"/>
      <c r="L2895" s="1"/>
      <c r="M2895" s="1"/>
      <c r="N2895" s="1"/>
      <c r="O2895" s="1"/>
      <c r="Q2895"/>
    </row>
    <row r="2896" spans="1:17" ht="13.15" customHeight="1" x14ac:dyDescent="0.2">
      <c r="A2896" s="1" t="s">
        <v>7369</v>
      </c>
      <c r="B2896" s="1" t="s">
        <v>7364</v>
      </c>
      <c r="C2896" s="580">
        <v>3</v>
      </c>
      <c r="D2896" s="1">
        <v>5714.2857000000004</v>
      </c>
      <c r="E2896" t="s">
        <v>7365</v>
      </c>
      <c r="F2896">
        <v>27</v>
      </c>
      <c r="G2896" s="580">
        <v>1710</v>
      </c>
      <c r="H2896" s="1" t="s">
        <v>7370</v>
      </c>
      <c r="I2896" s="1"/>
      <c r="J2896" s="1"/>
      <c r="K2896" s="1"/>
      <c r="L2896" s="1"/>
      <c r="M2896" s="1"/>
      <c r="N2896" s="1"/>
      <c r="O2896" s="1"/>
      <c r="Q2896"/>
    </row>
    <row r="2897" spans="1:17" ht="13.15" customHeight="1" x14ac:dyDescent="0.2">
      <c r="A2897" s="1" t="s">
        <v>7371</v>
      </c>
      <c r="B2897" s="1" t="s">
        <v>7364</v>
      </c>
      <c r="C2897" s="580">
        <v>10</v>
      </c>
      <c r="D2897" s="1">
        <v>10190.476199999999</v>
      </c>
      <c r="E2897" t="s">
        <v>7365</v>
      </c>
      <c r="F2897">
        <v>478</v>
      </c>
      <c r="G2897" s="580">
        <v>2340</v>
      </c>
      <c r="H2897" s="1" t="s">
        <v>7372</v>
      </c>
      <c r="I2897" s="1"/>
      <c r="J2897" s="1"/>
      <c r="K2897" s="1"/>
      <c r="L2897" s="1"/>
      <c r="M2897" s="1"/>
      <c r="N2897" s="1"/>
      <c r="O2897" s="1"/>
      <c r="Q2897"/>
    </row>
    <row r="2898" spans="1:17" ht="13.15" customHeight="1" x14ac:dyDescent="0.2">
      <c r="A2898" s="1" t="s">
        <v>7373</v>
      </c>
      <c r="B2898" s="1" t="s">
        <v>7364</v>
      </c>
      <c r="C2898" s="580">
        <v>11</v>
      </c>
      <c r="D2898" s="1">
        <v>9523.8094999999994</v>
      </c>
      <c r="E2898" t="s">
        <v>7365</v>
      </c>
      <c r="F2898">
        <v>690</v>
      </c>
      <c r="G2898" s="580">
        <v>2340</v>
      </c>
      <c r="H2898" s="1" t="s">
        <v>7374</v>
      </c>
      <c r="I2898" s="1"/>
      <c r="J2898" s="1"/>
      <c r="K2898" s="1"/>
      <c r="L2898" s="1"/>
      <c r="M2898" s="1"/>
      <c r="N2898" s="1"/>
      <c r="O2898" s="1"/>
      <c r="Q2898"/>
    </row>
    <row r="2899" spans="1:17" ht="13.15" customHeight="1" x14ac:dyDescent="0.2">
      <c r="A2899" s="1" t="s">
        <v>7375</v>
      </c>
      <c r="B2899" s="1" t="s">
        <v>7364</v>
      </c>
      <c r="C2899" s="580">
        <v>12</v>
      </c>
      <c r="D2899" s="1">
        <v>5714.2857000000004</v>
      </c>
      <c r="E2899" t="s">
        <v>7365</v>
      </c>
      <c r="F2899">
        <v>73</v>
      </c>
      <c r="G2899" s="580">
        <v>1530</v>
      </c>
      <c r="H2899" s="1" t="s">
        <v>7376</v>
      </c>
      <c r="I2899" s="1"/>
      <c r="J2899" s="1"/>
      <c r="K2899" s="1"/>
      <c r="L2899" s="1"/>
      <c r="M2899" s="1"/>
      <c r="N2899" s="1"/>
      <c r="O2899" s="1"/>
      <c r="Q2899"/>
    </row>
    <row r="2900" spans="1:17" ht="13.15" customHeight="1" x14ac:dyDescent="0.2">
      <c r="A2900" s="1" t="s">
        <v>7377</v>
      </c>
      <c r="B2900" s="1" t="s">
        <v>7364</v>
      </c>
      <c r="C2900" s="580">
        <v>13</v>
      </c>
      <c r="D2900" s="1">
        <v>6190.4762000000001</v>
      </c>
      <c r="E2900" t="s">
        <v>7365</v>
      </c>
      <c r="F2900">
        <v>415</v>
      </c>
      <c r="G2900" s="580">
        <v>1530</v>
      </c>
      <c r="H2900" s="1" t="s">
        <v>7378</v>
      </c>
      <c r="I2900" s="1"/>
      <c r="J2900" s="1"/>
      <c r="K2900" s="1"/>
      <c r="L2900" s="1"/>
      <c r="M2900" s="1"/>
      <c r="N2900" s="1"/>
      <c r="O2900" s="1"/>
      <c r="Q2900"/>
    </row>
    <row r="2901" spans="1:17" ht="13.15" customHeight="1" x14ac:dyDescent="0.2">
      <c r="A2901" s="1" t="s">
        <v>7379</v>
      </c>
      <c r="B2901" s="1" t="s">
        <v>7364</v>
      </c>
      <c r="C2901" s="580">
        <v>14</v>
      </c>
      <c r="D2901" s="1">
        <v>4761.9048000000003</v>
      </c>
      <c r="E2901" t="s">
        <v>7365</v>
      </c>
      <c r="F2901">
        <v>66</v>
      </c>
      <c r="G2901" s="580">
        <v>1170</v>
      </c>
      <c r="H2901" s="1" t="s">
        <v>7380</v>
      </c>
      <c r="I2901" s="1"/>
      <c r="J2901" s="1"/>
      <c r="K2901" s="1"/>
      <c r="L2901" s="1"/>
      <c r="M2901" s="1"/>
      <c r="N2901" s="1"/>
      <c r="O2901" s="1"/>
      <c r="Q2901"/>
    </row>
    <row r="2902" spans="1:17" ht="13.15" customHeight="1" x14ac:dyDescent="0.2">
      <c r="A2902" s="1" t="s">
        <v>7381</v>
      </c>
      <c r="B2902" s="1" t="s">
        <v>7364</v>
      </c>
      <c r="C2902" s="580">
        <v>15</v>
      </c>
      <c r="D2902" s="1">
        <v>4761.9048000000003</v>
      </c>
      <c r="E2902" t="s">
        <v>7365</v>
      </c>
      <c r="F2902">
        <v>67</v>
      </c>
      <c r="G2902" s="580">
        <v>1170</v>
      </c>
      <c r="H2902" s="1" t="s">
        <v>7380</v>
      </c>
      <c r="I2902" s="1"/>
      <c r="J2902" s="1"/>
      <c r="K2902" s="1"/>
      <c r="L2902" s="1"/>
      <c r="M2902" s="1"/>
      <c r="N2902" s="1"/>
      <c r="O2902" s="1"/>
      <c r="Q2902"/>
    </row>
    <row r="2903" spans="1:17" ht="13.15" customHeight="1" x14ac:dyDescent="0.2">
      <c r="A2903" s="1" t="s">
        <v>7382</v>
      </c>
      <c r="B2903" s="1" t="s">
        <v>7364</v>
      </c>
      <c r="C2903" s="580">
        <v>16</v>
      </c>
      <c r="D2903" s="1">
        <v>6190.4762000000001</v>
      </c>
      <c r="E2903" t="s">
        <v>7365</v>
      </c>
      <c r="F2903">
        <v>533</v>
      </c>
      <c r="G2903" s="580">
        <v>1530</v>
      </c>
      <c r="H2903" s="1" t="s">
        <v>7383</v>
      </c>
      <c r="I2903" s="1"/>
      <c r="J2903" s="1"/>
      <c r="K2903" s="1"/>
      <c r="L2903" s="1"/>
      <c r="M2903" s="1"/>
      <c r="N2903" s="1"/>
      <c r="O2903" s="1"/>
      <c r="Q2903"/>
    </row>
    <row r="2904" spans="1:17" ht="13.15" customHeight="1" x14ac:dyDescent="0.2">
      <c r="A2904" s="1" t="s">
        <v>7384</v>
      </c>
      <c r="B2904" s="1" t="s">
        <v>7364</v>
      </c>
      <c r="C2904" s="580">
        <v>17</v>
      </c>
      <c r="D2904" s="1">
        <v>8000</v>
      </c>
      <c r="E2904" t="s">
        <v>7365</v>
      </c>
      <c r="F2904">
        <v>754</v>
      </c>
      <c r="G2904" s="580">
        <v>1800</v>
      </c>
      <c r="H2904" s="1" t="s">
        <v>7385</v>
      </c>
      <c r="I2904" s="1"/>
      <c r="J2904" s="1"/>
      <c r="K2904" s="1"/>
      <c r="L2904" s="1"/>
      <c r="M2904" s="1"/>
      <c r="N2904" s="1"/>
      <c r="O2904" s="1"/>
      <c r="Q2904"/>
    </row>
    <row r="2905" spans="1:17" ht="13.15" customHeight="1" x14ac:dyDescent="0.2">
      <c r="A2905" s="1" t="s">
        <v>7386</v>
      </c>
      <c r="B2905" s="1" t="s">
        <v>7364</v>
      </c>
      <c r="C2905" s="580">
        <v>18</v>
      </c>
      <c r="D2905" s="1">
        <v>7142.8571000000002</v>
      </c>
      <c r="E2905" t="s">
        <v>7365</v>
      </c>
      <c r="F2905">
        <v>654</v>
      </c>
      <c r="G2905" s="580">
        <v>1800</v>
      </c>
      <c r="H2905" s="1" t="s">
        <v>7387</v>
      </c>
      <c r="I2905" s="1"/>
      <c r="J2905" s="1"/>
      <c r="K2905" s="1"/>
      <c r="L2905" s="1"/>
      <c r="M2905" s="1"/>
      <c r="N2905" s="1"/>
      <c r="O2905" s="1"/>
      <c r="Q2905"/>
    </row>
    <row r="2906" spans="1:17" ht="13.15" customHeight="1" x14ac:dyDescent="0.2">
      <c r="A2906" s="1" t="s">
        <v>7388</v>
      </c>
      <c r="B2906" s="1" t="s">
        <v>7364</v>
      </c>
      <c r="C2906" s="580">
        <v>20</v>
      </c>
      <c r="D2906" s="1">
        <v>3333.3332999999998</v>
      </c>
      <c r="E2906" t="s">
        <v>7365</v>
      </c>
      <c r="F2906">
        <v>7690</v>
      </c>
      <c r="G2906" s="580">
        <v>720</v>
      </c>
      <c r="H2906" s="1" t="s">
        <v>7389</v>
      </c>
      <c r="I2906" s="1"/>
      <c r="J2906" s="1"/>
      <c r="K2906" s="1"/>
      <c r="L2906" s="1"/>
      <c r="M2906" s="1"/>
      <c r="N2906" s="1"/>
      <c r="O2906" s="1"/>
      <c r="Q2906"/>
    </row>
    <row r="2907" spans="1:17" ht="13.15" customHeight="1" x14ac:dyDescent="0.2">
      <c r="A2907" s="1" t="s">
        <v>7390</v>
      </c>
      <c r="B2907" s="1" t="s">
        <v>7364</v>
      </c>
      <c r="C2907" s="580">
        <v>30</v>
      </c>
      <c r="D2907" s="1">
        <v>3238.0952000000002</v>
      </c>
      <c r="E2907" t="s">
        <v>7365</v>
      </c>
      <c r="F2907">
        <v>674</v>
      </c>
      <c r="G2907" s="580">
        <v>900</v>
      </c>
      <c r="H2907" s="1" t="s">
        <v>7391</v>
      </c>
      <c r="I2907" s="1"/>
      <c r="J2907" s="1"/>
      <c r="K2907" s="1"/>
      <c r="L2907" s="1"/>
      <c r="M2907" s="1"/>
      <c r="N2907" s="1"/>
      <c r="O2907" s="1"/>
      <c r="Q2907"/>
    </row>
    <row r="2908" spans="1:17" ht="13.15" customHeight="1" x14ac:dyDescent="0.2">
      <c r="A2908" s="1" t="s">
        <v>7392</v>
      </c>
      <c r="B2908" s="1" t="s">
        <v>7364</v>
      </c>
      <c r="C2908" s="580">
        <v>31</v>
      </c>
      <c r="D2908" s="1">
        <v>4761.9048000000003</v>
      </c>
      <c r="E2908" t="s">
        <v>7365</v>
      </c>
      <c r="F2908">
        <v>682</v>
      </c>
      <c r="G2908" s="580">
        <v>1170</v>
      </c>
      <c r="H2908" s="1" t="s">
        <v>7393</v>
      </c>
      <c r="I2908" s="1"/>
      <c r="J2908" s="1"/>
      <c r="K2908" s="1"/>
      <c r="L2908" s="1"/>
      <c r="M2908" s="1"/>
      <c r="N2908" s="1"/>
      <c r="O2908" s="1"/>
      <c r="Q2908"/>
    </row>
    <row r="2909" spans="1:17" ht="13.15" customHeight="1" x14ac:dyDescent="0.2">
      <c r="A2909" s="1" t="s">
        <v>7394</v>
      </c>
      <c r="B2909" s="1" t="s">
        <v>7364</v>
      </c>
      <c r="C2909" s="580">
        <v>32</v>
      </c>
      <c r="D2909" s="1">
        <v>4761.9048000000003</v>
      </c>
      <c r="E2909" t="s">
        <v>7365</v>
      </c>
      <c r="F2909">
        <v>682</v>
      </c>
      <c r="G2909" s="580">
        <v>1170</v>
      </c>
      <c r="H2909" s="1" t="s">
        <v>7393</v>
      </c>
      <c r="I2909" s="1"/>
      <c r="J2909" s="1"/>
      <c r="K2909" s="1"/>
      <c r="L2909" s="1"/>
      <c r="M2909" s="1"/>
      <c r="N2909" s="1"/>
      <c r="O2909" s="1"/>
      <c r="Q2909"/>
    </row>
    <row r="2910" spans="1:17" ht="13.15" customHeight="1" x14ac:dyDescent="0.2">
      <c r="A2910" s="1" t="s">
        <v>7395</v>
      </c>
      <c r="B2910" s="1" t="s">
        <v>7364</v>
      </c>
      <c r="C2910" s="580">
        <v>33</v>
      </c>
      <c r="D2910" s="1">
        <v>4285.7142999999996</v>
      </c>
      <c r="E2910" t="s">
        <v>7365</v>
      </c>
      <c r="F2910">
        <v>95</v>
      </c>
      <c r="G2910" s="580">
        <v>1170</v>
      </c>
      <c r="H2910" s="1" t="s">
        <v>7396</v>
      </c>
      <c r="I2910" s="1"/>
      <c r="J2910" s="1"/>
      <c r="K2910" s="1"/>
      <c r="L2910" s="1"/>
      <c r="M2910" s="1"/>
      <c r="N2910" s="1"/>
      <c r="O2910" s="1"/>
      <c r="Q2910"/>
    </row>
    <row r="2911" spans="1:17" ht="13.15" customHeight="1" x14ac:dyDescent="0.2">
      <c r="A2911" s="1" t="s">
        <v>7397</v>
      </c>
      <c r="B2911" s="1" t="s">
        <v>7364</v>
      </c>
      <c r="C2911" s="580">
        <v>40</v>
      </c>
      <c r="D2911" s="1">
        <v>5714.2857000000004</v>
      </c>
      <c r="E2911" t="s">
        <v>7365</v>
      </c>
      <c r="F2911">
        <v>483</v>
      </c>
      <c r="G2911" s="580">
        <v>1350</v>
      </c>
      <c r="H2911" s="1" t="s">
        <v>7398</v>
      </c>
      <c r="I2911" s="1"/>
      <c r="J2911" s="1"/>
      <c r="K2911" s="1"/>
      <c r="L2911" s="1"/>
      <c r="M2911" s="1"/>
      <c r="N2911" s="1"/>
      <c r="O2911" s="1"/>
      <c r="Q2911"/>
    </row>
    <row r="2912" spans="1:17" ht="13.15" customHeight="1" x14ac:dyDescent="0.2">
      <c r="A2912" s="1" t="s">
        <v>7399</v>
      </c>
      <c r="B2912" s="1" t="s">
        <v>7364</v>
      </c>
      <c r="C2912" s="580">
        <v>50</v>
      </c>
      <c r="D2912" s="1">
        <v>5714.2857000000004</v>
      </c>
      <c r="E2912" t="s">
        <v>7365</v>
      </c>
      <c r="F2912">
        <v>662</v>
      </c>
      <c r="G2912" s="580">
        <v>1350</v>
      </c>
      <c r="H2912" s="1" t="s">
        <v>7400</v>
      </c>
      <c r="I2912" s="1"/>
      <c r="J2912" s="1"/>
      <c r="K2912" s="1"/>
      <c r="L2912" s="1"/>
      <c r="M2912" s="1"/>
      <c r="N2912" s="1"/>
      <c r="O2912" s="1"/>
      <c r="Q2912"/>
    </row>
    <row r="2913" spans="1:17" ht="13.15" customHeight="1" x14ac:dyDescent="0.2">
      <c r="A2913" s="1" t="s">
        <v>7401</v>
      </c>
      <c r="B2913" s="1" t="s">
        <v>7364</v>
      </c>
      <c r="C2913" s="580">
        <v>51</v>
      </c>
      <c r="D2913" s="1">
        <v>5523.8095000000003</v>
      </c>
      <c r="E2913" t="s">
        <v>7365</v>
      </c>
      <c r="F2913">
        <v>722</v>
      </c>
      <c r="G2913" s="580">
        <v>1350</v>
      </c>
      <c r="H2913" s="1" t="s">
        <v>7402</v>
      </c>
      <c r="I2913" s="1"/>
      <c r="J2913" s="1"/>
      <c r="K2913" s="1"/>
      <c r="L2913" s="1"/>
      <c r="M2913" s="1"/>
      <c r="N2913" s="1"/>
      <c r="O2913" s="1"/>
      <c r="Q2913"/>
    </row>
    <row r="2914" spans="1:17" ht="13.15" customHeight="1" x14ac:dyDescent="0.2">
      <c r="A2914" s="1" t="s">
        <v>7403</v>
      </c>
      <c r="B2914" s="1" t="s">
        <v>7364</v>
      </c>
      <c r="C2914" s="580">
        <v>52</v>
      </c>
      <c r="D2914" s="1">
        <v>5523.8095000000003</v>
      </c>
      <c r="E2914" t="s">
        <v>7365</v>
      </c>
      <c r="F2914">
        <v>587</v>
      </c>
      <c r="G2914" s="580">
        <v>1350</v>
      </c>
      <c r="H2914" s="1" t="s">
        <v>7404</v>
      </c>
      <c r="I2914" s="1"/>
      <c r="J2914" s="1"/>
      <c r="K2914" s="1"/>
      <c r="L2914" s="1"/>
      <c r="M2914" s="1"/>
      <c r="N2914" s="1"/>
      <c r="O2914" s="1"/>
      <c r="Q2914"/>
    </row>
    <row r="2915" spans="1:17" ht="13.15" customHeight="1" x14ac:dyDescent="0.2">
      <c r="A2915" s="1" t="s">
        <v>7405</v>
      </c>
      <c r="B2915" s="1" t="s">
        <v>7364</v>
      </c>
      <c r="C2915" s="580">
        <v>53</v>
      </c>
      <c r="D2915" s="1">
        <v>5714.2857000000004</v>
      </c>
      <c r="E2915" t="s">
        <v>7365</v>
      </c>
      <c r="F2915">
        <v>451</v>
      </c>
      <c r="G2915" s="580">
        <v>1350</v>
      </c>
      <c r="H2915" s="1" t="s">
        <v>7406</v>
      </c>
      <c r="I2915" s="1"/>
      <c r="J2915" s="1"/>
      <c r="K2915" s="1"/>
      <c r="L2915" s="1"/>
      <c r="M2915" s="1"/>
      <c r="N2915" s="1"/>
      <c r="O2915" s="1"/>
      <c r="Q2915"/>
    </row>
    <row r="2916" spans="1:17" ht="13.15" customHeight="1" x14ac:dyDescent="0.2">
      <c r="A2916" s="1" t="s">
        <v>7407</v>
      </c>
      <c r="B2916" s="1" t="s">
        <v>7364</v>
      </c>
      <c r="C2916" s="580">
        <v>54</v>
      </c>
      <c r="D2916" s="1">
        <v>5238.0951999999997</v>
      </c>
      <c r="E2916" t="s">
        <v>7365</v>
      </c>
      <c r="F2916">
        <v>392</v>
      </c>
      <c r="G2916" s="580">
        <v>1350</v>
      </c>
      <c r="H2916" s="1" t="s">
        <v>7408</v>
      </c>
      <c r="I2916" s="1"/>
      <c r="J2916" s="1"/>
      <c r="K2916" s="1"/>
      <c r="L2916" s="1"/>
      <c r="M2916" s="1"/>
      <c r="N2916" s="1"/>
      <c r="O2916" s="1"/>
      <c r="Q2916"/>
    </row>
    <row r="2917" spans="1:17" ht="13.15" customHeight="1" x14ac:dyDescent="0.2">
      <c r="A2917" s="1" t="s">
        <v>7409</v>
      </c>
      <c r="B2917" s="1" t="s">
        <v>7364</v>
      </c>
      <c r="C2917" s="580">
        <v>55</v>
      </c>
      <c r="D2917" s="1">
        <v>5238.0951999999997</v>
      </c>
      <c r="E2917" t="s">
        <v>7365</v>
      </c>
      <c r="F2917">
        <v>412</v>
      </c>
      <c r="G2917" s="580">
        <v>1350</v>
      </c>
      <c r="H2917" s="1" t="s">
        <v>7410</v>
      </c>
      <c r="I2917" s="1"/>
      <c r="J2917" s="1"/>
      <c r="K2917" s="1"/>
      <c r="L2917" s="1"/>
      <c r="M2917" s="1"/>
      <c r="N2917" s="1"/>
      <c r="O2917" s="1"/>
      <c r="Q2917"/>
    </row>
    <row r="2918" spans="1:17" ht="13.15" customHeight="1" x14ac:dyDescent="0.2">
      <c r="A2918" s="1" t="s">
        <v>7411</v>
      </c>
      <c r="B2918" s="1" t="s">
        <v>7364</v>
      </c>
      <c r="C2918" s="580">
        <v>56</v>
      </c>
      <c r="D2918" s="1">
        <v>5523.8095000000003</v>
      </c>
      <c r="E2918" t="s">
        <v>7365</v>
      </c>
      <c r="F2918">
        <v>521</v>
      </c>
      <c r="G2918" s="580">
        <v>1350</v>
      </c>
      <c r="H2918" s="1" t="s">
        <v>21606</v>
      </c>
      <c r="I2918" s="1"/>
      <c r="J2918" s="1"/>
      <c r="K2918" s="1"/>
      <c r="L2918" s="1"/>
      <c r="M2918" s="1"/>
      <c r="N2918" s="1"/>
      <c r="O2918" s="1"/>
      <c r="Q2918"/>
    </row>
    <row r="2919" spans="1:17" ht="13.15" customHeight="1" x14ac:dyDescent="0.2">
      <c r="A2919" s="1" t="s">
        <v>7412</v>
      </c>
      <c r="B2919" s="1" t="s">
        <v>7364</v>
      </c>
      <c r="C2919" s="580">
        <v>57</v>
      </c>
      <c r="D2919" s="1">
        <v>4761.9048000000003</v>
      </c>
      <c r="E2919" t="s">
        <v>7365</v>
      </c>
      <c r="F2919">
        <v>713</v>
      </c>
      <c r="G2919" s="580">
        <v>1170</v>
      </c>
      <c r="H2919" s="1" t="s">
        <v>7413</v>
      </c>
      <c r="I2919" s="1"/>
      <c r="J2919" s="1"/>
      <c r="K2919" s="1"/>
      <c r="L2919" s="1"/>
      <c r="M2919" s="1"/>
      <c r="N2919" s="1"/>
      <c r="O2919" s="1"/>
      <c r="Q2919"/>
    </row>
    <row r="2920" spans="1:17" ht="13.15" customHeight="1" x14ac:dyDescent="0.2">
      <c r="A2920" s="1" t="s">
        <v>7414</v>
      </c>
      <c r="B2920" s="1" t="s">
        <v>7364</v>
      </c>
      <c r="C2920" s="580">
        <v>58</v>
      </c>
      <c r="D2920" s="1">
        <v>4761.9048000000003</v>
      </c>
      <c r="E2920" t="s">
        <v>7365</v>
      </c>
      <c r="F2920">
        <v>713</v>
      </c>
      <c r="G2920" s="580">
        <v>1170</v>
      </c>
      <c r="H2920" s="1" t="s">
        <v>7413</v>
      </c>
      <c r="I2920" s="1"/>
      <c r="J2920" s="1"/>
      <c r="K2920" s="1"/>
      <c r="L2920" s="1"/>
      <c r="M2920" s="1"/>
      <c r="N2920" s="1"/>
      <c r="O2920" s="1"/>
      <c r="Q2920"/>
    </row>
    <row r="2921" spans="1:17" ht="13.15" customHeight="1" x14ac:dyDescent="0.2">
      <c r="A2921" s="1" t="s">
        <v>7415</v>
      </c>
      <c r="B2921" s="1" t="s">
        <v>7364</v>
      </c>
      <c r="C2921" s="580">
        <v>59</v>
      </c>
      <c r="D2921" s="1">
        <v>2285.7143000000001</v>
      </c>
      <c r="E2921" t="s">
        <v>7365</v>
      </c>
      <c r="F2921">
        <v>788</v>
      </c>
      <c r="G2921" s="580">
        <v>540</v>
      </c>
      <c r="H2921" s="1" t="s">
        <v>7416</v>
      </c>
      <c r="I2921" s="1"/>
      <c r="J2921" s="1"/>
      <c r="K2921" s="1"/>
      <c r="L2921" s="1"/>
      <c r="M2921" s="1"/>
      <c r="N2921" s="1"/>
      <c r="O2921" s="1"/>
      <c r="Q2921"/>
    </row>
    <row r="2922" spans="1:17" ht="13.15" customHeight="1" x14ac:dyDescent="0.2">
      <c r="A2922" s="1" t="s">
        <v>7417</v>
      </c>
      <c r="B2922" s="1" t="s">
        <v>7364</v>
      </c>
      <c r="C2922" s="580">
        <v>60</v>
      </c>
      <c r="D2922" s="1">
        <v>5714.2857000000004</v>
      </c>
      <c r="E2922" t="s">
        <v>7365</v>
      </c>
      <c r="F2922">
        <v>676</v>
      </c>
      <c r="G2922" s="580">
        <v>1350</v>
      </c>
      <c r="H2922" s="1" t="s">
        <v>7418</v>
      </c>
      <c r="I2922" s="1"/>
      <c r="J2922" s="1"/>
      <c r="K2922" s="1"/>
      <c r="L2922" s="1"/>
      <c r="M2922" s="1"/>
      <c r="N2922" s="1"/>
      <c r="O2922" s="1"/>
      <c r="Q2922"/>
    </row>
    <row r="2923" spans="1:17" ht="13.15" customHeight="1" x14ac:dyDescent="0.2">
      <c r="A2923" s="1" t="s">
        <v>7419</v>
      </c>
      <c r="B2923" s="1" t="s">
        <v>7364</v>
      </c>
      <c r="C2923" s="580">
        <v>61</v>
      </c>
      <c r="D2923" s="1">
        <v>5714.2857000000004</v>
      </c>
      <c r="E2923" t="s">
        <v>7365</v>
      </c>
      <c r="F2923">
        <v>676</v>
      </c>
      <c r="G2923" s="580">
        <v>1350</v>
      </c>
      <c r="H2923" s="1" t="s">
        <v>7420</v>
      </c>
      <c r="I2923" s="1"/>
      <c r="J2923" s="1"/>
      <c r="K2923" s="1"/>
      <c r="L2923" s="1"/>
      <c r="M2923" s="1"/>
      <c r="N2923" s="1"/>
      <c r="O2923" s="1"/>
      <c r="Q2923"/>
    </row>
    <row r="2924" spans="1:17" ht="13.15" customHeight="1" x14ac:dyDescent="0.2">
      <c r="A2924" s="1" t="s">
        <v>7421</v>
      </c>
      <c r="B2924" s="1" t="s">
        <v>7364</v>
      </c>
      <c r="C2924" s="580">
        <v>70</v>
      </c>
      <c r="D2924" s="1">
        <v>3809.5237999999999</v>
      </c>
      <c r="E2924" t="s">
        <v>7365</v>
      </c>
      <c r="F2924">
        <v>741</v>
      </c>
      <c r="G2924" s="580">
        <v>990</v>
      </c>
      <c r="H2924" s="1" t="s">
        <v>7422</v>
      </c>
      <c r="I2924" s="1"/>
      <c r="J2924" s="1"/>
      <c r="K2924" s="1"/>
      <c r="L2924" s="1"/>
      <c r="M2924" s="1"/>
      <c r="N2924" s="1"/>
      <c r="O2924" s="1"/>
      <c r="Q2924"/>
    </row>
    <row r="2925" spans="1:17" ht="13.15" customHeight="1" x14ac:dyDescent="0.2">
      <c r="A2925" s="1" t="s">
        <v>7423</v>
      </c>
      <c r="B2925" s="1" t="s">
        <v>7364</v>
      </c>
      <c r="C2925" s="580">
        <v>71</v>
      </c>
      <c r="D2925" s="1">
        <v>3333.3332999999998</v>
      </c>
      <c r="E2925" t="s">
        <v>7365</v>
      </c>
      <c r="F2925">
        <v>410</v>
      </c>
      <c r="G2925" s="580">
        <v>990</v>
      </c>
      <c r="H2925" s="1" t="s">
        <v>7424</v>
      </c>
      <c r="I2925" s="1"/>
      <c r="J2925" s="1"/>
      <c r="K2925" s="1"/>
      <c r="L2925" s="1"/>
      <c r="M2925" s="1"/>
      <c r="N2925" s="1"/>
      <c r="O2925" s="1"/>
      <c r="Q2925"/>
    </row>
    <row r="2926" spans="1:17" ht="13.15" customHeight="1" x14ac:dyDescent="0.2">
      <c r="A2926" s="1" t="s">
        <v>7425</v>
      </c>
      <c r="B2926" s="1" t="s">
        <v>7364</v>
      </c>
      <c r="C2926" s="580">
        <v>72</v>
      </c>
      <c r="D2926" s="1">
        <v>6666.6666999999998</v>
      </c>
      <c r="E2926" t="s">
        <v>7365</v>
      </c>
      <c r="F2926">
        <v>422</v>
      </c>
      <c r="G2926" s="580">
        <v>1530</v>
      </c>
      <c r="H2926" s="1" t="s">
        <v>7426</v>
      </c>
      <c r="I2926" s="1"/>
      <c r="J2926" s="1"/>
      <c r="K2926" s="1"/>
      <c r="L2926" s="1"/>
      <c r="M2926" s="1"/>
      <c r="N2926" s="1"/>
      <c r="O2926" s="1"/>
      <c r="Q2926"/>
    </row>
    <row r="2927" spans="1:17" ht="13.15" customHeight="1" x14ac:dyDescent="0.2">
      <c r="A2927" s="1" t="s">
        <v>7427</v>
      </c>
      <c r="B2927" s="1" t="s">
        <v>7364</v>
      </c>
      <c r="C2927" s="580">
        <v>73</v>
      </c>
      <c r="D2927" s="1">
        <v>7142.8571000000002</v>
      </c>
      <c r="E2927" t="s">
        <v>7365</v>
      </c>
      <c r="F2927">
        <v>714</v>
      </c>
      <c r="G2927" s="580">
        <v>1890</v>
      </c>
      <c r="H2927" s="1" t="s">
        <v>7428</v>
      </c>
      <c r="I2927" s="1"/>
      <c r="J2927" s="1"/>
      <c r="K2927" s="1"/>
      <c r="L2927" s="1"/>
      <c r="M2927" s="1"/>
      <c r="N2927" s="1"/>
      <c r="O2927" s="1"/>
      <c r="Q2927"/>
    </row>
    <row r="2928" spans="1:17" ht="13.15" customHeight="1" x14ac:dyDescent="0.2">
      <c r="A2928" s="1" t="s">
        <v>7429</v>
      </c>
      <c r="B2928" s="1" t="s">
        <v>7364</v>
      </c>
      <c r="C2928" s="580">
        <v>74</v>
      </c>
      <c r="D2928" s="1">
        <v>4285.7142999999996</v>
      </c>
      <c r="E2928" t="s">
        <v>7365</v>
      </c>
      <c r="F2928">
        <v>143</v>
      </c>
      <c r="G2928" s="580">
        <v>1080</v>
      </c>
      <c r="H2928" s="1" t="s">
        <v>7430</v>
      </c>
      <c r="I2928" s="1"/>
      <c r="J2928" s="1"/>
      <c r="K2928" s="1"/>
      <c r="L2928" s="1"/>
      <c r="M2928" s="1"/>
      <c r="N2928" s="1"/>
      <c r="O2928" s="1"/>
      <c r="Q2928"/>
    </row>
    <row r="2929" spans="1:17" ht="13.15" customHeight="1" x14ac:dyDescent="0.2">
      <c r="A2929" s="1" t="s">
        <v>7431</v>
      </c>
      <c r="B2929" s="1" t="s">
        <v>7364</v>
      </c>
      <c r="C2929" s="580">
        <v>75</v>
      </c>
      <c r="D2929" s="1">
        <v>5238.0951999999997</v>
      </c>
      <c r="E2929" t="s">
        <v>7365</v>
      </c>
      <c r="F2929">
        <v>140</v>
      </c>
      <c r="G2929" s="580">
        <v>1260</v>
      </c>
      <c r="H2929" s="1" t="s">
        <v>7432</v>
      </c>
      <c r="I2929" s="1"/>
      <c r="J2929" s="1"/>
      <c r="K2929" s="1"/>
      <c r="L2929" s="1"/>
      <c r="M2929" s="1"/>
      <c r="N2929" s="1"/>
      <c r="O2929" s="1"/>
      <c r="Q2929"/>
    </row>
    <row r="2930" spans="1:17" ht="13.15" customHeight="1" x14ac:dyDescent="0.2">
      <c r="A2930" s="1" t="s">
        <v>7433</v>
      </c>
      <c r="B2930" s="1" t="s">
        <v>7364</v>
      </c>
      <c r="C2930" s="580">
        <v>76</v>
      </c>
      <c r="D2930" s="1">
        <v>5714.2857000000004</v>
      </c>
      <c r="E2930" t="s">
        <v>7365</v>
      </c>
      <c r="F2930">
        <v>717</v>
      </c>
      <c r="G2930" s="580">
        <v>1530</v>
      </c>
      <c r="H2930" s="1" t="s">
        <v>7434</v>
      </c>
      <c r="I2930" s="1"/>
      <c r="J2930" s="1"/>
      <c r="K2930" s="1"/>
      <c r="L2930" s="1"/>
      <c r="M2930" s="1"/>
      <c r="N2930" s="1"/>
      <c r="O2930" s="1"/>
      <c r="Q2930"/>
    </row>
    <row r="2931" spans="1:17" ht="13.15" customHeight="1" x14ac:dyDescent="0.2">
      <c r="A2931" s="1" t="s">
        <v>7435</v>
      </c>
      <c r="B2931" s="1" t="s">
        <v>7364</v>
      </c>
      <c r="C2931" s="580">
        <v>77</v>
      </c>
      <c r="D2931" s="1">
        <v>5714.2857000000004</v>
      </c>
      <c r="E2931" t="s">
        <v>7365</v>
      </c>
      <c r="F2931">
        <v>717</v>
      </c>
      <c r="G2931" s="580">
        <v>1530</v>
      </c>
      <c r="H2931" s="1" t="s">
        <v>7434</v>
      </c>
      <c r="I2931" s="1"/>
      <c r="J2931" s="1"/>
      <c r="K2931" s="1"/>
      <c r="L2931" s="1"/>
      <c r="M2931" s="1"/>
      <c r="N2931" s="1"/>
      <c r="O2931" s="1"/>
      <c r="Q2931"/>
    </row>
    <row r="2932" spans="1:17" ht="13.15" customHeight="1" x14ac:dyDescent="0.2">
      <c r="A2932" s="1" t="s">
        <v>7436</v>
      </c>
      <c r="B2932" s="1" t="s">
        <v>7364</v>
      </c>
      <c r="C2932" s="580">
        <v>78</v>
      </c>
      <c r="D2932" s="1">
        <v>5238.0951999999997</v>
      </c>
      <c r="E2932" t="s">
        <v>7365</v>
      </c>
      <c r="F2932">
        <v>141</v>
      </c>
      <c r="G2932" s="580">
        <v>1260</v>
      </c>
      <c r="H2932" s="1" t="s">
        <v>7437</v>
      </c>
      <c r="I2932" s="1"/>
      <c r="J2932" s="1"/>
      <c r="K2932" s="1"/>
      <c r="L2932" s="1"/>
      <c r="M2932" s="1"/>
      <c r="N2932" s="1"/>
      <c r="O2932" s="1"/>
      <c r="Q2932"/>
    </row>
    <row r="2933" spans="1:17" ht="13.15" customHeight="1" x14ac:dyDescent="0.2">
      <c r="A2933" s="1" t="s">
        <v>7438</v>
      </c>
      <c r="B2933" s="1" t="s">
        <v>7364</v>
      </c>
      <c r="C2933" s="580">
        <v>79</v>
      </c>
      <c r="D2933" s="1">
        <v>7142.8571000000002</v>
      </c>
      <c r="E2933" t="s">
        <v>7365</v>
      </c>
      <c r="F2933">
        <v>714</v>
      </c>
      <c r="G2933" s="580">
        <v>1890</v>
      </c>
      <c r="H2933" s="1" t="s">
        <v>7428</v>
      </c>
      <c r="I2933" s="1"/>
      <c r="J2933" s="1"/>
      <c r="K2933" s="1"/>
      <c r="L2933" s="1"/>
      <c r="M2933" s="1"/>
      <c r="N2933" s="1"/>
      <c r="O2933" s="1"/>
      <c r="Q2933"/>
    </row>
    <row r="2934" spans="1:17" ht="13.15" customHeight="1" x14ac:dyDescent="0.2">
      <c r="A2934" s="1" t="s">
        <v>7439</v>
      </c>
      <c r="B2934" s="1" t="s">
        <v>7364</v>
      </c>
      <c r="C2934" s="580">
        <v>80</v>
      </c>
      <c r="D2934" s="1">
        <v>7142.8571000000002</v>
      </c>
      <c r="E2934" t="s">
        <v>7365</v>
      </c>
      <c r="F2934">
        <v>714</v>
      </c>
      <c r="G2934" s="580">
        <v>1890</v>
      </c>
      <c r="H2934" s="1" t="s">
        <v>7428</v>
      </c>
      <c r="I2934" s="1"/>
      <c r="J2934" s="1"/>
      <c r="K2934" s="1"/>
      <c r="L2934" s="1"/>
      <c r="M2934" s="1"/>
      <c r="N2934" s="1"/>
      <c r="O2934" s="1"/>
      <c r="Q2934"/>
    </row>
    <row r="2935" spans="1:17" ht="13.15" customHeight="1" x14ac:dyDescent="0.2">
      <c r="A2935" s="1" t="s">
        <v>7440</v>
      </c>
      <c r="B2935" s="1" t="s">
        <v>7364</v>
      </c>
      <c r="C2935" s="580">
        <v>81</v>
      </c>
      <c r="D2935" s="1">
        <v>6190.4762000000001</v>
      </c>
      <c r="E2935" t="s">
        <v>7365</v>
      </c>
      <c r="F2935">
        <v>539</v>
      </c>
      <c r="G2935" s="580">
        <v>1440</v>
      </c>
      <c r="H2935" s="1" t="s">
        <v>7441</v>
      </c>
      <c r="I2935" s="1"/>
      <c r="J2935" s="1"/>
      <c r="K2935" s="1"/>
      <c r="L2935" s="1"/>
      <c r="M2935" s="1"/>
      <c r="N2935" s="1"/>
      <c r="O2935" s="1"/>
      <c r="Q2935"/>
    </row>
    <row r="2936" spans="1:17" ht="13.15" customHeight="1" x14ac:dyDescent="0.2">
      <c r="A2936" s="1" t="s">
        <v>7442</v>
      </c>
      <c r="B2936" s="1" t="s">
        <v>7364</v>
      </c>
      <c r="C2936" s="580">
        <v>90</v>
      </c>
      <c r="D2936" s="1">
        <v>4190.4762000000001</v>
      </c>
      <c r="E2936" t="s">
        <v>7365</v>
      </c>
      <c r="F2936">
        <v>157</v>
      </c>
      <c r="G2936" s="580">
        <v>990</v>
      </c>
      <c r="H2936" s="1" t="s">
        <v>7443</v>
      </c>
      <c r="I2936" s="1"/>
      <c r="J2936" s="1"/>
      <c r="K2936" s="1"/>
      <c r="L2936" s="1"/>
      <c r="M2936" s="1"/>
      <c r="N2936" s="1"/>
      <c r="O2936" s="1"/>
      <c r="Q2936"/>
    </row>
    <row r="2937" spans="1:17" ht="13.15" customHeight="1" x14ac:dyDescent="0.2">
      <c r="A2937" s="1" t="s">
        <v>7444</v>
      </c>
      <c r="B2937" s="1" t="s">
        <v>7364</v>
      </c>
      <c r="C2937" s="580">
        <v>91</v>
      </c>
      <c r="D2937" s="1">
        <v>4190.4762000000001</v>
      </c>
      <c r="E2937" t="s">
        <v>7365</v>
      </c>
      <c r="F2937">
        <v>158</v>
      </c>
      <c r="G2937" s="580">
        <v>990</v>
      </c>
      <c r="H2937" s="1" t="s">
        <v>7445</v>
      </c>
      <c r="I2937" s="1"/>
      <c r="J2937" s="1"/>
      <c r="K2937" s="1"/>
      <c r="L2937" s="1"/>
      <c r="M2937" s="1"/>
      <c r="N2937" s="1"/>
      <c r="O2937" s="1"/>
      <c r="Q2937"/>
    </row>
    <row r="2938" spans="1:17" ht="13.15" customHeight="1" x14ac:dyDescent="0.2">
      <c r="A2938" s="1" t="s">
        <v>7446</v>
      </c>
      <c r="B2938" s="1" t="s">
        <v>7364</v>
      </c>
      <c r="C2938" s="580">
        <v>92</v>
      </c>
      <c r="D2938" s="1">
        <v>4761.9048000000003</v>
      </c>
      <c r="E2938" t="s">
        <v>7365</v>
      </c>
      <c r="F2938">
        <v>155</v>
      </c>
      <c r="G2938" s="580">
        <v>1170</v>
      </c>
      <c r="H2938" s="1" t="s">
        <v>7447</v>
      </c>
      <c r="I2938" s="1"/>
      <c r="J2938" s="1"/>
      <c r="K2938" s="1"/>
      <c r="L2938" s="1"/>
      <c r="M2938" s="1"/>
      <c r="N2938" s="1"/>
      <c r="O2938" s="1"/>
      <c r="Q2938"/>
    </row>
    <row r="2939" spans="1:17" ht="13.15" customHeight="1" x14ac:dyDescent="0.2">
      <c r="A2939" s="1" t="s">
        <v>7448</v>
      </c>
      <c r="B2939" s="1" t="s">
        <v>7364</v>
      </c>
      <c r="C2939" s="580">
        <v>100</v>
      </c>
      <c r="D2939" s="1">
        <v>4000</v>
      </c>
      <c r="E2939" t="s">
        <v>7365</v>
      </c>
      <c r="F2939">
        <v>740</v>
      </c>
      <c r="G2939" s="580">
        <v>990</v>
      </c>
      <c r="H2939" s="1" t="s">
        <v>7449</v>
      </c>
      <c r="I2939" s="1"/>
      <c r="J2939" s="1"/>
      <c r="K2939" s="1"/>
      <c r="L2939" s="1"/>
      <c r="M2939" s="1"/>
      <c r="N2939" s="1"/>
      <c r="O2939" s="1"/>
      <c r="Q2939"/>
    </row>
    <row r="2940" spans="1:17" ht="13.15" customHeight="1" x14ac:dyDescent="0.2">
      <c r="A2940" s="1" t="s">
        <v>7450</v>
      </c>
      <c r="B2940" s="1" t="s">
        <v>7364</v>
      </c>
      <c r="C2940" s="580">
        <v>101</v>
      </c>
      <c r="D2940" s="1">
        <v>7619.0475999999999</v>
      </c>
      <c r="E2940" t="s">
        <v>7365</v>
      </c>
      <c r="F2940">
        <v>778</v>
      </c>
      <c r="G2940" s="580">
        <v>1890</v>
      </c>
      <c r="H2940" s="1" t="s">
        <v>7451</v>
      </c>
      <c r="I2940" s="1"/>
      <c r="J2940" s="1"/>
      <c r="K2940" s="1"/>
      <c r="L2940" s="1"/>
      <c r="M2940" s="1"/>
      <c r="N2940" s="1"/>
      <c r="O2940" s="1"/>
      <c r="Q2940"/>
    </row>
    <row r="2941" spans="1:17" ht="13.15" customHeight="1" x14ac:dyDescent="0.2">
      <c r="A2941" s="1" t="s">
        <v>7452</v>
      </c>
      <c r="B2941" s="1" t="s">
        <v>7364</v>
      </c>
      <c r="C2941" s="580">
        <v>102</v>
      </c>
      <c r="D2941" s="1">
        <v>4000</v>
      </c>
      <c r="E2941" t="s">
        <v>7365</v>
      </c>
      <c r="F2941">
        <v>750</v>
      </c>
      <c r="G2941" s="580">
        <v>990</v>
      </c>
      <c r="H2941" s="1" t="s">
        <v>7453</v>
      </c>
      <c r="I2941" s="1"/>
      <c r="J2941" s="1"/>
      <c r="K2941" s="1"/>
      <c r="L2941" s="1"/>
      <c r="M2941" s="1"/>
      <c r="N2941" s="1"/>
      <c r="O2941" s="1"/>
      <c r="Q2941"/>
    </row>
    <row r="2942" spans="1:17" ht="13.15" customHeight="1" x14ac:dyDescent="0.2">
      <c r="A2942" s="1" t="s">
        <v>7454</v>
      </c>
      <c r="B2942" s="1" t="s">
        <v>7364</v>
      </c>
      <c r="C2942" s="580">
        <v>103</v>
      </c>
      <c r="D2942" s="1">
        <v>4000</v>
      </c>
      <c r="E2942" t="s">
        <v>7365</v>
      </c>
      <c r="F2942">
        <v>703</v>
      </c>
      <c r="G2942" s="580">
        <v>990</v>
      </c>
      <c r="H2942" s="1" t="s">
        <v>7455</v>
      </c>
      <c r="I2942" s="1"/>
      <c r="J2942" s="1"/>
      <c r="K2942" s="1"/>
      <c r="L2942" s="1"/>
      <c r="M2942" s="1"/>
      <c r="N2942" s="1"/>
      <c r="O2942" s="1"/>
      <c r="Q2942"/>
    </row>
    <row r="2943" spans="1:17" ht="13.15" customHeight="1" x14ac:dyDescent="0.2">
      <c r="A2943" s="1" t="s">
        <v>7456</v>
      </c>
      <c r="B2943" s="1" t="s">
        <v>7364</v>
      </c>
      <c r="C2943" s="580">
        <v>110</v>
      </c>
      <c r="D2943" s="1">
        <v>6666.6666999999998</v>
      </c>
      <c r="E2943" t="s">
        <v>7365</v>
      </c>
      <c r="F2943">
        <v>616</v>
      </c>
      <c r="G2943" s="580">
        <v>1530</v>
      </c>
      <c r="H2943" s="1" t="s">
        <v>7457</v>
      </c>
      <c r="I2943" s="1"/>
      <c r="J2943" s="1"/>
      <c r="K2943" s="1"/>
      <c r="L2943" s="1"/>
      <c r="M2943" s="1"/>
      <c r="N2943" s="1"/>
      <c r="O2943" s="1"/>
      <c r="Q2943"/>
    </row>
    <row r="2944" spans="1:17" ht="13.15" customHeight="1" x14ac:dyDescent="0.2">
      <c r="A2944" s="1" t="s">
        <v>7458</v>
      </c>
      <c r="B2944" s="1" t="s">
        <v>7364</v>
      </c>
      <c r="C2944" s="580">
        <v>111</v>
      </c>
      <c r="D2944" s="1">
        <v>6666.6666999999998</v>
      </c>
      <c r="E2944" t="s">
        <v>7365</v>
      </c>
      <c r="F2944">
        <v>786</v>
      </c>
      <c r="G2944" s="580">
        <v>1620</v>
      </c>
      <c r="H2944" s="1" t="s">
        <v>7459</v>
      </c>
      <c r="I2944" s="1"/>
      <c r="J2944" s="1"/>
      <c r="K2944" s="1"/>
      <c r="L2944" s="1"/>
      <c r="M2944" s="1"/>
      <c r="N2944" s="1"/>
      <c r="O2944" s="1"/>
      <c r="Q2944"/>
    </row>
    <row r="2945" spans="1:17" ht="13.15" customHeight="1" x14ac:dyDescent="0.2">
      <c r="A2945" s="1" t="s">
        <v>7460</v>
      </c>
      <c r="B2945" s="1" t="s">
        <v>7364</v>
      </c>
      <c r="C2945" s="580">
        <v>112</v>
      </c>
      <c r="D2945" s="1">
        <v>7142.8571000000002</v>
      </c>
      <c r="E2945" t="s">
        <v>7365</v>
      </c>
      <c r="F2945">
        <v>598</v>
      </c>
      <c r="G2945" s="580">
        <v>1710</v>
      </c>
      <c r="H2945" s="1" t="s">
        <v>7461</v>
      </c>
      <c r="I2945" s="1"/>
      <c r="J2945" s="1"/>
      <c r="K2945" s="1"/>
      <c r="L2945" s="1"/>
      <c r="M2945" s="1"/>
      <c r="N2945" s="1"/>
      <c r="O2945" s="1"/>
      <c r="Q2945"/>
    </row>
    <row r="2946" spans="1:17" ht="13.15" customHeight="1" x14ac:dyDescent="0.2">
      <c r="A2946" s="1" t="s">
        <v>7462</v>
      </c>
      <c r="B2946" s="1" t="s">
        <v>7364</v>
      </c>
      <c r="C2946" s="580">
        <v>113</v>
      </c>
      <c r="D2946" s="1">
        <v>6666.6666999999998</v>
      </c>
      <c r="E2946" t="s">
        <v>7365</v>
      </c>
      <c r="F2946">
        <v>785</v>
      </c>
      <c r="G2946" s="580">
        <v>1620</v>
      </c>
      <c r="H2946" s="1" t="s">
        <v>7463</v>
      </c>
      <c r="I2946" s="1"/>
      <c r="J2946" s="1"/>
      <c r="K2946" s="1"/>
      <c r="L2946" s="1"/>
      <c r="M2946" s="1"/>
      <c r="N2946" s="1"/>
      <c r="O2946" s="1"/>
      <c r="Q2946"/>
    </row>
    <row r="2947" spans="1:17" ht="13.15" customHeight="1" x14ac:dyDescent="0.2">
      <c r="A2947" s="1" t="s">
        <v>7464</v>
      </c>
      <c r="B2947" s="1" t="s">
        <v>7364</v>
      </c>
      <c r="C2947" s="580">
        <v>120</v>
      </c>
      <c r="D2947" s="1">
        <v>7142.8571000000002</v>
      </c>
      <c r="E2947" t="s">
        <v>7365</v>
      </c>
      <c r="F2947">
        <v>434</v>
      </c>
      <c r="G2947" s="580">
        <v>1710</v>
      </c>
      <c r="H2947" s="1" t="s">
        <v>7465</v>
      </c>
      <c r="I2947" s="1"/>
      <c r="J2947" s="1"/>
      <c r="K2947" s="1"/>
      <c r="L2947" s="1"/>
      <c r="M2947" s="1"/>
      <c r="N2947" s="1"/>
      <c r="O2947" s="1"/>
      <c r="Q2947"/>
    </row>
    <row r="2948" spans="1:17" ht="13.15" customHeight="1" x14ac:dyDescent="0.2">
      <c r="A2948" s="1" t="s">
        <v>7466</v>
      </c>
      <c r="B2948" s="1" t="s">
        <v>7364</v>
      </c>
      <c r="C2948" s="580">
        <v>121</v>
      </c>
      <c r="D2948" s="1">
        <v>7142.8571000000002</v>
      </c>
      <c r="E2948" t="s">
        <v>7365</v>
      </c>
      <c r="F2948">
        <v>319</v>
      </c>
      <c r="G2948" s="580">
        <v>1710</v>
      </c>
      <c r="H2948" s="1" t="s">
        <v>7467</v>
      </c>
      <c r="I2948" s="1"/>
      <c r="J2948" s="1"/>
      <c r="K2948" s="1"/>
      <c r="L2948" s="1"/>
      <c r="M2948" s="1"/>
      <c r="N2948" s="1"/>
      <c r="O2948" s="1"/>
      <c r="Q2948"/>
    </row>
    <row r="2949" spans="1:17" ht="13.15" customHeight="1" x14ac:dyDescent="0.2">
      <c r="A2949" s="1" t="s">
        <v>7468</v>
      </c>
      <c r="B2949" s="1" t="s">
        <v>7364</v>
      </c>
      <c r="C2949" s="580">
        <v>122</v>
      </c>
      <c r="D2949" s="1">
        <v>6666.6666999999998</v>
      </c>
      <c r="E2949" t="s">
        <v>7365</v>
      </c>
      <c r="F2949">
        <v>208</v>
      </c>
      <c r="G2949" s="580">
        <v>1620</v>
      </c>
      <c r="H2949" s="1" t="s">
        <v>7469</v>
      </c>
      <c r="I2949" s="1"/>
      <c r="J2949" s="1"/>
      <c r="K2949" s="1"/>
      <c r="L2949" s="1"/>
      <c r="M2949" s="1"/>
      <c r="N2949" s="1"/>
      <c r="O2949" s="1"/>
      <c r="Q2949"/>
    </row>
    <row r="2950" spans="1:17" ht="13.15" customHeight="1" x14ac:dyDescent="0.2">
      <c r="A2950" s="1" t="s">
        <v>7470</v>
      </c>
      <c r="B2950" s="1" t="s">
        <v>7364</v>
      </c>
      <c r="C2950" s="580">
        <v>123</v>
      </c>
      <c r="D2950" s="1">
        <v>6666.6666999999998</v>
      </c>
      <c r="E2950" t="s">
        <v>7365</v>
      </c>
      <c r="F2950">
        <v>207</v>
      </c>
      <c r="G2950" s="580">
        <v>1620</v>
      </c>
      <c r="H2950" s="1" t="s">
        <v>7471</v>
      </c>
      <c r="I2950" s="1"/>
      <c r="J2950" s="1"/>
      <c r="K2950" s="1"/>
      <c r="L2950" s="1"/>
      <c r="M2950" s="1"/>
      <c r="N2950" s="1"/>
      <c r="O2950" s="1"/>
      <c r="Q2950"/>
    </row>
    <row r="2951" spans="1:17" ht="13.15" customHeight="1" x14ac:dyDescent="0.2">
      <c r="A2951" s="1" t="s">
        <v>7472</v>
      </c>
      <c r="B2951" s="1" t="s">
        <v>7364</v>
      </c>
      <c r="C2951" s="580">
        <v>130</v>
      </c>
      <c r="D2951" s="1">
        <v>8571.4285999999993</v>
      </c>
      <c r="E2951" t="s">
        <v>7365</v>
      </c>
      <c r="F2951">
        <v>652</v>
      </c>
      <c r="G2951" s="580">
        <v>2070</v>
      </c>
      <c r="H2951" s="1" t="s">
        <v>7473</v>
      </c>
      <c r="I2951" s="1"/>
      <c r="J2951" s="1"/>
      <c r="K2951" s="1"/>
      <c r="L2951" s="1"/>
      <c r="M2951" s="1"/>
      <c r="N2951" s="1"/>
      <c r="O2951" s="1"/>
      <c r="Q2951"/>
    </row>
    <row r="2952" spans="1:17" ht="13.15" customHeight="1" x14ac:dyDescent="0.2">
      <c r="A2952" s="1" t="s">
        <v>7474</v>
      </c>
      <c r="B2952" s="1" t="s">
        <v>7364</v>
      </c>
      <c r="C2952" s="580">
        <v>131</v>
      </c>
      <c r="D2952" s="1">
        <v>6666.6666999999998</v>
      </c>
      <c r="E2952" t="s">
        <v>7365</v>
      </c>
      <c r="F2952">
        <v>751</v>
      </c>
      <c r="G2952" s="580">
        <v>1530</v>
      </c>
      <c r="H2952" s="1" t="s">
        <v>7475</v>
      </c>
      <c r="I2952" s="1"/>
      <c r="J2952" s="1"/>
      <c r="K2952" s="1"/>
      <c r="L2952" s="1"/>
      <c r="M2952" s="1"/>
      <c r="N2952" s="1"/>
      <c r="O2952" s="1"/>
      <c r="Q2952"/>
    </row>
    <row r="2953" spans="1:17" ht="13.15" customHeight="1" x14ac:dyDescent="0.2">
      <c r="A2953" s="1" t="s">
        <v>7476</v>
      </c>
      <c r="B2953" s="1" t="s">
        <v>7364</v>
      </c>
      <c r="C2953" s="580">
        <v>132</v>
      </c>
      <c r="D2953" s="1">
        <v>5142.8571000000002</v>
      </c>
      <c r="E2953" t="s">
        <v>7365</v>
      </c>
      <c r="F2953">
        <v>771</v>
      </c>
      <c r="G2953" s="580">
        <v>1170</v>
      </c>
      <c r="H2953" s="1" t="s">
        <v>7477</v>
      </c>
      <c r="I2953" s="1"/>
      <c r="J2953" s="1"/>
      <c r="K2953" s="1"/>
      <c r="L2953" s="1"/>
      <c r="M2953" s="1"/>
      <c r="N2953" s="1"/>
      <c r="O2953" s="1"/>
      <c r="Q2953"/>
    </row>
    <row r="2954" spans="1:17" ht="13.15" customHeight="1" x14ac:dyDescent="0.2">
      <c r="A2954" s="1" t="s">
        <v>7478</v>
      </c>
      <c r="B2954" s="1" t="s">
        <v>7364</v>
      </c>
      <c r="C2954" s="580" t="s">
        <v>7132</v>
      </c>
      <c r="D2954" s="1">
        <v>16000</v>
      </c>
      <c r="E2954" t="s">
        <v>3282</v>
      </c>
      <c r="F2954">
        <v>0</v>
      </c>
      <c r="G2954" s="580">
        <v>0</v>
      </c>
      <c r="H2954" s="1">
        <v>0</v>
      </c>
      <c r="I2954" s="1"/>
      <c r="J2954" s="1"/>
      <c r="K2954" s="1"/>
      <c r="L2954" s="1"/>
      <c r="M2954" s="1"/>
      <c r="N2954" s="1"/>
      <c r="O2954" s="1"/>
      <c r="Q2954"/>
    </row>
    <row r="2955" spans="1:17" ht="13.15" customHeight="1" x14ac:dyDescent="0.2">
      <c r="A2955" s="1" t="s">
        <v>7479</v>
      </c>
      <c r="B2955" s="1" t="s">
        <v>3613</v>
      </c>
      <c r="C2955" s="580" t="s">
        <v>7132</v>
      </c>
      <c r="D2955" s="1">
        <v>13000</v>
      </c>
      <c r="E2955" t="s">
        <v>4624</v>
      </c>
      <c r="F2955">
        <v>0</v>
      </c>
      <c r="G2955" s="580">
        <v>0</v>
      </c>
      <c r="H2955" s="1">
        <v>0</v>
      </c>
      <c r="I2955" s="1"/>
      <c r="J2955" s="1"/>
      <c r="K2955" s="1"/>
      <c r="L2955" s="1"/>
      <c r="M2955" s="1"/>
      <c r="N2955" s="1"/>
      <c r="O2955" s="1"/>
      <c r="Q2955"/>
    </row>
    <row r="2956" spans="1:17" ht="13.15" customHeight="1" x14ac:dyDescent="0.2">
      <c r="A2956" s="1" t="s">
        <v>7480</v>
      </c>
      <c r="B2956" s="1" t="s">
        <v>4139</v>
      </c>
      <c r="C2956" s="580" t="s">
        <v>7132</v>
      </c>
      <c r="D2956" s="1">
        <v>13000</v>
      </c>
      <c r="E2956" t="s">
        <v>4624</v>
      </c>
      <c r="F2956">
        <v>0</v>
      </c>
      <c r="G2956" s="580">
        <v>0</v>
      </c>
      <c r="H2956" s="1">
        <v>0</v>
      </c>
      <c r="I2956" s="1"/>
      <c r="J2956" s="1"/>
      <c r="K2956" s="1"/>
      <c r="L2956" s="1"/>
      <c r="M2956" s="1"/>
      <c r="N2956" s="1"/>
      <c r="O2956" s="1"/>
      <c r="Q2956"/>
    </row>
    <row r="2957" spans="1:17" ht="13.15" customHeight="1" x14ac:dyDescent="0.2">
      <c r="A2957" s="1" t="s">
        <v>7481</v>
      </c>
      <c r="B2957" s="1" t="s">
        <v>7482</v>
      </c>
      <c r="C2957" s="580">
        <v>1</v>
      </c>
      <c r="D2957" s="1">
        <v>14400</v>
      </c>
      <c r="E2957" t="s">
        <v>4624</v>
      </c>
      <c r="F2957">
        <v>0</v>
      </c>
      <c r="G2957" s="580">
        <v>0</v>
      </c>
      <c r="H2957" s="1">
        <v>0</v>
      </c>
      <c r="I2957" s="1"/>
      <c r="J2957" s="1"/>
      <c r="K2957" s="1"/>
      <c r="L2957" s="1"/>
      <c r="M2957" s="1"/>
      <c r="N2957" s="1"/>
      <c r="O2957" s="1"/>
      <c r="Q2957"/>
    </row>
    <row r="2958" spans="1:17" ht="13.15" customHeight="1" x14ac:dyDescent="0.2">
      <c r="A2958" s="1" t="s">
        <v>7483</v>
      </c>
      <c r="B2958" s="1" t="s">
        <v>7482</v>
      </c>
      <c r="C2958" s="580">
        <v>2</v>
      </c>
      <c r="D2958" s="1">
        <v>15744</v>
      </c>
      <c r="E2958" t="s">
        <v>4624</v>
      </c>
      <c r="F2958">
        <v>0</v>
      </c>
      <c r="G2958" s="580">
        <v>0</v>
      </c>
      <c r="H2958" s="1">
        <v>0</v>
      </c>
      <c r="I2958" s="1"/>
      <c r="J2958" s="1"/>
      <c r="K2958" s="1"/>
      <c r="L2958" s="1"/>
      <c r="M2958" s="1"/>
      <c r="N2958" s="1"/>
      <c r="O2958" s="1"/>
      <c r="Q2958"/>
    </row>
    <row r="2959" spans="1:17" ht="13.15" customHeight="1" x14ac:dyDescent="0.2">
      <c r="A2959" s="1" t="s">
        <v>7484</v>
      </c>
      <c r="B2959" s="1" t="s">
        <v>7482</v>
      </c>
      <c r="C2959" s="580">
        <v>3</v>
      </c>
      <c r="D2959" s="1">
        <v>15744</v>
      </c>
      <c r="E2959" t="s">
        <v>4624</v>
      </c>
      <c r="F2959">
        <v>0</v>
      </c>
      <c r="G2959" s="580">
        <v>0</v>
      </c>
      <c r="H2959" s="1">
        <v>0</v>
      </c>
      <c r="I2959" s="1"/>
      <c r="J2959" s="1"/>
      <c r="K2959" s="1"/>
      <c r="L2959" s="1"/>
      <c r="M2959" s="1"/>
      <c r="N2959" s="1"/>
      <c r="O2959" s="1"/>
      <c r="Q2959"/>
    </row>
    <row r="2960" spans="1:17" ht="13.15" customHeight="1" x14ac:dyDescent="0.2">
      <c r="A2960" s="1" t="s">
        <v>7485</v>
      </c>
      <c r="B2960" s="1" t="s">
        <v>7482</v>
      </c>
      <c r="C2960" s="580">
        <v>4</v>
      </c>
      <c r="D2960" s="1">
        <v>16440</v>
      </c>
      <c r="E2960" t="s">
        <v>4624</v>
      </c>
      <c r="F2960">
        <v>0</v>
      </c>
      <c r="G2960" s="580">
        <v>0</v>
      </c>
      <c r="H2960" s="1">
        <v>0</v>
      </c>
      <c r="I2960" s="1"/>
      <c r="J2960" s="1"/>
      <c r="K2960" s="1"/>
      <c r="L2960" s="1"/>
      <c r="M2960" s="1"/>
      <c r="N2960" s="1"/>
      <c r="O2960" s="1"/>
      <c r="Q2960"/>
    </row>
    <row r="2961" spans="1:17" ht="13.15" customHeight="1" x14ac:dyDescent="0.2">
      <c r="A2961" s="1" t="s">
        <v>7486</v>
      </c>
      <c r="B2961" s="1" t="s">
        <v>7482</v>
      </c>
      <c r="C2961" s="580">
        <v>5</v>
      </c>
      <c r="D2961" s="1">
        <v>16440</v>
      </c>
      <c r="E2961" t="s">
        <v>4624</v>
      </c>
      <c r="F2961">
        <v>0</v>
      </c>
      <c r="G2961" s="580">
        <v>0</v>
      </c>
      <c r="H2961" s="1">
        <v>0</v>
      </c>
      <c r="I2961" s="1"/>
      <c r="J2961" s="1"/>
      <c r="K2961" s="1"/>
      <c r="L2961" s="1"/>
      <c r="M2961" s="1"/>
      <c r="N2961" s="1"/>
      <c r="O2961" s="1"/>
      <c r="Q2961"/>
    </row>
    <row r="2962" spans="1:17" ht="13.15" customHeight="1" x14ac:dyDescent="0.2">
      <c r="A2962" s="1" t="s">
        <v>7487</v>
      </c>
      <c r="B2962" s="1" t="s">
        <v>7482</v>
      </c>
      <c r="C2962" s="580">
        <v>6</v>
      </c>
      <c r="D2962" s="1">
        <v>8900</v>
      </c>
      <c r="E2962" t="s">
        <v>4624</v>
      </c>
      <c r="F2962">
        <v>0</v>
      </c>
      <c r="G2962" s="580">
        <v>0</v>
      </c>
      <c r="H2962" s="1">
        <v>0</v>
      </c>
      <c r="I2962" s="1"/>
      <c r="J2962" s="1"/>
      <c r="K2962" s="1"/>
      <c r="L2962" s="1"/>
      <c r="M2962" s="1"/>
      <c r="N2962" s="1"/>
      <c r="O2962" s="1"/>
      <c r="Q2962"/>
    </row>
    <row r="2963" spans="1:17" ht="13.15" customHeight="1" x14ac:dyDescent="0.2">
      <c r="A2963" s="1" t="s">
        <v>7488</v>
      </c>
      <c r="B2963" s="1" t="s">
        <v>7482</v>
      </c>
      <c r="C2963" s="580">
        <v>7</v>
      </c>
      <c r="D2963" s="1">
        <v>9400</v>
      </c>
      <c r="E2963" t="s">
        <v>4624</v>
      </c>
      <c r="F2963">
        <v>0</v>
      </c>
      <c r="G2963" s="580">
        <v>0</v>
      </c>
      <c r="H2963" s="1">
        <v>0</v>
      </c>
      <c r="I2963" s="1"/>
      <c r="J2963" s="1"/>
      <c r="K2963" s="1"/>
      <c r="L2963" s="1"/>
      <c r="M2963" s="1"/>
      <c r="N2963" s="1"/>
      <c r="O2963" s="1"/>
      <c r="Q2963"/>
    </row>
    <row r="2964" spans="1:17" ht="13.15" customHeight="1" x14ac:dyDescent="0.2">
      <c r="A2964" s="1" t="s">
        <v>7489</v>
      </c>
      <c r="B2964" s="1" t="s">
        <v>7482</v>
      </c>
      <c r="C2964" s="580">
        <v>9</v>
      </c>
      <c r="D2964" s="1">
        <v>1160</v>
      </c>
      <c r="E2964" t="s">
        <v>4624</v>
      </c>
      <c r="F2964">
        <v>0</v>
      </c>
      <c r="G2964" s="580">
        <v>0</v>
      </c>
      <c r="H2964" s="1">
        <v>0</v>
      </c>
      <c r="I2964" s="1"/>
      <c r="J2964" s="1"/>
      <c r="K2964" s="1"/>
      <c r="L2964" s="1"/>
      <c r="M2964" s="1"/>
      <c r="N2964" s="1"/>
      <c r="O2964" s="1"/>
      <c r="Q2964"/>
    </row>
    <row r="2965" spans="1:17" ht="13.15" customHeight="1" x14ac:dyDescent="0.2">
      <c r="A2965" s="1" t="s">
        <v>7490</v>
      </c>
      <c r="B2965" s="1" t="s">
        <v>7482</v>
      </c>
      <c r="C2965" s="580">
        <v>10</v>
      </c>
      <c r="D2965" s="1">
        <v>1160</v>
      </c>
      <c r="E2965" t="s">
        <v>4624</v>
      </c>
      <c r="F2965">
        <v>0</v>
      </c>
      <c r="G2965" s="580">
        <v>0</v>
      </c>
      <c r="H2965" s="1">
        <v>0</v>
      </c>
      <c r="I2965" s="1"/>
      <c r="J2965" s="1"/>
      <c r="K2965" s="1"/>
      <c r="L2965" s="1"/>
      <c r="M2965" s="1"/>
      <c r="N2965" s="1"/>
      <c r="O2965" s="1"/>
      <c r="Q2965"/>
    </row>
    <row r="2966" spans="1:17" ht="13.15" customHeight="1" x14ac:dyDescent="0.2">
      <c r="A2966" s="1" t="s">
        <v>7491</v>
      </c>
      <c r="B2966" s="1" t="s">
        <v>7482</v>
      </c>
      <c r="C2966" s="580">
        <v>11</v>
      </c>
      <c r="D2966" s="1">
        <v>1512</v>
      </c>
      <c r="E2966" t="s">
        <v>4624</v>
      </c>
      <c r="F2966">
        <v>0</v>
      </c>
      <c r="G2966" s="580">
        <v>0</v>
      </c>
      <c r="H2966" s="1">
        <v>0</v>
      </c>
      <c r="I2966" s="1"/>
      <c r="J2966" s="1"/>
      <c r="K2966" s="1"/>
      <c r="L2966" s="1"/>
      <c r="M2966" s="1"/>
      <c r="N2966" s="1"/>
      <c r="O2966" s="1"/>
      <c r="Q2966"/>
    </row>
    <row r="2967" spans="1:17" ht="13.15" customHeight="1" x14ac:dyDescent="0.2">
      <c r="A2967" s="1" t="s">
        <v>7492</v>
      </c>
      <c r="B2967" s="1" t="s">
        <v>7482</v>
      </c>
      <c r="C2967" s="580">
        <v>12</v>
      </c>
      <c r="D2967" s="1">
        <v>2080</v>
      </c>
      <c r="E2967" t="s">
        <v>4624</v>
      </c>
      <c r="F2967">
        <v>0</v>
      </c>
      <c r="G2967" s="580">
        <v>0</v>
      </c>
      <c r="H2967" s="1">
        <v>0</v>
      </c>
      <c r="I2967" s="1"/>
      <c r="J2967" s="1"/>
      <c r="K2967" s="1"/>
      <c r="L2967" s="1"/>
      <c r="M2967" s="1"/>
      <c r="N2967" s="1"/>
      <c r="O2967" s="1"/>
      <c r="Q2967"/>
    </row>
    <row r="2968" spans="1:17" ht="13.15" customHeight="1" x14ac:dyDescent="0.2">
      <c r="A2968" s="1" t="s">
        <v>7493</v>
      </c>
      <c r="B2968" s="1" t="s">
        <v>7482</v>
      </c>
      <c r="C2968" s="580">
        <v>13</v>
      </c>
      <c r="D2968" s="1">
        <v>2856</v>
      </c>
      <c r="E2968" t="s">
        <v>4624</v>
      </c>
      <c r="F2968">
        <v>0</v>
      </c>
      <c r="G2968" s="580">
        <v>0</v>
      </c>
      <c r="H2968" s="1">
        <v>0</v>
      </c>
      <c r="I2968" s="1"/>
      <c r="J2968" s="1"/>
      <c r="K2968" s="1"/>
      <c r="L2968" s="1"/>
      <c r="M2968" s="1"/>
      <c r="N2968" s="1"/>
      <c r="O2968" s="1"/>
      <c r="Q2968"/>
    </row>
    <row r="2969" spans="1:17" ht="13.15" customHeight="1" x14ac:dyDescent="0.2">
      <c r="A2969" s="1" t="s">
        <v>7494</v>
      </c>
      <c r="B2969" s="1" t="s">
        <v>7482</v>
      </c>
      <c r="C2969" s="580">
        <v>14</v>
      </c>
      <c r="D2969" s="1">
        <v>2904</v>
      </c>
      <c r="E2969" t="s">
        <v>4624</v>
      </c>
      <c r="F2969">
        <v>0</v>
      </c>
      <c r="G2969" s="580">
        <v>0</v>
      </c>
      <c r="H2969" s="1">
        <v>0</v>
      </c>
      <c r="I2969" s="1"/>
      <c r="J2969" s="1"/>
      <c r="K2969" s="1"/>
      <c r="L2969" s="1"/>
      <c r="M2969" s="1"/>
      <c r="N2969" s="1"/>
      <c r="O2969" s="1"/>
      <c r="Q2969"/>
    </row>
    <row r="2970" spans="1:17" ht="13.15" customHeight="1" x14ac:dyDescent="0.2">
      <c r="A2970" s="1" t="s">
        <v>7495</v>
      </c>
      <c r="B2970" s="1" t="s">
        <v>7482</v>
      </c>
      <c r="C2970" s="580">
        <v>15</v>
      </c>
      <c r="D2970" s="1">
        <v>3128</v>
      </c>
      <c r="E2970" t="s">
        <v>4624</v>
      </c>
      <c r="F2970">
        <v>0</v>
      </c>
      <c r="G2970" s="580">
        <v>0</v>
      </c>
      <c r="H2970" s="1">
        <v>0</v>
      </c>
      <c r="I2970" s="1"/>
      <c r="J2970" s="1"/>
      <c r="K2970" s="1"/>
      <c r="L2970" s="1"/>
      <c r="M2970" s="1"/>
      <c r="N2970" s="1"/>
      <c r="O2970" s="1"/>
      <c r="Q2970"/>
    </row>
    <row r="2971" spans="1:17" ht="13.15" customHeight="1" x14ac:dyDescent="0.2">
      <c r="A2971" s="1" t="s">
        <v>7496</v>
      </c>
      <c r="B2971" s="1" t="s">
        <v>7482</v>
      </c>
      <c r="C2971" s="580">
        <v>16</v>
      </c>
      <c r="D2971" s="1">
        <v>3312</v>
      </c>
      <c r="E2971" t="s">
        <v>4624</v>
      </c>
      <c r="F2971">
        <v>0</v>
      </c>
      <c r="G2971" s="580">
        <v>0</v>
      </c>
      <c r="H2971" s="1">
        <v>0</v>
      </c>
      <c r="I2971" s="1"/>
      <c r="J2971" s="1"/>
      <c r="K2971" s="1"/>
      <c r="L2971" s="1"/>
      <c r="M2971" s="1"/>
      <c r="N2971" s="1"/>
      <c r="O2971" s="1"/>
      <c r="Q2971"/>
    </row>
    <row r="2972" spans="1:17" ht="13.15" customHeight="1" x14ac:dyDescent="0.2">
      <c r="A2972" s="1" t="s">
        <v>7497</v>
      </c>
      <c r="B2972" s="1" t="s">
        <v>7482</v>
      </c>
      <c r="C2972" s="580">
        <v>17</v>
      </c>
      <c r="D2972" s="1">
        <v>3856</v>
      </c>
      <c r="E2972" t="s">
        <v>4624</v>
      </c>
      <c r="F2972">
        <v>0</v>
      </c>
      <c r="G2972" s="580">
        <v>0</v>
      </c>
      <c r="H2972" s="1">
        <v>0</v>
      </c>
      <c r="I2972" s="1"/>
      <c r="J2972" s="1"/>
      <c r="K2972" s="1"/>
      <c r="L2972" s="1"/>
      <c r="M2972" s="1"/>
      <c r="N2972" s="1"/>
      <c r="O2972" s="1"/>
      <c r="Q2972"/>
    </row>
    <row r="2973" spans="1:17" ht="13.15" customHeight="1" x14ac:dyDescent="0.2">
      <c r="A2973" s="1" t="s">
        <v>7498</v>
      </c>
      <c r="B2973" s="1" t="s">
        <v>7482</v>
      </c>
      <c r="C2973" s="580">
        <v>18</v>
      </c>
      <c r="D2973" s="1">
        <v>4224</v>
      </c>
      <c r="E2973" t="s">
        <v>4624</v>
      </c>
      <c r="F2973">
        <v>0</v>
      </c>
      <c r="G2973" s="580">
        <v>0</v>
      </c>
      <c r="H2973" s="1">
        <v>0</v>
      </c>
      <c r="I2973" s="1"/>
      <c r="J2973" s="1"/>
      <c r="K2973" s="1"/>
      <c r="L2973" s="1"/>
      <c r="M2973" s="1"/>
      <c r="N2973" s="1"/>
      <c r="O2973" s="1"/>
      <c r="Q2973"/>
    </row>
    <row r="2974" spans="1:17" ht="13.15" customHeight="1" x14ac:dyDescent="0.2">
      <c r="A2974" s="1" t="s">
        <v>7499</v>
      </c>
      <c r="B2974" s="1" t="s">
        <v>7482</v>
      </c>
      <c r="C2974" s="580">
        <v>19</v>
      </c>
      <c r="D2974" s="1">
        <v>4588</v>
      </c>
      <c r="E2974" t="s">
        <v>4624</v>
      </c>
      <c r="F2974">
        <v>0</v>
      </c>
      <c r="G2974" s="580">
        <v>0</v>
      </c>
      <c r="H2974" s="1">
        <v>0</v>
      </c>
      <c r="I2974" s="1"/>
      <c r="J2974" s="1"/>
      <c r="K2974" s="1"/>
      <c r="L2974" s="1"/>
      <c r="M2974" s="1"/>
      <c r="N2974" s="1"/>
      <c r="O2974" s="1"/>
      <c r="Q2974"/>
    </row>
    <row r="2975" spans="1:17" ht="13.15" customHeight="1" x14ac:dyDescent="0.2">
      <c r="A2975" s="1" t="s">
        <v>7500</v>
      </c>
      <c r="B2975" s="1" t="s">
        <v>7482</v>
      </c>
      <c r="C2975" s="580">
        <v>20</v>
      </c>
      <c r="D2975" s="1">
        <v>4944</v>
      </c>
      <c r="E2975" t="s">
        <v>4624</v>
      </c>
      <c r="F2975">
        <v>0</v>
      </c>
      <c r="G2975" s="580">
        <v>0</v>
      </c>
      <c r="H2975" s="1">
        <v>0</v>
      </c>
      <c r="I2975" s="1"/>
      <c r="J2975" s="1"/>
      <c r="K2975" s="1"/>
      <c r="L2975" s="1"/>
      <c r="M2975" s="1"/>
      <c r="N2975" s="1"/>
      <c r="O2975" s="1"/>
      <c r="Q2975"/>
    </row>
    <row r="2976" spans="1:17" ht="13.15" customHeight="1" x14ac:dyDescent="0.2">
      <c r="A2976" s="1" t="s">
        <v>7501</v>
      </c>
      <c r="B2976" s="1" t="s">
        <v>7482</v>
      </c>
      <c r="C2976" s="580">
        <v>21</v>
      </c>
      <c r="D2976" s="1">
        <v>5376</v>
      </c>
      <c r="E2976" t="s">
        <v>4624</v>
      </c>
      <c r="F2976">
        <v>0</v>
      </c>
      <c r="G2976" s="580">
        <v>0</v>
      </c>
      <c r="H2976" s="1">
        <v>0</v>
      </c>
      <c r="I2976" s="1"/>
      <c r="J2976" s="1"/>
      <c r="K2976" s="1"/>
      <c r="L2976" s="1"/>
      <c r="M2976" s="1"/>
      <c r="N2976" s="1"/>
      <c r="O2976" s="1"/>
      <c r="Q2976"/>
    </row>
    <row r="2977" spans="1:17" ht="13.15" customHeight="1" x14ac:dyDescent="0.2">
      <c r="A2977" s="1" t="s">
        <v>7502</v>
      </c>
      <c r="B2977" s="1" t="s">
        <v>7482</v>
      </c>
      <c r="C2977" s="580">
        <v>22</v>
      </c>
      <c r="D2977" s="1">
        <v>7520</v>
      </c>
      <c r="E2977" t="s">
        <v>4624</v>
      </c>
      <c r="F2977">
        <v>0</v>
      </c>
      <c r="G2977" s="580">
        <v>0</v>
      </c>
      <c r="H2977" s="1">
        <v>0</v>
      </c>
      <c r="I2977" s="1"/>
      <c r="J2977" s="1"/>
      <c r="K2977" s="1"/>
      <c r="L2977" s="1"/>
      <c r="M2977" s="1"/>
      <c r="N2977" s="1"/>
      <c r="O2977" s="1"/>
      <c r="Q2977"/>
    </row>
    <row r="2978" spans="1:17" ht="13.15" customHeight="1" x14ac:dyDescent="0.2">
      <c r="A2978" s="1" t="s">
        <v>7503</v>
      </c>
      <c r="B2978" s="1" t="s">
        <v>7482</v>
      </c>
      <c r="C2978" s="580">
        <v>23</v>
      </c>
      <c r="D2978" s="1">
        <v>8432</v>
      </c>
      <c r="E2978" t="s">
        <v>4624</v>
      </c>
      <c r="F2978">
        <v>0</v>
      </c>
      <c r="G2978" s="580">
        <v>0</v>
      </c>
      <c r="H2978" s="1">
        <v>0</v>
      </c>
      <c r="I2978" s="1"/>
      <c r="J2978" s="1"/>
      <c r="K2978" s="1"/>
      <c r="L2978" s="1"/>
      <c r="M2978" s="1"/>
      <c r="N2978" s="1"/>
      <c r="O2978" s="1"/>
      <c r="Q2978"/>
    </row>
    <row r="2979" spans="1:17" ht="13.15" customHeight="1" x14ac:dyDescent="0.2">
      <c r="A2979" s="1" t="s">
        <v>7504</v>
      </c>
      <c r="B2979" s="1" t="s">
        <v>7482</v>
      </c>
      <c r="C2979" s="580">
        <v>24</v>
      </c>
      <c r="D2979" s="1">
        <v>9560</v>
      </c>
      <c r="E2979" t="s">
        <v>4624</v>
      </c>
      <c r="F2979">
        <v>0</v>
      </c>
      <c r="G2979" s="580">
        <v>0</v>
      </c>
      <c r="H2979" s="1">
        <v>0</v>
      </c>
      <c r="I2979" s="1"/>
      <c r="J2979" s="1"/>
      <c r="K2979" s="1"/>
      <c r="L2979" s="1"/>
      <c r="M2979" s="1"/>
      <c r="N2979" s="1"/>
      <c r="O2979" s="1"/>
      <c r="Q2979"/>
    </row>
    <row r="2980" spans="1:17" ht="13.15" customHeight="1" x14ac:dyDescent="0.2">
      <c r="A2980" s="1" t="s">
        <v>7505</v>
      </c>
      <c r="B2980" s="1" t="s">
        <v>7482</v>
      </c>
      <c r="C2980" s="580">
        <v>25</v>
      </c>
      <c r="D2980" s="1">
        <v>6672</v>
      </c>
      <c r="E2980" t="s">
        <v>4624</v>
      </c>
      <c r="F2980">
        <v>0</v>
      </c>
      <c r="G2980" s="580">
        <v>0</v>
      </c>
      <c r="H2980" s="1">
        <v>0</v>
      </c>
      <c r="I2980" s="1"/>
      <c r="J2980" s="1"/>
      <c r="K2980" s="1"/>
      <c r="L2980" s="1"/>
      <c r="M2980" s="1"/>
      <c r="N2980" s="1"/>
      <c r="O2980" s="1"/>
      <c r="Q2980"/>
    </row>
    <row r="2981" spans="1:17" ht="13.15" customHeight="1" x14ac:dyDescent="0.2">
      <c r="A2981" s="1" t="s">
        <v>7506</v>
      </c>
      <c r="B2981" s="1" t="s">
        <v>7482</v>
      </c>
      <c r="C2981" s="580">
        <v>26</v>
      </c>
      <c r="D2981" s="1">
        <v>7704</v>
      </c>
      <c r="E2981" t="s">
        <v>4624</v>
      </c>
      <c r="F2981">
        <v>0</v>
      </c>
      <c r="G2981" s="580">
        <v>0</v>
      </c>
      <c r="H2981" s="1">
        <v>0</v>
      </c>
      <c r="I2981" s="1"/>
      <c r="J2981" s="1"/>
      <c r="K2981" s="1"/>
      <c r="L2981" s="1"/>
      <c r="M2981" s="1"/>
      <c r="N2981" s="1"/>
      <c r="O2981" s="1"/>
      <c r="Q2981"/>
    </row>
    <row r="2982" spans="1:17" ht="13.15" customHeight="1" x14ac:dyDescent="0.2">
      <c r="A2982" s="1" t="s">
        <v>7507</v>
      </c>
      <c r="B2982" s="1" t="s">
        <v>7482</v>
      </c>
      <c r="C2982" s="580">
        <v>27</v>
      </c>
      <c r="D2982" s="1">
        <v>9399</v>
      </c>
      <c r="E2982" t="s">
        <v>4624</v>
      </c>
      <c r="F2982">
        <v>0</v>
      </c>
      <c r="G2982" s="580">
        <v>0</v>
      </c>
      <c r="H2982" s="1">
        <v>0</v>
      </c>
      <c r="I2982" s="1"/>
      <c r="J2982" s="1"/>
      <c r="K2982" s="1"/>
      <c r="L2982" s="1"/>
      <c r="M2982" s="1"/>
      <c r="N2982" s="1"/>
      <c r="O2982" s="1"/>
      <c r="Q2982"/>
    </row>
    <row r="2983" spans="1:17" ht="13.15" customHeight="1" x14ac:dyDescent="0.2">
      <c r="A2983" s="1" t="s">
        <v>7508</v>
      </c>
      <c r="B2983" s="1" t="s">
        <v>7482</v>
      </c>
      <c r="C2983" s="580">
        <v>28</v>
      </c>
      <c r="D2983" s="1">
        <v>11890</v>
      </c>
      <c r="E2983" t="s">
        <v>4624</v>
      </c>
      <c r="F2983">
        <v>0</v>
      </c>
      <c r="G2983" s="580">
        <v>0</v>
      </c>
      <c r="H2983" s="1">
        <v>0</v>
      </c>
      <c r="I2983" s="1"/>
      <c r="J2983" s="1"/>
      <c r="K2983" s="1"/>
      <c r="L2983" s="1"/>
      <c r="M2983" s="1"/>
      <c r="N2983" s="1"/>
      <c r="O2983" s="1"/>
      <c r="Q2983"/>
    </row>
    <row r="2984" spans="1:17" ht="13.15" customHeight="1" x14ac:dyDescent="0.2">
      <c r="A2984" s="1" t="s">
        <v>7509</v>
      </c>
      <c r="B2984" s="1" t="s">
        <v>7482</v>
      </c>
      <c r="C2984" s="580">
        <v>30</v>
      </c>
      <c r="D2984" s="1">
        <v>6773.76</v>
      </c>
      <c r="E2984" t="s">
        <v>4624</v>
      </c>
      <c r="F2984">
        <v>0</v>
      </c>
      <c r="G2984" s="580">
        <v>0</v>
      </c>
      <c r="H2984" s="1">
        <v>0</v>
      </c>
      <c r="I2984" s="1"/>
      <c r="J2984" s="1"/>
      <c r="K2984" s="1"/>
      <c r="L2984" s="1"/>
      <c r="M2984" s="1"/>
      <c r="N2984" s="1"/>
      <c r="O2984" s="1"/>
      <c r="Q2984"/>
    </row>
    <row r="2985" spans="1:17" ht="13.15" customHeight="1" x14ac:dyDescent="0.2">
      <c r="A2985" s="1" t="s">
        <v>7510</v>
      </c>
      <c r="B2985" s="1" t="s">
        <v>7482</v>
      </c>
      <c r="C2985" s="580">
        <v>31</v>
      </c>
      <c r="D2985" s="1">
        <v>7073.92</v>
      </c>
      <c r="E2985" t="s">
        <v>4624</v>
      </c>
      <c r="F2985">
        <v>0</v>
      </c>
      <c r="G2985" s="580">
        <v>0</v>
      </c>
      <c r="H2985" s="1">
        <v>0</v>
      </c>
      <c r="I2985" s="1"/>
      <c r="J2985" s="1"/>
      <c r="K2985" s="1"/>
      <c r="L2985" s="1"/>
      <c r="M2985" s="1"/>
      <c r="N2985" s="1"/>
      <c r="O2985" s="1"/>
      <c r="Q2985"/>
    </row>
    <row r="2986" spans="1:17" ht="13.15" customHeight="1" x14ac:dyDescent="0.2">
      <c r="A2986" s="1" t="s">
        <v>7511</v>
      </c>
      <c r="B2986" s="1" t="s">
        <v>7482</v>
      </c>
      <c r="C2986" s="580">
        <v>32</v>
      </c>
      <c r="D2986" s="1">
        <v>7852</v>
      </c>
      <c r="E2986" t="s">
        <v>4624</v>
      </c>
      <c r="F2986">
        <v>0</v>
      </c>
      <c r="G2986" s="580">
        <v>0</v>
      </c>
      <c r="H2986" s="1">
        <v>0</v>
      </c>
      <c r="I2986" s="1"/>
      <c r="J2986" s="1"/>
      <c r="K2986" s="1"/>
      <c r="L2986" s="1"/>
      <c r="M2986" s="1"/>
      <c r="N2986" s="1"/>
      <c r="O2986" s="1"/>
      <c r="Q2986"/>
    </row>
    <row r="2987" spans="1:17" ht="13.15" customHeight="1" x14ac:dyDescent="0.2">
      <c r="A2987" s="1" t="s">
        <v>7512</v>
      </c>
      <c r="B2987" s="1" t="s">
        <v>7482</v>
      </c>
      <c r="C2987" s="580">
        <v>34</v>
      </c>
      <c r="D2987" s="1">
        <v>6773.76</v>
      </c>
      <c r="E2987" t="s">
        <v>4624</v>
      </c>
      <c r="F2987">
        <v>0</v>
      </c>
      <c r="G2987" s="580">
        <v>0</v>
      </c>
      <c r="H2987" s="1">
        <v>0</v>
      </c>
      <c r="I2987" s="1"/>
      <c r="J2987" s="1"/>
      <c r="K2987" s="1"/>
      <c r="L2987" s="1"/>
      <c r="M2987" s="1"/>
      <c r="N2987" s="1"/>
      <c r="O2987" s="1"/>
      <c r="Q2987"/>
    </row>
    <row r="2988" spans="1:17" ht="13.15" customHeight="1" x14ac:dyDescent="0.2">
      <c r="A2988" s="1" t="s">
        <v>7513</v>
      </c>
      <c r="B2988" s="1" t="s">
        <v>7482</v>
      </c>
      <c r="C2988" s="580">
        <v>35</v>
      </c>
      <c r="D2988" s="1">
        <v>6773.76</v>
      </c>
      <c r="E2988" t="s">
        <v>4624</v>
      </c>
      <c r="F2988">
        <v>0</v>
      </c>
      <c r="G2988" s="580">
        <v>0</v>
      </c>
      <c r="H2988" s="1">
        <v>0</v>
      </c>
      <c r="I2988" s="1"/>
      <c r="J2988" s="1"/>
      <c r="K2988" s="1"/>
      <c r="L2988" s="1"/>
      <c r="M2988" s="1"/>
      <c r="N2988" s="1"/>
      <c r="O2988" s="1"/>
      <c r="Q2988"/>
    </row>
    <row r="2989" spans="1:17" ht="13.15" customHeight="1" x14ac:dyDescent="0.2">
      <c r="A2989" s="1" t="s">
        <v>7514</v>
      </c>
      <c r="B2989" s="1" t="s">
        <v>7482</v>
      </c>
      <c r="C2989" s="580">
        <v>36</v>
      </c>
      <c r="D2989" s="1">
        <v>6773.76</v>
      </c>
      <c r="E2989" t="s">
        <v>4624</v>
      </c>
      <c r="F2989">
        <v>0</v>
      </c>
      <c r="G2989" s="580">
        <v>0</v>
      </c>
      <c r="H2989" s="1">
        <v>0</v>
      </c>
      <c r="I2989" s="1"/>
      <c r="J2989" s="1"/>
      <c r="K2989" s="1"/>
      <c r="L2989" s="1"/>
      <c r="M2989" s="1"/>
      <c r="N2989" s="1"/>
      <c r="O2989" s="1"/>
      <c r="Q2989"/>
    </row>
    <row r="2990" spans="1:17" ht="13.15" customHeight="1" x14ac:dyDescent="0.2">
      <c r="A2990" s="1" t="s">
        <v>7515</v>
      </c>
      <c r="B2990" s="1" t="s">
        <v>7482</v>
      </c>
      <c r="C2990" s="580">
        <v>40</v>
      </c>
      <c r="D2990" s="1">
        <v>7852</v>
      </c>
      <c r="E2990" t="s">
        <v>4624</v>
      </c>
      <c r="F2990">
        <v>0</v>
      </c>
      <c r="G2990" s="580">
        <v>0</v>
      </c>
      <c r="H2990" s="1">
        <v>0</v>
      </c>
      <c r="I2990" s="1"/>
      <c r="J2990" s="1"/>
      <c r="K2990" s="1"/>
      <c r="L2990" s="1"/>
      <c r="M2990" s="1"/>
      <c r="N2990" s="1"/>
      <c r="O2990" s="1"/>
      <c r="Q2990"/>
    </row>
    <row r="2991" spans="1:17" ht="13.15" customHeight="1" x14ac:dyDescent="0.2">
      <c r="A2991" s="1" t="s">
        <v>7516</v>
      </c>
      <c r="B2991" s="1" t="s">
        <v>7482</v>
      </c>
      <c r="C2991" s="580">
        <v>41</v>
      </c>
      <c r="D2991" s="1">
        <v>7853.44</v>
      </c>
      <c r="E2991" t="s">
        <v>4624</v>
      </c>
      <c r="F2991">
        <v>0</v>
      </c>
      <c r="G2991" s="580">
        <v>0</v>
      </c>
      <c r="H2991" s="1">
        <v>0</v>
      </c>
      <c r="I2991" s="1"/>
      <c r="J2991" s="1"/>
      <c r="K2991" s="1"/>
      <c r="L2991" s="1"/>
      <c r="M2991" s="1"/>
      <c r="N2991" s="1"/>
      <c r="O2991" s="1"/>
      <c r="Q2991"/>
    </row>
    <row r="2992" spans="1:17" ht="13.15" customHeight="1" x14ac:dyDescent="0.2">
      <c r="A2992" s="1" t="s">
        <v>7517</v>
      </c>
      <c r="B2992" s="1" t="s">
        <v>7482</v>
      </c>
      <c r="C2992" s="580">
        <v>42</v>
      </c>
      <c r="D2992" s="1">
        <v>8232</v>
      </c>
      <c r="E2992" t="s">
        <v>4624</v>
      </c>
      <c r="F2992">
        <v>0</v>
      </c>
      <c r="G2992" s="580">
        <v>0</v>
      </c>
      <c r="H2992" s="1">
        <v>0</v>
      </c>
      <c r="I2992" s="1"/>
      <c r="J2992" s="1"/>
      <c r="K2992" s="1"/>
      <c r="L2992" s="1"/>
      <c r="M2992" s="1"/>
      <c r="N2992" s="1"/>
      <c r="O2992" s="1"/>
      <c r="Q2992"/>
    </row>
    <row r="2993" spans="1:17" ht="13.15" customHeight="1" x14ac:dyDescent="0.2">
      <c r="A2993" s="1" t="s">
        <v>7518</v>
      </c>
      <c r="B2993" s="1" t="s">
        <v>7482</v>
      </c>
      <c r="C2993" s="580">
        <v>50</v>
      </c>
      <c r="D2993" s="1">
        <v>8232</v>
      </c>
      <c r="E2993" t="s">
        <v>4624</v>
      </c>
      <c r="F2993">
        <v>0</v>
      </c>
      <c r="G2993" s="580">
        <v>0</v>
      </c>
      <c r="H2993" s="1">
        <v>0</v>
      </c>
      <c r="I2993" s="1"/>
      <c r="J2993" s="1"/>
      <c r="K2993" s="1"/>
      <c r="L2993" s="1"/>
      <c r="M2993" s="1"/>
      <c r="N2993" s="1"/>
      <c r="O2993" s="1"/>
      <c r="Q2993"/>
    </row>
    <row r="2994" spans="1:17" ht="13.15" customHeight="1" x14ac:dyDescent="0.2">
      <c r="A2994" s="1" t="s">
        <v>7519</v>
      </c>
      <c r="B2994" s="1" t="s">
        <v>7482</v>
      </c>
      <c r="C2994" s="580">
        <v>51</v>
      </c>
      <c r="D2994" s="1">
        <v>8400</v>
      </c>
      <c r="E2994" t="s">
        <v>4624</v>
      </c>
      <c r="F2994">
        <v>0</v>
      </c>
      <c r="G2994" s="580">
        <v>0</v>
      </c>
      <c r="H2994" s="1">
        <v>0</v>
      </c>
      <c r="I2994" s="1"/>
      <c r="J2994" s="1"/>
      <c r="K2994" s="1"/>
      <c r="L2994" s="1"/>
      <c r="M2994" s="1"/>
      <c r="N2994" s="1"/>
      <c r="O2994" s="1"/>
      <c r="Q2994"/>
    </row>
    <row r="2995" spans="1:17" ht="13.15" customHeight="1" x14ac:dyDescent="0.2">
      <c r="A2995" s="1" t="s">
        <v>7520</v>
      </c>
      <c r="B2995" s="1" t="s">
        <v>7482</v>
      </c>
      <c r="C2995" s="580">
        <v>52</v>
      </c>
      <c r="D2995" s="1">
        <v>8850</v>
      </c>
      <c r="E2995" t="s">
        <v>4624</v>
      </c>
      <c r="F2995">
        <v>0</v>
      </c>
      <c r="G2995" s="580">
        <v>0</v>
      </c>
      <c r="H2995" s="1">
        <v>0</v>
      </c>
      <c r="I2995" s="1"/>
      <c r="J2995" s="1"/>
      <c r="K2995" s="1"/>
      <c r="L2995" s="1"/>
      <c r="M2995" s="1"/>
      <c r="N2995" s="1"/>
      <c r="O2995" s="1"/>
      <c r="Q2995"/>
    </row>
    <row r="2996" spans="1:17" ht="13.15" customHeight="1" x14ac:dyDescent="0.2">
      <c r="A2996" s="1" t="s">
        <v>7521</v>
      </c>
      <c r="B2996" s="1" t="s">
        <v>7482</v>
      </c>
      <c r="C2996" s="580">
        <v>53</v>
      </c>
      <c r="D2996" s="1">
        <v>9470</v>
      </c>
      <c r="E2996" t="s">
        <v>4624</v>
      </c>
      <c r="F2996">
        <v>0</v>
      </c>
      <c r="G2996" s="580">
        <v>0</v>
      </c>
      <c r="H2996" s="1">
        <v>0</v>
      </c>
      <c r="I2996" s="1"/>
      <c r="J2996" s="1"/>
      <c r="K2996" s="1"/>
      <c r="L2996" s="1"/>
      <c r="M2996" s="1"/>
      <c r="N2996" s="1"/>
      <c r="O2996" s="1"/>
      <c r="Q2996"/>
    </row>
    <row r="2997" spans="1:17" ht="13.15" customHeight="1" x14ac:dyDescent="0.2">
      <c r="A2997" s="1" t="s">
        <v>7522</v>
      </c>
      <c r="B2997" s="1" t="s">
        <v>7482</v>
      </c>
      <c r="C2997" s="580">
        <v>56</v>
      </c>
      <c r="D2997" s="1">
        <v>8600</v>
      </c>
      <c r="E2997" t="s">
        <v>4624</v>
      </c>
      <c r="F2997">
        <v>0</v>
      </c>
      <c r="G2997" s="580">
        <v>0</v>
      </c>
      <c r="H2997" s="1">
        <v>0</v>
      </c>
      <c r="I2997" s="1"/>
      <c r="J2997" s="1"/>
      <c r="K2997" s="1"/>
      <c r="L2997" s="1"/>
      <c r="M2997" s="1"/>
      <c r="N2997" s="1"/>
      <c r="O2997" s="1"/>
      <c r="Q2997"/>
    </row>
    <row r="2998" spans="1:17" ht="13.15" customHeight="1" x14ac:dyDescent="0.2">
      <c r="A2998" s="1" t="s">
        <v>7523</v>
      </c>
      <c r="B2998" s="1" t="s">
        <v>7482</v>
      </c>
      <c r="C2998" s="580">
        <v>57</v>
      </c>
      <c r="D2998" s="1">
        <v>9150</v>
      </c>
      <c r="E2998" t="s">
        <v>4624</v>
      </c>
      <c r="F2998">
        <v>0</v>
      </c>
      <c r="G2998" s="580">
        <v>0</v>
      </c>
      <c r="H2998" s="1">
        <v>0</v>
      </c>
      <c r="I2998" s="1"/>
      <c r="J2998" s="1"/>
      <c r="K2998" s="1"/>
      <c r="L2998" s="1"/>
      <c r="M2998" s="1"/>
      <c r="N2998" s="1"/>
      <c r="O2998" s="1"/>
      <c r="Q2998"/>
    </row>
    <row r="2999" spans="1:17" ht="13.15" customHeight="1" x14ac:dyDescent="0.2">
      <c r="A2999" s="1" t="s">
        <v>7524</v>
      </c>
      <c r="B2999" s="1" t="s">
        <v>7482</v>
      </c>
      <c r="C2999" s="580">
        <v>58</v>
      </c>
      <c r="D2999" s="1">
        <v>9630</v>
      </c>
      <c r="E2999" t="s">
        <v>4624</v>
      </c>
      <c r="F2999">
        <v>0</v>
      </c>
      <c r="G2999" s="580">
        <v>0</v>
      </c>
      <c r="H2999" s="1">
        <v>0</v>
      </c>
      <c r="I2999" s="1"/>
      <c r="J2999" s="1"/>
      <c r="K2999" s="1"/>
      <c r="L2999" s="1"/>
      <c r="M2999" s="1"/>
      <c r="N2999" s="1"/>
      <c r="O2999" s="1"/>
      <c r="Q2999"/>
    </row>
    <row r="3000" spans="1:17" ht="13.15" customHeight="1" x14ac:dyDescent="0.2">
      <c r="A3000" s="1" t="s">
        <v>7525</v>
      </c>
      <c r="B3000" s="1" t="s">
        <v>7482</v>
      </c>
      <c r="C3000" s="580">
        <v>59</v>
      </c>
      <c r="D3000" s="1">
        <v>10320</v>
      </c>
      <c r="E3000" t="s">
        <v>4624</v>
      </c>
      <c r="F3000">
        <v>0</v>
      </c>
      <c r="G3000" s="580">
        <v>0</v>
      </c>
      <c r="H3000" s="1">
        <v>0</v>
      </c>
      <c r="I3000" s="1"/>
      <c r="J3000" s="1"/>
      <c r="K3000" s="1"/>
      <c r="L3000" s="1"/>
      <c r="M3000" s="1"/>
      <c r="N3000" s="1"/>
      <c r="O3000" s="1"/>
      <c r="Q3000"/>
    </row>
    <row r="3001" spans="1:17" ht="13.15" customHeight="1" x14ac:dyDescent="0.2">
      <c r="A3001" s="1" t="s">
        <v>7526</v>
      </c>
      <c r="B3001" s="1" t="s">
        <v>7482</v>
      </c>
      <c r="C3001" s="580">
        <v>61</v>
      </c>
      <c r="D3001" s="1">
        <v>9670</v>
      </c>
      <c r="E3001" t="s">
        <v>4624</v>
      </c>
      <c r="F3001">
        <v>0</v>
      </c>
      <c r="G3001" s="580">
        <v>0</v>
      </c>
      <c r="H3001" s="1">
        <v>0</v>
      </c>
      <c r="I3001" s="1"/>
      <c r="J3001" s="1"/>
      <c r="K3001" s="1"/>
      <c r="L3001" s="1"/>
      <c r="M3001" s="1"/>
      <c r="N3001" s="1"/>
      <c r="O3001" s="1"/>
      <c r="Q3001"/>
    </row>
    <row r="3002" spans="1:17" ht="13.15" customHeight="1" x14ac:dyDescent="0.2">
      <c r="A3002" s="1" t="s">
        <v>7527</v>
      </c>
      <c r="B3002" s="1" t="s">
        <v>7482</v>
      </c>
      <c r="C3002" s="580">
        <v>62</v>
      </c>
      <c r="D3002" s="1">
        <v>10250</v>
      </c>
      <c r="E3002" t="s">
        <v>4624</v>
      </c>
      <c r="F3002">
        <v>0</v>
      </c>
      <c r="G3002" s="580">
        <v>0</v>
      </c>
      <c r="H3002" s="1">
        <v>0</v>
      </c>
      <c r="I3002" s="1"/>
      <c r="J3002" s="1"/>
      <c r="K3002" s="1"/>
      <c r="L3002" s="1"/>
      <c r="M3002" s="1"/>
      <c r="N3002" s="1"/>
      <c r="O3002" s="1"/>
      <c r="Q3002"/>
    </row>
    <row r="3003" spans="1:17" ht="13.15" customHeight="1" x14ac:dyDescent="0.2">
      <c r="A3003" s="1" t="s">
        <v>7528</v>
      </c>
      <c r="B3003" s="1" t="s">
        <v>7482</v>
      </c>
      <c r="C3003" s="580">
        <v>63</v>
      </c>
      <c r="D3003" s="1">
        <v>10870</v>
      </c>
      <c r="E3003" t="s">
        <v>4624</v>
      </c>
      <c r="F3003">
        <v>0</v>
      </c>
      <c r="G3003" s="580">
        <v>0</v>
      </c>
      <c r="H3003" s="1">
        <v>0</v>
      </c>
      <c r="I3003" s="1"/>
      <c r="J3003" s="1"/>
      <c r="K3003" s="1"/>
      <c r="L3003" s="1"/>
      <c r="M3003" s="1"/>
      <c r="N3003" s="1"/>
      <c r="O3003" s="1"/>
      <c r="Q3003"/>
    </row>
    <row r="3004" spans="1:17" ht="13.15" customHeight="1" x14ac:dyDescent="0.2">
      <c r="A3004" s="1" t="s">
        <v>7529</v>
      </c>
      <c r="B3004" s="1" t="s">
        <v>7482</v>
      </c>
      <c r="C3004" s="580">
        <v>64</v>
      </c>
      <c r="D3004" s="1">
        <v>11980</v>
      </c>
      <c r="E3004" t="s">
        <v>4624</v>
      </c>
      <c r="F3004">
        <v>0</v>
      </c>
      <c r="G3004" s="580">
        <v>0</v>
      </c>
      <c r="H3004" s="1">
        <v>0</v>
      </c>
      <c r="I3004" s="1"/>
      <c r="J3004" s="1"/>
      <c r="K3004" s="1"/>
      <c r="L3004" s="1"/>
      <c r="M3004" s="1"/>
      <c r="N3004" s="1"/>
      <c r="O3004" s="1"/>
      <c r="Q3004"/>
    </row>
    <row r="3005" spans="1:17" ht="13.15" customHeight="1" x14ac:dyDescent="0.2">
      <c r="A3005" s="1" t="s">
        <v>7530</v>
      </c>
      <c r="B3005" s="1" t="s">
        <v>7482</v>
      </c>
      <c r="C3005" s="580">
        <v>65</v>
      </c>
      <c r="D3005" s="1">
        <v>12320</v>
      </c>
      <c r="E3005" t="s">
        <v>4624</v>
      </c>
      <c r="F3005">
        <v>0</v>
      </c>
      <c r="G3005" s="580">
        <v>0</v>
      </c>
      <c r="H3005" s="1">
        <v>0</v>
      </c>
      <c r="I3005" s="1"/>
      <c r="J3005" s="1"/>
      <c r="K3005" s="1"/>
      <c r="L3005" s="1"/>
      <c r="M3005" s="1"/>
      <c r="N3005" s="1"/>
      <c r="O3005" s="1"/>
      <c r="Q3005"/>
    </row>
    <row r="3006" spans="1:17" ht="13.15" customHeight="1" x14ac:dyDescent="0.2">
      <c r="A3006" s="1" t="s">
        <v>7531</v>
      </c>
      <c r="B3006" s="1" t="s">
        <v>7482</v>
      </c>
      <c r="C3006" s="580">
        <v>66</v>
      </c>
      <c r="D3006" s="1">
        <v>12320</v>
      </c>
      <c r="E3006" t="s">
        <v>4624</v>
      </c>
      <c r="F3006">
        <v>0</v>
      </c>
      <c r="G3006" s="580">
        <v>0</v>
      </c>
      <c r="H3006" s="1">
        <v>0</v>
      </c>
      <c r="I3006" s="1"/>
      <c r="J3006" s="1"/>
      <c r="K3006" s="1"/>
      <c r="L3006" s="1"/>
      <c r="M3006" s="1"/>
      <c r="N3006" s="1"/>
      <c r="O3006" s="1"/>
      <c r="Q3006"/>
    </row>
    <row r="3007" spans="1:17" ht="13.15" customHeight="1" x14ac:dyDescent="0.2">
      <c r="A3007" s="1" t="s">
        <v>7532</v>
      </c>
      <c r="B3007" s="1" t="s">
        <v>7482</v>
      </c>
      <c r="C3007" s="580">
        <v>67</v>
      </c>
      <c r="D3007" s="1">
        <v>12320</v>
      </c>
      <c r="E3007" t="s">
        <v>4624</v>
      </c>
      <c r="F3007">
        <v>0</v>
      </c>
      <c r="G3007" s="580">
        <v>0</v>
      </c>
      <c r="H3007" s="1">
        <v>0</v>
      </c>
      <c r="I3007" s="1"/>
      <c r="J3007" s="1"/>
      <c r="K3007" s="1"/>
      <c r="L3007" s="1"/>
      <c r="M3007" s="1"/>
      <c r="N3007" s="1"/>
      <c r="O3007" s="1"/>
      <c r="Q3007"/>
    </row>
    <row r="3008" spans="1:17" ht="13.15" customHeight="1" x14ac:dyDescent="0.2">
      <c r="A3008" s="1" t="s">
        <v>7533</v>
      </c>
      <c r="B3008" s="1" t="s">
        <v>7482</v>
      </c>
      <c r="C3008" s="580">
        <v>68</v>
      </c>
      <c r="D3008" s="1">
        <v>12978</v>
      </c>
      <c r="E3008" t="s">
        <v>4624</v>
      </c>
      <c r="F3008">
        <v>0</v>
      </c>
      <c r="G3008" s="580">
        <v>0</v>
      </c>
      <c r="H3008" s="1">
        <v>0</v>
      </c>
      <c r="I3008" s="1"/>
      <c r="J3008" s="1"/>
      <c r="K3008" s="1"/>
      <c r="L3008" s="1"/>
      <c r="M3008" s="1"/>
      <c r="N3008" s="1"/>
      <c r="O3008" s="1"/>
      <c r="Q3008"/>
    </row>
    <row r="3009" spans="1:17" ht="13.15" customHeight="1" x14ac:dyDescent="0.2">
      <c r="A3009" s="1" t="s">
        <v>7534</v>
      </c>
      <c r="B3009" s="1" t="s">
        <v>7482</v>
      </c>
      <c r="C3009" s="580">
        <v>69</v>
      </c>
      <c r="D3009" s="1">
        <v>13560</v>
      </c>
      <c r="E3009" t="s">
        <v>4624</v>
      </c>
      <c r="F3009">
        <v>0</v>
      </c>
      <c r="G3009" s="580">
        <v>0</v>
      </c>
      <c r="H3009" s="1">
        <v>0</v>
      </c>
      <c r="I3009" s="1"/>
      <c r="J3009" s="1"/>
      <c r="K3009" s="1"/>
      <c r="L3009" s="1"/>
      <c r="M3009" s="1"/>
      <c r="N3009" s="1"/>
      <c r="O3009" s="1"/>
      <c r="Q3009"/>
    </row>
    <row r="3010" spans="1:17" ht="13.15" customHeight="1" x14ac:dyDescent="0.2">
      <c r="A3010" s="1" t="s">
        <v>7535</v>
      </c>
      <c r="B3010" s="1" t="s">
        <v>7482</v>
      </c>
      <c r="C3010" s="580">
        <v>70</v>
      </c>
      <c r="D3010" s="1">
        <v>13900</v>
      </c>
      <c r="E3010" t="s">
        <v>4624</v>
      </c>
      <c r="F3010">
        <v>0</v>
      </c>
      <c r="G3010" s="580">
        <v>0</v>
      </c>
      <c r="H3010" s="1">
        <v>0</v>
      </c>
      <c r="I3010" s="1"/>
      <c r="J3010" s="1"/>
      <c r="K3010" s="1"/>
      <c r="L3010" s="1"/>
      <c r="M3010" s="1"/>
      <c r="N3010" s="1"/>
      <c r="O3010" s="1"/>
      <c r="Q3010"/>
    </row>
    <row r="3011" spans="1:17" ht="13.15" customHeight="1" x14ac:dyDescent="0.2">
      <c r="A3011" s="1" t="s">
        <v>7536</v>
      </c>
      <c r="B3011" s="1" t="s">
        <v>7482</v>
      </c>
      <c r="C3011" s="580">
        <v>71</v>
      </c>
      <c r="D3011" s="1">
        <v>14860</v>
      </c>
      <c r="E3011" t="s">
        <v>4624</v>
      </c>
      <c r="F3011">
        <v>0</v>
      </c>
      <c r="G3011" s="580">
        <v>0</v>
      </c>
      <c r="H3011" s="1">
        <v>0</v>
      </c>
      <c r="I3011" s="1"/>
      <c r="J3011" s="1"/>
      <c r="K3011" s="1"/>
      <c r="L3011" s="1"/>
      <c r="M3011" s="1"/>
      <c r="N3011" s="1"/>
      <c r="O3011" s="1"/>
      <c r="Q3011"/>
    </row>
    <row r="3012" spans="1:17" ht="13.15" customHeight="1" x14ac:dyDescent="0.2">
      <c r="A3012" s="1" t="s">
        <v>7537</v>
      </c>
      <c r="B3012" s="1" t="s">
        <v>7482</v>
      </c>
      <c r="C3012" s="580">
        <v>72</v>
      </c>
      <c r="D3012" s="1">
        <v>15900</v>
      </c>
      <c r="E3012" t="s">
        <v>4624</v>
      </c>
      <c r="F3012">
        <v>0</v>
      </c>
      <c r="G3012" s="580">
        <v>0</v>
      </c>
      <c r="H3012" s="1">
        <v>0</v>
      </c>
      <c r="I3012" s="1"/>
      <c r="J3012" s="1"/>
      <c r="K3012" s="1"/>
      <c r="L3012" s="1"/>
      <c r="M3012" s="1"/>
      <c r="N3012" s="1"/>
      <c r="O3012" s="1"/>
      <c r="Q3012"/>
    </row>
    <row r="3013" spans="1:17" ht="13.15" customHeight="1" x14ac:dyDescent="0.2">
      <c r="A3013" s="1" t="s">
        <v>7538</v>
      </c>
      <c r="B3013" s="1" t="s">
        <v>7482</v>
      </c>
      <c r="C3013" s="580">
        <v>78</v>
      </c>
      <c r="D3013" s="1">
        <v>6672</v>
      </c>
      <c r="E3013" t="s">
        <v>4624</v>
      </c>
      <c r="F3013">
        <v>0</v>
      </c>
      <c r="G3013" s="580">
        <v>0</v>
      </c>
      <c r="H3013" s="1">
        <v>0</v>
      </c>
      <c r="I3013" s="1"/>
      <c r="J3013" s="1"/>
      <c r="K3013" s="1"/>
      <c r="L3013" s="1"/>
      <c r="M3013" s="1"/>
      <c r="N3013" s="1"/>
      <c r="O3013" s="1"/>
      <c r="Q3013"/>
    </row>
    <row r="3014" spans="1:17" ht="13.15" customHeight="1" x14ac:dyDescent="0.2">
      <c r="A3014" s="1" t="s">
        <v>7539</v>
      </c>
      <c r="B3014" s="1" t="s">
        <v>7482</v>
      </c>
      <c r="C3014" s="580">
        <v>79</v>
      </c>
      <c r="D3014" s="1">
        <v>7345</v>
      </c>
      <c r="E3014" t="s">
        <v>4624</v>
      </c>
      <c r="F3014">
        <v>0</v>
      </c>
      <c r="G3014" s="580">
        <v>0</v>
      </c>
      <c r="H3014" s="1">
        <v>0</v>
      </c>
      <c r="I3014" s="1"/>
      <c r="J3014" s="1"/>
      <c r="K3014" s="1"/>
      <c r="L3014" s="1"/>
      <c r="M3014" s="1"/>
      <c r="N3014" s="1"/>
      <c r="O3014" s="1"/>
      <c r="Q3014"/>
    </row>
    <row r="3015" spans="1:17" ht="13.15" customHeight="1" x14ac:dyDescent="0.2">
      <c r="A3015" s="1" t="s">
        <v>7540</v>
      </c>
      <c r="B3015" s="1" t="s">
        <v>7482</v>
      </c>
      <c r="C3015" s="580">
        <v>80</v>
      </c>
      <c r="D3015" s="1">
        <v>8960</v>
      </c>
      <c r="E3015" t="s">
        <v>4624</v>
      </c>
      <c r="F3015">
        <v>0</v>
      </c>
      <c r="G3015" s="580">
        <v>0</v>
      </c>
      <c r="H3015" s="1">
        <v>0</v>
      </c>
      <c r="I3015" s="1"/>
      <c r="J3015" s="1"/>
      <c r="K3015" s="1"/>
      <c r="L3015" s="1"/>
      <c r="M3015" s="1"/>
      <c r="N3015" s="1"/>
      <c r="O3015" s="1"/>
      <c r="Q3015"/>
    </row>
    <row r="3016" spans="1:17" ht="13.15" customHeight="1" x14ac:dyDescent="0.2">
      <c r="A3016" s="1" t="s">
        <v>7541</v>
      </c>
      <c r="B3016" s="1" t="s">
        <v>7482</v>
      </c>
      <c r="C3016" s="580">
        <v>81</v>
      </c>
      <c r="D3016" s="1">
        <v>9985</v>
      </c>
      <c r="E3016" t="s">
        <v>4624</v>
      </c>
      <c r="F3016">
        <v>0</v>
      </c>
      <c r="G3016" s="580">
        <v>0</v>
      </c>
      <c r="H3016" s="1">
        <v>0</v>
      </c>
      <c r="I3016" s="1"/>
      <c r="J3016" s="1"/>
      <c r="K3016" s="1"/>
      <c r="L3016" s="1"/>
      <c r="M3016" s="1"/>
      <c r="N3016" s="1"/>
      <c r="O3016" s="1"/>
      <c r="Q3016"/>
    </row>
    <row r="3017" spans="1:17" ht="13.15" customHeight="1" x14ac:dyDescent="0.2">
      <c r="A3017" s="1" t="s">
        <v>7542</v>
      </c>
      <c r="B3017" s="1" t="s">
        <v>7482</v>
      </c>
      <c r="C3017" s="580">
        <v>82</v>
      </c>
      <c r="D3017" s="1">
        <v>8900</v>
      </c>
      <c r="E3017" t="s">
        <v>4624</v>
      </c>
      <c r="F3017">
        <v>0</v>
      </c>
      <c r="G3017" s="580">
        <v>0</v>
      </c>
      <c r="H3017" s="1">
        <v>0</v>
      </c>
      <c r="I3017" s="1"/>
      <c r="J3017" s="1"/>
      <c r="K3017" s="1"/>
      <c r="L3017" s="1"/>
      <c r="M3017" s="1"/>
      <c r="N3017" s="1"/>
      <c r="O3017" s="1"/>
      <c r="Q3017"/>
    </row>
    <row r="3018" spans="1:17" ht="13.15" customHeight="1" x14ac:dyDescent="0.2">
      <c r="A3018" s="1" t="s">
        <v>7543</v>
      </c>
      <c r="B3018" s="1" t="s">
        <v>7482</v>
      </c>
      <c r="C3018" s="580">
        <v>83</v>
      </c>
      <c r="D3018" s="1">
        <v>9400</v>
      </c>
      <c r="E3018" t="s">
        <v>4624</v>
      </c>
      <c r="F3018">
        <v>0</v>
      </c>
      <c r="G3018" s="580">
        <v>0</v>
      </c>
      <c r="H3018" s="1">
        <v>0</v>
      </c>
      <c r="I3018" s="1"/>
      <c r="J3018" s="1"/>
      <c r="K3018" s="1"/>
      <c r="L3018" s="1"/>
      <c r="M3018" s="1"/>
      <c r="N3018" s="1"/>
      <c r="O3018" s="1"/>
      <c r="Q3018"/>
    </row>
    <row r="3019" spans="1:17" ht="13.15" customHeight="1" x14ac:dyDescent="0.2">
      <c r="A3019" s="1" t="s">
        <v>7544</v>
      </c>
      <c r="B3019" s="1" t="s">
        <v>7482</v>
      </c>
      <c r="C3019" s="580" t="s">
        <v>7132</v>
      </c>
      <c r="D3019" s="1">
        <v>16000</v>
      </c>
      <c r="E3019" t="s">
        <v>4624</v>
      </c>
      <c r="F3019">
        <v>0</v>
      </c>
      <c r="G3019" s="580">
        <v>0</v>
      </c>
      <c r="H3019" s="1">
        <v>0</v>
      </c>
      <c r="I3019" s="1"/>
      <c r="J3019" s="1"/>
      <c r="K3019" s="1"/>
      <c r="L3019" s="1"/>
      <c r="M3019" s="1"/>
      <c r="N3019" s="1"/>
      <c r="O3019" s="1"/>
      <c r="Q3019"/>
    </row>
    <row r="3020" spans="1:17" ht="13.15" customHeight="1" x14ac:dyDescent="0.2">
      <c r="A3020" s="1" t="s">
        <v>7545</v>
      </c>
      <c r="B3020" s="1" t="s">
        <v>7546</v>
      </c>
      <c r="C3020" s="580">
        <v>85</v>
      </c>
      <c r="D3020" s="1">
        <v>6772</v>
      </c>
      <c r="E3020" t="s">
        <v>4624</v>
      </c>
      <c r="F3020">
        <v>0</v>
      </c>
      <c r="G3020" s="580">
        <v>0</v>
      </c>
      <c r="H3020" s="1">
        <v>0</v>
      </c>
      <c r="I3020" s="1"/>
      <c r="J3020" s="1"/>
      <c r="K3020" s="1"/>
      <c r="L3020" s="1"/>
      <c r="M3020" s="1"/>
      <c r="N3020" s="1"/>
      <c r="O3020" s="1"/>
      <c r="Q3020"/>
    </row>
    <row r="3021" spans="1:17" ht="13.15" customHeight="1" x14ac:dyDescent="0.2">
      <c r="A3021" s="1" t="s">
        <v>7547</v>
      </c>
      <c r="B3021" s="1" t="s">
        <v>7546</v>
      </c>
      <c r="C3021" s="580">
        <v>86</v>
      </c>
      <c r="D3021" s="1">
        <v>6772</v>
      </c>
      <c r="E3021" t="s">
        <v>4624</v>
      </c>
      <c r="F3021">
        <v>0</v>
      </c>
      <c r="G3021" s="580">
        <v>0</v>
      </c>
      <c r="H3021" s="1">
        <v>0</v>
      </c>
      <c r="I3021" s="1"/>
      <c r="J3021" s="1"/>
      <c r="K3021" s="1"/>
      <c r="L3021" s="1"/>
      <c r="M3021" s="1"/>
      <c r="N3021" s="1"/>
      <c r="O3021" s="1"/>
      <c r="Q3021"/>
    </row>
    <row r="3022" spans="1:17" ht="13.15" customHeight="1" x14ac:dyDescent="0.2">
      <c r="A3022" s="1" t="s">
        <v>7548</v>
      </c>
      <c r="B3022" s="1" t="s">
        <v>7546</v>
      </c>
      <c r="C3022" s="580">
        <v>87</v>
      </c>
      <c r="D3022" s="1">
        <v>6772</v>
      </c>
      <c r="E3022" t="s">
        <v>4624</v>
      </c>
      <c r="F3022">
        <v>0</v>
      </c>
      <c r="G3022" s="580">
        <v>0</v>
      </c>
      <c r="H3022" s="1">
        <v>0</v>
      </c>
      <c r="I3022" s="1"/>
      <c r="J3022" s="1"/>
      <c r="K3022" s="1"/>
      <c r="L3022" s="1"/>
      <c r="M3022" s="1"/>
      <c r="N3022" s="1"/>
      <c r="O3022" s="1"/>
      <c r="Q3022"/>
    </row>
    <row r="3023" spans="1:17" ht="13.15" customHeight="1" x14ac:dyDescent="0.2">
      <c r="A3023" s="1" t="s">
        <v>7549</v>
      </c>
      <c r="B3023" s="1" t="s">
        <v>7546</v>
      </c>
      <c r="C3023" s="580">
        <v>88</v>
      </c>
      <c r="D3023" s="1">
        <v>6772</v>
      </c>
      <c r="E3023" t="s">
        <v>4624</v>
      </c>
      <c r="F3023">
        <v>0</v>
      </c>
      <c r="G3023" s="580">
        <v>0</v>
      </c>
      <c r="H3023" s="1">
        <v>0</v>
      </c>
      <c r="I3023" s="1"/>
      <c r="J3023" s="1"/>
      <c r="K3023" s="1"/>
      <c r="L3023" s="1"/>
      <c r="M3023" s="1"/>
      <c r="N3023" s="1"/>
      <c r="O3023" s="1"/>
      <c r="Q3023"/>
    </row>
    <row r="3024" spans="1:17" ht="13.15" customHeight="1" x14ac:dyDescent="0.2">
      <c r="A3024" s="1" t="s">
        <v>7550</v>
      </c>
      <c r="B3024" s="1" t="s">
        <v>7546</v>
      </c>
      <c r="C3024" s="580">
        <v>89</v>
      </c>
      <c r="D3024" s="1">
        <v>6772</v>
      </c>
      <c r="E3024" t="s">
        <v>4624</v>
      </c>
      <c r="F3024">
        <v>0</v>
      </c>
      <c r="G3024" s="580">
        <v>0</v>
      </c>
      <c r="H3024" s="1">
        <v>0</v>
      </c>
      <c r="I3024" s="1"/>
      <c r="J3024" s="1"/>
      <c r="K3024" s="1"/>
      <c r="L3024" s="1"/>
      <c r="M3024" s="1"/>
      <c r="N3024" s="1"/>
      <c r="O3024" s="1"/>
      <c r="Q3024"/>
    </row>
    <row r="3025" spans="1:17" ht="13.15" customHeight="1" x14ac:dyDescent="0.2">
      <c r="A3025" s="1" t="s">
        <v>7551</v>
      </c>
      <c r="B3025" s="1" t="s">
        <v>7546</v>
      </c>
      <c r="C3025" s="580">
        <v>90</v>
      </c>
      <c r="D3025" s="1">
        <v>7200</v>
      </c>
      <c r="E3025" t="s">
        <v>4624</v>
      </c>
      <c r="F3025">
        <v>0</v>
      </c>
      <c r="G3025" s="580">
        <v>0</v>
      </c>
      <c r="H3025" s="1">
        <v>0</v>
      </c>
      <c r="I3025" s="1"/>
      <c r="J3025" s="1"/>
      <c r="K3025" s="1"/>
      <c r="L3025" s="1"/>
      <c r="M3025" s="1"/>
      <c r="N3025" s="1"/>
      <c r="O3025" s="1"/>
      <c r="Q3025"/>
    </row>
    <row r="3026" spans="1:17" ht="13.15" customHeight="1" x14ac:dyDescent="0.2">
      <c r="A3026" s="1" t="s">
        <v>7552</v>
      </c>
      <c r="B3026" s="1" t="s">
        <v>7546</v>
      </c>
      <c r="C3026" s="580">
        <v>101</v>
      </c>
      <c r="D3026" s="1">
        <v>6772</v>
      </c>
      <c r="E3026" t="s">
        <v>4624</v>
      </c>
      <c r="F3026">
        <v>0</v>
      </c>
      <c r="G3026" s="580">
        <v>0</v>
      </c>
      <c r="H3026" s="1">
        <v>0</v>
      </c>
      <c r="I3026" s="1"/>
      <c r="J3026" s="1"/>
      <c r="K3026" s="1"/>
      <c r="L3026" s="1"/>
      <c r="M3026" s="1"/>
      <c r="N3026" s="1"/>
      <c r="O3026" s="1"/>
      <c r="Q3026"/>
    </row>
    <row r="3027" spans="1:17" ht="13.15" customHeight="1" x14ac:dyDescent="0.2">
      <c r="A3027" s="1" t="s">
        <v>7553</v>
      </c>
      <c r="B3027" s="1" t="s">
        <v>7546</v>
      </c>
      <c r="C3027" s="580">
        <v>102</v>
      </c>
      <c r="D3027" s="1">
        <v>6772</v>
      </c>
      <c r="E3027" t="s">
        <v>4624</v>
      </c>
      <c r="F3027">
        <v>0</v>
      </c>
      <c r="G3027" s="580">
        <v>0</v>
      </c>
      <c r="H3027" s="1">
        <v>0</v>
      </c>
      <c r="I3027" s="1"/>
      <c r="J3027" s="1"/>
      <c r="K3027" s="1"/>
      <c r="L3027" s="1"/>
      <c r="M3027" s="1"/>
      <c r="N3027" s="1"/>
      <c r="O3027" s="1"/>
      <c r="Q3027"/>
    </row>
    <row r="3028" spans="1:17" ht="13.15" customHeight="1" x14ac:dyDescent="0.2">
      <c r="A3028" s="1" t="s">
        <v>7554</v>
      </c>
      <c r="B3028" s="1" t="s">
        <v>7546</v>
      </c>
      <c r="C3028" s="580">
        <v>104</v>
      </c>
      <c r="D3028" s="1">
        <v>6772</v>
      </c>
      <c r="E3028" t="s">
        <v>4624</v>
      </c>
      <c r="F3028">
        <v>0</v>
      </c>
      <c r="G3028" s="580">
        <v>0</v>
      </c>
      <c r="H3028" s="1">
        <v>0</v>
      </c>
      <c r="I3028" s="1"/>
      <c r="J3028" s="1"/>
      <c r="K3028" s="1"/>
      <c r="L3028" s="1"/>
      <c r="M3028" s="1"/>
      <c r="N3028" s="1"/>
      <c r="O3028" s="1"/>
      <c r="Q3028"/>
    </row>
    <row r="3029" spans="1:17" ht="13.15" customHeight="1" x14ac:dyDescent="0.2">
      <c r="A3029" s="1" t="s">
        <v>7555</v>
      </c>
      <c r="B3029" s="1" t="s">
        <v>7546</v>
      </c>
      <c r="C3029" s="580">
        <v>106</v>
      </c>
      <c r="D3029" s="1">
        <v>7072</v>
      </c>
      <c r="E3029" t="s">
        <v>4624</v>
      </c>
      <c r="F3029">
        <v>0</v>
      </c>
      <c r="G3029" s="580">
        <v>0</v>
      </c>
      <c r="H3029" s="1">
        <v>0</v>
      </c>
      <c r="I3029" s="1"/>
      <c r="J3029" s="1"/>
      <c r="K3029" s="1"/>
      <c r="L3029" s="1"/>
      <c r="M3029" s="1"/>
      <c r="N3029" s="1"/>
      <c r="O3029" s="1"/>
      <c r="Q3029"/>
    </row>
    <row r="3030" spans="1:17" ht="13.15" customHeight="1" x14ac:dyDescent="0.2">
      <c r="A3030" s="1" t="s">
        <v>7556</v>
      </c>
      <c r="B3030" s="1" t="s">
        <v>7546</v>
      </c>
      <c r="C3030" s="580">
        <v>107</v>
      </c>
      <c r="D3030" s="1">
        <v>7856</v>
      </c>
      <c r="E3030" t="s">
        <v>4624</v>
      </c>
      <c r="F3030">
        <v>0</v>
      </c>
      <c r="G3030" s="580">
        <v>0</v>
      </c>
      <c r="H3030" s="1">
        <v>0</v>
      </c>
      <c r="I3030" s="1"/>
      <c r="J3030" s="1"/>
      <c r="K3030" s="1"/>
      <c r="L3030" s="1"/>
      <c r="M3030" s="1"/>
      <c r="N3030" s="1"/>
      <c r="O3030" s="1"/>
      <c r="Q3030"/>
    </row>
    <row r="3031" spans="1:17" ht="13.15" customHeight="1" x14ac:dyDescent="0.2">
      <c r="A3031" s="1" t="s">
        <v>7557</v>
      </c>
      <c r="B3031" s="1" t="s">
        <v>7546</v>
      </c>
      <c r="C3031" s="580">
        <v>108</v>
      </c>
      <c r="D3031" s="1">
        <v>8408</v>
      </c>
      <c r="E3031" t="s">
        <v>4624</v>
      </c>
      <c r="F3031">
        <v>0</v>
      </c>
      <c r="G3031" s="580">
        <v>0</v>
      </c>
      <c r="H3031" s="1">
        <v>0</v>
      </c>
      <c r="I3031" s="1"/>
      <c r="J3031" s="1"/>
      <c r="K3031" s="1"/>
      <c r="L3031" s="1"/>
      <c r="M3031" s="1"/>
      <c r="N3031" s="1"/>
      <c r="O3031" s="1"/>
      <c r="Q3031"/>
    </row>
    <row r="3032" spans="1:17" ht="13.15" customHeight="1" x14ac:dyDescent="0.2">
      <c r="A3032" s="1" t="s">
        <v>7558</v>
      </c>
      <c r="B3032" s="1" t="s">
        <v>7546</v>
      </c>
      <c r="C3032" s="580">
        <v>109</v>
      </c>
      <c r="D3032" s="1">
        <v>8933.1200000000008</v>
      </c>
      <c r="E3032" t="s">
        <v>4624</v>
      </c>
      <c r="F3032">
        <v>0</v>
      </c>
      <c r="G3032" s="580">
        <v>0</v>
      </c>
      <c r="H3032" s="1">
        <v>0</v>
      </c>
      <c r="I3032" s="1"/>
      <c r="J3032" s="1"/>
      <c r="K3032" s="1"/>
      <c r="L3032" s="1"/>
      <c r="M3032" s="1"/>
      <c r="N3032" s="1"/>
      <c r="O3032" s="1"/>
      <c r="Q3032"/>
    </row>
    <row r="3033" spans="1:17" ht="13.15" customHeight="1" x14ac:dyDescent="0.2">
      <c r="A3033" s="1" t="s">
        <v>7559</v>
      </c>
      <c r="B3033" s="1" t="s">
        <v>7546</v>
      </c>
      <c r="C3033" s="580">
        <v>110</v>
      </c>
      <c r="D3033" s="1">
        <v>9650</v>
      </c>
      <c r="E3033" t="s">
        <v>4624</v>
      </c>
      <c r="F3033">
        <v>0</v>
      </c>
      <c r="G3033" s="580">
        <v>0</v>
      </c>
      <c r="H3033" s="1">
        <v>0</v>
      </c>
      <c r="I3033" s="1"/>
      <c r="J3033" s="1"/>
      <c r="K3033" s="1"/>
      <c r="L3033" s="1"/>
      <c r="M3033" s="1"/>
      <c r="N3033" s="1"/>
      <c r="O3033" s="1"/>
      <c r="Q3033"/>
    </row>
    <row r="3034" spans="1:17" ht="13.15" customHeight="1" x14ac:dyDescent="0.2">
      <c r="A3034" s="1" t="s">
        <v>7560</v>
      </c>
      <c r="B3034" s="1" t="s">
        <v>7546</v>
      </c>
      <c r="C3034" s="580">
        <v>111</v>
      </c>
      <c r="D3034" s="1">
        <v>9909.76</v>
      </c>
      <c r="E3034" t="s">
        <v>4624</v>
      </c>
      <c r="F3034">
        <v>0</v>
      </c>
      <c r="G3034" s="580">
        <v>0</v>
      </c>
      <c r="H3034" s="1">
        <v>0</v>
      </c>
      <c r="I3034" s="1"/>
      <c r="J3034" s="1"/>
      <c r="K3034" s="1"/>
      <c r="L3034" s="1"/>
      <c r="M3034" s="1"/>
      <c r="N3034" s="1"/>
      <c r="O3034" s="1"/>
      <c r="Q3034"/>
    </row>
    <row r="3035" spans="1:17" ht="13.15" customHeight="1" x14ac:dyDescent="0.2">
      <c r="A3035" s="1" t="s">
        <v>7561</v>
      </c>
      <c r="B3035" s="1" t="s">
        <v>7546</v>
      </c>
      <c r="C3035" s="580">
        <v>112</v>
      </c>
      <c r="D3035" s="1">
        <v>10278</v>
      </c>
      <c r="E3035" t="s">
        <v>4624</v>
      </c>
      <c r="F3035">
        <v>0</v>
      </c>
      <c r="G3035" s="580">
        <v>0</v>
      </c>
      <c r="H3035" s="1">
        <v>0</v>
      </c>
      <c r="I3035" s="1"/>
      <c r="J3035" s="1"/>
      <c r="K3035" s="1"/>
      <c r="L3035" s="1"/>
      <c r="M3035" s="1"/>
      <c r="N3035" s="1"/>
      <c r="O3035" s="1"/>
      <c r="Q3035"/>
    </row>
    <row r="3036" spans="1:17" ht="13.15" customHeight="1" x14ac:dyDescent="0.2">
      <c r="A3036" s="1" t="s">
        <v>7562</v>
      </c>
      <c r="B3036" s="1" t="s">
        <v>7546</v>
      </c>
      <c r="C3036" s="580">
        <v>113</v>
      </c>
      <c r="D3036" s="1">
        <v>10411.52</v>
      </c>
      <c r="E3036" t="s">
        <v>4624</v>
      </c>
      <c r="F3036">
        <v>0</v>
      </c>
      <c r="G3036" s="580">
        <v>0</v>
      </c>
      <c r="H3036" s="1">
        <v>0</v>
      </c>
      <c r="I3036" s="1"/>
      <c r="J3036" s="1"/>
      <c r="K3036" s="1"/>
      <c r="L3036" s="1"/>
      <c r="M3036" s="1"/>
      <c r="N3036" s="1"/>
      <c r="O3036" s="1"/>
      <c r="Q3036"/>
    </row>
    <row r="3037" spans="1:17" ht="13.15" customHeight="1" x14ac:dyDescent="0.2">
      <c r="A3037" s="1" t="s">
        <v>7563</v>
      </c>
      <c r="B3037" s="1" t="s">
        <v>7546</v>
      </c>
      <c r="C3037" s="580">
        <v>114</v>
      </c>
      <c r="D3037" s="1">
        <v>7850</v>
      </c>
      <c r="E3037" t="s">
        <v>4624</v>
      </c>
      <c r="F3037">
        <v>0</v>
      </c>
      <c r="G3037" s="580">
        <v>0</v>
      </c>
      <c r="H3037" s="1">
        <v>0</v>
      </c>
      <c r="I3037" s="1"/>
      <c r="J3037" s="1"/>
      <c r="K3037" s="1"/>
      <c r="L3037" s="1"/>
      <c r="M3037" s="1"/>
      <c r="N3037" s="1"/>
      <c r="O3037" s="1"/>
      <c r="Q3037"/>
    </row>
    <row r="3038" spans="1:17" ht="13.15" customHeight="1" x14ac:dyDescent="0.2">
      <c r="A3038" s="1" t="s">
        <v>7564</v>
      </c>
      <c r="B3038" s="1" t="s">
        <v>7546</v>
      </c>
      <c r="C3038" s="580">
        <v>116</v>
      </c>
      <c r="D3038" s="1">
        <v>9524.48</v>
      </c>
      <c r="E3038" t="s">
        <v>4624</v>
      </c>
      <c r="F3038">
        <v>0</v>
      </c>
      <c r="G3038" s="580">
        <v>0</v>
      </c>
      <c r="H3038" s="1">
        <v>0</v>
      </c>
      <c r="I3038" s="1"/>
      <c r="J3038" s="1"/>
      <c r="K3038" s="1"/>
      <c r="L3038" s="1"/>
      <c r="M3038" s="1"/>
      <c r="N3038" s="1"/>
      <c r="O3038" s="1"/>
      <c r="Q3038"/>
    </row>
    <row r="3039" spans="1:17" ht="13.15" customHeight="1" x14ac:dyDescent="0.2">
      <c r="A3039" s="1" t="s">
        <v>7565</v>
      </c>
      <c r="B3039" s="1" t="s">
        <v>7546</v>
      </c>
      <c r="C3039" s="580">
        <v>118</v>
      </c>
      <c r="D3039" s="1">
        <v>9744</v>
      </c>
      <c r="E3039" t="s">
        <v>4624</v>
      </c>
      <c r="F3039">
        <v>0</v>
      </c>
      <c r="G3039" s="580">
        <v>0</v>
      </c>
      <c r="H3039" s="1">
        <v>0</v>
      </c>
      <c r="I3039" s="1"/>
      <c r="J3039" s="1"/>
      <c r="K3039" s="1"/>
      <c r="L3039" s="1"/>
      <c r="M3039" s="1"/>
      <c r="N3039" s="1"/>
      <c r="O3039" s="1"/>
      <c r="Q3039"/>
    </row>
    <row r="3040" spans="1:17" ht="13.15" customHeight="1" x14ac:dyDescent="0.2">
      <c r="A3040" s="1" t="s">
        <v>7566</v>
      </c>
      <c r="B3040" s="1" t="s">
        <v>7546</v>
      </c>
      <c r="C3040" s="580">
        <v>119</v>
      </c>
      <c r="D3040" s="1">
        <v>9833.6</v>
      </c>
      <c r="E3040" t="s">
        <v>4624</v>
      </c>
      <c r="F3040">
        <v>0</v>
      </c>
      <c r="G3040" s="580">
        <v>0</v>
      </c>
      <c r="H3040" s="1">
        <v>0</v>
      </c>
      <c r="I3040" s="1"/>
      <c r="J3040" s="1"/>
      <c r="K3040" s="1"/>
      <c r="L3040" s="1"/>
      <c r="M3040" s="1"/>
      <c r="N3040" s="1"/>
      <c r="O3040" s="1"/>
      <c r="Q3040"/>
    </row>
    <row r="3041" spans="1:17" ht="13.15" customHeight="1" x14ac:dyDescent="0.2">
      <c r="A3041" s="1" t="s">
        <v>7567</v>
      </c>
      <c r="B3041" s="1" t="s">
        <v>7546</v>
      </c>
      <c r="C3041" s="580">
        <v>120</v>
      </c>
      <c r="D3041" s="1">
        <v>9941.1200000000008</v>
      </c>
      <c r="E3041" t="s">
        <v>4624</v>
      </c>
      <c r="F3041">
        <v>0</v>
      </c>
      <c r="G3041" s="580">
        <v>0</v>
      </c>
      <c r="H3041" s="1">
        <v>0</v>
      </c>
      <c r="I3041" s="1"/>
      <c r="J3041" s="1"/>
      <c r="K3041" s="1"/>
      <c r="L3041" s="1"/>
      <c r="M3041" s="1"/>
      <c r="N3041" s="1"/>
      <c r="O3041" s="1"/>
      <c r="Q3041"/>
    </row>
    <row r="3042" spans="1:17" ht="13.15" customHeight="1" x14ac:dyDescent="0.2">
      <c r="A3042" s="1" t="s">
        <v>7568</v>
      </c>
      <c r="B3042" s="1" t="s">
        <v>7546</v>
      </c>
      <c r="C3042" s="580">
        <v>121</v>
      </c>
      <c r="D3042" s="1">
        <v>10088.959999999999</v>
      </c>
      <c r="E3042" t="s">
        <v>4624</v>
      </c>
      <c r="F3042">
        <v>0</v>
      </c>
      <c r="G3042" s="580">
        <v>0</v>
      </c>
      <c r="H3042" s="1">
        <v>0</v>
      </c>
      <c r="I3042" s="1"/>
      <c r="J3042" s="1"/>
      <c r="K3042" s="1"/>
      <c r="L3042" s="1"/>
      <c r="M3042" s="1"/>
      <c r="N3042" s="1"/>
      <c r="O3042" s="1"/>
      <c r="Q3042"/>
    </row>
    <row r="3043" spans="1:17" ht="13.15" customHeight="1" x14ac:dyDescent="0.2">
      <c r="A3043" s="1" t="s">
        <v>7569</v>
      </c>
      <c r="B3043" s="1" t="s">
        <v>7546</v>
      </c>
      <c r="C3043" s="580">
        <v>122</v>
      </c>
      <c r="D3043" s="1">
        <v>10366.719999999999</v>
      </c>
      <c r="E3043" t="s">
        <v>4624</v>
      </c>
      <c r="F3043">
        <v>0</v>
      </c>
      <c r="G3043" s="580">
        <v>0</v>
      </c>
      <c r="H3043" s="1">
        <v>0</v>
      </c>
      <c r="I3043" s="1"/>
      <c r="J3043" s="1"/>
      <c r="K3043" s="1"/>
      <c r="L3043" s="1"/>
      <c r="M3043" s="1"/>
      <c r="N3043" s="1"/>
      <c r="O3043" s="1"/>
      <c r="Q3043"/>
    </row>
    <row r="3044" spans="1:17" ht="13.15" customHeight="1" x14ac:dyDescent="0.2">
      <c r="A3044" s="1" t="s">
        <v>7570</v>
      </c>
      <c r="B3044" s="1" t="s">
        <v>7546</v>
      </c>
      <c r="C3044" s="580">
        <v>123</v>
      </c>
      <c r="D3044" s="1">
        <v>10366.719999999999</v>
      </c>
      <c r="E3044" t="s">
        <v>4624</v>
      </c>
      <c r="F3044">
        <v>0</v>
      </c>
      <c r="G3044" s="580">
        <v>0</v>
      </c>
      <c r="H3044" s="1">
        <v>0</v>
      </c>
      <c r="I3044" s="1"/>
      <c r="J3044" s="1"/>
      <c r="K3044" s="1"/>
      <c r="L3044" s="1"/>
      <c r="M3044" s="1"/>
      <c r="N3044" s="1"/>
      <c r="O3044" s="1"/>
      <c r="Q3044"/>
    </row>
    <row r="3045" spans="1:17" ht="13.15" customHeight="1" x14ac:dyDescent="0.2">
      <c r="A3045" s="1" t="s">
        <v>7571</v>
      </c>
      <c r="B3045" s="1" t="s">
        <v>7546</v>
      </c>
      <c r="C3045" s="580">
        <v>124</v>
      </c>
      <c r="D3045" s="1">
        <v>10572.8</v>
      </c>
      <c r="E3045" t="s">
        <v>4624</v>
      </c>
      <c r="F3045">
        <v>0</v>
      </c>
      <c r="G3045" s="580">
        <v>0</v>
      </c>
      <c r="H3045" s="1">
        <v>0</v>
      </c>
      <c r="I3045" s="1"/>
      <c r="J3045" s="1"/>
      <c r="K3045" s="1"/>
      <c r="L3045" s="1"/>
      <c r="M3045" s="1"/>
      <c r="N3045" s="1"/>
      <c r="O3045" s="1"/>
      <c r="Q3045"/>
    </row>
    <row r="3046" spans="1:17" ht="13.15" customHeight="1" x14ac:dyDescent="0.2">
      <c r="A3046" s="1" t="s">
        <v>7572</v>
      </c>
      <c r="B3046" s="1" t="s">
        <v>7546</v>
      </c>
      <c r="C3046" s="580">
        <v>125</v>
      </c>
      <c r="D3046" s="1">
        <v>10572.8</v>
      </c>
      <c r="E3046" t="s">
        <v>4624</v>
      </c>
      <c r="F3046">
        <v>0</v>
      </c>
      <c r="G3046" s="580">
        <v>0</v>
      </c>
      <c r="H3046" s="1">
        <v>0</v>
      </c>
      <c r="I3046" s="1"/>
      <c r="J3046" s="1"/>
      <c r="K3046" s="1"/>
      <c r="L3046" s="1"/>
      <c r="M3046" s="1"/>
      <c r="N3046" s="1"/>
      <c r="O3046" s="1"/>
      <c r="Q3046"/>
    </row>
    <row r="3047" spans="1:17" ht="13.15" customHeight="1" x14ac:dyDescent="0.2">
      <c r="A3047" s="1" t="s">
        <v>7573</v>
      </c>
      <c r="B3047" s="1" t="s">
        <v>7546</v>
      </c>
      <c r="C3047" s="580">
        <v>130</v>
      </c>
      <c r="D3047" s="1">
        <v>9838.08</v>
      </c>
      <c r="E3047" t="s">
        <v>4624</v>
      </c>
      <c r="F3047">
        <v>0</v>
      </c>
      <c r="G3047" s="580">
        <v>0</v>
      </c>
      <c r="H3047" s="1">
        <v>0</v>
      </c>
      <c r="I3047" s="1"/>
      <c r="J3047" s="1"/>
      <c r="K3047" s="1"/>
      <c r="L3047" s="1"/>
      <c r="M3047" s="1"/>
      <c r="N3047" s="1"/>
      <c r="O3047" s="1"/>
      <c r="Q3047"/>
    </row>
    <row r="3048" spans="1:17" ht="13.15" customHeight="1" x14ac:dyDescent="0.2">
      <c r="A3048" s="1" t="s">
        <v>7574</v>
      </c>
      <c r="B3048" s="1" t="s">
        <v>7546</v>
      </c>
      <c r="C3048" s="580">
        <v>132</v>
      </c>
      <c r="D3048" s="1">
        <v>9838.08</v>
      </c>
      <c r="E3048" t="s">
        <v>4624</v>
      </c>
      <c r="F3048">
        <v>0</v>
      </c>
      <c r="G3048" s="580">
        <v>0</v>
      </c>
      <c r="H3048" s="1">
        <v>0</v>
      </c>
      <c r="I3048" s="1"/>
      <c r="J3048" s="1"/>
      <c r="K3048" s="1"/>
      <c r="L3048" s="1"/>
      <c r="M3048" s="1"/>
      <c r="N3048" s="1"/>
      <c r="O3048" s="1"/>
      <c r="Q3048"/>
    </row>
    <row r="3049" spans="1:17" ht="13.15" customHeight="1" x14ac:dyDescent="0.2">
      <c r="A3049" s="1" t="s">
        <v>7575</v>
      </c>
      <c r="B3049" s="1" t="s">
        <v>7546</v>
      </c>
      <c r="C3049" s="580">
        <v>133</v>
      </c>
      <c r="D3049" s="1">
        <v>10111.36</v>
      </c>
      <c r="E3049" t="s">
        <v>4624</v>
      </c>
      <c r="F3049">
        <v>0</v>
      </c>
      <c r="G3049" s="580">
        <v>0</v>
      </c>
      <c r="H3049" s="1">
        <v>0</v>
      </c>
      <c r="I3049" s="1"/>
      <c r="J3049" s="1"/>
      <c r="K3049" s="1"/>
      <c r="L3049" s="1"/>
      <c r="M3049" s="1"/>
      <c r="N3049" s="1"/>
      <c r="O3049" s="1"/>
      <c r="Q3049"/>
    </row>
    <row r="3050" spans="1:17" ht="13.15" customHeight="1" x14ac:dyDescent="0.2">
      <c r="A3050" s="1" t="s">
        <v>7576</v>
      </c>
      <c r="B3050" s="1" t="s">
        <v>7546</v>
      </c>
      <c r="C3050" s="580">
        <v>134</v>
      </c>
      <c r="D3050" s="1">
        <v>10236.799999999999</v>
      </c>
      <c r="E3050" t="s">
        <v>4624</v>
      </c>
      <c r="F3050">
        <v>0</v>
      </c>
      <c r="G3050" s="580">
        <v>0</v>
      </c>
      <c r="H3050" s="1">
        <v>0</v>
      </c>
      <c r="I3050" s="1"/>
      <c r="J3050" s="1"/>
      <c r="K3050" s="1"/>
      <c r="L3050" s="1"/>
      <c r="M3050" s="1"/>
      <c r="N3050" s="1"/>
      <c r="O3050" s="1"/>
      <c r="Q3050"/>
    </row>
    <row r="3051" spans="1:17" ht="13.15" customHeight="1" x14ac:dyDescent="0.2">
      <c r="A3051" s="1" t="s">
        <v>7577</v>
      </c>
      <c r="B3051" s="1" t="s">
        <v>7546</v>
      </c>
      <c r="C3051" s="580">
        <v>135</v>
      </c>
      <c r="D3051" s="1">
        <v>10743.04</v>
      </c>
      <c r="E3051" t="s">
        <v>4624</v>
      </c>
      <c r="F3051">
        <v>0</v>
      </c>
      <c r="G3051" s="580">
        <v>0</v>
      </c>
      <c r="H3051" s="1">
        <v>0</v>
      </c>
      <c r="I3051" s="1"/>
      <c r="J3051" s="1"/>
      <c r="K3051" s="1"/>
      <c r="L3051" s="1"/>
      <c r="M3051" s="1"/>
      <c r="N3051" s="1"/>
      <c r="O3051" s="1"/>
      <c r="Q3051"/>
    </row>
    <row r="3052" spans="1:17" ht="13.15" customHeight="1" x14ac:dyDescent="0.2">
      <c r="A3052" s="1" t="s">
        <v>7578</v>
      </c>
      <c r="B3052" s="1" t="s">
        <v>7546</v>
      </c>
      <c r="C3052" s="580">
        <v>136</v>
      </c>
      <c r="D3052" s="1">
        <v>11217.92</v>
      </c>
      <c r="E3052" t="s">
        <v>4624</v>
      </c>
      <c r="F3052">
        <v>0</v>
      </c>
      <c r="G3052" s="580">
        <v>0</v>
      </c>
      <c r="H3052" s="1">
        <v>0</v>
      </c>
      <c r="I3052" s="1"/>
      <c r="J3052" s="1"/>
      <c r="K3052" s="1"/>
      <c r="L3052" s="1"/>
      <c r="M3052" s="1"/>
      <c r="N3052" s="1"/>
      <c r="O3052" s="1"/>
      <c r="Q3052"/>
    </row>
    <row r="3053" spans="1:17" ht="13.15" customHeight="1" x14ac:dyDescent="0.2">
      <c r="A3053" s="1" t="s">
        <v>7579</v>
      </c>
      <c r="B3053" s="1" t="s">
        <v>7546</v>
      </c>
      <c r="C3053" s="580">
        <v>137</v>
      </c>
      <c r="D3053" s="1">
        <v>11217.92</v>
      </c>
      <c r="E3053" t="s">
        <v>4624</v>
      </c>
      <c r="F3053">
        <v>0</v>
      </c>
      <c r="G3053" s="580">
        <v>0</v>
      </c>
      <c r="H3053" s="1">
        <v>0</v>
      </c>
      <c r="I3053" s="1"/>
      <c r="J3053" s="1"/>
      <c r="K3053" s="1"/>
      <c r="L3053" s="1"/>
      <c r="M3053" s="1"/>
      <c r="N3053" s="1"/>
      <c r="O3053" s="1"/>
      <c r="Q3053"/>
    </row>
    <row r="3054" spans="1:17" ht="13.15" customHeight="1" x14ac:dyDescent="0.2">
      <c r="A3054" s="1" t="s">
        <v>7580</v>
      </c>
      <c r="B3054" s="1" t="s">
        <v>7546</v>
      </c>
      <c r="C3054" s="580">
        <v>138</v>
      </c>
      <c r="D3054" s="1">
        <v>11612.16</v>
      </c>
      <c r="E3054" t="s">
        <v>4624</v>
      </c>
      <c r="F3054">
        <v>0</v>
      </c>
      <c r="G3054" s="580">
        <v>0</v>
      </c>
      <c r="H3054" s="1">
        <v>0</v>
      </c>
      <c r="I3054" s="1"/>
      <c r="J3054" s="1"/>
      <c r="K3054" s="1"/>
      <c r="L3054" s="1"/>
      <c r="M3054" s="1"/>
      <c r="N3054" s="1"/>
      <c r="O3054" s="1"/>
      <c r="Q3054"/>
    </row>
    <row r="3055" spans="1:17" ht="13.15" customHeight="1" x14ac:dyDescent="0.2">
      <c r="A3055" s="1" t="s">
        <v>7581</v>
      </c>
      <c r="B3055" s="1" t="s">
        <v>7546</v>
      </c>
      <c r="C3055" s="580">
        <v>139</v>
      </c>
      <c r="D3055" s="1">
        <v>11612.16</v>
      </c>
      <c r="E3055" t="s">
        <v>4624</v>
      </c>
      <c r="F3055">
        <v>0</v>
      </c>
      <c r="G3055" s="580">
        <v>0</v>
      </c>
      <c r="H3055" s="1">
        <v>0</v>
      </c>
      <c r="I3055" s="1"/>
      <c r="J3055" s="1"/>
      <c r="K3055" s="1"/>
      <c r="L3055" s="1"/>
      <c r="M3055" s="1"/>
      <c r="N3055" s="1"/>
      <c r="O3055" s="1"/>
      <c r="Q3055"/>
    </row>
    <row r="3056" spans="1:17" ht="13.15" customHeight="1" x14ac:dyDescent="0.2">
      <c r="A3056" s="1" t="s">
        <v>7582</v>
      </c>
      <c r="B3056" s="1" t="s">
        <v>7546</v>
      </c>
      <c r="C3056" s="580">
        <v>142</v>
      </c>
      <c r="D3056" s="1">
        <v>11400</v>
      </c>
      <c r="E3056" t="s">
        <v>4624</v>
      </c>
      <c r="F3056">
        <v>0</v>
      </c>
      <c r="G3056" s="580">
        <v>0</v>
      </c>
      <c r="H3056" s="1">
        <v>0</v>
      </c>
      <c r="I3056" s="1"/>
      <c r="J3056" s="1"/>
      <c r="K3056" s="1"/>
      <c r="L3056" s="1"/>
      <c r="M3056" s="1"/>
      <c r="N3056" s="1"/>
      <c r="O3056" s="1"/>
      <c r="Q3056"/>
    </row>
    <row r="3057" spans="1:17" ht="13.15" customHeight="1" x14ac:dyDescent="0.2">
      <c r="A3057" s="1" t="s">
        <v>7583</v>
      </c>
      <c r="B3057" s="1" t="s">
        <v>7546</v>
      </c>
      <c r="C3057" s="580">
        <v>143</v>
      </c>
      <c r="D3057" s="1">
        <v>10245.76</v>
      </c>
      <c r="E3057" t="s">
        <v>4624</v>
      </c>
      <c r="F3057">
        <v>0</v>
      </c>
      <c r="G3057" s="580">
        <v>0</v>
      </c>
      <c r="H3057" s="1">
        <v>0</v>
      </c>
      <c r="I3057" s="1"/>
      <c r="J3057" s="1"/>
      <c r="K3057" s="1"/>
      <c r="L3057" s="1"/>
      <c r="M3057" s="1"/>
      <c r="N3057" s="1"/>
      <c r="O3057" s="1"/>
      <c r="Q3057"/>
    </row>
    <row r="3058" spans="1:17" ht="13.15" customHeight="1" x14ac:dyDescent="0.2">
      <c r="A3058" s="1" t="s">
        <v>7584</v>
      </c>
      <c r="B3058" s="1" t="s">
        <v>7546</v>
      </c>
      <c r="C3058" s="580">
        <v>144</v>
      </c>
      <c r="D3058" s="1">
        <v>10774.4</v>
      </c>
      <c r="E3058" t="s">
        <v>4624</v>
      </c>
      <c r="F3058">
        <v>0</v>
      </c>
      <c r="G3058" s="580">
        <v>0</v>
      </c>
      <c r="H3058" s="1">
        <v>0</v>
      </c>
      <c r="I3058" s="1"/>
      <c r="J3058" s="1"/>
      <c r="K3058" s="1"/>
      <c r="L3058" s="1"/>
      <c r="M3058" s="1"/>
      <c r="N3058" s="1"/>
      <c r="O3058" s="1"/>
      <c r="Q3058"/>
    </row>
    <row r="3059" spans="1:17" ht="13.15" customHeight="1" x14ac:dyDescent="0.2">
      <c r="A3059" s="1" t="s">
        <v>7585</v>
      </c>
      <c r="B3059" s="1" t="s">
        <v>7546</v>
      </c>
      <c r="C3059" s="580">
        <v>145</v>
      </c>
      <c r="D3059" s="1">
        <v>11119.36</v>
      </c>
      <c r="E3059" t="s">
        <v>4624</v>
      </c>
      <c r="F3059">
        <v>0</v>
      </c>
      <c r="G3059" s="580">
        <v>0</v>
      </c>
      <c r="H3059" s="1">
        <v>0</v>
      </c>
      <c r="I3059" s="1"/>
      <c r="J3059" s="1"/>
      <c r="K3059" s="1"/>
      <c r="L3059" s="1"/>
      <c r="M3059" s="1"/>
      <c r="N3059" s="1"/>
      <c r="O3059" s="1"/>
      <c r="Q3059"/>
    </row>
    <row r="3060" spans="1:17" ht="13.15" customHeight="1" x14ac:dyDescent="0.2">
      <c r="A3060" s="1" t="s">
        <v>7586</v>
      </c>
      <c r="B3060" s="1" t="s">
        <v>7546</v>
      </c>
      <c r="C3060" s="580">
        <v>146</v>
      </c>
      <c r="D3060" s="1">
        <v>11737.6</v>
      </c>
      <c r="E3060" t="s">
        <v>4624</v>
      </c>
      <c r="F3060">
        <v>0</v>
      </c>
      <c r="G3060" s="580">
        <v>0</v>
      </c>
      <c r="H3060" s="1">
        <v>0</v>
      </c>
      <c r="I3060" s="1"/>
      <c r="J3060" s="1"/>
      <c r="K3060" s="1"/>
      <c r="L3060" s="1"/>
      <c r="M3060" s="1"/>
      <c r="N3060" s="1"/>
      <c r="O3060" s="1"/>
      <c r="Q3060"/>
    </row>
    <row r="3061" spans="1:17" ht="13.15" customHeight="1" x14ac:dyDescent="0.2">
      <c r="A3061" s="1" t="s">
        <v>7587</v>
      </c>
      <c r="B3061" s="1" t="s">
        <v>7546</v>
      </c>
      <c r="C3061" s="580">
        <v>147</v>
      </c>
      <c r="D3061" s="1">
        <v>11737.6</v>
      </c>
      <c r="E3061" t="s">
        <v>4624</v>
      </c>
      <c r="F3061">
        <v>0</v>
      </c>
      <c r="G3061" s="580">
        <v>0</v>
      </c>
      <c r="H3061" s="1">
        <v>0</v>
      </c>
      <c r="I3061" s="1"/>
      <c r="J3061" s="1"/>
      <c r="K3061" s="1"/>
      <c r="L3061" s="1"/>
      <c r="M3061" s="1"/>
      <c r="N3061" s="1"/>
      <c r="O3061" s="1"/>
      <c r="Q3061"/>
    </row>
    <row r="3062" spans="1:17" ht="13.15" customHeight="1" x14ac:dyDescent="0.2">
      <c r="A3062" s="1" t="s">
        <v>7588</v>
      </c>
      <c r="B3062" s="1" t="s">
        <v>7546</v>
      </c>
      <c r="C3062" s="580">
        <v>148</v>
      </c>
      <c r="D3062" s="1">
        <v>12118.4</v>
      </c>
      <c r="E3062" t="s">
        <v>4624</v>
      </c>
      <c r="F3062">
        <v>0</v>
      </c>
      <c r="G3062" s="580">
        <v>0</v>
      </c>
      <c r="H3062" s="1">
        <v>0</v>
      </c>
      <c r="I3062" s="1"/>
      <c r="J3062" s="1"/>
      <c r="K3062" s="1"/>
      <c r="L3062" s="1"/>
      <c r="M3062" s="1"/>
      <c r="N3062" s="1"/>
      <c r="O3062" s="1"/>
      <c r="Q3062"/>
    </row>
    <row r="3063" spans="1:17" ht="13.15" customHeight="1" x14ac:dyDescent="0.2">
      <c r="A3063" s="1" t="s">
        <v>7589</v>
      </c>
      <c r="B3063" s="1" t="s">
        <v>7546</v>
      </c>
      <c r="C3063" s="580">
        <v>149</v>
      </c>
      <c r="D3063" s="1">
        <v>12118.4</v>
      </c>
      <c r="E3063" t="s">
        <v>4624</v>
      </c>
      <c r="F3063">
        <v>0</v>
      </c>
      <c r="G3063" s="580">
        <v>0</v>
      </c>
      <c r="H3063" s="1">
        <v>0</v>
      </c>
      <c r="I3063" s="1"/>
      <c r="J3063" s="1"/>
      <c r="K3063" s="1"/>
      <c r="L3063" s="1"/>
      <c r="M3063" s="1"/>
      <c r="N3063" s="1"/>
      <c r="O3063" s="1"/>
      <c r="Q3063"/>
    </row>
    <row r="3064" spans="1:17" ht="13.15" customHeight="1" x14ac:dyDescent="0.2">
      <c r="A3064" s="1" t="s">
        <v>7590</v>
      </c>
      <c r="B3064" s="1" t="s">
        <v>7546</v>
      </c>
      <c r="C3064" s="580">
        <v>150</v>
      </c>
      <c r="D3064" s="1">
        <v>10572</v>
      </c>
      <c r="E3064" t="s">
        <v>4624</v>
      </c>
      <c r="F3064">
        <v>0</v>
      </c>
      <c r="G3064" s="580">
        <v>0</v>
      </c>
      <c r="H3064" s="1">
        <v>0</v>
      </c>
      <c r="I3064" s="1"/>
      <c r="J3064" s="1"/>
      <c r="K3064" s="1"/>
      <c r="L3064" s="1"/>
      <c r="M3064" s="1"/>
      <c r="N3064" s="1"/>
      <c r="O3064" s="1"/>
      <c r="Q3064"/>
    </row>
    <row r="3065" spans="1:17" ht="13.15" customHeight="1" x14ac:dyDescent="0.2">
      <c r="A3065" s="1" t="s">
        <v>7591</v>
      </c>
      <c r="B3065" s="1" t="s">
        <v>7546</v>
      </c>
      <c r="C3065" s="580">
        <v>151</v>
      </c>
      <c r="D3065" s="1">
        <v>10572.8</v>
      </c>
      <c r="E3065" t="s">
        <v>4624</v>
      </c>
      <c r="F3065">
        <v>0</v>
      </c>
      <c r="G3065" s="580">
        <v>0</v>
      </c>
      <c r="H3065" s="1">
        <v>0</v>
      </c>
      <c r="I3065" s="1"/>
      <c r="J3065" s="1"/>
      <c r="K3065" s="1"/>
      <c r="L3065" s="1"/>
      <c r="M3065" s="1"/>
      <c r="N3065" s="1"/>
      <c r="O3065" s="1"/>
      <c r="Q3065"/>
    </row>
    <row r="3066" spans="1:17" ht="13.15" customHeight="1" x14ac:dyDescent="0.2">
      <c r="A3066" s="1" t="s">
        <v>7592</v>
      </c>
      <c r="B3066" s="1" t="s">
        <v>7546</v>
      </c>
      <c r="C3066" s="580">
        <v>152</v>
      </c>
      <c r="D3066" s="1">
        <v>11374.72</v>
      </c>
      <c r="E3066" t="s">
        <v>4624</v>
      </c>
      <c r="F3066">
        <v>0</v>
      </c>
      <c r="G3066" s="580">
        <v>0</v>
      </c>
      <c r="H3066" s="1">
        <v>0</v>
      </c>
      <c r="I3066" s="1"/>
      <c r="J3066" s="1"/>
      <c r="K3066" s="1"/>
      <c r="L3066" s="1"/>
      <c r="M3066" s="1"/>
      <c r="N3066" s="1"/>
      <c r="O3066" s="1"/>
      <c r="Q3066"/>
    </row>
    <row r="3067" spans="1:17" ht="13.15" customHeight="1" x14ac:dyDescent="0.2">
      <c r="A3067" s="1" t="s">
        <v>7593</v>
      </c>
      <c r="B3067" s="1" t="s">
        <v>7546</v>
      </c>
      <c r="C3067" s="580">
        <v>153</v>
      </c>
      <c r="D3067" s="1">
        <v>12257.28</v>
      </c>
      <c r="E3067" t="s">
        <v>4624</v>
      </c>
      <c r="F3067">
        <v>0</v>
      </c>
      <c r="G3067" s="580">
        <v>0</v>
      </c>
      <c r="H3067" s="1">
        <v>0</v>
      </c>
      <c r="I3067" s="1"/>
      <c r="J3067" s="1"/>
      <c r="K3067" s="1"/>
      <c r="L3067" s="1"/>
      <c r="M3067" s="1"/>
      <c r="N3067" s="1"/>
      <c r="O3067" s="1"/>
      <c r="Q3067"/>
    </row>
    <row r="3068" spans="1:17" ht="13.15" customHeight="1" x14ac:dyDescent="0.2">
      <c r="A3068" s="1" t="s">
        <v>7594</v>
      </c>
      <c r="B3068" s="1" t="s">
        <v>7546</v>
      </c>
      <c r="C3068" s="580">
        <v>154</v>
      </c>
      <c r="D3068" s="1">
        <v>12257.28</v>
      </c>
      <c r="E3068" t="s">
        <v>4624</v>
      </c>
      <c r="F3068">
        <v>0</v>
      </c>
      <c r="G3068" s="580">
        <v>0</v>
      </c>
      <c r="H3068" s="1">
        <v>0</v>
      </c>
      <c r="I3068" s="1"/>
      <c r="J3068" s="1"/>
      <c r="K3068" s="1"/>
      <c r="L3068" s="1"/>
      <c r="M3068" s="1"/>
      <c r="N3068" s="1"/>
      <c r="O3068" s="1"/>
      <c r="Q3068"/>
    </row>
    <row r="3069" spans="1:17" ht="13.15" customHeight="1" x14ac:dyDescent="0.2">
      <c r="A3069" s="1" t="s">
        <v>7595</v>
      </c>
      <c r="B3069" s="1" t="s">
        <v>7546</v>
      </c>
      <c r="C3069" s="580">
        <v>155</v>
      </c>
      <c r="D3069" s="1">
        <v>12600</v>
      </c>
      <c r="E3069" t="s">
        <v>4624</v>
      </c>
      <c r="F3069">
        <v>0</v>
      </c>
      <c r="G3069" s="580">
        <v>0</v>
      </c>
      <c r="H3069" s="1">
        <v>0</v>
      </c>
      <c r="I3069" s="1"/>
      <c r="J3069" s="1"/>
      <c r="K3069" s="1"/>
      <c r="L3069" s="1"/>
      <c r="M3069" s="1"/>
      <c r="N3069" s="1"/>
      <c r="O3069" s="1"/>
      <c r="Q3069"/>
    </row>
    <row r="3070" spans="1:17" ht="13.15" customHeight="1" x14ac:dyDescent="0.2">
      <c r="A3070" s="1" t="s">
        <v>7596</v>
      </c>
      <c r="B3070" s="1" t="s">
        <v>7546</v>
      </c>
      <c r="C3070" s="580">
        <v>156</v>
      </c>
      <c r="D3070" s="1">
        <v>12803.84</v>
      </c>
      <c r="E3070" t="s">
        <v>4624</v>
      </c>
      <c r="F3070">
        <v>0</v>
      </c>
      <c r="G3070" s="580">
        <v>0</v>
      </c>
      <c r="H3070" s="1">
        <v>0</v>
      </c>
      <c r="I3070" s="1"/>
      <c r="J3070" s="1"/>
      <c r="K3070" s="1"/>
      <c r="L3070" s="1"/>
      <c r="M3070" s="1"/>
      <c r="N3070" s="1"/>
      <c r="O3070" s="1"/>
      <c r="Q3070"/>
    </row>
    <row r="3071" spans="1:17" ht="13.15" customHeight="1" x14ac:dyDescent="0.2">
      <c r="A3071" s="1" t="s">
        <v>7597</v>
      </c>
      <c r="B3071" s="1" t="s">
        <v>7546</v>
      </c>
      <c r="C3071" s="580">
        <v>157</v>
      </c>
      <c r="D3071" s="1">
        <v>11630</v>
      </c>
      <c r="E3071" t="s">
        <v>4624</v>
      </c>
      <c r="F3071">
        <v>0</v>
      </c>
      <c r="G3071" s="580">
        <v>0</v>
      </c>
      <c r="H3071" s="1">
        <v>0</v>
      </c>
      <c r="I3071" s="1"/>
      <c r="J3071" s="1"/>
      <c r="K3071" s="1"/>
      <c r="L3071" s="1"/>
      <c r="M3071" s="1"/>
      <c r="N3071" s="1"/>
      <c r="O3071" s="1"/>
      <c r="Q3071"/>
    </row>
    <row r="3072" spans="1:17" ht="13.15" customHeight="1" x14ac:dyDescent="0.2">
      <c r="A3072" s="1" t="s">
        <v>7598</v>
      </c>
      <c r="B3072" s="1" t="s">
        <v>7546</v>
      </c>
      <c r="C3072" s="580">
        <v>158</v>
      </c>
      <c r="D3072" s="1">
        <v>12540</v>
      </c>
      <c r="E3072" t="s">
        <v>4624</v>
      </c>
      <c r="F3072">
        <v>0</v>
      </c>
      <c r="G3072" s="580">
        <v>0</v>
      </c>
      <c r="H3072" s="1">
        <v>0</v>
      </c>
      <c r="I3072" s="1"/>
      <c r="J3072" s="1"/>
      <c r="K3072" s="1"/>
      <c r="L3072" s="1"/>
      <c r="M3072" s="1"/>
      <c r="N3072" s="1"/>
      <c r="O3072" s="1"/>
      <c r="Q3072"/>
    </row>
    <row r="3073" spans="1:17" ht="13.15" customHeight="1" x14ac:dyDescent="0.2">
      <c r="A3073" s="1" t="s">
        <v>7599</v>
      </c>
      <c r="B3073" s="1" t="s">
        <v>7546</v>
      </c>
      <c r="C3073" s="580">
        <v>159</v>
      </c>
      <c r="D3073" s="1">
        <v>12950</v>
      </c>
      <c r="E3073" t="s">
        <v>4624</v>
      </c>
      <c r="F3073">
        <v>0</v>
      </c>
      <c r="G3073" s="580">
        <v>0</v>
      </c>
      <c r="H3073" s="1">
        <v>0</v>
      </c>
      <c r="I3073" s="1"/>
      <c r="J3073" s="1"/>
      <c r="K3073" s="1"/>
      <c r="L3073" s="1"/>
      <c r="M3073" s="1"/>
      <c r="N3073" s="1"/>
      <c r="O3073" s="1"/>
      <c r="Q3073"/>
    </row>
    <row r="3074" spans="1:17" ht="13.15" customHeight="1" x14ac:dyDescent="0.2">
      <c r="A3074" s="1" t="s">
        <v>7600</v>
      </c>
      <c r="B3074" s="1" t="s">
        <v>7546</v>
      </c>
      <c r="C3074" s="580">
        <v>160</v>
      </c>
      <c r="D3074" s="1">
        <v>13900</v>
      </c>
      <c r="E3074" t="s">
        <v>4624</v>
      </c>
      <c r="F3074">
        <v>0</v>
      </c>
      <c r="G3074" s="580">
        <v>0</v>
      </c>
      <c r="H3074" s="1">
        <v>0</v>
      </c>
      <c r="I3074" s="1"/>
      <c r="J3074" s="1"/>
      <c r="K3074" s="1"/>
      <c r="L3074" s="1"/>
      <c r="M3074" s="1"/>
      <c r="N3074" s="1"/>
      <c r="O3074" s="1"/>
      <c r="Q3074"/>
    </row>
    <row r="3075" spans="1:17" ht="13.15" customHeight="1" x14ac:dyDescent="0.2">
      <c r="A3075" s="1" t="s">
        <v>7601</v>
      </c>
      <c r="B3075" s="1" t="s">
        <v>7546</v>
      </c>
      <c r="C3075" s="580">
        <v>161</v>
      </c>
      <c r="D3075" s="1">
        <v>14860</v>
      </c>
      <c r="E3075" t="s">
        <v>4624</v>
      </c>
      <c r="F3075">
        <v>0</v>
      </c>
      <c r="G3075" s="580">
        <v>0</v>
      </c>
      <c r="H3075" s="1">
        <v>0</v>
      </c>
      <c r="I3075" s="1"/>
      <c r="J3075" s="1"/>
      <c r="K3075" s="1"/>
      <c r="L3075" s="1"/>
      <c r="M3075" s="1"/>
      <c r="N3075" s="1"/>
      <c r="O3075" s="1"/>
      <c r="Q3075"/>
    </row>
    <row r="3076" spans="1:17" ht="13.15" customHeight="1" x14ac:dyDescent="0.2">
      <c r="A3076" s="1" t="s">
        <v>7602</v>
      </c>
      <c r="B3076" s="1" t="s">
        <v>7546</v>
      </c>
      <c r="C3076" s="580">
        <v>162</v>
      </c>
      <c r="D3076" s="1">
        <v>16525</v>
      </c>
      <c r="E3076" t="s">
        <v>4624</v>
      </c>
      <c r="F3076">
        <v>0</v>
      </c>
      <c r="G3076" s="580">
        <v>0</v>
      </c>
      <c r="H3076" s="1">
        <v>0</v>
      </c>
      <c r="I3076" s="1"/>
      <c r="J3076" s="1"/>
      <c r="K3076" s="1"/>
      <c r="L3076" s="1"/>
      <c r="M3076" s="1"/>
      <c r="N3076" s="1"/>
      <c r="O3076" s="1"/>
      <c r="Q3076"/>
    </row>
    <row r="3077" spans="1:17" ht="13.15" customHeight="1" x14ac:dyDescent="0.2">
      <c r="A3077" s="1" t="s">
        <v>7603</v>
      </c>
      <c r="B3077" s="1" t="s">
        <v>7546</v>
      </c>
      <c r="C3077" s="580">
        <v>163</v>
      </c>
      <c r="D3077" s="1">
        <v>13965</v>
      </c>
      <c r="E3077" t="s">
        <v>4624</v>
      </c>
      <c r="F3077">
        <v>0</v>
      </c>
      <c r="G3077" s="580">
        <v>0</v>
      </c>
      <c r="H3077" s="1">
        <v>0</v>
      </c>
      <c r="I3077" s="1"/>
      <c r="J3077" s="1"/>
      <c r="K3077" s="1"/>
      <c r="L3077" s="1"/>
      <c r="M3077" s="1"/>
      <c r="N3077" s="1"/>
      <c r="O3077" s="1"/>
      <c r="Q3077"/>
    </row>
    <row r="3078" spans="1:17" ht="13.15" customHeight="1" x14ac:dyDescent="0.2">
      <c r="A3078" s="1" t="s">
        <v>7604</v>
      </c>
      <c r="B3078" s="1" t="s">
        <v>7546</v>
      </c>
      <c r="C3078" s="580">
        <v>164</v>
      </c>
      <c r="D3078" s="1">
        <v>14700</v>
      </c>
      <c r="E3078" t="s">
        <v>4624</v>
      </c>
      <c r="F3078">
        <v>0</v>
      </c>
      <c r="G3078" s="580">
        <v>0</v>
      </c>
      <c r="H3078" s="1">
        <v>0</v>
      </c>
      <c r="I3078" s="1"/>
      <c r="J3078" s="1"/>
      <c r="K3078" s="1"/>
      <c r="L3078" s="1"/>
      <c r="M3078" s="1"/>
      <c r="N3078" s="1"/>
      <c r="O3078" s="1"/>
      <c r="Q3078"/>
    </row>
    <row r="3079" spans="1:17" ht="13.15" customHeight="1" x14ac:dyDescent="0.2">
      <c r="A3079" s="1" t="s">
        <v>7605</v>
      </c>
      <c r="B3079" s="1" t="s">
        <v>7546</v>
      </c>
      <c r="C3079" s="580">
        <v>165</v>
      </c>
      <c r="D3079" s="1">
        <v>15870</v>
      </c>
      <c r="E3079" t="s">
        <v>4624</v>
      </c>
      <c r="F3079">
        <v>0</v>
      </c>
      <c r="G3079" s="580">
        <v>0</v>
      </c>
      <c r="H3079" s="1">
        <v>0</v>
      </c>
      <c r="I3079" s="1"/>
      <c r="J3079" s="1"/>
      <c r="K3079" s="1"/>
      <c r="L3079" s="1"/>
      <c r="M3079" s="1"/>
      <c r="N3079" s="1"/>
      <c r="O3079" s="1"/>
      <c r="Q3079"/>
    </row>
    <row r="3080" spans="1:17" ht="13.15" customHeight="1" x14ac:dyDescent="0.2">
      <c r="A3080" s="1" t="s">
        <v>7606</v>
      </c>
      <c r="B3080" s="1" t="s">
        <v>7546</v>
      </c>
      <c r="C3080" s="580">
        <v>166</v>
      </c>
      <c r="D3080" s="1">
        <v>16978</v>
      </c>
      <c r="E3080" t="s">
        <v>4624</v>
      </c>
      <c r="F3080">
        <v>0</v>
      </c>
      <c r="G3080" s="580">
        <v>0</v>
      </c>
      <c r="H3080" s="1">
        <v>0</v>
      </c>
      <c r="I3080" s="1"/>
      <c r="J3080" s="1"/>
      <c r="K3080" s="1"/>
      <c r="L3080" s="1"/>
      <c r="M3080" s="1"/>
      <c r="N3080" s="1"/>
      <c r="O3080" s="1"/>
      <c r="Q3080"/>
    </row>
    <row r="3081" spans="1:17" ht="13.15" customHeight="1" x14ac:dyDescent="0.2">
      <c r="A3081" s="1" t="s">
        <v>7607</v>
      </c>
      <c r="B3081" s="1" t="s">
        <v>7546</v>
      </c>
      <c r="C3081" s="580">
        <v>167</v>
      </c>
      <c r="D3081" s="1">
        <v>18200</v>
      </c>
      <c r="E3081" t="s">
        <v>4624</v>
      </c>
      <c r="F3081">
        <v>0</v>
      </c>
      <c r="G3081" s="580">
        <v>0</v>
      </c>
      <c r="H3081" s="1">
        <v>0</v>
      </c>
      <c r="I3081" s="1"/>
      <c r="J3081" s="1"/>
      <c r="K3081" s="1"/>
      <c r="L3081" s="1"/>
      <c r="M3081" s="1"/>
      <c r="N3081" s="1"/>
      <c r="O3081" s="1"/>
      <c r="Q3081"/>
    </row>
    <row r="3082" spans="1:17" ht="13.15" customHeight="1" x14ac:dyDescent="0.2">
      <c r="A3082" s="1" t="s">
        <v>7608</v>
      </c>
      <c r="B3082" s="1" t="s">
        <v>7546</v>
      </c>
      <c r="C3082" s="580">
        <v>168</v>
      </c>
      <c r="D3082" s="1">
        <v>18200</v>
      </c>
      <c r="E3082" t="s">
        <v>4624</v>
      </c>
      <c r="F3082">
        <v>0</v>
      </c>
      <c r="G3082" s="580">
        <v>0</v>
      </c>
      <c r="H3082" s="1">
        <v>0</v>
      </c>
      <c r="I3082" s="1"/>
      <c r="J3082" s="1"/>
      <c r="K3082" s="1"/>
      <c r="L3082" s="1"/>
      <c r="M3082" s="1"/>
      <c r="N3082" s="1"/>
      <c r="O3082" s="1"/>
      <c r="Q3082"/>
    </row>
    <row r="3083" spans="1:17" ht="13.15" customHeight="1" x14ac:dyDescent="0.2">
      <c r="A3083" s="1" t="s">
        <v>7609</v>
      </c>
      <c r="B3083" s="1" t="s">
        <v>7546</v>
      </c>
      <c r="C3083" s="580">
        <v>169</v>
      </c>
      <c r="D3083" s="1">
        <v>18200</v>
      </c>
      <c r="E3083" t="s">
        <v>4624</v>
      </c>
      <c r="F3083">
        <v>0</v>
      </c>
      <c r="G3083" s="580">
        <v>0</v>
      </c>
      <c r="H3083" s="1">
        <v>0</v>
      </c>
      <c r="I3083" s="1"/>
      <c r="J3083" s="1"/>
      <c r="K3083" s="1"/>
      <c r="L3083" s="1"/>
      <c r="M3083" s="1"/>
      <c r="N3083" s="1"/>
      <c r="O3083" s="1"/>
      <c r="Q3083"/>
    </row>
    <row r="3084" spans="1:17" ht="13.15" customHeight="1" x14ac:dyDescent="0.2">
      <c r="A3084" s="1" t="s">
        <v>7610</v>
      </c>
      <c r="B3084" s="1" t="s">
        <v>7546</v>
      </c>
      <c r="C3084" s="580">
        <v>170</v>
      </c>
      <c r="D3084" s="1">
        <v>19750</v>
      </c>
      <c r="E3084" t="s">
        <v>4624</v>
      </c>
      <c r="F3084">
        <v>0</v>
      </c>
      <c r="G3084" s="580">
        <v>0</v>
      </c>
      <c r="H3084" s="1">
        <v>0</v>
      </c>
      <c r="I3084" s="1"/>
      <c r="J3084" s="1"/>
      <c r="K3084" s="1"/>
      <c r="L3084" s="1"/>
      <c r="M3084" s="1"/>
      <c r="N3084" s="1"/>
      <c r="O3084" s="1"/>
      <c r="Q3084"/>
    </row>
    <row r="3085" spans="1:17" ht="13.15" customHeight="1" x14ac:dyDescent="0.2">
      <c r="A3085" s="1" t="s">
        <v>7611</v>
      </c>
      <c r="B3085" s="1" t="s">
        <v>7546</v>
      </c>
      <c r="C3085" s="580">
        <v>171</v>
      </c>
      <c r="D3085" s="1">
        <v>19750</v>
      </c>
      <c r="E3085" t="s">
        <v>4624</v>
      </c>
      <c r="F3085">
        <v>0</v>
      </c>
      <c r="G3085" s="580">
        <v>0</v>
      </c>
      <c r="H3085" s="1">
        <v>0</v>
      </c>
      <c r="I3085" s="1"/>
      <c r="J3085" s="1"/>
      <c r="K3085" s="1"/>
      <c r="L3085" s="1"/>
      <c r="M3085" s="1"/>
      <c r="N3085" s="1"/>
      <c r="O3085" s="1"/>
      <c r="Q3085"/>
    </row>
    <row r="3086" spans="1:17" ht="13.15" customHeight="1" x14ac:dyDescent="0.2">
      <c r="A3086" s="1" t="s">
        <v>7612</v>
      </c>
      <c r="B3086" s="1" t="s">
        <v>7546</v>
      </c>
      <c r="C3086" s="580">
        <v>172</v>
      </c>
      <c r="D3086" s="1">
        <v>19750</v>
      </c>
      <c r="E3086" t="s">
        <v>4624</v>
      </c>
      <c r="F3086">
        <v>0</v>
      </c>
      <c r="G3086" s="580">
        <v>0</v>
      </c>
      <c r="H3086" s="1">
        <v>0</v>
      </c>
      <c r="I3086" s="1"/>
      <c r="J3086" s="1"/>
      <c r="K3086" s="1"/>
      <c r="L3086" s="1"/>
      <c r="M3086" s="1"/>
      <c r="N3086" s="1"/>
      <c r="O3086" s="1"/>
      <c r="Q3086"/>
    </row>
    <row r="3087" spans="1:17" ht="13.15" customHeight="1" x14ac:dyDescent="0.2">
      <c r="A3087" s="1" t="s">
        <v>7613</v>
      </c>
      <c r="B3087" s="1" t="s">
        <v>7546</v>
      </c>
      <c r="C3087" s="580">
        <v>173</v>
      </c>
      <c r="D3087" s="1">
        <v>20890</v>
      </c>
      <c r="E3087" t="s">
        <v>4624</v>
      </c>
      <c r="F3087">
        <v>0</v>
      </c>
      <c r="G3087" s="580">
        <v>0</v>
      </c>
      <c r="H3087" s="1">
        <v>0</v>
      </c>
      <c r="I3087" s="1"/>
      <c r="J3087" s="1"/>
      <c r="K3087" s="1"/>
      <c r="L3087" s="1"/>
      <c r="M3087" s="1"/>
      <c r="N3087" s="1"/>
      <c r="O3087" s="1"/>
      <c r="Q3087"/>
    </row>
    <row r="3088" spans="1:17" ht="13.15" customHeight="1" x14ac:dyDescent="0.2">
      <c r="A3088" s="1" t="s">
        <v>7614</v>
      </c>
      <c r="B3088" s="1" t="s">
        <v>7546</v>
      </c>
      <c r="C3088" s="580">
        <v>175</v>
      </c>
      <c r="D3088" s="1">
        <v>16840</v>
      </c>
      <c r="E3088" t="s">
        <v>4624</v>
      </c>
      <c r="F3088">
        <v>0</v>
      </c>
      <c r="G3088" s="580">
        <v>0</v>
      </c>
      <c r="H3088" s="1">
        <v>0</v>
      </c>
      <c r="I3088" s="1"/>
      <c r="J3088" s="1"/>
      <c r="K3088" s="1"/>
      <c r="L3088" s="1"/>
      <c r="M3088" s="1"/>
      <c r="N3088" s="1"/>
      <c r="O3088" s="1"/>
      <c r="Q3088"/>
    </row>
    <row r="3089" spans="1:17" ht="13.15" customHeight="1" x14ac:dyDescent="0.2">
      <c r="A3089" s="1" t="s">
        <v>7615</v>
      </c>
      <c r="B3089" s="1" t="s">
        <v>7546</v>
      </c>
      <c r="C3089" s="580">
        <v>176</v>
      </c>
      <c r="D3089" s="1">
        <v>13750</v>
      </c>
      <c r="E3089" t="s">
        <v>4624</v>
      </c>
      <c r="F3089">
        <v>0</v>
      </c>
      <c r="G3089" s="580">
        <v>0</v>
      </c>
      <c r="H3089" s="1">
        <v>0</v>
      </c>
      <c r="I3089" s="1"/>
      <c r="J3089" s="1"/>
      <c r="K3089" s="1"/>
      <c r="L3089" s="1"/>
      <c r="M3089" s="1"/>
      <c r="N3089" s="1"/>
      <c r="O3089" s="1"/>
      <c r="Q3089"/>
    </row>
    <row r="3090" spans="1:17" ht="13.15" customHeight="1" x14ac:dyDescent="0.2">
      <c r="A3090" s="1" t="s">
        <v>7616</v>
      </c>
      <c r="B3090" s="1" t="s">
        <v>7546</v>
      </c>
      <c r="C3090" s="580">
        <v>177</v>
      </c>
      <c r="D3090" s="1">
        <v>16750</v>
      </c>
      <c r="E3090" t="s">
        <v>4624</v>
      </c>
      <c r="F3090">
        <v>0</v>
      </c>
      <c r="G3090" s="580">
        <v>0</v>
      </c>
      <c r="H3090" s="1">
        <v>0</v>
      </c>
      <c r="I3090" s="1"/>
      <c r="J3090" s="1"/>
      <c r="K3090" s="1"/>
      <c r="L3090" s="1"/>
      <c r="M3090" s="1"/>
      <c r="N3090" s="1"/>
      <c r="O3090" s="1"/>
      <c r="Q3090"/>
    </row>
    <row r="3091" spans="1:17" ht="13.15" customHeight="1" x14ac:dyDescent="0.2">
      <c r="A3091" s="1" t="s">
        <v>7617</v>
      </c>
      <c r="B3091" s="1" t="s">
        <v>7546</v>
      </c>
      <c r="C3091" s="580">
        <v>178</v>
      </c>
      <c r="D3091" s="1">
        <v>9560</v>
      </c>
      <c r="E3091" t="s">
        <v>4624</v>
      </c>
      <c r="F3091">
        <v>0</v>
      </c>
      <c r="G3091" s="580">
        <v>0</v>
      </c>
      <c r="H3091" s="1">
        <v>0</v>
      </c>
      <c r="I3091" s="1"/>
      <c r="J3091" s="1"/>
      <c r="K3091" s="1"/>
      <c r="L3091" s="1"/>
      <c r="M3091" s="1"/>
      <c r="N3091" s="1"/>
      <c r="O3091" s="1"/>
      <c r="Q3091"/>
    </row>
    <row r="3092" spans="1:17" ht="13.15" customHeight="1" x14ac:dyDescent="0.2">
      <c r="A3092" s="1" t="s">
        <v>7618</v>
      </c>
      <c r="B3092" s="1" t="s">
        <v>7546</v>
      </c>
      <c r="C3092" s="580">
        <v>179</v>
      </c>
      <c r="D3092" s="1">
        <v>51220</v>
      </c>
      <c r="E3092" t="s">
        <v>4624</v>
      </c>
      <c r="F3092">
        <v>0</v>
      </c>
      <c r="G3092" s="580">
        <v>0</v>
      </c>
      <c r="H3092" s="1">
        <v>0</v>
      </c>
      <c r="I3092" s="1"/>
      <c r="J3092" s="1"/>
      <c r="K3092" s="1"/>
      <c r="L3092" s="1"/>
      <c r="M3092" s="1"/>
      <c r="N3092" s="1"/>
      <c r="O3092" s="1"/>
      <c r="Q3092"/>
    </row>
    <row r="3093" spans="1:17" ht="13.15" customHeight="1" x14ac:dyDescent="0.2">
      <c r="A3093" s="1" t="s">
        <v>7619</v>
      </c>
      <c r="B3093" s="1" t="s">
        <v>7546</v>
      </c>
      <c r="C3093" s="580">
        <v>180</v>
      </c>
      <c r="D3093" s="1">
        <v>8560</v>
      </c>
      <c r="E3093" t="s">
        <v>4624</v>
      </c>
      <c r="F3093">
        <v>0</v>
      </c>
      <c r="G3093" s="580">
        <v>0</v>
      </c>
      <c r="H3093" s="1">
        <v>0</v>
      </c>
      <c r="I3093" s="1"/>
      <c r="J3093" s="1"/>
      <c r="K3093" s="1"/>
      <c r="L3093" s="1"/>
      <c r="M3093" s="1"/>
      <c r="N3093" s="1"/>
      <c r="O3093" s="1"/>
      <c r="Q3093"/>
    </row>
    <row r="3094" spans="1:17" ht="13.15" customHeight="1" x14ac:dyDescent="0.2">
      <c r="A3094" s="1" t="s">
        <v>7620</v>
      </c>
      <c r="B3094" s="1" t="s">
        <v>7546</v>
      </c>
      <c r="C3094" s="580">
        <v>181</v>
      </c>
      <c r="D3094" s="1">
        <v>8895</v>
      </c>
      <c r="E3094" t="s">
        <v>4624</v>
      </c>
      <c r="F3094">
        <v>0</v>
      </c>
      <c r="G3094" s="580">
        <v>0</v>
      </c>
      <c r="H3094" s="1">
        <v>0</v>
      </c>
      <c r="I3094" s="1"/>
      <c r="J3094" s="1"/>
      <c r="K3094" s="1"/>
      <c r="L3094" s="1"/>
      <c r="M3094" s="1"/>
      <c r="N3094" s="1"/>
      <c r="O3094" s="1"/>
      <c r="Q3094"/>
    </row>
    <row r="3095" spans="1:17" ht="13.15" customHeight="1" x14ac:dyDescent="0.2">
      <c r="A3095" s="1" t="s">
        <v>7621</v>
      </c>
      <c r="B3095" s="1" t="s">
        <v>7546</v>
      </c>
      <c r="C3095" s="580">
        <v>190</v>
      </c>
      <c r="D3095" s="1">
        <v>17560</v>
      </c>
      <c r="E3095" t="s">
        <v>4624</v>
      </c>
      <c r="F3095">
        <v>0</v>
      </c>
      <c r="G3095" s="580">
        <v>0</v>
      </c>
      <c r="H3095" s="1">
        <v>0</v>
      </c>
      <c r="I3095" s="1"/>
      <c r="J3095" s="1"/>
      <c r="K3095" s="1"/>
      <c r="L3095" s="1"/>
      <c r="M3095" s="1"/>
      <c r="N3095" s="1"/>
      <c r="O3095" s="1"/>
      <c r="Q3095"/>
    </row>
    <row r="3096" spans="1:17" ht="13.15" customHeight="1" x14ac:dyDescent="0.2">
      <c r="A3096" s="1" t="s">
        <v>7622</v>
      </c>
      <c r="B3096" s="1" t="s">
        <v>7546</v>
      </c>
      <c r="C3096" s="580">
        <v>193</v>
      </c>
      <c r="D3096" s="1">
        <v>9456</v>
      </c>
      <c r="E3096" t="s">
        <v>4624</v>
      </c>
      <c r="F3096">
        <v>0</v>
      </c>
      <c r="G3096" s="580">
        <v>0</v>
      </c>
      <c r="H3096" s="1">
        <v>0</v>
      </c>
      <c r="I3096" s="1"/>
      <c r="J3096" s="1"/>
      <c r="K3096" s="1"/>
      <c r="L3096" s="1"/>
      <c r="M3096" s="1"/>
      <c r="N3096" s="1"/>
      <c r="O3096" s="1"/>
      <c r="Q3096"/>
    </row>
    <row r="3097" spans="1:17" ht="13.15" customHeight="1" x14ac:dyDescent="0.2">
      <c r="A3097" s="1" t="s">
        <v>7623</v>
      </c>
      <c r="B3097" s="1" t="s">
        <v>7546</v>
      </c>
      <c r="C3097" s="580">
        <v>196</v>
      </c>
      <c r="D3097" s="1">
        <v>7960</v>
      </c>
      <c r="E3097" t="s">
        <v>4624</v>
      </c>
      <c r="F3097">
        <v>0</v>
      </c>
      <c r="G3097" s="580">
        <v>0</v>
      </c>
      <c r="H3097" s="1">
        <v>0</v>
      </c>
      <c r="I3097" s="1"/>
      <c r="J3097" s="1"/>
      <c r="K3097" s="1"/>
      <c r="L3097" s="1"/>
      <c r="M3097" s="1"/>
      <c r="N3097" s="1"/>
      <c r="O3097" s="1"/>
      <c r="Q3097"/>
    </row>
    <row r="3098" spans="1:17" ht="13.15" customHeight="1" x14ac:dyDescent="0.2">
      <c r="A3098" s="1" t="s">
        <v>7624</v>
      </c>
      <c r="B3098" s="1" t="s">
        <v>7546</v>
      </c>
      <c r="C3098" s="580">
        <v>198</v>
      </c>
      <c r="D3098" s="1">
        <v>8123</v>
      </c>
      <c r="E3098" t="s">
        <v>4624</v>
      </c>
      <c r="F3098">
        <v>0</v>
      </c>
      <c r="G3098" s="580">
        <v>0</v>
      </c>
      <c r="H3098" s="1">
        <v>0</v>
      </c>
      <c r="I3098" s="1"/>
      <c r="J3098" s="1"/>
      <c r="K3098" s="1"/>
      <c r="L3098" s="1"/>
      <c r="M3098" s="1"/>
      <c r="N3098" s="1"/>
      <c r="O3098" s="1"/>
      <c r="Q3098"/>
    </row>
    <row r="3099" spans="1:17" ht="13.15" customHeight="1" x14ac:dyDescent="0.2">
      <c r="A3099" s="1" t="s">
        <v>7625</v>
      </c>
      <c r="B3099" s="1" t="s">
        <v>7546</v>
      </c>
      <c r="C3099" s="580">
        <v>200</v>
      </c>
      <c r="D3099" s="1">
        <v>11700</v>
      </c>
      <c r="E3099" t="s">
        <v>4624</v>
      </c>
      <c r="F3099">
        <v>0</v>
      </c>
      <c r="G3099" s="580">
        <v>0</v>
      </c>
      <c r="H3099" s="1">
        <v>0</v>
      </c>
      <c r="I3099" s="1"/>
      <c r="J3099" s="1"/>
      <c r="K3099" s="1"/>
      <c r="L3099" s="1"/>
      <c r="M3099" s="1"/>
      <c r="N3099" s="1"/>
      <c r="O3099" s="1"/>
      <c r="Q3099"/>
    </row>
    <row r="3100" spans="1:17" ht="13.15" customHeight="1" x14ac:dyDescent="0.2">
      <c r="A3100" s="1" t="s">
        <v>7626</v>
      </c>
      <c r="B3100" s="1" t="s">
        <v>7546</v>
      </c>
      <c r="C3100" s="580">
        <v>201</v>
      </c>
      <c r="D3100" s="1">
        <v>11700</v>
      </c>
      <c r="E3100" t="s">
        <v>4624</v>
      </c>
      <c r="F3100">
        <v>0</v>
      </c>
      <c r="G3100" s="580">
        <v>0</v>
      </c>
      <c r="H3100" s="1">
        <v>0</v>
      </c>
      <c r="I3100" s="1"/>
      <c r="J3100" s="1"/>
      <c r="K3100" s="1"/>
      <c r="L3100" s="1"/>
      <c r="M3100" s="1"/>
      <c r="N3100" s="1"/>
      <c r="O3100" s="1"/>
      <c r="Q3100"/>
    </row>
    <row r="3101" spans="1:17" ht="13.15" customHeight="1" x14ac:dyDescent="0.2">
      <c r="A3101" s="1" t="s">
        <v>7627</v>
      </c>
      <c r="B3101" s="1" t="s">
        <v>7546</v>
      </c>
      <c r="C3101" s="580">
        <v>202</v>
      </c>
      <c r="D3101" s="1">
        <v>11700</v>
      </c>
      <c r="E3101" t="s">
        <v>4624</v>
      </c>
      <c r="F3101">
        <v>0</v>
      </c>
      <c r="G3101" s="580">
        <v>0</v>
      </c>
      <c r="H3101" s="1">
        <v>0</v>
      </c>
      <c r="I3101" s="1"/>
      <c r="J3101" s="1"/>
      <c r="K3101" s="1"/>
      <c r="L3101" s="1"/>
      <c r="M3101" s="1"/>
      <c r="N3101" s="1"/>
      <c r="O3101" s="1"/>
      <c r="Q3101"/>
    </row>
    <row r="3102" spans="1:17" ht="13.15" customHeight="1" x14ac:dyDescent="0.2">
      <c r="A3102" s="1" t="s">
        <v>7628</v>
      </c>
      <c r="B3102" s="1" t="s">
        <v>7546</v>
      </c>
      <c r="C3102" s="580">
        <v>203</v>
      </c>
      <c r="D3102" s="1">
        <v>11700</v>
      </c>
      <c r="E3102" t="s">
        <v>4624</v>
      </c>
      <c r="F3102">
        <v>0</v>
      </c>
      <c r="G3102" s="580">
        <v>0</v>
      </c>
      <c r="H3102" s="1">
        <v>0</v>
      </c>
      <c r="I3102" s="1"/>
      <c r="J3102" s="1"/>
      <c r="K3102" s="1"/>
      <c r="L3102" s="1"/>
      <c r="M3102" s="1"/>
      <c r="N3102" s="1"/>
      <c r="O3102" s="1"/>
      <c r="Q3102"/>
    </row>
    <row r="3103" spans="1:17" ht="13.15" customHeight="1" x14ac:dyDescent="0.2">
      <c r="A3103" s="1" t="s">
        <v>7629</v>
      </c>
      <c r="B3103" s="1" t="s">
        <v>7546</v>
      </c>
      <c r="C3103" s="580">
        <v>204</v>
      </c>
      <c r="D3103" s="1">
        <v>11700</v>
      </c>
      <c r="E3103" t="s">
        <v>4624</v>
      </c>
      <c r="F3103">
        <v>0</v>
      </c>
      <c r="G3103" s="580">
        <v>0</v>
      </c>
      <c r="H3103" s="1">
        <v>0</v>
      </c>
      <c r="I3103" s="1"/>
      <c r="J3103" s="1"/>
      <c r="K3103" s="1"/>
      <c r="L3103" s="1"/>
      <c r="M3103" s="1"/>
      <c r="N3103" s="1"/>
      <c r="O3103" s="1"/>
      <c r="Q3103"/>
    </row>
    <row r="3104" spans="1:17" ht="13.15" customHeight="1" x14ac:dyDescent="0.2">
      <c r="A3104" s="1" t="s">
        <v>7630</v>
      </c>
      <c r="B3104" s="1" t="s">
        <v>7546</v>
      </c>
      <c r="C3104" s="580" t="s">
        <v>7132</v>
      </c>
      <c r="D3104" s="1">
        <v>16000</v>
      </c>
      <c r="E3104" t="s">
        <v>4624</v>
      </c>
      <c r="F3104">
        <v>0</v>
      </c>
      <c r="G3104" s="580">
        <v>0</v>
      </c>
      <c r="H3104" s="1">
        <v>0</v>
      </c>
      <c r="I3104" s="1"/>
      <c r="J3104" s="1"/>
      <c r="K3104" s="1"/>
      <c r="L3104" s="1"/>
      <c r="M3104" s="1"/>
      <c r="N3104" s="1"/>
      <c r="O3104" s="1"/>
      <c r="Q3104"/>
    </row>
    <row r="3105" spans="1:17" ht="13.15" customHeight="1" x14ac:dyDescent="0.2">
      <c r="A3105" s="1" t="s">
        <v>7631</v>
      </c>
      <c r="B3105" s="1" t="s">
        <v>5112</v>
      </c>
      <c r="C3105" s="580" t="s">
        <v>7632</v>
      </c>
      <c r="D3105" s="1">
        <v>4773.8164999999999</v>
      </c>
      <c r="E3105" t="s">
        <v>5114</v>
      </c>
      <c r="F3105">
        <v>357</v>
      </c>
      <c r="G3105" s="580">
        <v>1410</v>
      </c>
      <c r="H3105" s="1" t="s">
        <v>7633</v>
      </c>
      <c r="I3105" s="1"/>
      <c r="J3105" s="1"/>
      <c r="K3105" s="1"/>
      <c r="L3105" s="1"/>
      <c r="M3105" s="1"/>
      <c r="N3105" s="1"/>
      <c r="O3105" s="1"/>
      <c r="Q3105"/>
    </row>
    <row r="3106" spans="1:17" ht="13.15" customHeight="1" x14ac:dyDescent="0.2">
      <c r="A3106" s="1" t="s">
        <v>7634</v>
      </c>
      <c r="B3106" s="1" t="s">
        <v>5112</v>
      </c>
      <c r="C3106" s="580" t="s">
        <v>7635</v>
      </c>
      <c r="D3106" s="1">
        <v>4773.8164999999999</v>
      </c>
      <c r="E3106" t="s">
        <v>5114</v>
      </c>
      <c r="F3106">
        <v>364</v>
      </c>
      <c r="G3106" s="580">
        <v>1410</v>
      </c>
      <c r="H3106" s="1" t="s">
        <v>7636</v>
      </c>
      <c r="I3106" s="1"/>
      <c r="J3106" s="1"/>
      <c r="K3106" s="1"/>
      <c r="L3106" s="1"/>
      <c r="M3106" s="1"/>
      <c r="N3106" s="1"/>
      <c r="O3106" s="1"/>
      <c r="Q3106"/>
    </row>
    <row r="3107" spans="1:17" ht="13.15" customHeight="1" x14ac:dyDescent="0.2">
      <c r="A3107" s="1" t="s">
        <v>7637</v>
      </c>
      <c r="B3107" s="1" t="s">
        <v>5112</v>
      </c>
      <c r="C3107" s="580" t="s">
        <v>7638</v>
      </c>
      <c r="D3107" s="1">
        <v>4773.8164999999999</v>
      </c>
      <c r="E3107" t="s">
        <v>5114</v>
      </c>
      <c r="F3107">
        <v>372</v>
      </c>
      <c r="G3107" s="580">
        <v>1410</v>
      </c>
      <c r="H3107" s="1" t="s">
        <v>7639</v>
      </c>
      <c r="I3107" s="1"/>
      <c r="J3107" s="1"/>
      <c r="K3107" s="1"/>
      <c r="L3107" s="1"/>
      <c r="M3107" s="1"/>
      <c r="N3107" s="1"/>
      <c r="O3107" s="1"/>
      <c r="Q3107"/>
    </row>
    <row r="3108" spans="1:17" ht="13.15" customHeight="1" x14ac:dyDescent="0.2">
      <c r="A3108" s="1" t="s">
        <v>7640</v>
      </c>
      <c r="B3108" s="1" t="s">
        <v>5112</v>
      </c>
      <c r="C3108" s="580" t="s">
        <v>7641</v>
      </c>
      <c r="D3108" s="1">
        <v>4773.8164999999999</v>
      </c>
      <c r="E3108" t="s">
        <v>5114</v>
      </c>
      <c r="F3108">
        <v>387</v>
      </c>
      <c r="G3108" s="580">
        <v>1410</v>
      </c>
      <c r="H3108" s="1" t="s">
        <v>7642</v>
      </c>
      <c r="I3108" s="1"/>
      <c r="J3108" s="1"/>
      <c r="K3108" s="1"/>
      <c r="L3108" s="1"/>
      <c r="M3108" s="1"/>
      <c r="N3108" s="1"/>
      <c r="O3108" s="1"/>
      <c r="Q3108"/>
    </row>
    <row r="3109" spans="1:17" ht="13.15" customHeight="1" x14ac:dyDescent="0.2">
      <c r="A3109" s="1" t="s">
        <v>7643</v>
      </c>
      <c r="B3109" s="1" t="s">
        <v>5112</v>
      </c>
      <c r="C3109" s="580" t="s">
        <v>7644</v>
      </c>
      <c r="D3109" s="1">
        <v>4773.8164999999999</v>
      </c>
      <c r="E3109" t="s">
        <v>5114</v>
      </c>
      <c r="F3109">
        <v>399</v>
      </c>
      <c r="G3109" s="580">
        <v>1410</v>
      </c>
      <c r="H3109" s="1" t="s">
        <v>7645</v>
      </c>
      <c r="I3109" s="1"/>
      <c r="J3109" s="1"/>
      <c r="K3109" s="1"/>
      <c r="L3109" s="1"/>
      <c r="M3109" s="1"/>
      <c r="N3109" s="1"/>
      <c r="O3109" s="1"/>
      <c r="Q3109"/>
    </row>
    <row r="3110" spans="1:17" ht="13.15" customHeight="1" x14ac:dyDescent="0.2">
      <c r="A3110" s="1" t="s">
        <v>7646</v>
      </c>
      <c r="B3110" s="1" t="s">
        <v>5112</v>
      </c>
      <c r="C3110" s="580" t="s">
        <v>7647</v>
      </c>
      <c r="D3110" s="1">
        <v>4773.8164999999999</v>
      </c>
      <c r="E3110" t="s">
        <v>5114</v>
      </c>
      <c r="F3110">
        <v>410</v>
      </c>
      <c r="G3110" s="580">
        <v>1410</v>
      </c>
      <c r="H3110" s="1" t="s">
        <v>7648</v>
      </c>
      <c r="I3110" s="1"/>
      <c r="J3110" s="1"/>
      <c r="K3110" s="1"/>
      <c r="L3110" s="1"/>
      <c r="M3110" s="1"/>
      <c r="N3110" s="1"/>
      <c r="O3110" s="1"/>
      <c r="Q3110"/>
    </row>
    <row r="3111" spans="1:17" ht="13.15" customHeight="1" x14ac:dyDescent="0.2">
      <c r="A3111" s="1" t="s">
        <v>7649</v>
      </c>
      <c r="B3111" s="1" t="s">
        <v>5112</v>
      </c>
      <c r="C3111" s="580" t="s">
        <v>7650</v>
      </c>
      <c r="D3111" s="1">
        <v>4773.8164999999999</v>
      </c>
      <c r="E3111" t="s">
        <v>5114</v>
      </c>
      <c r="F3111">
        <v>411</v>
      </c>
      <c r="G3111" s="580">
        <v>1410</v>
      </c>
      <c r="H3111" s="1" t="s">
        <v>7651</v>
      </c>
      <c r="I3111" s="1"/>
      <c r="J3111" s="1"/>
      <c r="K3111" s="1"/>
      <c r="L3111" s="1"/>
      <c r="M3111" s="1"/>
      <c r="N3111" s="1"/>
      <c r="O3111" s="1"/>
      <c r="Q3111"/>
    </row>
    <row r="3112" spans="1:17" ht="13.15" customHeight="1" x14ac:dyDescent="0.2">
      <c r="A3112" s="1" t="s">
        <v>7652</v>
      </c>
      <c r="B3112" s="1" t="s">
        <v>5112</v>
      </c>
      <c r="C3112" s="580" t="s">
        <v>7653</v>
      </c>
      <c r="D3112" s="1">
        <v>4773.8164999999999</v>
      </c>
      <c r="E3112" t="s">
        <v>5114</v>
      </c>
      <c r="F3112">
        <v>412</v>
      </c>
      <c r="G3112" s="580">
        <v>1410</v>
      </c>
      <c r="H3112" s="1" t="s">
        <v>7654</v>
      </c>
      <c r="I3112" s="1"/>
      <c r="J3112" s="1"/>
      <c r="K3112" s="1"/>
      <c r="L3112" s="1"/>
      <c r="M3112" s="1"/>
      <c r="N3112" s="1"/>
      <c r="O3112" s="1"/>
      <c r="Q3112"/>
    </row>
    <row r="3113" spans="1:17" ht="13.15" customHeight="1" x14ac:dyDescent="0.2">
      <c r="A3113" s="1" t="s">
        <v>7655</v>
      </c>
      <c r="B3113" s="1" t="s">
        <v>5112</v>
      </c>
      <c r="C3113" s="580" t="s">
        <v>7656</v>
      </c>
      <c r="D3113" s="1">
        <v>4773.8164999999999</v>
      </c>
      <c r="E3113" t="s">
        <v>5114</v>
      </c>
      <c r="F3113">
        <v>414</v>
      </c>
      <c r="G3113" s="580">
        <v>1410</v>
      </c>
      <c r="H3113" s="1" t="s">
        <v>7654</v>
      </c>
      <c r="I3113" s="1"/>
      <c r="J3113" s="1"/>
      <c r="K3113" s="1"/>
      <c r="L3113" s="1"/>
      <c r="M3113" s="1"/>
      <c r="N3113" s="1"/>
      <c r="O3113" s="1"/>
      <c r="Q3113"/>
    </row>
    <row r="3114" spans="1:17" ht="13.15" customHeight="1" x14ac:dyDescent="0.2">
      <c r="A3114" s="1" t="s">
        <v>7657</v>
      </c>
      <c r="B3114" s="1" t="s">
        <v>5112</v>
      </c>
      <c r="C3114" s="580" t="s">
        <v>7658</v>
      </c>
      <c r="D3114" s="1">
        <v>4773.8164999999999</v>
      </c>
      <c r="E3114" t="s">
        <v>5114</v>
      </c>
      <c r="F3114">
        <v>415</v>
      </c>
      <c r="G3114" s="580">
        <v>1410</v>
      </c>
      <c r="H3114" s="1" t="s">
        <v>7659</v>
      </c>
      <c r="I3114" s="1"/>
      <c r="J3114" s="1"/>
      <c r="K3114" s="1"/>
      <c r="L3114" s="1"/>
      <c r="M3114" s="1"/>
      <c r="N3114" s="1"/>
      <c r="O3114" s="1"/>
      <c r="Q3114"/>
    </row>
    <row r="3115" spans="1:17" ht="13.15" customHeight="1" x14ac:dyDescent="0.2">
      <c r="A3115" s="1" t="s">
        <v>7660</v>
      </c>
      <c r="B3115" s="1" t="s">
        <v>5112</v>
      </c>
      <c r="C3115" s="580" t="s">
        <v>7661</v>
      </c>
      <c r="D3115" s="1">
        <v>4773.8164999999999</v>
      </c>
      <c r="E3115" t="s">
        <v>5114</v>
      </c>
      <c r="F3115">
        <v>417</v>
      </c>
      <c r="G3115" s="580">
        <v>1410</v>
      </c>
      <c r="H3115" s="1" t="s">
        <v>7659</v>
      </c>
      <c r="I3115" s="1"/>
      <c r="J3115" s="1"/>
      <c r="K3115" s="1"/>
      <c r="L3115" s="1"/>
      <c r="M3115" s="1"/>
      <c r="N3115" s="1"/>
      <c r="O3115" s="1"/>
      <c r="Q3115"/>
    </row>
    <row r="3116" spans="1:17" ht="13.15" customHeight="1" x14ac:dyDescent="0.2">
      <c r="A3116" s="1" t="s">
        <v>7662</v>
      </c>
      <c r="B3116" s="1" t="s">
        <v>5112</v>
      </c>
      <c r="C3116" s="580" t="s">
        <v>7663</v>
      </c>
      <c r="D3116" s="1">
        <v>4773.8164999999999</v>
      </c>
      <c r="E3116" t="s">
        <v>5114</v>
      </c>
      <c r="F3116">
        <v>418</v>
      </c>
      <c r="G3116" s="580">
        <v>1410</v>
      </c>
      <c r="H3116" s="1" t="s">
        <v>7664</v>
      </c>
      <c r="I3116" s="1"/>
      <c r="J3116" s="1"/>
      <c r="K3116" s="1"/>
      <c r="L3116" s="1"/>
      <c r="M3116" s="1"/>
      <c r="N3116" s="1"/>
      <c r="O3116" s="1"/>
      <c r="Q3116"/>
    </row>
    <row r="3117" spans="1:17" ht="13.15" customHeight="1" x14ac:dyDescent="0.2">
      <c r="A3117" s="1" t="s">
        <v>7665</v>
      </c>
      <c r="B3117" s="1" t="s">
        <v>5112</v>
      </c>
      <c r="C3117" s="580" t="s">
        <v>7666</v>
      </c>
      <c r="D3117" s="1">
        <v>4773.8164999999999</v>
      </c>
      <c r="E3117" t="s">
        <v>5114</v>
      </c>
      <c r="F3117">
        <v>419</v>
      </c>
      <c r="G3117" s="580">
        <v>1410</v>
      </c>
      <c r="H3117" s="1" t="s">
        <v>7667</v>
      </c>
      <c r="I3117" s="1"/>
      <c r="J3117" s="1"/>
      <c r="K3117" s="1"/>
      <c r="L3117" s="1"/>
      <c r="M3117" s="1"/>
      <c r="N3117" s="1"/>
      <c r="O3117" s="1"/>
      <c r="Q3117"/>
    </row>
    <row r="3118" spans="1:17" ht="13.15" customHeight="1" x14ac:dyDescent="0.2">
      <c r="A3118" s="1" t="s">
        <v>7668</v>
      </c>
      <c r="B3118" s="1" t="s">
        <v>5112</v>
      </c>
      <c r="C3118" s="580" t="s">
        <v>7669</v>
      </c>
      <c r="D3118" s="1">
        <v>4773.8164999999999</v>
      </c>
      <c r="E3118" t="s">
        <v>5114</v>
      </c>
      <c r="F3118">
        <v>420</v>
      </c>
      <c r="G3118" s="580">
        <v>1410</v>
      </c>
      <c r="H3118" s="1" t="s">
        <v>7670</v>
      </c>
      <c r="I3118" s="1"/>
      <c r="J3118" s="1"/>
      <c r="K3118" s="1"/>
      <c r="L3118" s="1"/>
      <c r="M3118" s="1"/>
      <c r="N3118" s="1"/>
      <c r="O3118" s="1"/>
      <c r="Q3118"/>
    </row>
    <row r="3119" spans="1:17" ht="13.15" customHeight="1" x14ac:dyDescent="0.2">
      <c r="A3119" s="1" t="s">
        <v>7671</v>
      </c>
      <c r="B3119" s="1" t="s">
        <v>5112</v>
      </c>
      <c r="C3119" s="580" t="s">
        <v>7672</v>
      </c>
      <c r="D3119" s="1">
        <v>6030.0839999999998</v>
      </c>
      <c r="E3119" t="s">
        <v>5114</v>
      </c>
      <c r="F3119" t="s">
        <v>7673</v>
      </c>
      <c r="G3119" s="580">
        <v>1831.1687999999999</v>
      </c>
      <c r="H3119" s="1" t="s">
        <v>7674</v>
      </c>
      <c r="I3119" s="1"/>
      <c r="J3119" s="1"/>
      <c r="K3119" s="1"/>
      <c r="L3119" s="1"/>
      <c r="M3119" s="1"/>
      <c r="N3119" s="1"/>
      <c r="O3119" s="1"/>
      <c r="Q3119"/>
    </row>
    <row r="3120" spans="1:17" ht="13.15" customHeight="1" x14ac:dyDescent="0.2">
      <c r="A3120" s="1" t="s">
        <v>7675</v>
      </c>
      <c r="B3120" s="1" t="s">
        <v>5112</v>
      </c>
      <c r="C3120" s="580" t="s">
        <v>7676</v>
      </c>
      <c r="D3120" s="1">
        <v>6030.0839999999998</v>
      </c>
      <c r="E3120" t="s">
        <v>5114</v>
      </c>
      <c r="F3120" t="s">
        <v>7677</v>
      </c>
      <c r="G3120" s="580">
        <v>1831.1687999999999</v>
      </c>
      <c r="H3120" s="1" t="s">
        <v>7674</v>
      </c>
      <c r="I3120" s="1"/>
      <c r="J3120" s="1"/>
      <c r="K3120" s="1"/>
      <c r="L3120" s="1"/>
      <c r="M3120" s="1"/>
      <c r="N3120" s="1"/>
      <c r="O3120" s="1"/>
      <c r="Q3120"/>
    </row>
    <row r="3121" spans="1:17" ht="13.15" customHeight="1" x14ac:dyDescent="0.2">
      <c r="A3121" s="1" t="s">
        <v>7678</v>
      </c>
      <c r="B3121" s="1" t="s">
        <v>5112</v>
      </c>
      <c r="C3121" s="580" t="s">
        <v>7679</v>
      </c>
      <c r="D3121" s="1">
        <v>4773.8164999999999</v>
      </c>
      <c r="E3121" t="s">
        <v>5114</v>
      </c>
      <c r="F3121">
        <v>422</v>
      </c>
      <c r="G3121" s="580">
        <v>1410</v>
      </c>
      <c r="H3121" s="1" t="s">
        <v>7659</v>
      </c>
      <c r="I3121" s="1"/>
      <c r="J3121" s="1"/>
      <c r="K3121" s="1"/>
      <c r="L3121" s="1"/>
      <c r="M3121" s="1"/>
      <c r="N3121" s="1"/>
      <c r="O3121" s="1"/>
      <c r="Q3121"/>
    </row>
    <row r="3122" spans="1:17" ht="13.15" customHeight="1" x14ac:dyDescent="0.2">
      <c r="A3122" s="1" t="s">
        <v>7680</v>
      </c>
      <c r="B3122" s="1" t="s">
        <v>5112</v>
      </c>
      <c r="C3122" s="580" t="s">
        <v>7681</v>
      </c>
      <c r="D3122" s="1">
        <v>4773.8164999999999</v>
      </c>
      <c r="E3122" t="s">
        <v>5114</v>
      </c>
      <c r="F3122">
        <v>423</v>
      </c>
      <c r="G3122" s="580">
        <v>1410</v>
      </c>
      <c r="H3122" s="1" t="s">
        <v>7682</v>
      </c>
      <c r="I3122" s="1"/>
      <c r="J3122" s="1"/>
      <c r="K3122" s="1"/>
      <c r="L3122" s="1"/>
      <c r="M3122" s="1"/>
      <c r="N3122" s="1"/>
      <c r="O3122" s="1"/>
      <c r="Q3122"/>
    </row>
    <row r="3123" spans="1:17" ht="13.15" customHeight="1" x14ac:dyDescent="0.2">
      <c r="A3123" s="1" t="s">
        <v>7683</v>
      </c>
      <c r="B3123" s="1" t="s">
        <v>5112</v>
      </c>
      <c r="C3123" s="580" t="s">
        <v>7684</v>
      </c>
      <c r="D3123" s="1">
        <v>45225.62</v>
      </c>
      <c r="E3123" t="s">
        <v>5114</v>
      </c>
      <c r="F3123">
        <v>0</v>
      </c>
      <c r="G3123" s="580">
        <v>0</v>
      </c>
      <c r="H3123" s="1">
        <v>0</v>
      </c>
      <c r="I3123" s="1"/>
      <c r="J3123" s="1"/>
      <c r="K3123" s="1"/>
      <c r="L3123" s="1"/>
      <c r="M3123" s="1"/>
      <c r="N3123" s="1"/>
      <c r="O3123" s="1"/>
      <c r="Q3123"/>
    </row>
    <row r="3124" spans="1:17" ht="13.15" customHeight="1" x14ac:dyDescent="0.2">
      <c r="A3124" s="1" t="s">
        <v>7685</v>
      </c>
      <c r="B3124" s="1" t="s">
        <v>7686</v>
      </c>
      <c r="C3124" s="580">
        <v>1</v>
      </c>
      <c r="D3124" s="1">
        <v>2075</v>
      </c>
      <c r="E3124" t="s">
        <v>7687</v>
      </c>
      <c r="F3124" t="s">
        <v>7688</v>
      </c>
      <c r="G3124" s="580">
        <v>650.94799999999998</v>
      </c>
      <c r="H3124" s="1" t="s">
        <v>7689</v>
      </c>
      <c r="I3124" s="1"/>
      <c r="J3124" s="1"/>
      <c r="K3124" s="1"/>
      <c r="L3124" s="1"/>
      <c r="M3124" s="1"/>
      <c r="N3124" s="1"/>
      <c r="O3124" s="1"/>
      <c r="Q3124"/>
    </row>
    <row r="3125" spans="1:17" ht="13.15" customHeight="1" x14ac:dyDescent="0.2">
      <c r="A3125" s="1" t="s">
        <v>7690</v>
      </c>
      <c r="B3125" s="1" t="s">
        <v>7686</v>
      </c>
      <c r="C3125" s="580">
        <v>2</v>
      </c>
      <c r="D3125" s="1">
        <v>3100</v>
      </c>
      <c r="E3125" t="s">
        <v>7687</v>
      </c>
      <c r="F3125">
        <v>0</v>
      </c>
      <c r="G3125" s="580">
        <v>0</v>
      </c>
      <c r="H3125" s="1">
        <v>0</v>
      </c>
      <c r="I3125" s="1"/>
      <c r="J3125" s="1"/>
      <c r="K3125" s="1"/>
      <c r="L3125" s="1"/>
      <c r="M3125" s="1"/>
      <c r="N3125" s="1"/>
      <c r="O3125" s="1"/>
      <c r="Q3125"/>
    </row>
    <row r="3126" spans="1:17" ht="13.15" customHeight="1" x14ac:dyDescent="0.2">
      <c r="A3126" s="1" t="s">
        <v>7691</v>
      </c>
      <c r="B3126" s="1" t="s">
        <v>7686</v>
      </c>
      <c r="C3126" s="580">
        <v>4</v>
      </c>
      <c r="D3126" s="1">
        <v>3100</v>
      </c>
      <c r="E3126" t="s">
        <v>7687</v>
      </c>
      <c r="F3126" t="s">
        <v>7692</v>
      </c>
      <c r="G3126" s="580">
        <v>1012.4349999999999</v>
      </c>
      <c r="H3126" s="1" t="s">
        <v>7693</v>
      </c>
      <c r="I3126" s="1"/>
      <c r="J3126" s="1"/>
      <c r="K3126" s="1"/>
      <c r="L3126" s="1"/>
      <c r="M3126" s="1"/>
      <c r="N3126" s="1"/>
      <c r="O3126" s="1"/>
      <c r="Q3126"/>
    </row>
    <row r="3127" spans="1:17" ht="13.15" customHeight="1" x14ac:dyDescent="0.2">
      <c r="A3127" s="1" t="s">
        <v>7694</v>
      </c>
      <c r="B3127" s="1" t="s">
        <v>7686</v>
      </c>
      <c r="C3127" s="580">
        <v>5</v>
      </c>
      <c r="D3127" s="1">
        <v>4750</v>
      </c>
      <c r="E3127" t="s">
        <v>7687</v>
      </c>
      <c r="F3127">
        <v>0</v>
      </c>
      <c r="G3127" s="580">
        <v>0</v>
      </c>
      <c r="H3127" s="1">
        <v>0</v>
      </c>
      <c r="I3127" s="1"/>
      <c r="J3127" s="1"/>
      <c r="K3127" s="1"/>
      <c r="L3127" s="1"/>
      <c r="M3127" s="1"/>
      <c r="N3127" s="1"/>
      <c r="O3127" s="1"/>
      <c r="Q3127"/>
    </row>
    <row r="3128" spans="1:17" ht="13.15" customHeight="1" x14ac:dyDescent="0.2">
      <c r="A3128" s="1" t="s">
        <v>7695</v>
      </c>
      <c r="B3128" s="1" t="s">
        <v>7686</v>
      </c>
      <c r="C3128" s="580">
        <v>7</v>
      </c>
      <c r="D3128" s="1">
        <v>2920</v>
      </c>
      <c r="E3128" t="s">
        <v>7687</v>
      </c>
      <c r="F3128" t="s">
        <v>7696</v>
      </c>
      <c r="G3128" s="580">
        <v>900.88599999999997</v>
      </c>
      <c r="H3128" s="1" t="s">
        <v>7697</v>
      </c>
      <c r="I3128" s="1"/>
      <c r="J3128" s="1"/>
      <c r="K3128" s="1"/>
      <c r="L3128" s="1"/>
      <c r="M3128" s="1"/>
      <c r="N3128" s="1"/>
      <c r="O3128" s="1"/>
      <c r="Q3128"/>
    </row>
    <row r="3129" spans="1:17" ht="13.15" customHeight="1" x14ac:dyDescent="0.2">
      <c r="A3129" s="1" t="s">
        <v>7698</v>
      </c>
      <c r="B3129" s="1" t="s">
        <v>7686</v>
      </c>
      <c r="C3129" s="580">
        <v>10</v>
      </c>
      <c r="D3129" s="1">
        <v>3500</v>
      </c>
      <c r="E3129" t="s">
        <v>7687</v>
      </c>
      <c r="F3129">
        <v>0</v>
      </c>
      <c r="G3129" s="580">
        <v>0</v>
      </c>
      <c r="H3129" s="1">
        <v>0</v>
      </c>
      <c r="I3129" s="1"/>
      <c r="J3129" s="1"/>
      <c r="K3129" s="1"/>
      <c r="L3129" s="1"/>
      <c r="M3129" s="1"/>
      <c r="N3129" s="1"/>
      <c r="O3129" s="1"/>
      <c r="Q3129"/>
    </row>
    <row r="3130" spans="1:17" ht="13.15" customHeight="1" x14ac:dyDescent="0.2">
      <c r="A3130" s="1" t="s">
        <v>7699</v>
      </c>
      <c r="B3130" s="1" t="s">
        <v>7686</v>
      </c>
      <c r="C3130" s="580">
        <v>11</v>
      </c>
      <c r="D3130" s="1">
        <v>3500</v>
      </c>
      <c r="E3130" t="s">
        <v>7687</v>
      </c>
      <c r="F3130">
        <v>0</v>
      </c>
      <c r="G3130" s="580">
        <v>0</v>
      </c>
      <c r="H3130" s="1">
        <v>0</v>
      </c>
      <c r="I3130" s="1"/>
      <c r="J3130" s="1"/>
      <c r="K3130" s="1"/>
      <c r="L3130" s="1"/>
      <c r="M3130" s="1"/>
      <c r="N3130" s="1"/>
      <c r="O3130" s="1"/>
      <c r="Q3130"/>
    </row>
    <row r="3131" spans="1:17" ht="13.15" customHeight="1" x14ac:dyDescent="0.2">
      <c r="A3131" s="1" t="s">
        <v>7700</v>
      </c>
      <c r="B3131" s="1" t="s">
        <v>7686</v>
      </c>
      <c r="C3131" s="580">
        <v>13</v>
      </c>
      <c r="D3131" s="1">
        <v>3500</v>
      </c>
      <c r="E3131" t="s">
        <v>7687</v>
      </c>
      <c r="F3131">
        <v>0</v>
      </c>
      <c r="G3131" s="580">
        <v>0</v>
      </c>
      <c r="H3131" s="1">
        <v>0</v>
      </c>
      <c r="I3131" s="1"/>
      <c r="J3131" s="1"/>
      <c r="K3131" s="1"/>
      <c r="L3131" s="1"/>
      <c r="M3131" s="1"/>
      <c r="N3131" s="1"/>
      <c r="O3131" s="1"/>
      <c r="Q3131"/>
    </row>
    <row r="3132" spans="1:17" ht="13.15" customHeight="1" x14ac:dyDescent="0.2">
      <c r="A3132" s="1" t="s">
        <v>7701</v>
      </c>
      <c r="B3132" s="1" t="s">
        <v>7686</v>
      </c>
      <c r="C3132" s="580">
        <v>16</v>
      </c>
      <c r="D3132" s="1">
        <v>3500</v>
      </c>
      <c r="E3132" t="s">
        <v>7687</v>
      </c>
      <c r="F3132" t="s">
        <v>7702</v>
      </c>
      <c r="G3132" s="580">
        <v>1052.0440000000001</v>
      </c>
      <c r="H3132" s="1" t="s">
        <v>7703</v>
      </c>
      <c r="I3132" s="1"/>
      <c r="J3132" s="1"/>
      <c r="K3132" s="1"/>
      <c r="L3132" s="1"/>
      <c r="M3132" s="1"/>
      <c r="N3132" s="1"/>
      <c r="O3132" s="1"/>
      <c r="Q3132"/>
    </row>
    <row r="3133" spans="1:17" ht="13.15" customHeight="1" x14ac:dyDescent="0.2">
      <c r="A3133" s="1" t="s">
        <v>7704</v>
      </c>
      <c r="B3133" s="1" t="s">
        <v>7686</v>
      </c>
      <c r="C3133" s="580">
        <v>18</v>
      </c>
      <c r="D3133" s="1">
        <v>3500</v>
      </c>
      <c r="E3133" t="s">
        <v>7687</v>
      </c>
      <c r="F3133" t="s">
        <v>7705</v>
      </c>
      <c r="G3133" s="580">
        <v>1052.0440000000001</v>
      </c>
      <c r="H3133" s="1" t="s">
        <v>7706</v>
      </c>
      <c r="I3133" s="1"/>
      <c r="J3133" s="1"/>
      <c r="K3133" s="1"/>
      <c r="L3133" s="1"/>
      <c r="M3133" s="1"/>
      <c r="N3133" s="1"/>
      <c r="O3133" s="1"/>
      <c r="Q3133"/>
    </row>
    <row r="3134" spans="1:17" ht="13.15" customHeight="1" x14ac:dyDescent="0.2">
      <c r="A3134" s="1" t="s">
        <v>7707</v>
      </c>
      <c r="B3134" s="1" t="s">
        <v>7686</v>
      </c>
      <c r="C3134" s="580">
        <v>21</v>
      </c>
      <c r="D3134" s="1">
        <v>4750</v>
      </c>
      <c r="E3134" t="s">
        <v>7687</v>
      </c>
      <c r="F3134">
        <v>0</v>
      </c>
      <c r="G3134" s="580">
        <v>0</v>
      </c>
      <c r="H3134" s="1">
        <v>0</v>
      </c>
      <c r="I3134" s="1"/>
      <c r="J3134" s="1"/>
      <c r="K3134" s="1"/>
      <c r="L3134" s="1"/>
      <c r="M3134" s="1"/>
      <c r="N3134" s="1"/>
      <c r="O3134" s="1"/>
      <c r="Q3134"/>
    </row>
    <row r="3135" spans="1:17" ht="13.15" customHeight="1" x14ac:dyDescent="0.2">
      <c r="A3135" s="1" t="s">
        <v>7708</v>
      </c>
      <c r="B3135" s="1" t="s">
        <v>7686</v>
      </c>
      <c r="C3135" s="580">
        <v>24</v>
      </c>
      <c r="D3135" s="1">
        <v>5900</v>
      </c>
      <c r="E3135" t="s">
        <v>7687</v>
      </c>
      <c r="F3135" t="s">
        <v>7709</v>
      </c>
      <c r="G3135" s="580">
        <v>1702.6990000000001</v>
      </c>
      <c r="H3135" s="1" t="s">
        <v>7710</v>
      </c>
      <c r="I3135" s="1"/>
      <c r="J3135" s="1"/>
      <c r="K3135" s="1"/>
      <c r="L3135" s="1"/>
      <c r="M3135" s="1"/>
      <c r="N3135" s="1"/>
      <c r="O3135" s="1"/>
      <c r="Q3135"/>
    </row>
    <row r="3136" spans="1:17" ht="13.15" customHeight="1" x14ac:dyDescent="0.2">
      <c r="A3136" s="1" t="s">
        <v>7711</v>
      </c>
      <c r="B3136" s="1" t="s">
        <v>7686</v>
      </c>
      <c r="C3136" s="580">
        <v>26</v>
      </c>
      <c r="D3136" s="1">
        <v>7600</v>
      </c>
      <c r="E3136" t="s">
        <v>7687</v>
      </c>
      <c r="F3136" t="s">
        <v>7712</v>
      </c>
      <c r="G3136" s="580">
        <v>2142.7170000000001</v>
      </c>
      <c r="H3136" s="1" t="s">
        <v>7713</v>
      </c>
      <c r="I3136" s="1"/>
      <c r="J3136" s="1"/>
      <c r="K3136" s="1"/>
      <c r="L3136" s="1"/>
      <c r="M3136" s="1"/>
      <c r="N3136" s="1"/>
      <c r="O3136" s="1"/>
      <c r="Q3136"/>
    </row>
    <row r="3137" spans="1:17" ht="13.15" customHeight="1" x14ac:dyDescent="0.2">
      <c r="A3137" s="1" t="s">
        <v>7714</v>
      </c>
      <c r="B3137" s="1" t="s">
        <v>7686</v>
      </c>
      <c r="C3137" s="580">
        <v>28</v>
      </c>
      <c r="D3137" s="1">
        <v>12500</v>
      </c>
      <c r="E3137" t="s">
        <v>7687</v>
      </c>
      <c r="F3137" t="s">
        <v>7715</v>
      </c>
      <c r="G3137" s="580">
        <v>3515.172</v>
      </c>
      <c r="H3137" s="1" t="s">
        <v>7716</v>
      </c>
      <c r="I3137" s="1"/>
      <c r="J3137" s="1"/>
      <c r="K3137" s="1"/>
      <c r="L3137" s="1"/>
      <c r="M3137" s="1"/>
      <c r="N3137" s="1"/>
      <c r="O3137" s="1"/>
      <c r="Q3137"/>
    </row>
    <row r="3138" spans="1:17" ht="13.15" customHeight="1" x14ac:dyDescent="0.2">
      <c r="A3138" s="1" t="s">
        <v>7717</v>
      </c>
      <c r="B3138" s="1" t="s">
        <v>7686</v>
      </c>
      <c r="C3138" s="580">
        <v>30</v>
      </c>
      <c r="D3138" s="1">
        <v>3500</v>
      </c>
      <c r="E3138" t="s">
        <v>7687</v>
      </c>
      <c r="F3138" t="s">
        <v>7718</v>
      </c>
      <c r="G3138" s="580">
        <v>1052.0440000000001</v>
      </c>
      <c r="H3138" s="1" t="s">
        <v>7719</v>
      </c>
      <c r="I3138" s="1"/>
      <c r="J3138" s="1"/>
      <c r="K3138" s="1"/>
      <c r="L3138" s="1"/>
      <c r="M3138" s="1"/>
      <c r="N3138" s="1"/>
      <c r="O3138" s="1"/>
      <c r="Q3138"/>
    </row>
    <row r="3139" spans="1:17" ht="13.15" customHeight="1" x14ac:dyDescent="0.2">
      <c r="A3139" s="1" t="s">
        <v>7720</v>
      </c>
      <c r="B3139" s="1" t="s">
        <v>7686</v>
      </c>
      <c r="C3139" s="580">
        <v>34</v>
      </c>
      <c r="D3139" s="1">
        <v>4500</v>
      </c>
      <c r="E3139" t="s">
        <v>7687</v>
      </c>
      <c r="F3139" t="s">
        <v>7721</v>
      </c>
      <c r="G3139" s="580">
        <v>1315.163</v>
      </c>
      <c r="H3139" s="1" t="s">
        <v>7722</v>
      </c>
      <c r="I3139" s="1"/>
      <c r="J3139" s="1"/>
      <c r="K3139" s="1"/>
      <c r="L3139" s="1"/>
      <c r="M3139" s="1"/>
      <c r="N3139" s="1"/>
      <c r="O3139" s="1"/>
      <c r="Q3139"/>
    </row>
    <row r="3140" spans="1:17" ht="13.15" customHeight="1" x14ac:dyDescent="0.2">
      <c r="A3140" s="1" t="s">
        <v>7723</v>
      </c>
      <c r="B3140" s="1" t="s">
        <v>7686</v>
      </c>
      <c r="C3140" s="580">
        <v>35</v>
      </c>
      <c r="D3140" s="1">
        <v>5200</v>
      </c>
      <c r="E3140" t="s">
        <v>7687</v>
      </c>
      <c r="F3140">
        <v>0</v>
      </c>
      <c r="G3140" s="580">
        <v>0</v>
      </c>
      <c r="H3140" s="1">
        <v>0</v>
      </c>
      <c r="I3140" s="1"/>
      <c r="J3140" s="1"/>
      <c r="K3140" s="1"/>
      <c r="L3140" s="1"/>
      <c r="M3140" s="1"/>
      <c r="N3140" s="1"/>
      <c r="O3140" s="1"/>
      <c r="Q3140"/>
    </row>
    <row r="3141" spans="1:17" ht="13.15" customHeight="1" x14ac:dyDescent="0.2">
      <c r="A3141" s="1" t="s">
        <v>7724</v>
      </c>
      <c r="B3141" s="1" t="s">
        <v>7686</v>
      </c>
      <c r="C3141" s="580">
        <v>36</v>
      </c>
      <c r="D3141" s="1">
        <v>8356</v>
      </c>
      <c r="E3141" t="s">
        <v>7687</v>
      </c>
      <c r="F3141">
        <v>0</v>
      </c>
      <c r="G3141" s="580">
        <v>0</v>
      </c>
      <c r="H3141" s="1">
        <v>0</v>
      </c>
      <c r="I3141" s="1"/>
      <c r="J3141" s="1"/>
      <c r="K3141" s="1"/>
      <c r="L3141" s="1"/>
      <c r="M3141" s="1"/>
      <c r="N3141" s="1"/>
      <c r="O3141" s="1"/>
      <c r="Q3141"/>
    </row>
    <row r="3142" spans="1:17" ht="13.15" customHeight="1" x14ac:dyDescent="0.2">
      <c r="A3142" s="1" t="s">
        <v>7725</v>
      </c>
      <c r="B3142" s="1" t="s">
        <v>7686</v>
      </c>
      <c r="C3142" s="580">
        <v>37</v>
      </c>
      <c r="D3142" s="1">
        <v>12864</v>
      </c>
      <c r="E3142" t="s">
        <v>7687</v>
      </c>
      <c r="F3142">
        <v>0</v>
      </c>
      <c r="G3142" s="580">
        <v>0</v>
      </c>
      <c r="H3142" s="1">
        <v>0</v>
      </c>
      <c r="I3142" s="1"/>
      <c r="J3142" s="1"/>
      <c r="K3142" s="1"/>
      <c r="L3142" s="1"/>
      <c r="M3142" s="1"/>
      <c r="N3142" s="1"/>
      <c r="O3142" s="1"/>
      <c r="Q3142"/>
    </row>
    <row r="3143" spans="1:17" ht="13.15" customHeight="1" x14ac:dyDescent="0.2">
      <c r="A3143" s="1" t="s">
        <v>7726</v>
      </c>
      <c r="B3143" s="1" t="s">
        <v>7686</v>
      </c>
      <c r="C3143" s="580">
        <v>38</v>
      </c>
      <c r="D3143" s="1">
        <v>30628</v>
      </c>
      <c r="E3143" t="s">
        <v>7687</v>
      </c>
      <c r="F3143">
        <v>0</v>
      </c>
      <c r="G3143" s="580">
        <v>0</v>
      </c>
      <c r="H3143" s="1">
        <v>0</v>
      </c>
      <c r="I3143" s="1"/>
      <c r="J3143" s="1"/>
      <c r="K3143" s="1"/>
      <c r="L3143" s="1"/>
      <c r="M3143" s="1"/>
      <c r="N3143" s="1"/>
      <c r="O3143" s="1"/>
      <c r="Q3143"/>
    </row>
    <row r="3144" spans="1:17" ht="13.15" customHeight="1" x14ac:dyDescent="0.2">
      <c r="A3144" s="1" t="s">
        <v>7727</v>
      </c>
      <c r="B3144" s="1" t="s">
        <v>7686</v>
      </c>
      <c r="C3144" s="580">
        <v>39</v>
      </c>
      <c r="D3144" s="1">
        <v>12500</v>
      </c>
      <c r="E3144" t="s">
        <v>7687</v>
      </c>
      <c r="F3144">
        <v>0</v>
      </c>
      <c r="G3144" s="580">
        <v>0</v>
      </c>
      <c r="H3144" s="1">
        <v>0</v>
      </c>
      <c r="I3144" s="1"/>
      <c r="J3144" s="1"/>
      <c r="K3144" s="1"/>
      <c r="L3144" s="1"/>
      <c r="M3144" s="1"/>
      <c r="N3144" s="1"/>
      <c r="O3144" s="1"/>
      <c r="Q3144"/>
    </row>
    <row r="3145" spans="1:17" ht="13.15" customHeight="1" x14ac:dyDescent="0.2">
      <c r="A3145" s="1" t="s">
        <v>7728</v>
      </c>
      <c r="B3145" s="1" t="s">
        <v>7686</v>
      </c>
      <c r="C3145" s="580">
        <v>90</v>
      </c>
      <c r="D3145" s="1">
        <v>10800</v>
      </c>
      <c r="E3145" t="s">
        <v>7687</v>
      </c>
      <c r="F3145">
        <v>0</v>
      </c>
      <c r="G3145" s="580">
        <v>0</v>
      </c>
      <c r="H3145" s="1">
        <v>0</v>
      </c>
      <c r="I3145" s="1"/>
      <c r="J3145" s="1"/>
      <c r="K3145" s="1"/>
      <c r="L3145" s="1"/>
      <c r="M3145" s="1"/>
      <c r="N3145" s="1"/>
      <c r="O3145" s="1"/>
      <c r="Q3145"/>
    </row>
    <row r="3146" spans="1:17" ht="13.15" customHeight="1" x14ac:dyDescent="0.2">
      <c r="A3146" s="1" t="s">
        <v>7729</v>
      </c>
      <c r="B3146" s="1" t="s">
        <v>7686</v>
      </c>
      <c r="C3146" s="580">
        <v>91</v>
      </c>
      <c r="D3146" s="1">
        <v>15440</v>
      </c>
      <c r="E3146" t="s">
        <v>7687</v>
      </c>
      <c r="F3146">
        <v>0</v>
      </c>
      <c r="G3146" s="580">
        <v>0</v>
      </c>
      <c r="H3146" s="1">
        <v>0</v>
      </c>
      <c r="I3146" s="1"/>
      <c r="J3146" s="1"/>
      <c r="K3146" s="1"/>
      <c r="L3146" s="1"/>
      <c r="M3146" s="1"/>
      <c r="N3146" s="1"/>
      <c r="O3146" s="1"/>
      <c r="Q3146"/>
    </row>
    <row r="3147" spans="1:17" ht="13.15" customHeight="1" x14ac:dyDescent="0.2">
      <c r="A3147" s="1" t="s">
        <v>7730</v>
      </c>
      <c r="B3147" s="1" t="s">
        <v>7686</v>
      </c>
      <c r="C3147" s="580">
        <v>92</v>
      </c>
      <c r="D3147" s="1">
        <v>5200</v>
      </c>
      <c r="E3147" t="s">
        <v>7687</v>
      </c>
      <c r="F3147">
        <v>0</v>
      </c>
      <c r="G3147" s="580">
        <v>0</v>
      </c>
      <c r="H3147" s="1">
        <v>0</v>
      </c>
      <c r="I3147" s="1"/>
      <c r="J3147" s="1"/>
      <c r="K3147" s="1"/>
      <c r="L3147" s="1"/>
      <c r="M3147" s="1"/>
      <c r="N3147" s="1"/>
      <c r="O3147" s="1"/>
      <c r="Q3147"/>
    </row>
    <row r="3148" spans="1:17" ht="13.15" customHeight="1" x14ac:dyDescent="0.2">
      <c r="A3148" s="1" t="s">
        <v>7731</v>
      </c>
      <c r="B3148" s="1" t="s">
        <v>7686</v>
      </c>
      <c r="C3148" s="580">
        <v>93</v>
      </c>
      <c r="D3148" s="1">
        <v>8000</v>
      </c>
      <c r="E3148" t="s">
        <v>7687</v>
      </c>
      <c r="F3148">
        <v>0</v>
      </c>
      <c r="G3148" s="580">
        <v>0</v>
      </c>
      <c r="H3148" s="1">
        <v>0</v>
      </c>
      <c r="I3148" s="1"/>
      <c r="J3148" s="1"/>
      <c r="K3148" s="1"/>
      <c r="L3148" s="1"/>
      <c r="M3148" s="1"/>
      <c r="N3148" s="1"/>
      <c r="O3148" s="1"/>
      <c r="Q3148"/>
    </row>
    <row r="3149" spans="1:17" ht="13.15" customHeight="1" x14ac:dyDescent="0.2">
      <c r="A3149" s="1" t="s">
        <v>7732</v>
      </c>
      <c r="B3149" s="1" t="s">
        <v>7686</v>
      </c>
      <c r="C3149" s="580">
        <v>94</v>
      </c>
      <c r="D3149" s="1">
        <v>10800</v>
      </c>
      <c r="E3149" t="s">
        <v>7687</v>
      </c>
      <c r="F3149">
        <v>0</v>
      </c>
      <c r="G3149" s="580">
        <v>0</v>
      </c>
      <c r="H3149" s="1">
        <v>0</v>
      </c>
      <c r="I3149" s="1"/>
      <c r="J3149" s="1"/>
      <c r="K3149" s="1"/>
      <c r="L3149" s="1"/>
      <c r="M3149" s="1"/>
      <c r="N3149" s="1"/>
      <c r="O3149" s="1"/>
      <c r="Q3149"/>
    </row>
    <row r="3150" spans="1:17" ht="13.15" customHeight="1" x14ac:dyDescent="0.2">
      <c r="A3150" s="1" t="s">
        <v>7733</v>
      </c>
      <c r="B3150" s="1" t="s">
        <v>7686</v>
      </c>
      <c r="C3150" s="580">
        <v>40</v>
      </c>
      <c r="D3150" s="1">
        <v>4350</v>
      </c>
      <c r="E3150" t="s">
        <v>7687</v>
      </c>
      <c r="F3150">
        <v>0</v>
      </c>
      <c r="G3150" s="580">
        <v>0</v>
      </c>
      <c r="H3150" s="1">
        <v>0</v>
      </c>
      <c r="I3150" s="1"/>
      <c r="J3150" s="1"/>
      <c r="K3150" s="1"/>
      <c r="L3150" s="1"/>
      <c r="M3150" s="1"/>
      <c r="N3150" s="1"/>
      <c r="O3150" s="1"/>
      <c r="Q3150"/>
    </row>
    <row r="3151" spans="1:17" ht="13.15" customHeight="1" x14ac:dyDescent="0.2">
      <c r="A3151" s="1" t="s">
        <v>7734</v>
      </c>
      <c r="B3151" s="1" t="s">
        <v>7686</v>
      </c>
      <c r="C3151" s="580">
        <v>41</v>
      </c>
      <c r="D3151" s="1">
        <v>4950</v>
      </c>
      <c r="E3151" t="s">
        <v>7687</v>
      </c>
      <c r="F3151">
        <v>0</v>
      </c>
      <c r="G3151" s="580">
        <v>0</v>
      </c>
      <c r="H3151" s="1">
        <v>0</v>
      </c>
      <c r="I3151" s="1"/>
      <c r="J3151" s="1"/>
      <c r="K3151" s="1"/>
      <c r="L3151" s="1"/>
      <c r="M3151" s="1"/>
      <c r="N3151" s="1"/>
      <c r="O3151" s="1"/>
      <c r="Q3151"/>
    </row>
    <row r="3152" spans="1:17" ht="13.15" customHeight="1" x14ac:dyDescent="0.2">
      <c r="A3152" s="1" t="s">
        <v>7735</v>
      </c>
      <c r="B3152" s="1" t="s">
        <v>7686</v>
      </c>
      <c r="C3152" s="580">
        <v>42</v>
      </c>
      <c r="D3152" s="1">
        <v>4950</v>
      </c>
      <c r="E3152" t="s">
        <v>7687</v>
      </c>
      <c r="F3152">
        <v>0</v>
      </c>
      <c r="G3152" s="580">
        <v>0</v>
      </c>
      <c r="H3152" s="1">
        <v>0</v>
      </c>
      <c r="I3152" s="1"/>
      <c r="J3152" s="1"/>
      <c r="K3152" s="1"/>
      <c r="L3152" s="1"/>
      <c r="M3152" s="1"/>
      <c r="N3152" s="1"/>
      <c r="O3152" s="1"/>
      <c r="Q3152"/>
    </row>
    <row r="3153" spans="1:17" ht="13.15" customHeight="1" x14ac:dyDescent="0.2">
      <c r="A3153" s="1" t="s">
        <v>7736</v>
      </c>
      <c r="B3153" s="1" t="s">
        <v>7686</v>
      </c>
      <c r="C3153" s="580">
        <v>43</v>
      </c>
      <c r="D3153" s="1">
        <v>5500</v>
      </c>
      <c r="E3153" t="s">
        <v>7687</v>
      </c>
      <c r="F3153">
        <v>0</v>
      </c>
      <c r="G3153" s="580">
        <v>0</v>
      </c>
      <c r="H3153" s="1">
        <v>0</v>
      </c>
      <c r="I3153" s="1"/>
      <c r="J3153" s="1"/>
      <c r="K3153" s="1"/>
      <c r="L3153" s="1"/>
      <c r="M3153" s="1"/>
      <c r="N3153" s="1"/>
      <c r="O3153" s="1"/>
      <c r="Q3153"/>
    </row>
    <row r="3154" spans="1:17" ht="13.15" customHeight="1" x14ac:dyDescent="0.2">
      <c r="A3154" s="1" t="s">
        <v>7737</v>
      </c>
      <c r="B3154" s="1" t="s">
        <v>7686</v>
      </c>
      <c r="C3154" s="580">
        <v>50</v>
      </c>
      <c r="D3154" s="1">
        <v>5400</v>
      </c>
      <c r="E3154" t="s">
        <v>7687</v>
      </c>
      <c r="F3154" t="s">
        <v>7738</v>
      </c>
      <c r="G3154" s="580">
        <v>1701.4780000000001</v>
      </c>
      <c r="H3154" s="1" t="s">
        <v>7739</v>
      </c>
      <c r="I3154" s="1"/>
      <c r="J3154" s="1"/>
      <c r="K3154" s="1"/>
      <c r="L3154" s="1"/>
      <c r="M3154" s="1"/>
      <c r="N3154" s="1"/>
      <c r="O3154" s="1"/>
      <c r="Q3154"/>
    </row>
    <row r="3155" spans="1:17" ht="13.15" customHeight="1" x14ac:dyDescent="0.2">
      <c r="A3155" s="1" t="s">
        <v>7740</v>
      </c>
      <c r="B3155" s="1" t="s">
        <v>7686</v>
      </c>
      <c r="C3155" s="580">
        <v>52</v>
      </c>
      <c r="D3155" s="1">
        <v>5600</v>
      </c>
      <c r="E3155" t="s">
        <v>7687</v>
      </c>
      <c r="F3155" t="s">
        <v>7741</v>
      </c>
      <c r="G3155" s="580">
        <v>1644.566</v>
      </c>
      <c r="H3155" s="1" t="s">
        <v>7742</v>
      </c>
      <c r="I3155" s="1"/>
      <c r="J3155" s="1"/>
      <c r="K3155" s="1"/>
      <c r="L3155" s="1"/>
      <c r="M3155" s="1"/>
      <c r="N3155" s="1"/>
      <c r="O3155" s="1"/>
      <c r="Q3155"/>
    </row>
    <row r="3156" spans="1:17" ht="13.15" customHeight="1" x14ac:dyDescent="0.2">
      <c r="A3156" s="1" t="s">
        <v>7743</v>
      </c>
      <c r="B3156" s="1" t="s">
        <v>7686</v>
      </c>
      <c r="C3156" s="580">
        <v>60</v>
      </c>
      <c r="D3156" s="1">
        <v>5500</v>
      </c>
      <c r="E3156" t="s">
        <v>7687</v>
      </c>
      <c r="F3156" t="s">
        <v>7744</v>
      </c>
      <c r="G3156" s="580">
        <v>1733.11</v>
      </c>
      <c r="H3156" s="1" t="s">
        <v>7745</v>
      </c>
      <c r="I3156" s="1"/>
      <c r="J3156" s="1"/>
      <c r="K3156" s="1"/>
      <c r="L3156" s="1"/>
      <c r="M3156" s="1"/>
      <c r="N3156" s="1"/>
      <c r="O3156" s="1"/>
      <c r="Q3156"/>
    </row>
    <row r="3157" spans="1:17" ht="13.15" customHeight="1" x14ac:dyDescent="0.2">
      <c r="A3157" s="1" t="s">
        <v>7746</v>
      </c>
      <c r="B3157" s="1" t="s">
        <v>7686</v>
      </c>
      <c r="C3157" s="580">
        <v>62</v>
      </c>
      <c r="D3157" s="1">
        <v>5445</v>
      </c>
      <c r="E3157" t="s">
        <v>7687</v>
      </c>
      <c r="F3157" t="s">
        <v>7747</v>
      </c>
      <c r="G3157" s="580">
        <v>1654.9269999999999</v>
      </c>
      <c r="H3157" s="1" t="s">
        <v>7748</v>
      </c>
      <c r="I3157" s="1"/>
      <c r="J3157" s="1"/>
      <c r="K3157" s="1"/>
      <c r="L3157" s="1"/>
      <c r="M3157" s="1"/>
      <c r="N3157" s="1"/>
      <c r="O3157" s="1"/>
      <c r="Q3157"/>
    </row>
    <row r="3158" spans="1:17" ht="13.15" customHeight="1" x14ac:dyDescent="0.2">
      <c r="A3158" s="1" t="s">
        <v>7749</v>
      </c>
      <c r="B3158" s="1" t="s">
        <v>7686</v>
      </c>
      <c r="C3158" s="580">
        <v>70</v>
      </c>
      <c r="D3158" s="1">
        <v>6100</v>
      </c>
      <c r="E3158" t="s">
        <v>7687</v>
      </c>
      <c r="F3158" t="s">
        <v>7753</v>
      </c>
      <c r="G3158" s="580">
        <v>2086.6149999999998</v>
      </c>
      <c r="H3158" s="1" t="s">
        <v>21598</v>
      </c>
      <c r="I3158" s="1"/>
      <c r="J3158" s="1"/>
      <c r="K3158" s="1"/>
      <c r="L3158" s="1"/>
      <c r="M3158" s="1"/>
      <c r="N3158" s="1"/>
      <c r="O3158" s="1"/>
      <c r="Q3158"/>
    </row>
    <row r="3159" spans="1:17" ht="13.15" customHeight="1" x14ac:dyDescent="0.2">
      <c r="A3159" s="1" t="s">
        <v>7752</v>
      </c>
      <c r="B3159" s="1" t="s">
        <v>7686</v>
      </c>
      <c r="C3159" s="580">
        <v>72</v>
      </c>
      <c r="D3159" s="1">
        <v>5760</v>
      </c>
      <c r="E3159" t="s">
        <v>7687</v>
      </c>
      <c r="F3159" t="s">
        <v>7756</v>
      </c>
      <c r="G3159" s="580">
        <v>1869.5730000000001</v>
      </c>
      <c r="H3159" s="1" t="s">
        <v>21599</v>
      </c>
      <c r="I3159" s="1"/>
      <c r="J3159" s="1"/>
      <c r="K3159" s="1"/>
      <c r="L3159" s="1"/>
      <c r="M3159" s="1"/>
      <c r="N3159" s="1"/>
      <c r="O3159" s="1"/>
      <c r="Q3159"/>
    </row>
    <row r="3160" spans="1:17" ht="13.15" customHeight="1" x14ac:dyDescent="0.2">
      <c r="A3160" s="1" t="s">
        <v>7755</v>
      </c>
      <c r="B3160" s="1" t="s">
        <v>7686</v>
      </c>
      <c r="C3160" s="580">
        <v>74</v>
      </c>
      <c r="D3160" s="1">
        <v>6375</v>
      </c>
      <c r="E3160" t="s">
        <v>7687</v>
      </c>
      <c r="F3160" t="s">
        <v>7750</v>
      </c>
      <c r="G3160" s="580">
        <v>1925.4159999999999</v>
      </c>
      <c r="H3160" s="1" t="s">
        <v>21600</v>
      </c>
      <c r="I3160" s="1"/>
      <c r="J3160" s="1"/>
      <c r="K3160" s="1"/>
      <c r="L3160" s="1"/>
      <c r="M3160" s="1"/>
      <c r="N3160" s="1"/>
      <c r="O3160" s="1"/>
      <c r="Q3160"/>
    </row>
    <row r="3161" spans="1:17" ht="13.15" customHeight="1" x14ac:dyDescent="0.2">
      <c r="A3161" s="1" t="s">
        <v>7758</v>
      </c>
      <c r="B3161" s="1" t="s">
        <v>7686</v>
      </c>
      <c r="C3161" s="580">
        <v>76</v>
      </c>
      <c r="D3161" s="1">
        <v>9250</v>
      </c>
      <c r="E3161" t="s">
        <v>7687</v>
      </c>
      <c r="F3161" t="s">
        <v>7759</v>
      </c>
      <c r="G3161" s="580">
        <v>2615.9780000000001</v>
      </c>
      <c r="H3161" s="1" t="s">
        <v>7760</v>
      </c>
      <c r="I3161" s="1"/>
      <c r="J3161" s="1"/>
      <c r="K3161" s="1"/>
      <c r="L3161" s="1"/>
      <c r="M3161" s="1"/>
      <c r="N3161" s="1"/>
      <c r="O3161" s="1"/>
      <c r="Q3161"/>
    </row>
    <row r="3162" spans="1:17" ht="13.15" customHeight="1" x14ac:dyDescent="0.2">
      <c r="A3162" s="1" t="s">
        <v>7761</v>
      </c>
      <c r="B3162" s="1" t="s">
        <v>7686</v>
      </c>
      <c r="C3162" s="580">
        <v>80</v>
      </c>
      <c r="D3162" s="1">
        <v>8050</v>
      </c>
      <c r="E3162" t="s">
        <v>7687</v>
      </c>
      <c r="F3162" t="s">
        <v>7762</v>
      </c>
      <c r="G3162" s="580">
        <v>2757.2869999999998</v>
      </c>
      <c r="H3162" s="1" t="s">
        <v>7763</v>
      </c>
      <c r="I3162" s="1"/>
      <c r="J3162" s="1"/>
      <c r="K3162" s="1"/>
      <c r="L3162" s="1"/>
      <c r="M3162" s="1"/>
      <c r="N3162" s="1"/>
      <c r="O3162" s="1"/>
      <c r="Q3162"/>
    </row>
    <row r="3163" spans="1:17" ht="13.15" customHeight="1" x14ac:dyDescent="0.2">
      <c r="A3163" s="1" t="s">
        <v>7764</v>
      </c>
      <c r="B3163" s="1" t="s">
        <v>7765</v>
      </c>
      <c r="C3163" s="580">
        <v>1092</v>
      </c>
      <c r="D3163" s="1">
        <v>122.71</v>
      </c>
      <c r="E3163" t="s">
        <v>7687</v>
      </c>
      <c r="F3163" t="s">
        <v>7766</v>
      </c>
      <c r="G3163" s="580">
        <v>26.5046</v>
      </c>
      <c r="H3163" s="1" t="s">
        <v>7767</v>
      </c>
      <c r="I3163" s="1"/>
      <c r="J3163" s="1"/>
      <c r="K3163" s="1"/>
      <c r="L3163" s="1"/>
      <c r="M3163" s="1"/>
      <c r="N3163" s="1"/>
      <c r="O3163" s="1"/>
      <c r="Q3163"/>
    </row>
    <row r="3164" spans="1:17" ht="13.15" customHeight="1" x14ac:dyDescent="0.2">
      <c r="A3164" s="1" t="s">
        <v>7768</v>
      </c>
      <c r="B3164" s="1" t="s">
        <v>7765</v>
      </c>
      <c r="C3164" s="580">
        <v>1133</v>
      </c>
      <c r="D3164" s="1">
        <v>768.73</v>
      </c>
      <c r="E3164" t="s">
        <v>7687</v>
      </c>
      <c r="F3164" t="s">
        <v>7769</v>
      </c>
      <c r="G3164" s="580">
        <v>168.33670000000001</v>
      </c>
      <c r="H3164" s="1" t="s">
        <v>7770</v>
      </c>
      <c r="I3164" s="1"/>
      <c r="J3164" s="1"/>
      <c r="K3164" s="1"/>
      <c r="L3164" s="1"/>
      <c r="M3164" s="1"/>
      <c r="N3164" s="1"/>
      <c r="O3164" s="1"/>
      <c r="Q3164"/>
    </row>
    <row r="3165" spans="1:17" ht="13.15" customHeight="1" x14ac:dyDescent="0.2">
      <c r="A3165" s="1" t="s">
        <v>7771</v>
      </c>
      <c r="B3165" s="1" t="s">
        <v>7765</v>
      </c>
      <c r="C3165" s="580">
        <v>1134</v>
      </c>
      <c r="D3165" s="1">
        <v>1028.75</v>
      </c>
      <c r="E3165" t="s">
        <v>7687</v>
      </c>
      <c r="F3165" t="s">
        <v>7772</v>
      </c>
      <c r="G3165" s="580">
        <v>225.69120000000001</v>
      </c>
      <c r="H3165" s="1" t="s">
        <v>7773</v>
      </c>
      <c r="I3165" s="1"/>
      <c r="J3165" s="1"/>
      <c r="K3165" s="1"/>
      <c r="L3165" s="1"/>
      <c r="M3165" s="1"/>
      <c r="N3165" s="1"/>
      <c r="O3165" s="1"/>
      <c r="Q3165"/>
    </row>
    <row r="3166" spans="1:17" ht="13.15" customHeight="1" x14ac:dyDescent="0.2">
      <c r="A3166" s="1" t="s">
        <v>7774</v>
      </c>
      <c r="B3166" s="1" t="s">
        <v>7765</v>
      </c>
      <c r="C3166" s="580">
        <v>101</v>
      </c>
      <c r="D3166" s="1">
        <v>1328.75</v>
      </c>
      <c r="E3166" t="s">
        <v>7687</v>
      </c>
      <c r="F3166">
        <v>0</v>
      </c>
      <c r="G3166" s="580">
        <v>0</v>
      </c>
      <c r="H3166" s="1">
        <v>0</v>
      </c>
      <c r="I3166" s="1"/>
      <c r="J3166" s="1"/>
      <c r="K3166" s="1"/>
      <c r="L3166" s="1"/>
      <c r="M3166" s="1"/>
      <c r="N3166" s="1"/>
      <c r="O3166" s="1"/>
      <c r="Q3166"/>
    </row>
    <row r="3167" spans="1:17" ht="13.15" customHeight="1" x14ac:dyDescent="0.2">
      <c r="A3167" s="1" t="s">
        <v>7775</v>
      </c>
      <c r="B3167" s="1" t="s">
        <v>7765</v>
      </c>
      <c r="C3167" s="580">
        <v>1135</v>
      </c>
      <c r="D3167" s="1">
        <v>414.51</v>
      </c>
      <c r="E3167" t="s">
        <v>7687</v>
      </c>
      <c r="F3167" t="s">
        <v>7776</v>
      </c>
      <c r="G3167" s="580">
        <v>88.894800000000004</v>
      </c>
      <c r="H3167" s="1" t="s">
        <v>7777</v>
      </c>
      <c r="I3167" s="1"/>
      <c r="J3167" s="1"/>
      <c r="K3167" s="1"/>
      <c r="L3167" s="1"/>
      <c r="M3167" s="1"/>
      <c r="N3167" s="1"/>
      <c r="O3167" s="1"/>
      <c r="Q3167"/>
    </row>
    <row r="3168" spans="1:17" ht="13.15" customHeight="1" x14ac:dyDescent="0.2">
      <c r="A3168" s="1" t="s">
        <v>7778</v>
      </c>
      <c r="B3168" s="1" t="s">
        <v>7765</v>
      </c>
      <c r="C3168" s="580">
        <v>1070</v>
      </c>
      <c r="D3168" s="1">
        <v>1224.7</v>
      </c>
      <c r="E3168" t="s">
        <v>7687</v>
      </c>
      <c r="F3168" t="s">
        <v>7779</v>
      </c>
      <c r="G3168" s="580">
        <v>262.05119999999999</v>
      </c>
      <c r="H3168" s="1" t="s">
        <v>7780</v>
      </c>
      <c r="I3168" s="1"/>
      <c r="J3168" s="1"/>
      <c r="K3168" s="1"/>
      <c r="L3168" s="1"/>
      <c r="M3168" s="1"/>
      <c r="N3168" s="1"/>
      <c r="O3168" s="1"/>
      <c r="Q3168"/>
    </row>
    <row r="3169" spans="1:17" ht="13.15" customHeight="1" x14ac:dyDescent="0.2">
      <c r="A3169" s="1" t="s">
        <v>7781</v>
      </c>
      <c r="B3169" s="1" t="s">
        <v>7765</v>
      </c>
      <c r="C3169" s="580">
        <v>1095</v>
      </c>
      <c r="D3169" s="1">
        <v>554.23</v>
      </c>
      <c r="E3169" t="s">
        <v>7687</v>
      </c>
      <c r="F3169" t="s">
        <v>7782</v>
      </c>
      <c r="G3169" s="580">
        <v>118.2492</v>
      </c>
      <c r="H3169" s="1" t="s">
        <v>7783</v>
      </c>
      <c r="I3169" s="1"/>
      <c r="J3169" s="1"/>
      <c r="K3169" s="1"/>
      <c r="L3169" s="1"/>
      <c r="M3169" s="1"/>
      <c r="N3169" s="1"/>
      <c r="O3169" s="1"/>
      <c r="Q3169"/>
    </row>
    <row r="3170" spans="1:17" ht="13.15" customHeight="1" x14ac:dyDescent="0.2">
      <c r="A3170" s="1" t="s">
        <v>7784</v>
      </c>
      <c r="B3170" s="1" t="s">
        <v>7765</v>
      </c>
      <c r="C3170" s="580">
        <v>102</v>
      </c>
      <c r="D3170" s="1">
        <v>754.23</v>
      </c>
      <c r="E3170" t="s">
        <v>7687</v>
      </c>
      <c r="F3170">
        <v>0</v>
      </c>
      <c r="G3170" s="580">
        <v>0</v>
      </c>
      <c r="H3170" s="1">
        <v>0</v>
      </c>
      <c r="I3170" s="1"/>
      <c r="J3170" s="1"/>
      <c r="K3170" s="1"/>
      <c r="L3170" s="1"/>
      <c r="M3170" s="1"/>
      <c r="N3170" s="1"/>
      <c r="O3170" s="1"/>
      <c r="Q3170"/>
    </row>
    <row r="3171" spans="1:17" ht="13.15" customHeight="1" x14ac:dyDescent="0.2">
      <c r="A3171" s="1" t="s">
        <v>7785</v>
      </c>
      <c r="B3171" s="1" t="s">
        <v>7765</v>
      </c>
      <c r="C3171" s="580">
        <v>1093</v>
      </c>
      <c r="D3171" s="1">
        <v>373.07</v>
      </c>
      <c r="E3171" t="s">
        <v>7687</v>
      </c>
      <c r="F3171" t="s">
        <v>7786</v>
      </c>
      <c r="G3171" s="580">
        <v>81.814300000000003</v>
      </c>
      <c r="H3171" s="1" t="s">
        <v>7787</v>
      </c>
      <c r="I3171" s="1"/>
      <c r="J3171" s="1"/>
      <c r="K3171" s="1"/>
      <c r="L3171" s="1"/>
      <c r="M3171" s="1"/>
      <c r="N3171" s="1"/>
      <c r="O3171" s="1"/>
      <c r="Q3171"/>
    </row>
    <row r="3172" spans="1:17" ht="13.15" customHeight="1" x14ac:dyDescent="0.2">
      <c r="A3172" s="1" t="s">
        <v>7788</v>
      </c>
      <c r="B3172" s="1" t="s">
        <v>7765</v>
      </c>
      <c r="C3172" s="580">
        <v>1072</v>
      </c>
      <c r="D3172" s="1">
        <v>575.04</v>
      </c>
      <c r="E3172" t="s">
        <v>7687</v>
      </c>
      <c r="F3172" t="s">
        <v>7789</v>
      </c>
      <c r="G3172" s="580">
        <v>125.869</v>
      </c>
      <c r="H3172" s="1" t="s">
        <v>7790</v>
      </c>
      <c r="I3172" s="1"/>
      <c r="J3172" s="1"/>
      <c r="K3172" s="1"/>
      <c r="L3172" s="1"/>
      <c r="M3172" s="1"/>
      <c r="N3172" s="1"/>
      <c r="O3172" s="1"/>
      <c r="Q3172"/>
    </row>
    <row r="3173" spans="1:17" ht="13.15" customHeight="1" x14ac:dyDescent="0.2">
      <c r="A3173" s="1" t="s">
        <v>7791</v>
      </c>
      <c r="B3173" s="1" t="s">
        <v>7765</v>
      </c>
      <c r="C3173" s="580">
        <v>1071</v>
      </c>
      <c r="D3173" s="1">
        <v>761.2</v>
      </c>
      <c r="E3173" t="s">
        <v>7687</v>
      </c>
      <c r="F3173" t="s">
        <v>7792</v>
      </c>
      <c r="G3173" s="580">
        <v>166.7758</v>
      </c>
      <c r="H3173" s="1" t="s">
        <v>7793</v>
      </c>
      <c r="I3173" s="1"/>
      <c r="J3173" s="1"/>
      <c r="K3173" s="1"/>
      <c r="L3173" s="1"/>
      <c r="M3173" s="1"/>
      <c r="N3173" s="1"/>
      <c r="O3173" s="1"/>
      <c r="Q3173"/>
    </row>
    <row r="3174" spans="1:17" ht="13.15" customHeight="1" x14ac:dyDescent="0.2">
      <c r="A3174" s="1" t="s">
        <v>7794</v>
      </c>
      <c r="B3174" s="1" t="s">
        <v>7765</v>
      </c>
      <c r="C3174" s="580">
        <v>1090</v>
      </c>
      <c r="D3174" s="1">
        <v>467.27</v>
      </c>
      <c r="E3174" t="s">
        <v>7687</v>
      </c>
      <c r="F3174" t="s">
        <v>7795</v>
      </c>
      <c r="G3174" s="580">
        <v>103.6908</v>
      </c>
      <c r="H3174" s="1" t="s">
        <v>7796</v>
      </c>
      <c r="I3174" s="1"/>
      <c r="J3174" s="1"/>
      <c r="K3174" s="1"/>
      <c r="L3174" s="1"/>
      <c r="M3174" s="1"/>
      <c r="N3174" s="1"/>
      <c r="O3174" s="1"/>
      <c r="Q3174"/>
    </row>
    <row r="3175" spans="1:17" ht="13.15" customHeight="1" x14ac:dyDescent="0.2">
      <c r="A3175" s="1" t="s">
        <v>7797</v>
      </c>
      <c r="B3175" s="1" t="s">
        <v>7765</v>
      </c>
      <c r="C3175" s="580">
        <v>103</v>
      </c>
      <c r="D3175" s="1">
        <v>413.36</v>
      </c>
      <c r="E3175" t="s">
        <v>7687</v>
      </c>
      <c r="F3175">
        <v>0</v>
      </c>
      <c r="G3175" s="580">
        <v>0</v>
      </c>
      <c r="H3175" s="1">
        <v>0</v>
      </c>
      <c r="I3175" s="1"/>
      <c r="J3175" s="1"/>
      <c r="K3175" s="1"/>
      <c r="L3175" s="1"/>
      <c r="M3175" s="1"/>
      <c r="N3175" s="1"/>
      <c r="O3175" s="1"/>
      <c r="Q3175"/>
    </row>
    <row r="3176" spans="1:17" ht="13.15" customHeight="1" x14ac:dyDescent="0.2">
      <c r="A3176" s="1" t="s">
        <v>7798</v>
      </c>
      <c r="B3176" s="1" t="s">
        <v>7765</v>
      </c>
      <c r="C3176" s="580">
        <v>1115</v>
      </c>
      <c r="D3176" s="1">
        <v>433.36</v>
      </c>
      <c r="E3176" t="s">
        <v>7687</v>
      </c>
      <c r="F3176" t="s">
        <v>7799</v>
      </c>
      <c r="G3176" s="580">
        <v>93.047799999999995</v>
      </c>
      <c r="H3176" s="1" t="s">
        <v>7800</v>
      </c>
      <c r="I3176" s="1"/>
      <c r="J3176" s="1"/>
      <c r="K3176" s="1"/>
      <c r="L3176" s="1"/>
      <c r="M3176" s="1"/>
      <c r="N3176" s="1"/>
      <c r="O3176" s="1"/>
      <c r="Q3176"/>
    </row>
    <row r="3177" spans="1:17" ht="13.15" customHeight="1" x14ac:dyDescent="0.2">
      <c r="A3177" s="1" t="s">
        <v>7801</v>
      </c>
      <c r="B3177" s="1" t="s">
        <v>7765</v>
      </c>
      <c r="C3177" s="580">
        <v>104</v>
      </c>
      <c r="D3177" s="1">
        <v>1216.8800000000001</v>
      </c>
      <c r="E3177" t="s">
        <v>7687</v>
      </c>
      <c r="F3177">
        <v>0</v>
      </c>
      <c r="G3177" s="580">
        <v>0</v>
      </c>
      <c r="H3177" s="1">
        <v>0</v>
      </c>
      <c r="I3177" s="1"/>
      <c r="J3177" s="1"/>
      <c r="K3177" s="1"/>
      <c r="L3177" s="1"/>
      <c r="M3177" s="1"/>
      <c r="N3177" s="1"/>
      <c r="O3177" s="1"/>
      <c r="Q3177"/>
    </row>
    <row r="3178" spans="1:17" ht="13.15" customHeight="1" x14ac:dyDescent="0.2">
      <c r="A3178" s="1" t="s">
        <v>7802</v>
      </c>
      <c r="B3178" s="1" t="s">
        <v>7765</v>
      </c>
      <c r="C3178" s="580">
        <v>1400</v>
      </c>
      <c r="D3178" s="1">
        <v>1416.88</v>
      </c>
      <c r="E3178" t="s">
        <v>7687</v>
      </c>
      <c r="F3178" t="s">
        <v>7803</v>
      </c>
      <c r="G3178" s="580">
        <v>302.56920000000002</v>
      </c>
      <c r="H3178" s="1" t="s">
        <v>7804</v>
      </c>
      <c r="I3178" s="1"/>
      <c r="J3178" s="1"/>
      <c r="K3178" s="1"/>
      <c r="L3178" s="1"/>
      <c r="M3178" s="1"/>
      <c r="N3178" s="1"/>
      <c r="O3178" s="1"/>
      <c r="Q3178"/>
    </row>
    <row r="3179" spans="1:17" ht="13.15" customHeight="1" x14ac:dyDescent="0.2">
      <c r="A3179" s="1" t="s">
        <v>7805</v>
      </c>
      <c r="B3179" s="1" t="s">
        <v>7765</v>
      </c>
      <c r="C3179" s="580">
        <v>1153</v>
      </c>
      <c r="D3179" s="1">
        <v>688.47</v>
      </c>
      <c r="E3179" t="s">
        <v>7687</v>
      </c>
      <c r="F3179" t="s">
        <v>7806</v>
      </c>
      <c r="G3179" s="580">
        <v>147.10900000000001</v>
      </c>
      <c r="H3179" s="1" t="s">
        <v>7807</v>
      </c>
      <c r="I3179" s="1"/>
      <c r="J3179" s="1"/>
      <c r="K3179" s="1"/>
      <c r="L3179" s="1"/>
      <c r="M3179" s="1"/>
      <c r="N3179" s="1"/>
      <c r="O3179" s="1"/>
      <c r="Q3179"/>
    </row>
    <row r="3180" spans="1:17" ht="13.15" customHeight="1" x14ac:dyDescent="0.2">
      <c r="A3180" s="1" t="s">
        <v>7808</v>
      </c>
      <c r="B3180" s="1" t="s">
        <v>7765</v>
      </c>
      <c r="C3180" s="580">
        <v>1536</v>
      </c>
      <c r="D3180" s="1">
        <v>727.13</v>
      </c>
      <c r="E3180" t="s">
        <v>7687</v>
      </c>
      <c r="F3180" t="s">
        <v>7809</v>
      </c>
      <c r="G3180" s="580">
        <v>157.33580000000001</v>
      </c>
      <c r="H3180" s="1" t="s">
        <v>7810</v>
      </c>
      <c r="I3180" s="1"/>
      <c r="J3180" s="1"/>
      <c r="K3180" s="1"/>
      <c r="L3180" s="1"/>
      <c r="M3180" s="1"/>
      <c r="N3180" s="1"/>
      <c r="O3180" s="1"/>
      <c r="Q3180"/>
    </row>
    <row r="3181" spans="1:17" ht="13.15" customHeight="1" x14ac:dyDescent="0.2">
      <c r="A3181" s="1" t="s">
        <v>7811</v>
      </c>
      <c r="B3181" s="1" t="s">
        <v>7765</v>
      </c>
      <c r="C3181" s="580">
        <v>1537</v>
      </c>
      <c r="D3181" s="1">
        <v>969.5</v>
      </c>
      <c r="E3181" t="s">
        <v>7687</v>
      </c>
      <c r="F3181" t="s">
        <v>7812</v>
      </c>
      <c r="G3181" s="580">
        <v>209.78139999999999</v>
      </c>
      <c r="H3181" s="1" t="s">
        <v>7813</v>
      </c>
      <c r="I3181" s="1"/>
      <c r="J3181" s="1"/>
      <c r="K3181" s="1"/>
      <c r="L3181" s="1"/>
      <c r="M3181" s="1"/>
      <c r="N3181" s="1"/>
      <c r="O3181" s="1"/>
      <c r="Q3181"/>
    </row>
    <row r="3182" spans="1:17" ht="13.15" customHeight="1" x14ac:dyDescent="0.2">
      <c r="A3182" s="1" t="s">
        <v>7814</v>
      </c>
      <c r="B3182" s="1" t="s">
        <v>7765</v>
      </c>
      <c r="C3182" s="580">
        <v>1105</v>
      </c>
      <c r="D3182" s="1">
        <v>2215.48</v>
      </c>
      <c r="E3182" t="s">
        <v>7687</v>
      </c>
      <c r="F3182" t="s">
        <v>7815</v>
      </c>
      <c r="G3182" s="580">
        <v>484.93939999999998</v>
      </c>
      <c r="H3182" s="1" t="s">
        <v>7816</v>
      </c>
      <c r="I3182" s="1"/>
      <c r="J3182" s="1"/>
      <c r="K3182" s="1"/>
      <c r="L3182" s="1"/>
      <c r="M3182" s="1"/>
      <c r="N3182" s="1"/>
      <c r="O3182" s="1"/>
      <c r="Q3182"/>
    </row>
    <row r="3183" spans="1:17" ht="13.15" customHeight="1" x14ac:dyDescent="0.2">
      <c r="A3183" s="1" t="s">
        <v>7817</v>
      </c>
      <c r="B3183" s="1" t="s">
        <v>7765</v>
      </c>
      <c r="C3183" s="580">
        <v>1118</v>
      </c>
      <c r="D3183" s="1">
        <v>859.17</v>
      </c>
      <c r="E3183" t="s">
        <v>7687</v>
      </c>
      <c r="F3183" t="s">
        <v>7818</v>
      </c>
      <c r="G3183" s="580">
        <v>188.40960000000001</v>
      </c>
      <c r="H3183" s="1" t="s">
        <v>7819</v>
      </c>
      <c r="I3183" s="1"/>
      <c r="J3183" s="1"/>
      <c r="K3183" s="1"/>
      <c r="L3183" s="1"/>
      <c r="M3183" s="1"/>
      <c r="N3183" s="1"/>
      <c r="O3183" s="1"/>
      <c r="Q3183"/>
    </row>
    <row r="3184" spans="1:17" ht="13.15" customHeight="1" x14ac:dyDescent="0.2">
      <c r="A3184" s="1" t="s">
        <v>7820</v>
      </c>
      <c r="B3184" s="1" t="s">
        <v>7765</v>
      </c>
      <c r="C3184" s="580">
        <v>1101</v>
      </c>
      <c r="D3184" s="1">
        <v>1825.4</v>
      </c>
      <c r="E3184" t="s">
        <v>7687</v>
      </c>
      <c r="F3184" t="s">
        <v>7821</v>
      </c>
      <c r="G3184" s="580">
        <v>397.3442</v>
      </c>
      <c r="H3184" s="1" t="s">
        <v>7822</v>
      </c>
      <c r="I3184" s="1"/>
      <c r="J3184" s="1"/>
      <c r="K3184" s="1"/>
      <c r="L3184" s="1"/>
      <c r="M3184" s="1"/>
      <c r="N3184" s="1"/>
      <c r="O3184" s="1"/>
      <c r="Q3184"/>
    </row>
    <row r="3185" spans="1:17" ht="13.15" customHeight="1" x14ac:dyDescent="0.2">
      <c r="A3185" s="1" t="s">
        <v>7823</v>
      </c>
      <c r="B3185" s="1" t="s">
        <v>7765</v>
      </c>
      <c r="C3185" s="580">
        <v>1108</v>
      </c>
      <c r="D3185" s="1">
        <v>1526.17</v>
      </c>
      <c r="E3185" t="s">
        <v>7687</v>
      </c>
      <c r="F3185" t="s">
        <v>7824</v>
      </c>
      <c r="G3185" s="580">
        <v>333.82080000000002</v>
      </c>
      <c r="H3185" s="1" t="s">
        <v>7825</v>
      </c>
      <c r="I3185" s="1"/>
      <c r="J3185" s="1"/>
      <c r="K3185" s="1"/>
      <c r="L3185" s="1"/>
      <c r="M3185" s="1"/>
      <c r="N3185" s="1"/>
      <c r="O3185" s="1"/>
      <c r="Q3185"/>
    </row>
    <row r="3186" spans="1:17" ht="13.15" customHeight="1" x14ac:dyDescent="0.2">
      <c r="A3186" s="1" t="s">
        <v>7826</v>
      </c>
      <c r="B3186" s="1" t="s">
        <v>7765</v>
      </c>
      <c r="C3186" s="580">
        <v>1119</v>
      </c>
      <c r="D3186" s="1">
        <v>1989.66</v>
      </c>
      <c r="E3186" t="s">
        <v>7687</v>
      </c>
      <c r="F3186" t="s">
        <v>7827</v>
      </c>
      <c r="G3186" s="580">
        <v>434.49700000000001</v>
      </c>
      <c r="H3186" s="1" t="s">
        <v>7828</v>
      </c>
      <c r="I3186" s="1"/>
      <c r="J3186" s="1"/>
      <c r="K3186" s="1"/>
      <c r="L3186" s="1"/>
      <c r="M3186" s="1"/>
      <c r="N3186" s="1"/>
      <c r="O3186" s="1"/>
      <c r="Q3186"/>
    </row>
    <row r="3187" spans="1:17" ht="13.15" customHeight="1" x14ac:dyDescent="0.2">
      <c r="A3187" s="1" t="s">
        <v>7829</v>
      </c>
      <c r="B3187" s="1" t="s">
        <v>7765</v>
      </c>
      <c r="C3187" s="580">
        <v>1125</v>
      </c>
      <c r="D3187" s="1">
        <v>2196.92</v>
      </c>
      <c r="E3187" t="s">
        <v>7687</v>
      </c>
      <c r="F3187" t="s">
        <v>7830</v>
      </c>
      <c r="G3187" s="580">
        <v>481.50220000000002</v>
      </c>
      <c r="H3187" s="1" t="s">
        <v>7831</v>
      </c>
      <c r="I3187" s="1"/>
      <c r="J3187" s="1"/>
      <c r="K3187" s="1"/>
      <c r="L3187" s="1"/>
      <c r="M3187" s="1"/>
      <c r="N3187" s="1"/>
      <c r="O3187" s="1"/>
      <c r="Q3187"/>
    </row>
    <row r="3188" spans="1:17" ht="13.15" customHeight="1" x14ac:dyDescent="0.2">
      <c r="A3188" s="1" t="s">
        <v>7832</v>
      </c>
      <c r="B3188" s="1" t="s">
        <v>7765</v>
      </c>
      <c r="C3188" s="580">
        <v>1111</v>
      </c>
      <c r="D3188" s="1">
        <v>1708.01</v>
      </c>
      <c r="E3188" t="s">
        <v>7687</v>
      </c>
      <c r="F3188" t="s">
        <v>7833</v>
      </c>
      <c r="G3188" s="580">
        <v>378.73009999999999</v>
      </c>
      <c r="H3188" s="1" t="s">
        <v>7834</v>
      </c>
      <c r="I3188" s="1"/>
      <c r="J3188" s="1"/>
      <c r="K3188" s="1"/>
      <c r="L3188" s="1"/>
      <c r="M3188" s="1"/>
      <c r="N3188" s="1"/>
      <c r="O3188" s="1"/>
      <c r="Q3188"/>
    </row>
    <row r="3189" spans="1:17" ht="13.15" customHeight="1" x14ac:dyDescent="0.2">
      <c r="A3189" s="1" t="s">
        <v>7835</v>
      </c>
      <c r="B3189" s="1" t="s">
        <v>7765</v>
      </c>
      <c r="C3189" s="580">
        <v>1114</v>
      </c>
      <c r="D3189" s="1">
        <v>1744.73</v>
      </c>
      <c r="E3189" t="s">
        <v>7687</v>
      </c>
      <c r="F3189" t="s">
        <v>7836</v>
      </c>
      <c r="G3189" s="580">
        <v>374.79669999999999</v>
      </c>
      <c r="H3189" s="1" t="s">
        <v>7837</v>
      </c>
      <c r="I3189" s="1"/>
      <c r="J3189" s="1"/>
      <c r="K3189" s="1"/>
      <c r="L3189" s="1"/>
      <c r="M3189" s="1"/>
      <c r="N3189" s="1"/>
      <c r="O3189" s="1"/>
      <c r="Q3189"/>
    </row>
    <row r="3190" spans="1:17" ht="13.15" customHeight="1" x14ac:dyDescent="0.2">
      <c r="A3190" s="1" t="s">
        <v>7838</v>
      </c>
      <c r="B3190" s="1" t="s">
        <v>7765</v>
      </c>
      <c r="C3190" s="580">
        <v>1100</v>
      </c>
      <c r="D3190" s="1">
        <v>1416.88</v>
      </c>
      <c r="E3190" t="s">
        <v>7687</v>
      </c>
      <c r="F3190" t="s">
        <v>7839</v>
      </c>
      <c r="G3190" s="580">
        <v>303.94439999999997</v>
      </c>
      <c r="H3190" s="1" t="s">
        <v>7840</v>
      </c>
      <c r="I3190" s="1"/>
      <c r="J3190" s="1"/>
      <c r="K3190" s="1"/>
      <c r="L3190" s="1"/>
      <c r="M3190" s="1"/>
      <c r="N3190" s="1"/>
      <c r="O3190" s="1"/>
      <c r="Q3190"/>
    </row>
    <row r="3191" spans="1:17" ht="13.15" customHeight="1" x14ac:dyDescent="0.2">
      <c r="A3191" s="1" t="s">
        <v>7841</v>
      </c>
      <c r="B3191" s="1" t="s">
        <v>7765</v>
      </c>
      <c r="C3191" s="580">
        <v>1102</v>
      </c>
      <c r="D3191" s="1">
        <v>1869.08</v>
      </c>
      <c r="E3191" t="s">
        <v>7687</v>
      </c>
      <c r="F3191" t="s">
        <v>7842</v>
      </c>
      <c r="G3191" s="580">
        <v>400.12130000000002</v>
      </c>
      <c r="H3191" s="1" t="s">
        <v>7843</v>
      </c>
      <c r="I3191" s="1"/>
      <c r="J3191" s="1"/>
      <c r="K3191" s="1"/>
      <c r="L3191" s="1"/>
      <c r="M3191" s="1"/>
      <c r="N3191" s="1"/>
      <c r="O3191" s="1"/>
      <c r="Q3191"/>
    </row>
    <row r="3192" spans="1:17" ht="13.15" customHeight="1" x14ac:dyDescent="0.2">
      <c r="A3192" s="1" t="s">
        <v>7844</v>
      </c>
      <c r="B3192" s="1" t="s">
        <v>7765</v>
      </c>
      <c r="C3192" s="580">
        <v>1514.1</v>
      </c>
      <c r="D3192" s="1">
        <v>1174.01</v>
      </c>
      <c r="E3192" t="s">
        <v>7687</v>
      </c>
      <c r="F3192" t="s">
        <v>7845</v>
      </c>
      <c r="G3192" s="580">
        <v>244.58330000000001</v>
      </c>
      <c r="H3192" s="1" t="s">
        <v>7846</v>
      </c>
      <c r="I3192" s="1"/>
      <c r="J3192" s="1"/>
      <c r="K3192" s="1"/>
      <c r="L3192" s="1"/>
      <c r="M3192" s="1"/>
      <c r="N3192" s="1"/>
      <c r="O3192" s="1"/>
      <c r="Q3192"/>
    </row>
    <row r="3193" spans="1:17" ht="13.15" customHeight="1" x14ac:dyDescent="0.2">
      <c r="A3193" s="1" t="s">
        <v>7847</v>
      </c>
      <c r="B3193" s="1" t="s">
        <v>7765</v>
      </c>
      <c r="C3193" s="580">
        <v>1514</v>
      </c>
      <c r="D3193" s="1">
        <v>976</v>
      </c>
      <c r="E3193" t="s">
        <v>7687</v>
      </c>
      <c r="F3193" t="s">
        <v>7848</v>
      </c>
      <c r="G3193" s="580">
        <v>203.81979999999999</v>
      </c>
      <c r="H3193" s="1" t="s">
        <v>7849</v>
      </c>
      <c r="I3193" s="1"/>
      <c r="J3193" s="1"/>
      <c r="K3193" s="1"/>
      <c r="L3193" s="1"/>
      <c r="M3193" s="1"/>
      <c r="N3193" s="1"/>
      <c r="O3193" s="1"/>
      <c r="Q3193"/>
    </row>
    <row r="3194" spans="1:17" ht="13.15" customHeight="1" x14ac:dyDescent="0.2">
      <c r="A3194" s="1" t="s">
        <v>7850</v>
      </c>
      <c r="B3194" s="1" t="s">
        <v>7765</v>
      </c>
      <c r="C3194" s="580">
        <v>1046</v>
      </c>
      <c r="D3194" s="1">
        <v>93.754999999999995</v>
      </c>
      <c r="E3194" t="s">
        <v>7687</v>
      </c>
      <c r="F3194" t="s">
        <v>7851</v>
      </c>
      <c r="G3194" s="580">
        <v>15.5398</v>
      </c>
      <c r="H3194" s="1" t="s">
        <v>7852</v>
      </c>
      <c r="I3194" s="1"/>
      <c r="J3194" s="1"/>
      <c r="K3194" s="1"/>
      <c r="L3194" s="1"/>
      <c r="M3194" s="1"/>
      <c r="N3194" s="1"/>
      <c r="O3194" s="1"/>
      <c r="Q3194"/>
    </row>
    <row r="3195" spans="1:17" ht="13.15" customHeight="1" x14ac:dyDescent="0.2">
      <c r="A3195" s="1" t="s">
        <v>7853</v>
      </c>
      <c r="B3195" s="1" t="s">
        <v>7765</v>
      </c>
      <c r="C3195" s="580">
        <v>1056</v>
      </c>
      <c r="D3195" s="1">
        <v>141.822</v>
      </c>
      <c r="E3195" t="s">
        <v>7687</v>
      </c>
      <c r="F3195" t="s">
        <v>7854</v>
      </c>
      <c r="G3195" s="580">
        <v>29.270199999999999</v>
      </c>
      <c r="H3195" s="1" t="s">
        <v>7855</v>
      </c>
      <c r="I3195" s="1"/>
      <c r="J3195" s="1"/>
      <c r="K3195" s="1"/>
      <c r="L3195" s="1"/>
      <c r="M3195" s="1"/>
      <c r="N3195" s="1"/>
      <c r="O3195" s="1"/>
      <c r="Q3195"/>
    </row>
    <row r="3196" spans="1:17" ht="13.15" customHeight="1" x14ac:dyDescent="0.2">
      <c r="A3196" s="1" t="s">
        <v>7856</v>
      </c>
      <c r="B3196" s="1" t="s">
        <v>7765</v>
      </c>
      <c r="C3196" s="580">
        <v>1060</v>
      </c>
      <c r="D3196" s="1">
        <v>204.88800000000001</v>
      </c>
      <c r="E3196" t="s">
        <v>7687</v>
      </c>
      <c r="F3196" t="s">
        <v>7857</v>
      </c>
      <c r="G3196" s="580">
        <v>42.341000000000001</v>
      </c>
      <c r="H3196" s="1" t="s">
        <v>7858</v>
      </c>
      <c r="I3196" s="1"/>
      <c r="J3196" s="1"/>
      <c r="K3196" s="1"/>
      <c r="L3196" s="1"/>
      <c r="M3196" s="1"/>
      <c r="N3196" s="1"/>
      <c r="O3196" s="1"/>
      <c r="Q3196"/>
    </row>
    <row r="3197" spans="1:17" ht="13.15" customHeight="1" x14ac:dyDescent="0.2">
      <c r="A3197" s="1" t="s">
        <v>7859</v>
      </c>
      <c r="B3197" s="1" t="s">
        <v>7765</v>
      </c>
      <c r="C3197" s="580">
        <v>1061</v>
      </c>
      <c r="D3197" s="1">
        <v>230.57400000000001</v>
      </c>
      <c r="E3197" t="s">
        <v>7687</v>
      </c>
      <c r="F3197" t="s">
        <v>7860</v>
      </c>
      <c r="G3197" s="580">
        <v>47.646700000000003</v>
      </c>
      <c r="H3197" s="1" t="s">
        <v>7861</v>
      </c>
      <c r="I3197" s="1"/>
      <c r="J3197" s="1"/>
      <c r="K3197" s="1"/>
      <c r="L3197" s="1"/>
      <c r="M3197" s="1"/>
      <c r="N3197" s="1"/>
      <c r="O3197" s="1"/>
      <c r="Q3197"/>
    </row>
    <row r="3198" spans="1:17" ht="13.15" customHeight="1" x14ac:dyDescent="0.2">
      <c r="A3198" s="1" t="s">
        <v>7862</v>
      </c>
      <c r="B3198" s="1" t="s">
        <v>7765</v>
      </c>
      <c r="C3198" s="580">
        <v>1048</v>
      </c>
      <c r="D3198" s="1">
        <v>120.414</v>
      </c>
      <c r="E3198" t="s">
        <v>7687</v>
      </c>
      <c r="F3198" t="s">
        <v>7863</v>
      </c>
      <c r="G3198" s="580">
        <v>23.159199999999998</v>
      </c>
      <c r="H3198" s="1" t="s">
        <v>7864</v>
      </c>
      <c r="I3198" s="1"/>
      <c r="J3198" s="1"/>
      <c r="K3198" s="1"/>
      <c r="L3198" s="1"/>
      <c r="M3198" s="1"/>
      <c r="N3198" s="1"/>
      <c r="O3198" s="1"/>
      <c r="Q3198"/>
    </row>
    <row r="3199" spans="1:17" ht="13.15" customHeight="1" x14ac:dyDescent="0.2">
      <c r="A3199" s="1" t="s">
        <v>7865</v>
      </c>
      <c r="B3199" s="1" t="s">
        <v>7765</v>
      </c>
      <c r="C3199" s="580">
        <v>1204</v>
      </c>
      <c r="D3199" s="1">
        <v>214.46</v>
      </c>
      <c r="E3199" t="s">
        <v>7687</v>
      </c>
      <c r="F3199" t="s">
        <v>7866</v>
      </c>
      <c r="G3199" s="580">
        <v>53.405299999999997</v>
      </c>
      <c r="H3199" s="1" t="s">
        <v>7867</v>
      </c>
      <c r="I3199" s="1"/>
      <c r="J3199" s="1"/>
      <c r="K3199" s="1"/>
      <c r="L3199" s="1"/>
      <c r="M3199" s="1"/>
      <c r="N3199" s="1"/>
      <c r="O3199" s="1"/>
      <c r="Q3199"/>
    </row>
    <row r="3200" spans="1:17" ht="13.15" customHeight="1" x14ac:dyDescent="0.2">
      <c r="A3200" s="1" t="s">
        <v>7868</v>
      </c>
      <c r="B3200" s="1" t="s">
        <v>7765</v>
      </c>
      <c r="C3200" s="580">
        <v>1205</v>
      </c>
      <c r="D3200" s="1">
        <v>291.16000000000003</v>
      </c>
      <c r="E3200" t="s">
        <v>7687</v>
      </c>
      <c r="F3200" t="s">
        <v>7869</v>
      </c>
      <c r="G3200" s="580">
        <v>71.739400000000003</v>
      </c>
      <c r="H3200" s="1" t="s">
        <v>7870</v>
      </c>
      <c r="I3200" s="1"/>
      <c r="J3200" s="1"/>
      <c r="K3200" s="1"/>
      <c r="L3200" s="1"/>
      <c r="M3200" s="1"/>
      <c r="N3200" s="1"/>
      <c r="O3200" s="1"/>
      <c r="Q3200"/>
    </row>
    <row r="3201" spans="1:17" ht="13.15" customHeight="1" x14ac:dyDescent="0.2">
      <c r="A3201" s="1" t="s">
        <v>7871</v>
      </c>
      <c r="B3201" s="1" t="s">
        <v>7765</v>
      </c>
      <c r="C3201" s="580">
        <v>1053</v>
      </c>
      <c r="D3201" s="1">
        <v>269.928</v>
      </c>
      <c r="E3201" t="s">
        <v>7687</v>
      </c>
      <c r="F3201" t="s">
        <v>7872</v>
      </c>
      <c r="G3201" s="580">
        <v>55.0426</v>
      </c>
      <c r="H3201" s="1" t="s">
        <v>7873</v>
      </c>
      <c r="I3201" s="1"/>
      <c r="J3201" s="1"/>
      <c r="K3201" s="1"/>
      <c r="L3201" s="1"/>
      <c r="M3201" s="1"/>
      <c r="N3201" s="1"/>
      <c r="O3201" s="1"/>
      <c r="Q3201"/>
    </row>
    <row r="3202" spans="1:17" ht="13.15" customHeight="1" x14ac:dyDescent="0.2">
      <c r="A3202" s="1" t="s">
        <v>7874</v>
      </c>
      <c r="B3202" s="1" t="s">
        <v>7765</v>
      </c>
      <c r="C3202" s="580">
        <v>1055</v>
      </c>
      <c r="D3202" s="1">
        <v>330.78</v>
      </c>
      <c r="E3202" t="s">
        <v>7687</v>
      </c>
      <c r="F3202" t="s">
        <v>7875</v>
      </c>
      <c r="G3202" s="580">
        <v>81.615600000000001</v>
      </c>
      <c r="H3202" s="1" t="s">
        <v>7876</v>
      </c>
      <c r="I3202" s="1"/>
      <c r="J3202" s="1"/>
      <c r="K3202" s="1"/>
      <c r="L3202" s="1"/>
      <c r="M3202" s="1"/>
      <c r="N3202" s="1"/>
      <c r="O3202" s="1"/>
      <c r="Q3202"/>
    </row>
    <row r="3203" spans="1:17" ht="13.15" customHeight="1" x14ac:dyDescent="0.2">
      <c r="A3203" s="1" t="s">
        <v>7877</v>
      </c>
      <c r="B3203" s="1" t="s">
        <v>7878</v>
      </c>
      <c r="C3203" s="580">
        <v>1</v>
      </c>
      <c r="D3203" s="1">
        <v>445.36020000000002</v>
      </c>
      <c r="E3203" t="s">
        <v>4354</v>
      </c>
      <c r="F3203" t="s">
        <v>7879</v>
      </c>
      <c r="G3203" s="580">
        <v>55.984499999999997</v>
      </c>
      <c r="H3203" s="1" t="s">
        <v>7880</v>
      </c>
      <c r="I3203" s="1"/>
      <c r="J3203" s="1"/>
      <c r="K3203" s="1"/>
      <c r="L3203" s="1"/>
      <c r="M3203" s="1"/>
      <c r="N3203" s="1"/>
      <c r="O3203" s="1"/>
      <c r="Q3203"/>
    </row>
    <row r="3204" spans="1:17" ht="13.15" customHeight="1" x14ac:dyDescent="0.2">
      <c r="A3204" s="1" t="s">
        <v>7881</v>
      </c>
      <c r="B3204" s="1" t="s">
        <v>7878</v>
      </c>
      <c r="C3204" s="580">
        <v>2</v>
      </c>
      <c r="D3204" s="1">
        <v>534.43240000000003</v>
      </c>
      <c r="E3204" t="s">
        <v>4354</v>
      </c>
      <c r="F3204" t="s">
        <v>7882</v>
      </c>
      <c r="G3204" s="580">
        <v>67.181399999999996</v>
      </c>
      <c r="H3204" s="1" t="s">
        <v>7883</v>
      </c>
      <c r="I3204" s="1"/>
      <c r="J3204" s="1"/>
      <c r="K3204" s="1"/>
      <c r="L3204" s="1"/>
      <c r="M3204" s="1"/>
      <c r="N3204" s="1"/>
      <c r="O3204" s="1"/>
      <c r="Q3204"/>
    </row>
    <row r="3205" spans="1:17" ht="13.15" customHeight="1" x14ac:dyDescent="0.2">
      <c r="A3205" s="1" t="s">
        <v>7884</v>
      </c>
      <c r="B3205" s="1" t="s">
        <v>7878</v>
      </c>
      <c r="C3205" s="580">
        <v>3</v>
      </c>
      <c r="D3205" s="1">
        <v>578.9683</v>
      </c>
      <c r="E3205" t="s">
        <v>4354</v>
      </c>
      <c r="F3205" t="s">
        <v>7885</v>
      </c>
      <c r="G3205" s="580">
        <v>77.516999999999996</v>
      </c>
      <c r="H3205" s="1" t="s">
        <v>7886</v>
      </c>
      <c r="I3205" s="1"/>
      <c r="J3205" s="1"/>
      <c r="K3205" s="1"/>
      <c r="L3205" s="1"/>
      <c r="M3205" s="1"/>
      <c r="N3205" s="1"/>
      <c r="O3205" s="1"/>
      <c r="Q3205"/>
    </row>
    <row r="3206" spans="1:17" ht="13.15" customHeight="1" x14ac:dyDescent="0.2">
      <c r="A3206" s="1" t="s">
        <v>7887</v>
      </c>
      <c r="B3206" s="1" t="s">
        <v>7878</v>
      </c>
      <c r="C3206" s="580">
        <v>4</v>
      </c>
      <c r="D3206" s="1">
        <v>801.64840000000004</v>
      </c>
      <c r="E3206" t="s">
        <v>4354</v>
      </c>
      <c r="F3206" t="s">
        <v>7888</v>
      </c>
      <c r="G3206" s="580">
        <v>100.77209999999999</v>
      </c>
      <c r="H3206" s="1" t="s">
        <v>7889</v>
      </c>
      <c r="I3206" s="1"/>
      <c r="J3206" s="1"/>
      <c r="K3206" s="1"/>
      <c r="L3206" s="1"/>
      <c r="M3206" s="1"/>
      <c r="N3206" s="1"/>
      <c r="O3206" s="1"/>
      <c r="Q3206"/>
    </row>
    <row r="3207" spans="1:17" ht="13.15" customHeight="1" x14ac:dyDescent="0.2">
      <c r="A3207" s="1" t="s">
        <v>7890</v>
      </c>
      <c r="B3207" s="1" t="s">
        <v>7878</v>
      </c>
      <c r="C3207" s="580">
        <v>5</v>
      </c>
      <c r="D3207" s="1">
        <v>1113.4006999999999</v>
      </c>
      <c r="E3207" t="s">
        <v>4354</v>
      </c>
      <c r="F3207" t="s">
        <v>7891</v>
      </c>
      <c r="G3207" s="580">
        <v>139.96119999999999</v>
      </c>
      <c r="H3207" s="1" t="s">
        <v>7892</v>
      </c>
      <c r="I3207" s="1"/>
      <c r="J3207" s="1"/>
      <c r="K3207" s="1"/>
      <c r="L3207" s="1"/>
      <c r="M3207" s="1"/>
      <c r="N3207" s="1"/>
      <c r="O3207" s="1"/>
      <c r="Q3207"/>
    </row>
    <row r="3208" spans="1:17" ht="13.15" customHeight="1" x14ac:dyDescent="0.2">
      <c r="A3208" s="1" t="s">
        <v>7893</v>
      </c>
      <c r="B3208" s="1" t="s">
        <v>7878</v>
      </c>
      <c r="C3208" s="580">
        <v>6</v>
      </c>
      <c r="D3208" s="1">
        <v>1558.7609</v>
      </c>
      <c r="E3208" t="s">
        <v>4354</v>
      </c>
      <c r="F3208" t="s">
        <v>7894</v>
      </c>
      <c r="G3208" s="580">
        <v>230.7825</v>
      </c>
      <c r="H3208" s="1" t="s">
        <v>7895</v>
      </c>
      <c r="I3208" s="1"/>
      <c r="J3208" s="1"/>
      <c r="K3208" s="1"/>
      <c r="L3208" s="1"/>
      <c r="M3208" s="1"/>
      <c r="N3208" s="1"/>
      <c r="O3208" s="1"/>
      <c r="Q3208"/>
    </row>
    <row r="3209" spans="1:17" ht="13.15" customHeight="1" x14ac:dyDescent="0.2">
      <c r="A3209" s="1" t="s">
        <v>7896</v>
      </c>
      <c r="B3209" s="1" t="s">
        <v>7878</v>
      </c>
      <c r="C3209" s="580">
        <v>7</v>
      </c>
      <c r="D3209" s="1">
        <v>2048.6572000000001</v>
      </c>
      <c r="E3209" t="s">
        <v>4354</v>
      </c>
      <c r="F3209" t="s">
        <v>7897</v>
      </c>
      <c r="G3209" s="580">
        <v>303.3141</v>
      </c>
      <c r="H3209" s="1" t="s">
        <v>7898</v>
      </c>
      <c r="I3209" s="1"/>
      <c r="J3209" s="1"/>
      <c r="K3209" s="1"/>
      <c r="L3209" s="1"/>
      <c r="M3209" s="1"/>
      <c r="N3209" s="1"/>
      <c r="O3209" s="1"/>
      <c r="Q3209"/>
    </row>
    <row r="3210" spans="1:17" ht="13.15" customHeight="1" x14ac:dyDescent="0.2">
      <c r="A3210" s="1" t="s">
        <v>7899</v>
      </c>
      <c r="B3210" s="1" t="s">
        <v>7878</v>
      </c>
      <c r="C3210" s="580">
        <v>8</v>
      </c>
      <c r="D3210" s="1">
        <v>534.43240000000003</v>
      </c>
      <c r="E3210" t="s">
        <v>4354</v>
      </c>
      <c r="F3210" t="s">
        <v>7900</v>
      </c>
      <c r="G3210" s="580">
        <v>73.210499999999996</v>
      </c>
      <c r="H3210" s="1" t="s">
        <v>7901</v>
      </c>
      <c r="I3210" s="1"/>
      <c r="J3210" s="1"/>
      <c r="K3210" s="1"/>
      <c r="L3210" s="1"/>
      <c r="M3210" s="1"/>
      <c r="N3210" s="1"/>
      <c r="O3210" s="1"/>
      <c r="Q3210"/>
    </row>
    <row r="3211" spans="1:17" ht="13.15" customHeight="1" x14ac:dyDescent="0.2">
      <c r="A3211" s="1" t="s">
        <v>7902</v>
      </c>
      <c r="B3211" s="1" t="s">
        <v>7878</v>
      </c>
      <c r="C3211" s="580">
        <v>9</v>
      </c>
      <c r="D3211" s="1">
        <v>616.65269999999998</v>
      </c>
      <c r="E3211" t="s">
        <v>4354</v>
      </c>
      <c r="F3211" t="s">
        <v>7903</v>
      </c>
      <c r="G3211" s="580">
        <v>91.298599999999993</v>
      </c>
      <c r="H3211" s="1" t="s">
        <v>7904</v>
      </c>
      <c r="I3211" s="1"/>
      <c r="J3211" s="1"/>
      <c r="K3211" s="1"/>
      <c r="L3211" s="1"/>
      <c r="M3211" s="1"/>
      <c r="N3211" s="1"/>
      <c r="O3211" s="1"/>
      <c r="Q3211"/>
    </row>
    <row r="3212" spans="1:17" ht="13.15" customHeight="1" x14ac:dyDescent="0.2">
      <c r="A3212" s="1" t="s">
        <v>7905</v>
      </c>
      <c r="B3212" s="1" t="s">
        <v>7878</v>
      </c>
      <c r="C3212" s="580">
        <v>10</v>
      </c>
      <c r="D3212" s="1">
        <v>1070.5776000000001</v>
      </c>
      <c r="E3212" t="s">
        <v>4354</v>
      </c>
      <c r="F3212" t="s">
        <v>7906</v>
      </c>
      <c r="G3212" s="580">
        <v>139.96119999999999</v>
      </c>
      <c r="H3212" s="1" t="s">
        <v>7907</v>
      </c>
      <c r="I3212" s="1"/>
      <c r="J3212" s="1"/>
      <c r="K3212" s="1"/>
      <c r="L3212" s="1"/>
      <c r="M3212" s="1"/>
      <c r="N3212" s="1"/>
      <c r="O3212" s="1"/>
      <c r="Q3212"/>
    </row>
    <row r="3213" spans="1:17" ht="13.15" customHeight="1" x14ac:dyDescent="0.2">
      <c r="A3213" s="1" t="s">
        <v>7908</v>
      </c>
      <c r="B3213" s="1" t="s">
        <v>7878</v>
      </c>
      <c r="C3213" s="580">
        <v>11</v>
      </c>
      <c r="D3213" s="1">
        <v>779.38049999999998</v>
      </c>
      <c r="E3213" t="s">
        <v>4354</v>
      </c>
      <c r="F3213" t="s">
        <v>7909</v>
      </c>
      <c r="G3213" s="580">
        <v>115.3912</v>
      </c>
      <c r="H3213" s="1" t="s">
        <v>7910</v>
      </c>
      <c r="I3213" s="1"/>
      <c r="J3213" s="1"/>
      <c r="K3213" s="1"/>
      <c r="L3213" s="1"/>
      <c r="M3213" s="1"/>
      <c r="N3213" s="1"/>
      <c r="O3213" s="1"/>
      <c r="Q3213"/>
    </row>
    <row r="3214" spans="1:17" ht="13.15" customHeight="1" x14ac:dyDescent="0.2">
      <c r="A3214" s="1" t="s">
        <v>7911</v>
      </c>
      <c r="B3214" s="1" t="s">
        <v>7878</v>
      </c>
      <c r="C3214" s="580">
        <v>12</v>
      </c>
      <c r="D3214" s="1">
        <v>801.64840000000004</v>
      </c>
      <c r="E3214" t="s">
        <v>4354</v>
      </c>
      <c r="F3214" t="s">
        <v>7912</v>
      </c>
      <c r="G3214" s="580">
        <v>118.68810000000001</v>
      </c>
      <c r="H3214" s="1" t="s">
        <v>7913</v>
      </c>
      <c r="I3214" s="1"/>
      <c r="J3214" s="1"/>
      <c r="K3214" s="1"/>
      <c r="L3214" s="1"/>
      <c r="M3214" s="1"/>
      <c r="N3214" s="1"/>
      <c r="O3214" s="1"/>
      <c r="Q3214"/>
    </row>
    <row r="3215" spans="1:17" ht="13.15" customHeight="1" x14ac:dyDescent="0.2">
      <c r="A3215" s="1" t="s">
        <v>7914</v>
      </c>
      <c r="B3215" s="1" t="s">
        <v>7878</v>
      </c>
      <c r="C3215" s="580">
        <v>13</v>
      </c>
      <c r="D3215" s="1">
        <v>1024.3287</v>
      </c>
      <c r="E3215" t="s">
        <v>4354</v>
      </c>
      <c r="F3215" t="s">
        <v>7915</v>
      </c>
      <c r="G3215" s="580">
        <v>151.65700000000001</v>
      </c>
      <c r="H3215" s="1" t="s">
        <v>7916</v>
      </c>
      <c r="I3215" s="1"/>
      <c r="J3215" s="1"/>
      <c r="K3215" s="1"/>
      <c r="L3215" s="1"/>
      <c r="M3215" s="1"/>
      <c r="N3215" s="1"/>
      <c r="O3215" s="1"/>
      <c r="Q3215"/>
    </row>
    <row r="3216" spans="1:17" ht="13.15" customHeight="1" x14ac:dyDescent="0.2">
      <c r="A3216" s="1" t="s">
        <v>7917</v>
      </c>
      <c r="B3216" s="1" t="s">
        <v>7878</v>
      </c>
      <c r="C3216" s="580">
        <v>14</v>
      </c>
      <c r="D3216" s="1">
        <v>1558.7609</v>
      </c>
      <c r="E3216" t="s">
        <v>4354</v>
      </c>
      <c r="F3216" t="s">
        <v>7918</v>
      </c>
      <c r="G3216" s="580">
        <v>230.7825</v>
      </c>
      <c r="H3216" s="1" t="s">
        <v>7919</v>
      </c>
      <c r="I3216" s="1"/>
      <c r="J3216" s="1"/>
      <c r="K3216" s="1"/>
      <c r="L3216" s="1"/>
      <c r="M3216" s="1"/>
      <c r="N3216" s="1"/>
      <c r="O3216" s="1"/>
      <c r="Q3216"/>
    </row>
    <row r="3217" spans="1:17" ht="13.15" customHeight="1" x14ac:dyDescent="0.2">
      <c r="A3217" s="1" t="s">
        <v>7920</v>
      </c>
      <c r="B3217" s="1" t="s">
        <v>7878</v>
      </c>
      <c r="C3217" s="580">
        <v>15</v>
      </c>
      <c r="D3217" s="1">
        <v>1558.7609</v>
      </c>
      <c r="E3217" t="s">
        <v>4354</v>
      </c>
      <c r="F3217" t="s">
        <v>7921</v>
      </c>
      <c r="G3217" s="580">
        <v>230.7825</v>
      </c>
      <c r="H3217" s="1" t="s">
        <v>7922</v>
      </c>
      <c r="I3217" s="1"/>
      <c r="J3217" s="1"/>
      <c r="K3217" s="1"/>
      <c r="L3217" s="1"/>
      <c r="M3217" s="1"/>
      <c r="N3217" s="1"/>
      <c r="O3217" s="1"/>
      <c r="Q3217"/>
    </row>
    <row r="3218" spans="1:17" ht="13.15" customHeight="1" x14ac:dyDescent="0.2">
      <c r="A3218" s="1" t="s">
        <v>7923</v>
      </c>
      <c r="B3218" s="1" t="s">
        <v>7878</v>
      </c>
      <c r="C3218" s="580">
        <v>16</v>
      </c>
      <c r="D3218" s="1">
        <v>801.64840000000004</v>
      </c>
      <c r="E3218" t="s">
        <v>4354</v>
      </c>
      <c r="F3218" t="s">
        <v>7924</v>
      </c>
      <c r="G3218" s="580">
        <v>118.68810000000001</v>
      </c>
      <c r="H3218" s="1" t="s">
        <v>7925</v>
      </c>
      <c r="I3218" s="1"/>
      <c r="J3218" s="1"/>
      <c r="K3218" s="1"/>
      <c r="L3218" s="1"/>
      <c r="M3218" s="1"/>
      <c r="N3218" s="1"/>
      <c r="O3218" s="1"/>
      <c r="Q3218"/>
    </row>
    <row r="3219" spans="1:17" ht="13.15" customHeight="1" x14ac:dyDescent="0.2">
      <c r="A3219" s="1" t="s">
        <v>7926</v>
      </c>
      <c r="B3219" s="1" t="s">
        <v>7878</v>
      </c>
      <c r="C3219" s="580">
        <v>17</v>
      </c>
      <c r="D3219" s="1">
        <v>1558.7609</v>
      </c>
      <c r="E3219" t="s">
        <v>4354</v>
      </c>
      <c r="F3219" t="s">
        <v>7927</v>
      </c>
      <c r="G3219" s="580">
        <v>230.7825</v>
      </c>
      <c r="H3219" s="1" t="s">
        <v>7928</v>
      </c>
      <c r="I3219" s="1"/>
      <c r="J3219" s="1"/>
      <c r="K3219" s="1"/>
      <c r="L3219" s="1"/>
      <c r="M3219" s="1"/>
      <c r="N3219" s="1"/>
      <c r="O3219" s="1"/>
      <c r="Q3219"/>
    </row>
    <row r="3220" spans="1:17" ht="13.15" customHeight="1" x14ac:dyDescent="0.2">
      <c r="A3220" s="1" t="s">
        <v>7929</v>
      </c>
      <c r="B3220" s="1" t="s">
        <v>7878</v>
      </c>
      <c r="C3220" s="580">
        <v>18</v>
      </c>
      <c r="D3220" s="1">
        <v>1558.7609</v>
      </c>
      <c r="E3220" t="s">
        <v>4354</v>
      </c>
      <c r="F3220" t="s">
        <v>7930</v>
      </c>
      <c r="G3220" s="580">
        <v>230.7825</v>
      </c>
      <c r="H3220" s="1" t="s">
        <v>7931</v>
      </c>
      <c r="I3220" s="1"/>
      <c r="J3220" s="1"/>
      <c r="K3220" s="1"/>
      <c r="L3220" s="1"/>
      <c r="M3220" s="1"/>
      <c r="N3220" s="1"/>
      <c r="O3220" s="1"/>
      <c r="Q3220"/>
    </row>
    <row r="3221" spans="1:17" ht="13.15" customHeight="1" x14ac:dyDescent="0.2">
      <c r="A3221" s="1" t="s">
        <v>7932</v>
      </c>
      <c r="B3221" s="1" t="s">
        <v>7878</v>
      </c>
      <c r="C3221" s="580">
        <v>20</v>
      </c>
      <c r="D3221" s="1">
        <v>3175.9259999999999</v>
      </c>
      <c r="E3221" t="s">
        <v>4354</v>
      </c>
      <c r="F3221" t="s">
        <v>7933</v>
      </c>
      <c r="G3221" s="580">
        <v>374.17</v>
      </c>
      <c r="H3221" s="1" t="s">
        <v>7934</v>
      </c>
      <c r="I3221" s="1"/>
      <c r="J3221" s="1"/>
      <c r="K3221" s="1"/>
      <c r="L3221" s="1"/>
      <c r="M3221" s="1"/>
      <c r="N3221" s="1"/>
      <c r="O3221" s="1"/>
      <c r="Q3221"/>
    </row>
    <row r="3222" spans="1:17" ht="13.15" customHeight="1" x14ac:dyDescent="0.2">
      <c r="A3222" s="1" t="s">
        <v>7935</v>
      </c>
      <c r="B3222" s="1" t="s">
        <v>7878</v>
      </c>
      <c r="C3222" s="580">
        <v>21</v>
      </c>
      <c r="D3222" s="1">
        <v>3489.8553999999999</v>
      </c>
      <c r="E3222" t="s">
        <v>4354</v>
      </c>
      <c r="F3222" t="s">
        <v>7936</v>
      </c>
      <c r="G3222" s="580">
        <v>474.52140000000003</v>
      </c>
      <c r="H3222" s="1" t="s">
        <v>7937</v>
      </c>
      <c r="I3222" s="1"/>
      <c r="J3222" s="1"/>
      <c r="K3222" s="1"/>
      <c r="L3222" s="1"/>
      <c r="M3222" s="1"/>
      <c r="N3222" s="1"/>
      <c r="O3222" s="1"/>
      <c r="Q3222"/>
    </row>
    <row r="3223" spans="1:17" ht="13.15" customHeight="1" x14ac:dyDescent="0.2">
      <c r="A3223" s="1" t="s">
        <v>7938</v>
      </c>
      <c r="B3223" s="1" t="s">
        <v>7878</v>
      </c>
      <c r="C3223" s="580">
        <v>22</v>
      </c>
      <c r="D3223" s="1">
        <v>5466.6641</v>
      </c>
      <c r="E3223" t="s">
        <v>4354</v>
      </c>
      <c r="F3223" t="s">
        <v>7939</v>
      </c>
      <c r="G3223" s="580">
        <v>690.83</v>
      </c>
      <c r="H3223" s="1" t="s">
        <v>7940</v>
      </c>
      <c r="I3223" s="1"/>
      <c r="J3223" s="1"/>
      <c r="K3223" s="1"/>
      <c r="L3223" s="1"/>
      <c r="M3223" s="1"/>
      <c r="N3223" s="1"/>
      <c r="O3223" s="1"/>
      <c r="Q3223"/>
    </row>
    <row r="3224" spans="1:17" ht="13.15" customHeight="1" x14ac:dyDescent="0.2">
      <c r="A3224" s="1" t="s">
        <v>7941</v>
      </c>
      <c r="B3224" s="1" t="s">
        <v>7878</v>
      </c>
      <c r="C3224" s="580">
        <v>23</v>
      </c>
      <c r="D3224" s="1">
        <v>7362.8818000000001</v>
      </c>
      <c r="E3224" t="s">
        <v>4354</v>
      </c>
      <c r="F3224" t="s">
        <v>7942</v>
      </c>
      <c r="G3224" s="580">
        <v>868.99739999999997</v>
      </c>
      <c r="H3224" s="1" t="s">
        <v>7943</v>
      </c>
      <c r="I3224" s="1"/>
      <c r="J3224" s="1"/>
      <c r="K3224" s="1"/>
      <c r="L3224" s="1"/>
      <c r="M3224" s="1"/>
      <c r="N3224" s="1"/>
      <c r="O3224" s="1"/>
      <c r="Q3224"/>
    </row>
    <row r="3225" spans="1:17" ht="13.15" customHeight="1" x14ac:dyDescent="0.2">
      <c r="A3225" s="1" t="s">
        <v>7944</v>
      </c>
      <c r="B3225" s="1" t="s">
        <v>7878</v>
      </c>
      <c r="C3225" s="580">
        <v>24</v>
      </c>
      <c r="D3225" s="1">
        <v>2108.1578</v>
      </c>
      <c r="E3225" t="s">
        <v>4354</v>
      </c>
      <c r="F3225" t="s">
        <v>7945</v>
      </c>
      <c r="G3225" s="580">
        <v>374.17</v>
      </c>
      <c r="H3225" s="1" t="s">
        <v>7946</v>
      </c>
      <c r="I3225" s="1"/>
      <c r="J3225" s="1"/>
      <c r="K3225" s="1"/>
      <c r="L3225" s="1"/>
      <c r="M3225" s="1"/>
      <c r="N3225" s="1"/>
      <c r="O3225" s="1"/>
      <c r="Q3225"/>
    </row>
    <row r="3226" spans="1:17" ht="13.15" customHeight="1" x14ac:dyDescent="0.2">
      <c r="A3226" s="1" t="s">
        <v>7947</v>
      </c>
      <c r="B3226" s="1" t="s">
        <v>7878</v>
      </c>
      <c r="C3226" s="580">
        <v>25</v>
      </c>
      <c r="D3226" s="1">
        <v>2651.8310000000001</v>
      </c>
      <c r="E3226" t="s">
        <v>4354</v>
      </c>
      <c r="F3226" t="s">
        <v>7948</v>
      </c>
      <c r="G3226" s="580">
        <v>474.52140000000003</v>
      </c>
      <c r="H3226" s="1" t="s">
        <v>7949</v>
      </c>
      <c r="I3226" s="1"/>
      <c r="J3226" s="1"/>
      <c r="K3226" s="1"/>
      <c r="L3226" s="1"/>
      <c r="M3226" s="1"/>
      <c r="N3226" s="1"/>
      <c r="O3226" s="1"/>
      <c r="Q3226"/>
    </row>
    <row r="3227" spans="1:17" ht="13.15" customHeight="1" x14ac:dyDescent="0.2">
      <c r="A3227" s="1" t="s">
        <v>7950</v>
      </c>
      <c r="B3227" s="1" t="s">
        <v>7878</v>
      </c>
      <c r="C3227" s="580">
        <v>26</v>
      </c>
      <c r="D3227" s="1">
        <v>4209.3314</v>
      </c>
      <c r="E3227" t="s">
        <v>4354</v>
      </c>
      <c r="F3227" t="s">
        <v>7951</v>
      </c>
      <c r="G3227" s="580">
        <v>690.83</v>
      </c>
      <c r="H3227" s="1" t="s">
        <v>7952</v>
      </c>
      <c r="I3227" s="1"/>
      <c r="J3227" s="1"/>
      <c r="K3227" s="1"/>
      <c r="L3227" s="1"/>
      <c r="M3227" s="1"/>
      <c r="N3227" s="1"/>
      <c r="O3227" s="1"/>
      <c r="Q3227"/>
    </row>
    <row r="3228" spans="1:17" ht="13.15" customHeight="1" x14ac:dyDescent="0.2">
      <c r="A3228" s="1" t="s">
        <v>7953</v>
      </c>
      <c r="B3228" s="1" t="s">
        <v>7878</v>
      </c>
      <c r="C3228" s="580">
        <v>27</v>
      </c>
      <c r="D3228" s="1">
        <v>5669.4188999999997</v>
      </c>
      <c r="E3228" t="s">
        <v>4354</v>
      </c>
      <c r="F3228" t="s">
        <v>7954</v>
      </c>
      <c r="G3228" s="580">
        <v>868.99739999999997</v>
      </c>
      <c r="H3228" s="1" t="s">
        <v>7955</v>
      </c>
      <c r="I3228" s="1"/>
      <c r="J3228" s="1"/>
      <c r="K3228" s="1"/>
      <c r="L3228" s="1"/>
      <c r="M3228" s="1"/>
      <c r="N3228" s="1"/>
      <c r="O3228" s="1"/>
      <c r="Q3228"/>
    </row>
    <row r="3229" spans="1:17" ht="13.15" customHeight="1" x14ac:dyDescent="0.2">
      <c r="A3229" s="1" t="s">
        <v>7956</v>
      </c>
      <c r="B3229" s="1" t="s">
        <v>7878</v>
      </c>
      <c r="C3229" s="580">
        <v>30</v>
      </c>
      <c r="D3229" s="1">
        <v>3784.4762000000001</v>
      </c>
      <c r="E3229" t="s">
        <v>4354</v>
      </c>
      <c r="F3229" t="s">
        <v>7957</v>
      </c>
      <c r="G3229" s="580">
        <v>485.58319999999998</v>
      </c>
      <c r="H3229" s="1" t="s">
        <v>7901</v>
      </c>
      <c r="I3229" s="1"/>
      <c r="J3229" s="1"/>
      <c r="K3229" s="1"/>
      <c r="L3229" s="1"/>
      <c r="M3229" s="1"/>
      <c r="N3229" s="1"/>
      <c r="O3229" s="1"/>
      <c r="Q3229"/>
    </row>
    <row r="3230" spans="1:17" ht="13.15" customHeight="1" x14ac:dyDescent="0.2">
      <c r="A3230" s="1" t="s">
        <v>7958</v>
      </c>
      <c r="B3230" s="1" t="s">
        <v>7878</v>
      </c>
      <c r="C3230" s="580">
        <v>31</v>
      </c>
      <c r="D3230" s="1">
        <v>3645.0792000000001</v>
      </c>
      <c r="E3230" t="s">
        <v>4354</v>
      </c>
      <c r="F3230" t="s">
        <v>7959</v>
      </c>
      <c r="G3230" s="580">
        <v>461.05270000000002</v>
      </c>
      <c r="H3230" s="1" t="s">
        <v>7960</v>
      </c>
      <c r="I3230" s="1"/>
      <c r="J3230" s="1"/>
      <c r="K3230" s="1"/>
      <c r="L3230" s="1"/>
      <c r="M3230" s="1"/>
      <c r="N3230" s="1"/>
      <c r="O3230" s="1"/>
      <c r="Q3230"/>
    </row>
    <row r="3231" spans="1:17" ht="13.15" customHeight="1" x14ac:dyDescent="0.2">
      <c r="A3231" s="1" t="s">
        <v>7961</v>
      </c>
      <c r="B3231" s="1" t="s">
        <v>7878</v>
      </c>
      <c r="C3231" s="580">
        <v>32</v>
      </c>
      <c r="D3231" s="1">
        <v>6114.9119000000001</v>
      </c>
      <c r="E3231" t="s">
        <v>4354</v>
      </c>
      <c r="F3231" t="s">
        <v>7962</v>
      </c>
      <c r="G3231" s="580">
        <v>1016.6064</v>
      </c>
      <c r="H3231" s="1" t="s">
        <v>7904</v>
      </c>
      <c r="I3231" s="1"/>
      <c r="J3231" s="1"/>
      <c r="K3231" s="1"/>
      <c r="L3231" s="1"/>
      <c r="M3231" s="1"/>
      <c r="N3231" s="1"/>
      <c r="O3231" s="1"/>
      <c r="Q3231"/>
    </row>
    <row r="3232" spans="1:17" ht="13.15" customHeight="1" x14ac:dyDescent="0.2">
      <c r="A3232" s="1" t="s">
        <v>7963</v>
      </c>
      <c r="B3232" s="1" t="s">
        <v>7878</v>
      </c>
      <c r="C3232" s="580">
        <v>33</v>
      </c>
      <c r="D3232" s="1">
        <v>12566.626099999999</v>
      </c>
      <c r="E3232" t="s">
        <v>4354</v>
      </c>
      <c r="F3232" t="s">
        <v>7964</v>
      </c>
      <c r="G3232" s="580">
        <v>1371.3436999999999</v>
      </c>
      <c r="H3232" s="1" t="s">
        <v>7907</v>
      </c>
      <c r="I3232" s="1"/>
      <c r="J3232" s="1"/>
      <c r="K3232" s="1"/>
      <c r="L3232" s="1"/>
      <c r="M3232" s="1"/>
      <c r="N3232" s="1"/>
      <c r="O3232" s="1"/>
      <c r="Q3232"/>
    </row>
    <row r="3233" spans="1:17" ht="13.15" customHeight="1" x14ac:dyDescent="0.2">
      <c r="A3233" s="1" t="s">
        <v>7965</v>
      </c>
      <c r="B3233" s="1" t="s">
        <v>7878</v>
      </c>
      <c r="C3233" s="580">
        <v>34</v>
      </c>
      <c r="D3233" s="1">
        <v>3122.3526999999999</v>
      </c>
      <c r="E3233" t="s">
        <v>4354</v>
      </c>
      <c r="F3233" t="s">
        <v>7966</v>
      </c>
      <c r="G3233" s="580">
        <v>485.58319999999998</v>
      </c>
      <c r="H3233" s="1" t="s">
        <v>7883</v>
      </c>
      <c r="I3233" s="1"/>
      <c r="J3233" s="1"/>
      <c r="K3233" s="1"/>
      <c r="L3233" s="1"/>
      <c r="M3233" s="1"/>
      <c r="N3233" s="1"/>
      <c r="O3233" s="1"/>
      <c r="Q3233"/>
    </row>
    <row r="3234" spans="1:17" ht="13.15" customHeight="1" x14ac:dyDescent="0.2">
      <c r="A3234" s="1" t="s">
        <v>7967</v>
      </c>
      <c r="B3234" s="1" t="s">
        <v>7878</v>
      </c>
      <c r="C3234" s="580">
        <v>35</v>
      </c>
      <c r="D3234" s="1">
        <v>3238.5127000000002</v>
      </c>
      <c r="E3234" t="s">
        <v>4354</v>
      </c>
      <c r="F3234" t="s">
        <v>7968</v>
      </c>
      <c r="G3234" s="580">
        <v>461.05270000000002</v>
      </c>
      <c r="H3234" s="1" t="s">
        <v>7886</v>
      </c>
      <c r="I3234" s="1"/>
      <c r="J3234" s="1"/>
      <c r="K3234" s="1"/>
      <c r="L3234" s="1"/>
      <c r="M3234" s="1"/>
      <c r="N3234" s="1"/>
      <c r="O3234" s="1"/>
      <c r="Q3234"/>
    </row>
    <row r="3235" spans="1:17" ht="13.15" customHeight="1" x14ac:dyDescent="0.2">
      <c r="A3235" s="1" t="s">
        <v>7969</v>
      </c>
      <c r="B3235" s="1" t="s">
        <v>7878</v>
      </c>
      <c r="C3235" s="580">
        <v>36</v>
      </c>
      <c r="D3235" s="1">
        <v>5044.8748999999998</v>
      </c>
      <c r="E3235" t="s">
        <v>4354</v>
      </c>
      <c r="F3235" t="s">
        <v>7970</v>
      </c>
      <c r="G3235" s="580">
        <v>1016.6064</v>
      </c>
      <c r="H3235" s="1" t="s">
        <v>7889</v>
      </c>
      <c r="I3235" s="1"/>
      <c r="J3235" s="1"/>
      <c r="K3235" s="1"/>
      <c r="L3235" s="1"/>
      <c r="M3235" s="1"/>
      <c r="N3235" s="1"/>
      <c r="O3235" s="1"/>
      <c r="Q3235"/>
    </row>
    <row r="3236" spans="1:17" ht="13.15" customHeight="1" x14ac:dyDescent="0.2">
      <c r="A3236" s="1" t="s">
        <v>7971</v>
      </c>
      <c r="B3236" s="1" t="s">
        <v>7972</v>
      </c>
      <c r="C3236" s="580">
        <v>100</v>
      </c>
      <c r="D3236" s="1">
        <v>1448.029</v>
      </c>
      <c r="E3236" t="s">
        <v>7973</v>
      </c>
      <c r="F3236" t="s">
        <v>7974</v>
      </c>
      <c r="G3236" s="580">
        <v>311.99</v>
      </c>
      <c r="H3236" s="1" t="s">
        <v>7975</v>
      </c>
      <c r="I3236" s="1"/>
      <c r="J3236" s="1"/>
      <c r="K3236" s="1"/>
      <c r="L3236" s="1"/>
      <c r="M3236" s="1"/>
      <c r="N3236" s="1"/>
      <c r="O3236" s="1"/>
      <c r="Q3236"/>
    </row>
    <row r="3237" spans="1:17" ht="13.15" customHeight="1" x14ac:dyDescent="0.2">
      <c r="A3237" s="1" t="s">
        <v>7976</v>
      </c>
      <c r="B3237" s="1" t="s">
        <v>7972</v>
      </c>
      <c r="C3237" s="580">
        <v>101</v>
      </c>
      <c r="D3237" s="1">
        <v>1448.029</v>
      </c>
      <c r="E3237" t="s">
        <v>7973</v>
      </c>
      <c r="F3237" t="s">
        <v>7977</v>
      </c>
      <c r="G3237" s="580">
        <v>311.99</v>
      </c>
      <c r="H3237" s="1" t="s">
        <v>7975</v>
      </c>
      <c r="I3237" s="1"/>
      <c r="J3237" s="1"/>
      <c r="K3237" s="1"/>
      <c r="L3237" s="1"/>
      <c r="M3237" s="1"/>
      <c r="N3237" s="1"/>
      <c r="O3237" s="1"/>
      <c r="Q3237"/>
    </row>
    <row r="3238" spans="1:17" ht="13.15" customHeight="1" x14ac:dyDescent="0.2">
      <c r="A3238" s="1" t="s">
        <v>7978</v>
      </c>
      <c r="B3238" s="1" t="s">
        <v>7972</v>
      </c>
      <c r="C3238" s="580">
        <v>102</v>
      </c>
      <c r="D3238" s="1">
        <v>1594.2605000000001</v>
      </c>
      <c r="E3238" t="s">
        <v>7973</v>
      </c>
      <c r="F3238" t="s">
        <v>7979</v>
      </c>
      <c r="G3238" s="580">
        <v>345.3</v>
      </c>
      <c r="H3238" s="1" t="s">
        <v>7980</v>
      </c>
      <c r="I3238" s="1"/>
      <c r="J3238" s="1"/>
      <c r="K3238" s="1"/>
      <c r="L3238" s="1"/>
      <c r="M3238" s="1"/>
      <c r="N3238" s="1"/>
      <c r="O3238" s="1"/>
      <c r="Q3238"/>
    </row>
    <row r="3239" spans="1:17" ht="13.15" customHeight="1" x14ac:dyDescent="0.2">
      <c r="A3239" s="1" t="s">
        <v>7981</v>
      </c>
      <c r="B3239" s="1" t="s">
        <v>7972</v>
      </c>
      <c r="C3239" s="580">
        <v>103</v>
      </c>
      <c r="D3239" s="1">
        <v>1766.1496</v>
      </c>
      <c r="E3239" t="s">
        <v>7973</v>
      </c>
      <c r="F3239" t="s">
        <v>7982</v>
      </c>
      <c r="G3239" s="580">
        <v>366.11</v>
      </c>
      <c r="H3239" s="1" t="s">
        <v>7983</v>
      </c>
      <c r="I3239" s="1"/>
      <c r="J3239" s="1"/>
      <c r="K3239" s="1"/>
      <c r="L3239" s="1"/>
      <c r="M3239" s="1"/>
      <c r="N3239" s="1"/>
      <c r="O3239" s="1"/>
      <c r="Q3239"/>
    </row>
    <row r="3240" spans="1:17" ht="13.15" customHeight="1" x14ac:dyDescent="0.2">
      <c r="A3240" s="1" t="s">
        <v>7984</v>
      </c>
      <c r="B3240" s="1" t="s">
        <v>7972</v>
      </c>
      <c r="C3240" s="580">
        <v>120</v>
      </c>
      <c r="D3240" s="1">
        <v>2866.6858999999999</v>
      </c>
      <c r="E3240" t="s">
        <v>7973</v>
      </c>
      <c r="F3240" t="s">
        <v>7985</v>
      </c>
      <c r="G3240" s="580">
        <v>636.55999999999995</v>
      </c>
      <c r="H3240" s="1" t="s">
        <v>7986</v>
      </c>
      <c r="I3240" s="1"/>
      <c r="J3240" s="1"/>
      <c r="K3240" s="1"/>
      <c r="L3240" s="1"/>
      <c r="M3240" s="1"/>
      <c r="N3240" s="1"/>
      <c r="O3240" s="1"/>
      <c r="Q3240"/>
    </row>
    <row r="3241" spans="1:17" ht="13.15" customHeight="1" x14ac:dyDescent="0.2">
      <c r="A3241" s="1" t="s">
        <v>7987</v>
      </c>
      <c r="B3241" s="1" t="s">
        <v>7972</v>
      </c>
      <c r="C3241" s="580">
        <v>121</v>
      </c>
      <c r="D3241" s="1">
        <v>2349.3040999999998</v>
      </c>
      <c r="E3241" t="s">
        <v>7973</v>
      </c>
      <c r="F3241" t="s">
        <v>7988</v>
      </c>
      <c r="G3241" s="580">
        <v>509.82</v>
      </c>
      <c r="H3241" s="1" t="s">
        <v>7989</v>
      </c>
      <c r="I3241" s="1"/>
      <c r="J3241" s="1"/>
      <c r="K3241" s="1"/>
      <c r="L3241" s="1"/>
      <c r="M3241" s="1"/>
      <c r="N3241" s="1"/>
      <c r="O3241" s="1"/>
      <c r="Q3241"/>
    </row>
    <row r="3242" spans="1:17" ht="13.15" customHeight="1" x14ac:dyDescent="0.2">
      <c r="A3242" s="1" t="s">
        <v>7990</v>
      </c>
      <c r="B3242" s="1" t="s">
        <v>7972</v>
      </c>
      <c r="C3242" s="580">
        <v>122</v>
      </c>
      <c r="D3242" s="1">
        <v>2505.9929999999999</v>
      </c>
      <c r="E3242" t="s">
        <v>7973</v>
      </c>
      <c r="F3242" t="s">
        <v>7991</v>
      </c>
      <c r="G3242" s="580">
        <v>542.01</v>
      </c>
      <c r="H3242" s="1" t="s">
        <v>7992</v>
      </c>
      <c r="I3242" s="1"/>
      <c r="J3242" s="1"/>
      <c r="K3242" s="1"/>
      <c r="L3242" s="1"/>
      <c r="M3242" s="1"/>
      <c r="N3242" s="1"/>
      <c r="O3242" s="1"/>
      <c r="Q3242"/>
    </row>
    <row r="3243" spans="1:17" ht="13.15" customHeight="1" x14ac:dyDescent="0.2">
      <c r="A3243" s="1" t="s">
        <v>7993</v>
      </c>
      <c r="B3243" s="1" t="s">
        <v>7972</v>
      </c>
      <c r="C3243" s="580">
        <v>123</v>
      </c>
      <c r="D3243" s="1">
        <v>4233.9132</v>
      </c>
      <c r="E3243" t="s">
        <v>7973</v>
      </c>
      <c r="F3243" t="s">
        <v>7994</v>
      </c>
      <c r="G3243" s="580">
        <v>1026.1400000000001</v>
      </c>
      <c r="H3243" s="1" t="s">
        <v>7995</v>
      </c>
      <c r="I3243" s="1"/>
      <c r="J3243" s="1"/>
      <c r="K3243" s="1"/>
      <c r="L3243" s="1"/>
      <c r="M3243" s="1"/>
      <c r="N3243" s="1"/>
      <c r="O3243" s="1"/>
      <c r="Q3243"/>
    </row>
    <row r="3244" spans="1:17" ht="13.15" customHeight="1" x14ac:dyDescent="0.2">
      <c r="A3244" s="1" t="s">
        <v>7996</v>
      </c>
      <c r="B3244" s="1" t="s">
        <v>7972</v>
      </c>
      <c r="C3244" s="580">
        <v>160</v>
      </c>
      <c r="D3244" s="1">
        <v>2572.7943</v>
      </c>
      <c r="E3244" t="s">
        <v>7973</v>
      </c>
      <c r="F3244" t="s">
        <v>7997</v>
      </c>
      <c r="G3244" s="580">
        <v>569.41999999999996</v>
      </c>
      <c r="H3244" s="1" t="s">
        <v>7998</v>
      </c>
      <c r="I3244" s="1"/>
      <c r="J3244" s="1"/>
      <c r="K3244" s="1"/>
      <c r="L3244" s="1"/>
      <c r="M3244" s="1"/>
      <c r="N3244" s="1"/>
      <c r="O3244" s="1"/>
      <c r="Q3244"/>
    </row>
    <row r="3245" spans="1:17" ht="13.15" customHeight="1" x14ac:dyDescent="0.2">
      <c r="A3245" s="1" t="s">
        <v>7999</v>
      </c>
      <c r="B3245" s="1" t="s">
        <v>7972</v>
      </c>
      <c r="C3245" s="580">
        <v>180</v>
      </c>
      <c r="D3245" s="1">
        <v>4433.4601000000002</v>
      </c>
      <c r="E3245" t="s">
        <v>7973</v>
      </c>
      <c r="F3245" t="s">
        <v>8000</v>
      </c>
      <c r="G3245" s="580">
        <v>964.37</v>
      </c>
      <c r="H3245" s="1" t="s">
        <v>8001</v>
      </c>
      <c r="I3245" s="1"/>
      <c r="J3245" s="1"/>
      <c r="K3245" s="1"/>
      <c r="L3245" s="1"/>
      <c r="M3245" s="1"/>
      <c r="N3245" s="1"/>
      <c r="O3245" s="1"/>
      <c r="Q3245"/>
    </row>
    <row r="3246" spans="1:17" ht="13.15" customHeight="1" x14ac:dyDescent="0.2">
      <c r="A3246" s="1" t="s">
        <v>8002</v>
      </c>
      <c r="B3246" s="1" t="s">
        <v>7972</v>
      </c>
      <c r="C3246" s="580">
        <v>181</v>
      </c>
      <c r="D3246" s="1">
        <v>9491.5041000000001</v>
      </c>
      <c r="E3246" t="s">
        <v>7973</v>
      </c>
      <c r="F3246" t="s">
        <v>8003</v>
      </c>
      <c r="G3246" s="580">
        <v>2202.4299999999998</v>
      </c>
      <c r="H3246" s="1" t="s">
        <v>8004</v>
      </c>
      <c r="I3246" s="1"/>
      <c r="J3246" s="1"/>
      <c r="K3246" s="1"/>
      <c r="L3246" s="1"/>
      <c r="M3246" s="1"/>
      <c r="N3246" s="1"/>
      <c r="O3246" s="1"/>
      <c r="Q3246"/>
    </row>
    <row r="3247" spans="1:17" ht="13.15" customHeight="1" x14ac:dyDescent="0.2">
      <c r="A3247" s="1" t="s">
        <v>8005</v>
      </c>
      <c r="B3247" s="1" t="s">
        <v>7972</v>
      </c>
      <c r="C3247" s="580">
        <v>200</v>
      </c>
      <c r="D3247" s="1">
        <v>1983.8681999999999</v>
      </c>
      <c r="E3247" t="s">
        <v>7973</v>
      </c>
      <c r="F3247" t="s">
        <v>8006</v>
      </c>
      <c r="G3247" s="580">
        <v>450</v>
      </c>
      <c r="H3247" s="1" t="s">
        <v>8007</v>
      </c>
      <c r="I3247" s="1"/>
      <c r="J3247" s="1"/>
      <c r="K3247" s="1"/>
      <c r="L3247" s="1"/>
      <c r="M3247" s="1"/>
      <c r="N3247" s="1"/>
      <c r="O3247" s="1"/>
      <c r="Q3247"/>
    </row>
    <row r="3248" spans="1:17" ht="13.15" customHeight="1" x14ac:dyDescent="0.2">
      <c r="A3248" s="1" t="s">
        <v>8008</v>
      </c>
      <c r="B3248" s="1" t="s">
        <v>7972</v>
      </c>
      <c r="C3248" s="580">
        <v>220</v>
      </c>
      <c r="D3248" s="1">
        <v>2303.8746000000001</v>
      </c>
      <c r="E3248" t="s">
        <v>7973</v>
      </c>
      <c r="F3248" t="s">
        <v>21571</v>
      </c>
      <c r="G3248" s="580">
        <v>523.03</v>
      </c>
      <c r="H3248" s="1" t="s">
        <v>8010</v>
      </c>
      <c r="I3248" s="1"/>
      <c r="J3248" s="1"/>
      <c r="K3248" s="1"/>
      <c r="L3248" s="1"/>
      <c r="M3248" s="1"/>
      <c r="N3248" s="1"/>
      <c r="O3248" s="1"/>
      <c r="Q3248"/>
    </row>
    <row r="3249" spans="1:17" ht="13.15" customHeight="1" x14ac:dyDescent="0.2">
      <c r="A3249" s="1" t="s">
        <v>8011</v>
      </c>
      <c r="B3249" s="1" t="s">
        <v>7972</v>
      </c>
      <c r="C3249" s="580">
        <v>221</v>
      </c>
      <c r="D3249" s="1">
        <v>2852.1713</v>
      </c>
      <c r="E3249" t="s">
        <v>7973</v>
      </c>
      <c r="F3249" t="s">
        <v>8012</v>
      </c>
      <c r="G3249" s="580">
        <v>639.30999999999995</v>
      </c>
      <c r="H3249" s="1" t="s">
        <v>8013</v>
      </c>
      <c r="I3249" s="1"/>
      <c r="J3249" s="1"/>
      <c r="K3249" s="1"/>
      <c r="L3249" s="1"/>
      <c r="M3249" s="1"/>
      <c r="N3249" s="1"/>
      <c r="O3249" s="1"/>
      <c r="Q3249"/>
    </row>
    <row r="3250" spans="1:17" ht="13.15" customHeight="1" x14ac:dyDescent="0.2">
      <c r="A3250" s="1" t="s">
        <v>8014</v>
      </c>
      <c r="B3250" s="1" t="s">
        <v>7972</v>
      </c>
      <c r="C3250" s="580">
        <v>222</v>
      </c>
      <c r="D3250" s="1">
        <v>2466.3921999999998</v>
      </c>
      <c r="E3250" t="s">
        <v>7973</v>
      </c>
      <c r="F3250" t="s">
        <v>8015</v>
      </c>
      <c r="G3250" s="580">
        <v>555.79</v>
      </c>
      <c r="H3250" s="1" t="s">
        <v>8016</v>
      </c>
      <c r="I3250" s="1"/>
      <c r="J3250" s="1"/>
      <c r="K3250" s="1"/>
      <c r="L3250" s="1"/>
      <c r="M3250" s="1"/>
      <c r="N3250" s="1"/>
      <c r="O3250" s="1"/>
      <c r="Q3250"/>
    </row>
    <row r="3251" spans="1:17" ht="13.15" customHeight="1" x14ac:dyDescent="0.2">
      <c r="A3251" s="1" t="s">
        <v>8017</v>
      </c>
      <c r="B3251" s="1" t="s">
        <v>7972</v>
      </c>
      <c r="C3251" s="580">
        <v>240</v>
      </c>
      <c r="D3251" s="1">
        <v>4080.2530000000002</v>
      </c>
      <c r="E3251" t="s">
        <v>7973</v>
      </c>
      <c r="F3251" t="s">
        <v>8018</v>
      </c>
      <c r="G3251" s="580">
        <v>899.25</v>
      </c>
      <c r="H3251" s="1" t="s">
        <v>8019</v>
      </c>
      <c r="I3251" s="1"/>
      <c r="J3251" s="1"/>
      <c r="K3251" s="1"/>
      <c r="L3251" s="1"/>
      <c r="M3251" s="1"/>
      <c r="N3251" s="1"/>
      <c r="O3251" s="1"/>
      <c r="Q3251"/>
    </row>
    <row r="3252" spans="1:17" ht="13.15" customHeight="1" x14ac:dyDescent="0.2">
      <c r="A3252" s="1" t="s">
        <v>8020</v>
      </c>
      <c r="B3252" s="1" t="s">
        <v>7972</v>
      </c>
      <c r="C3252" s="580">
        <v>241</v>
      </c>
      <c r="D3252" s="1">
        <v>5009.3572999999997</v>
      </c>
      <c r="E3252" t="s">
        <v>7973</v>
      </c>
      <c r="F3252" t="s">
        <v>8021</v>
      </c>
      <c r="G3252" s="580">
        <v>1118.48</v>
      </c>
      <c r="H3252" s="1" t="s">
        <v>8022</v>
      </c>
      <c r="I3252" s="1"/>
      <c r="J3252" s="1"/>
      <c r="K3252" s="1"/>
      <c r="L3252" s="1"/>
      <c r="M3252" s="1"/>
      <c r="N3252" s="1"/>
      <c r="O3252" s="1"/>
      <c r="Q3252"/>
    </row>
    <row r="3253" spans="1:17" ht="13.15" customHeight="1" x14ac:dyDescent="0.2">
      <c r="A3253" s="1" t="s">
        <v>8023</v>
      </c>
      <c r="B3253" s="1" t="s">
        <v>7972</v>
      </c>
      <c r="C3253" s="580">
        <v>242</v>
      </c>
      <c r="D3253" s="1">
        <v>7186.8293999999996</v>
      </c>
      <c r="E3253" t="s">
        <v>7973</v>
      </c>
      <c r="F3253" t="s">
        <v>8024</v>
      </c>
      <c r="G3253" s="580">
        <v>1702.54</v>
      </c>
      <c r="H3253" s="1" t="s">
        <v>8025</v>
      </c>
      <c r="I3253" s="1"/>
      <c r="J3253" s="1"/>
      <c r="K3253" s="1"/>
      <c r="L3253" s="1"/>
      <c r="M3253" s="1"/>
      <c r="N3253" s="1"/>
      <c r="O3253" s="1"/>
      <c r="Q3253"/>
    </row>
    <row r="3254" spans="1:17" ht="13.15" customHeight="1" x14ac:dyDescent="0.2">
      <c r="A3254" s="1" t="s">
        <v>8026</v>
      </c>
      <c r="B3254" s="1" t="s">
        <v>7972</v>
      </c>
      <c r="C3254" s="580">
        <v>260</v>
      </c>
      <c r="D3254" s="1">
        <v>2167.7575999999999</v>
      </c>
      <c r="E3254" t="s">
        <v>7973</v>
      </c>
      <c r="F3254" t="s">
        <v>8027</v>
      </c>
      <c r="G3254" s="580">
        <v>476.32</v>
      </c>
      <c r="H3254" s="1" t="s">
        <v>8028</v>
      </c>
      <c r="I3254" s="1"/>
      <c r="J3254" s="1"/>
      <c r="K3254" s="1"/>
      <c r="L3254" s="1"/>
      <c r="M3254" s="1"/>
      <c r="N3254" s="1"/>
      <c r="O3254" s="1"/>
      <c r="Q3254"/>
    </row>
    <row r="3255" spans="1:17" ht="13.15" customHeight="1" x14ac:dyDescent="0.2">
      <c r="A3255" s="1" t="s">
        <v>8029</v>
      </c>
      <c r="B3255" s="1" t="s">
        <v>7972</v>
      </c>
      <c r="C3255" s="580">
        <v>261</v>
      </c>
      <c r="D3255" s="1">
        <v>2167.7575999999999</v>
      </c>
      <c r="E3255" t="s">
        <v>7973</v>
      </c>
      <c r="F3255" t="s">
        <v>8030</v>
      </c>
      <c r="G3255" s="580">
        <v>476.32</v>
      </c>
      <c r="H3255" s="1" t="s">
        <v>8028</v>
      </c>
      <c r="I3255" s="1"/>
      <c r="J3255" s="1"/>
      <c r="K3255" s="1"/>
      <c r="L3255" s="1"/>
      <c r="M3255" s="1"/>
      <c r="N3255" s="1"/>
      <c r="O3255" s="1"/>
      <c r="Q3255"/>
    </row>
    <row r="3256" spans="1:17" ht="13.15" customHeight="1" x14ac:dyDescent="0.2">
      <c r="A3256" s="1" t="s">
        <v>8031</v>
      </c>
      <c r="B3256" s="1" t="s">
        <v>7972</v>
      </c>
      <c r="C3256" s="580">
        <v>262</v>
      </c>
      <c r="D3256" s="1">
        <v>2369.7044999999998</v>
      </c>
      <c r="E3256" t="s">
        <v>7973</v>
      </c>
      <c r="F3256" t="s">
        <v>8032</v>
      </c>
      <c r="G3256" s="580">
        <v>524.04</v>
      </c>
      <c r="H3256" s="1" t="s">
        <v>8033</v>
      </c>
      <c r="I3256" s="1"/>
      <c r="J3256" s="1"/>
      <c r="K3256" s="1"/>
      <c r="L3256" s="1"/>
      <c r="M3256" s="1"/>
      <c r="N3256" s="1"/>
      <c r="O3256" s="1"/>
      <c r="Q3256"/>
    </row>
    <row r="3257" spans="1:17" ht="13.15" customHeight="1" x14ac:dyDescent="0.2">
      <c r="A3257" s="1" t="s">
        <v>8034</v>
      </c>
      <c r="B3257" s="1" t="s">
        <v>7972</v>
      </c>
      <c r="C3257" s="580">
        <v>263</v>
      </c>
      <c r="D3257" s="1">
        <v>2277.1313</v>
      </c>
      <c r="E3257" t="s">
        <v>7973</v>
      </c>
      <c r="F3257" t="s">
        <v>8035</v>
      </c>
      <c r="G3257" s="580">
        <v>505.12</v>
      </c>
      <c r="H3257" s="1" t="s">
        <v>8036</v>
      </c>
      <c r="I3257" s="1"/>
      <c r="J3257" s="1"/>
      <c r="K3257" s="1"/>
      <c r="L3257" s="1"/>
      <c r="M3257" s="1"/>
      <c r="N3257" s="1"/>
      <c r="O3257" s="1"/>
      <c r="Q3257"/>
    </row>
    <row r="3258" spans="1:17" ht="13.15" customHeight="1" x14ac:dyDescent="0.2">
      <c r="A3258" s="1" t="s">
        <v>8037</v>
      </c>
      <c r="B3258" s="1" t="s">
        <v>7972</v>
      </c>
      <c r="C3258" s="580">
        <v>264</v>
      </c>
      <c r="D3258" s="1">
        <v>2277.1313</v>
      </c>
      <c r="E3258" t="s">
        <v>7973</v>
      </c>
      <c r="F3258" t="s">
        <v>8038</v>
      </c>
      <c r="G3258" s="580">
        <v>505.12</v>
      </c>
      <c r="H3258" s="1" t="s">
        <v>8036</v>
      </c>
      <c r="I3258" s="1"/>
      <c r="J3258" s="1"/>
      <c r="K3258" s="1"/>
      <c r="L3258" s="1"/>
      <c r="M3258" s="1"/>
      <c r="N3258" s="1"/>
      <c r="O3258" s="1"/>
      <c r="Q3258"/>
    </row>
    <row r="3259" spans="1:17" ht="13.15" customHeight="1" x14ac:dyDescent="0.2">
      <c r="A3259" s="1" t="s">
        <v>8039</v>
      </c>
      <c r="B3259" s="1" t="s">
        <v>7972</v>
      </c>
      <c r="C3259" s="580">
        <v>280</v>
      </c>
      <c r="D3259" s="1">
        <v>2883.8861999999999</v>
      </c>
      <c r="E3259" t="s">
        <v>7973</v>
      </c>
      <c r="F3259" t="s">
        <v>8040</v>
      </c>
      <c r="G3259" s="580">
        <v>638.98</v>
      </c>
      <c r="H3259" s="1" t="s">
        <v>8041</v>
      </c>
      <c r="I3259" s="1"/>
      <c r="J3259" s="1"/>
      <c r="K3259" s="1"/>
      <c r="L3259" s="1"/>
      <c r="M3259" s="1"/>
      <c r="N3259" s="1"/>
      <c r="O3259" s="1"/>
      <c r="Q3259"/>
    </row>
    <row r="3260" spans="1:17" ht="13.15" customHeight="1" x14ac:dyDescent="0.2">
      <c r="A3260" s="1" t="s">
        <v>8042</v>
      </c>
      <c r="B3260" s="1" t="s">
        <v>7972</v>
      </c>
      <c r="C3260" s="580">
        <v>281</v>
      </c>
      <c r="D3260" s="1">
        <v>2369.8188</v>
      </c>
      <c r="E3260" t="s">
        <v>7973</v>
      </c>
      <c r="F3260" t="s">
        <v>8043</v>
      </c>
      <c r="G3260" s="580">
        <v>518.65</v>
      </c>
      <c r="H3260" s="1" t="s">
        <v>8044</v>
      </c>
      <c r="I3260" s="1"/>
      <c r="J3260" s="1"/>
      <c r="K3260" s="1"/>
      <c r="L3260" s="1"/>
      <c r="M3260" s="1"/>
      <c r="N3260" s="1"/>
      <c r="O3260" s="1"/>
      <c r="Q3260"/>
    </row>
    <row r="3261" spans="1:17" ht="13.15" customHeight="1" x14ac:dyDescent="0.2">
      <c r="A3261" s="1" t="s">
        <v>8045</v>
      </c>
      <c r="B3261" s="1" t="s">
        <v>7972</v>
      </c>
      <c r="C3261" s="580">
        <v>282</v>
      </c>
      <c r="D3261" s="1">
        <v>2369.8188</v>
      </c>
      <c r="E3261" t="s">
        <v>7973</v>
      </c>
      <c r="F3261" t="s">
        <v>8046</v>
      </c>
      <c r="G3261" s="580">
        <v>518.65</v>
      </c>
      <c r="H3261" s="1" t="s">
        <v>8044</v>
      </c>
      <c r="I3261" s="1"/>
      <c r="J3261" s="1"/>
      <c r="K3261" s="1"/>
      <c r="L3261" s="1"/>
      <c r="M3261" s="1"/>
      <c r="N3261" s="1"/>
      <c r="O3261" s="1"/>
      <c r="Q3261"/>
    </row>
    <row r="3262" spans="1:17" ht="13.15" customHeight="1" x14ac:dyDescent="0.2">
      <c r="A3262" s="1" t="s">
        <v>8047</v>
      </c>
      <c r="B3262" s="1" t="s">
        <v>7972</v>
      </c>
      <c r="C3262" s="580">
        <v>283</v>
      </c>
      <c r="D3262" s="1">
        <v>2841.4283</v>
      </c>
      <c r="E3262" t="s">
        <v>7973</v>
      </c>
      <c r="F3262" t="s">
        <v>8048</v>
      </c>
      <c r="G3262" s="580">
        <v>631.78</v>
      </c>
      <c r="H3262" s="1" t="s">
        <v>8049</v>
      </c>
      <c r="I3262" s="1"/>
      <c r="J3262" s="1"/>
      <c r="K3262" s="1"/>
      <c r="L3262" s="1"/>
      <c r="M3262" s="1"/>
      <c r="N3262" s="1"/>
      <c r="O3262" s="1"/>
      <c r="Q3262"/>
    </row>
    <row r="3263" spans="1:17" ht="13.15" customHeight="1" x14ac:dyDescent="0.2">
      <c r="A3263" s="1" t="s">
        <v>8050</v>
      </c>
      <c r="B3263" s="1" t="s">
        <v>7972</v>
      </c>
      <c r="C3263" s="580">
        <v>284</v>
      </c>
      <c r="D3263" s="1">
        <v>2478.9639000000002</v>
      </c>
      <c r="E3263" t="s">
        <v>7973</v>
      </c>
      <c r="F3263" t="s">
        <v>8051</v>
      </c>
      <c r="G3263" s="580">
        <v>539.79</v>
      </c>
      <c r="H3263" s="1" t="s">
        <v>8052</v>
      </c>
      <c r="I3263" s="1"/>
      <c r="J3263" s="1"/>
      <c r="K3263" s="1"/>
      <c r="L3263" s="1"/>
      <c r="M3263" s="1"/>
      <c r="N3263" s="1"/>
      <c r="O3263" s="1"/>
      <c r="Q3263"/>
    </row>
    <row r="3264" spans="1:17" ht="13.15" customHeight="1" x14ac:dyDescent="0.2">
      <c r="A3264" s="1" t="s">
        <v>8053</v>
      </c>
      <c r="B3264" s="1" t="s">
        <v>7972</v>
      </c>
      <c r="C3264" s="580">
        <v>285</v>
      </c>
      <c r="D3264" s="1">
        <v>2478.9639000000002</v>
      </c>
      <c r="E3264" t="s">
        <v>7973</v>
      </c>
      <c r="F3264" t="s">
        <v>8054</v>
      </c>
      <c r="G3264" s="580">
        <v>539.79</v>
      </c>
      <c r="H3264" s="1" t="s">
        <v>8052</v>
      </c>
      <c r="I3264" s="1"/>
      <c r="J3264" s="1"/>
      <c r="K3264" s="1"/>
      <c r="L3264" s="1"/>
      <c r="M3264" s="1"/>
      <c r="N3264" s="1"/>
      <c r="O3264" s="1"/>
      <c r="Q3264"/>
    </row>
    <row r="3265" spans="1:17" ht="13.15" customHeight="1" x14ac:dyDescent="0.2">
      <c r="A3265" s="1" t="s">
        <v>8055</v>
      </c>
      <c r="B3265" s="1" t="s">
        <v>7972</v>
      </c>
      <c r="C3265" s="580">
        <v>300</v>
      </c>
      <c r="D3265" s="1">
        <v>2496.5641999999998</v>
      </c>
      <c r="E3265" t="s">
        <v>7973</v>
      </c>
      <c r="F3265" t="s">
        <v>8056</v>
      </c>
      <c r="G3265" s="580">
        <v>546.70000000000005</v>
      </c>
      <c r="H3265" s="1" t="s">
        <v>8057</v>
      </c>
      <c r="I3265" s="1"/>
      <c r="J3265" s="1"/>
      <c r="K3265" s="1"/>
      <c r="L3265" s="1"/>
      <c r="M3265" s="1"/>
      <c r="N3265" s="1"/>
      <c r="O3265" s="1"/>
      <c r="Q3265"/>
    </row>
    <row r="3266" spans="1:17" ht="13.15" customHeight="1" x14ac:dyDescent="0.2">
      <c r="A3266" s="1" t="s">
        <v>8058</v>
      </c>
      <c r="B3266" s="1" t="s">
        <v>7972</v>
      </c>
      <c r="C3266" s="580">
        <v>301</v>
      </c>
      <c r="D3266" s="1">
        <v>2967.3164999999999</v>
      </c>
      <c r="E3266" t="s">
        <v>7973</v>
      </c>
      <c r="F3266" t="s">
        <v>8059</v>
      </c>
      <c r="G3266" s="580">
        <v>659.84</v>
      </c>
      <c r="H3266" s="1" t="s">
        <v>8060</v>
      </c>
      <c r="I3266" s="1"/>
      <c r="J3266" s="1"/>
      <c r="K3266" s="1"/>
      <c r="L3266" s="1"/>
      <c r="M3266" s="1"/>
      <c r="N3266" s="1"/>
      <c r="O3266" s="1"/>
      <c r="Q3266"/>
    </row>
    <row r="3267" spans="1:17" ht="13.15" customHeight="1" x14ac:dyDescent="0.2">
      <c r="A3267" s="1" t="s">
        <v>8061</v>
      </c>
      <c r="B3267" s="1" t="s">
        <v>7972</v>
      </c>
      <c r="C3267" s="580">
        <v>302</v>
      </c>
      <c r="D3267" s="1">
        <v>2615.3094000000001</v>
      </c>
      <c r="E3267" t="s">
        <v>7973</v>
      </c>
      <c r="F3267" t="s">
        <v>8062</v>
      </c>
      <c r="G3267" s="580">
        <v>576.12</v>
      </c>
      <c r="H3267" s="1" t="s">
        <v>8063</v>
      </c>
      <c r="I3267" s="1"/>
      <c r="J3267" s="1"/>
      <c r="K3267" s="1"/>
      <c r="L3267" s="1"/>
      <c r="M3267" s="1"/>
      <c r="N3267" s="1"/>
      <c r="O3267" s="1"/>
      <c r="Q3267"/>
    </row>
    <row r="3268" spans="1:17" ht="13.15" customHeight="1" x14ac:dyDescent="0.2">
      <c r="A3268" s="1" t="s">
        <v>8064</v>
      </c>
      <c r="B3268" s="1" t="s">
        <v>7972</v>
      </c>
      <c r="C3268" s="580">
        <v>320</v>
      </c>
      <c r="D3268" s="1">
        <v>1302.9403</v>
      </c>
      <c r="E3268" t="s">
        <v>7973</v>
      </c>
      <c r="F3268" t="s">
        <v>8065</v>
      </c>
      <c r="G3268" s="580">
        <v>270.45999999999998</v>
      </c>
      <c r="H3268" s="1" t="s">
        <v>8066</v>
      </c>
      <c r="I3268" s="1"/>
      <c r="J3268" s="1"/>
      <c r="K3268" s="1"/>
      <c r="L3268" s="1"/>
      <c r="M3268" s="1"/>
      <c r="N3268" s="1"/>
      <c r="O3268" s="1"/>
      <c r="Q3268"/>
    </row>
    <row r="3269" spans="1:17" ht="13.15" customHeight="1" x14ac:dyDescent="0.2">
      <c r="A3269" s="1" t="s">
        <v>8067</v>
      </c>
      <c r="B3269" s="1" t="s">
        <v>7972</v>
      </c>
      <c r="C3269" s="580">
        <v>321</v>
      </c>
      <c r="D3269" s="1">
        <v>1302.9403</v>
      </c>
      <c r="E3269" t="s">
        <v>7973</v>
      </c>
      <c r="F3269" t="s">
        <v>8068</v>
      </c>
      <c r="G3269" s="580">
        <v>270.45999999999998</v>
      </c>
      <c r="H3269" s="1" t="s">
        <v>8066</v>
      </c>
      <c r="I3269" s="1"/>
      <c r="J3269" s="1"/>
      <c r="K3269" s="1"/>
      <c r="L3269" s="1"/>
      <c r="M3269" s="1"/>
      <c r="N3269" s="1"/>
      <c r="O3269" s="1"/>
      <c r="Q3269"/>
    </row>
    <row r="3270" spans="1:17" ht="13.15" customHeight="1" x14ac:dyDescent="0.2">
      <c r="A3270" s="1" t="s">
        <v>8069</v>
      </c>
      <c r="B3270" s="1" t="s">
        <v>7972</v>
      </c>
      <c r="C3270" s="580">
        <v>322</v>
      </c>
      <c r="D3270" s="1">
        <v>1302.9403</v>
      </c>
      <c r="E3270" t="s">
        <v>7973</v>
      </c>
      <c r="F3270" t="s">
        <v>8070</v>
      </c>
      <c r="G3270" s="580">
        <v>270.45999999999998</v>
      </c>
      <c r="H3270" s="1" t="s">
        <v>8066</v>
      </c>
      <c r="I3270" s="1"/>
      <c r="J3270" s="1"/>
      <c r="K3270" s="1"/>
      <c r="L3270" s="1"/>
      <c r="M3270" s="1"/>
      <c r="N3270" s="1"/>
      <c r="O3270" s="1"/>
      <c r="Q3270"/>
    </row>
    <row r="3271" spans="1:17" ht="13.15" customHeight="1" x14ac:dyDescent="0.2">
      <c r="A3271" s="1" t="s">
        <v>8071</v>
      </c>
      <c r="B3271" s="1" t="s">
        <v>7972</v>
      </c>
      <c r="C3271" s="580">
        <v>340</v>
      </c>
      <c r="D3271" s="1">
        <v>1413.2283</v>
      </c>
      <c r="E3271" t="s">
        <v>7973</v>
      </c>
      <c r="F3271" t="s">
        <v>8072</v>
      </c>
      <c r="G3271" s="580">
        <v>294.70999999999998</v>
      </c>
      <c r="H3271" s="1" t="s">
        <v>8073</v>
      </c>
      <c r="I3271" s="1"/>
      <c r="J3271" s="1"/>
      <c r="K3271" s="1"/>
      <c r="L3271" s="1"/>
      <c r="M3271" s="1"/>
      <c r="N3271" s="1"/>
      <c r="O3271" s="1"/>
      <c r="Q3271"/>
    </row>
    <row r="3272" spans="1:17" ht="13.15" customHeight="1" x14ac:dyDescent="0.2">
      <c r="A3272" s="1" t="s">
        <v>8074</v>
      </c>
      <c r="B3272" s="1" t="s">
        <v>7972</v>
      </c>
      <c r="C3272" s="580">
        <v>341</v>
      </c>
      <c r="D3272" s="1">
        <v>3501.5556999999999</v>
      </c>
      <c r="E3272" t="s">
        <v>7973</v>
      </c>
      <c r="F3272" t="s">
        <v>8075</v>
      </c>
      <c r="G3272" s="580">
        <v>723.46</v>
      </c>
      <c r="H3272" s="1" t="s">
        <v>8076</v>
      </c>
      <c r="I3272" s="1"/>
      <c r="J3272" s="1"/>
      <c r="K3272" s="1"/>
      <c r="L3272" s="1"/>
      <c r="M3272" s="1"/>
      <c r="N3272" s="1"/>
      <c r="O3272" s="1"/>
      <c r="Q3272"/>
    </row>
    <row r="3273" spans="1:17" ht="13.15" customHeight="1" x14ac:dyDescent="0.2">
      <c r="A3273" s="1" t="s">
        <v>8077</v>
      </c>
      <c r="B3273" s="1" t="s">
        <v>7972</v>
      </c>
      <c r="C3273" s="580">
        <v>580</v>
      </c>
      <c r="D3273" s="1">
        <v>2597.7662</v>
      </c>
      <c r="E3273" t="s">
        <v>7973</v>
      </c>
      <c r="F3273" t="s">
        <v>8078</v>
      </c>
      <c r="G3273" s="580">
        <v>528.17999999999995</v>
      </c>
      <c r="H3273" s="1" t="s">
        <v>8079</v>
      </c>
      <c r="I3273" s="1"/>
      <c r="J3273" s="1"/>
      <c r="K3273" s="1"/>
      <c r="L3273" s="1"/>
      <c r="M3273" s="1"/>
      <c r="N3273" s="1"/>
      <c r="O3273" s="1"/>
      <c r="Q3273"/>
    </row>
    <row r="3274" spans="1:17" ht="13.15" customHeight="1" x14ac:dyDescent="0.2">
      <c r="A3274" s="1" t="s">
        <v>8080</v>
      </c>
      <c r="B3274" s="1" t="s">
        <v>7972</v>
      </c>
      <c r="C3274" s="580">
        <v>600</v>
      </c>
      <c r="D3274" s="1">
        <v>3529.2705999999998</v>
      </c>
      <c r="E3274" t="s">
        <v>7973</v>
      </c>
      <c r="F3274" t="s">
        <v>8081</v>
      </c>
      <c r="G3274" s="580">
        <v>749.44</v>
      </c>
      <c r="H3274" s="1" t="s">
        <v>8082</v>
      </c>
      <c r="I3274" s="1"/>
      <c r="J3274" s="1"/>
      <c r="K3274" s="1"/>
      <c r="L3274" s="1"/>
      <c r="M3274" s="1"/>
      <c r="N3274" s="1"/>
      <c r="O3274" s="1"/>
      <c r="Q3274"/>
    </row>
    <row r="3275" spans="1:17" ht="13.15" customHeight="1" x14ac:dyDescent="0.2">
      <c r="A3275" s="1" t="s">
        <v>8083</v>
      </c>
      <c r="B3275" s="1" t="s">
        <v>7972</v>
      </c>
      <c r="C3275" s="580">
        <v>700</v>
      </c>
      <c r="D3275" s="1">
        <v>2691.8253</v>
      </c>
      <c r="E3275" t="s">
        <v>7973</v>
      </c>
      <c r="F3275" t="s">
        <v>8084</v>
      </c>
      <c r="G3275" s="580">
        <v>583.22</v>
      </c>
      <c r="H3275" s="1" t="s">
        <v>8085</v>
      </c>
      <c r="I3275" s="1"/>
      <c r="J3275" s="1"/>
      <c r="K3275" s="1"/>
      <c r="L3275" s="1"/>
      <c r="M3275" s="1"/>
      <c r="N3275" s="1"/>
      <c r="O3275" s="1"/>
      <c r="Q3275"/>
    </row>
    <row r="3276" spans="1:17" ht="13.15" customHeight="1" x14ac:dyDescent="0.2">
      <c r="A3276" s="1" t="s">
        <v>8086</v>
      </c>
      <c r="B3276" s="1" t="s">
        <v>7972</v>
      </c>
      <c r="C3276" s="580">
        <v>701</v>
      </c>
      <c r="D3276" s="1">
        <v>2058.7840000000001</v>
      </c>
      <c r="E3276" t="s">
        <v>7973</v>
      </c>
      <c r="F3276" t="s">
        <v>8087</v>
      </c>
      <c r="G3276" s="580">
        <v>433.32</v>
      </c>
      <c r="H3276" s="1" t="s">
        <v>8088</v>
      </c>
      <c r="I3276" s="1"/>
      <c r="J3276" s="1"/>
      <c r="K3276" s="1"/>
      <c r="L3276" s="1"/>
      <c r="M3276" s="1"/>
      <c r="N3276" s="1"/>
      <c r="O3276" s="1"/>
      <c r="Q3276"/>
    </row>
    <row r="3277" spans="1:17" ht="13.15" customHeight="1" x14ac:dyDescent="0.2">
      <c r="A3277" s="1" t="s">
        <v>8089</v>
      </c>
      <c r="B3277" s="1" t="s">
        <v>7972</v>
      </c>
      <c r="C3277" s="580">
        <v>850</v>
      </c>
      <c r="D3277" s="1">
        <v>4088.3103000000001</v>
      </c>
      <c r="E3277" t="s">
        <v>7973</v>
      </c>
      <c r="F3277" t="s">
        <v>8090</v>
      </c>
      <c r="G3277" s="580">
        <v>854.39</v>
      </c>
      <c r="H3277" s="1" t="s">
        <v>8091</v>
      </c>
      <c r="I3277" s="1"/>
      <c r="J3277" s="1"/>
      <c r="K3277" s="1"/>
      <c r="L3277" s="1"/>
      <c r="M3277" s="1"/>
      <c r="N3277" s="1"/>
      <c r="O3277" s="1"/>
      <c r="Q3277"/>
    </row>
    <row r="3278" spans="1:17" ht="13.15" customHeight="1" x14ac:dyDescent="0.2">
      <c r="A3278" s="1" t="s">
        <v>8092</v>
      </c>
      <c r="B3278" s="1" t="s">
        <v>7972</v>
      </c>
      <c r="C3278" s="580">
        <v>860</v>
      </c>
      <c r="D3278" s="1">
        <v>3874.6489000000001</v>
      </c>
      <c r="E3278" t="s">
        <v>7973</v>
      </c>
      <c r="F3278" t="s">
        <v>8093</v>
      </c>
      <c r="G3278" s="580">
        <v>778.4</v>
      </c>
      <c r="H3278" s="1" t="s">
        <v>8094</v>
      </c>
      <c r="I3278" s="1"/>
      <c r="J3278" s="1"/>
      <c r="K3278" s="1"/>
      <c r="L3278" s="1"/>
      <c r="M3278" s="1"/>
      <c r="N3278" s="1"/>
      <c r="O3278" s="1"/>
      <c r="Q3278"/>
    </row>
    <row r="3279" spans="1:17" ht="13.15" customHeight="1" x14ac:dyDescent="0.2">
      <c r="A3279" s="1" t="s">
        <v>8095</v>
      </c>
      <c r="B3279" s="1" t="s">
        <v>7972</v>
      </c>
      <c r="C3279" s="580">
        <v>900</v>
      </c>
      <c r="D3279" s="1">
        <v>2366.9045000000001</v>
      </c>
      <c r="E3279" t="s">
        <v>7973</v>
      </c>
      <c r="F3279" t="s">
        <v>8096</v>
      </c>
      <c r="G3279" s="580">
        <v>552.99</v>
      </c>
      <c r="H3279" s="1" t="s">
        <v>8097</v>
      </c>
      <c r="I3279" s="1"/>
      <c r="J3279" s="1"/>
      <c r="K3279" s="1"/>
      <c r="L3279" s="1"/>
      <c r="M3279" s="1"/>
      <c r="N3279" s="1"/>
      <c r="O3279" s="1"/>
      <c r="Q3279"/>
    </row>
    <row r="3280" spans="1:17" ht="13.15" customHeight="1" x14ac:dyDescent="0.2">
      <c r="A3280" s="1" t="s">
        <v>8098</v>
      </c>
      <c r="B3280" s="1" t="s">
        <v>7972</v>
      </c>
      <c r="C3280" s="580">
        <v>901</v>
      </c>
      <c r="D3280" s="1">
        <v>1083.2217000000001</v>
      </c>
      <c r="E3280" t="s">
        <v>7973</v>
      </c>
      <c r="F3280" t="s">
        <v>8099</v>
      </c>
      <c r="G3280" s="580">
        <v>215</v>
      </c>
      <c r="H3280" s="1" t="s">
        <v>8100</v>
      </c>
      <c r="I3280" s="1"/>
      <c r="J3280" s="1"/>
      <c r="K3280" s="1"/>
      <c r="L3280" s="1"/>
      <c r="M3280" s="1"/>
      <c r="N3280" s="1"/>
      <c r="O3280" s="1"/>
      <c r="Q3280"/>
    </row>
    <row r="3281" spans="1:17" ht="13.15" customHeight="1" x14ac:dyDescent="0.2">
      <c r="A3281" s="1" t="s">
        <v>8101</v>
      </c>
      <c r="B3281" s="1" t="s">
        <v>7972</v>
      </c>
      <c r="C3281" s="580" t="s">
        <v>8102</v>
      </c>
      <c r="D3281" s="1">
        <v>0</v>
      </c>
      <c r="E3281" t="s">
        <v>7973</v>
      </c>
      <c r="F3281">
        <v>0</v>
      </c>
      <c r="G3281" s="580">
        <v>0</v>
      </c>
      <c r="H3281" s="1">
        <v>0</v>
      </c>
      <c r="I3281" s="1"/>
      <c r="J3281" s="1"/>
      <c r="K3281" s="1"/>
      <c r="L3281" s="1"/>
      <c r="M3281" s="1"/>
      <c r="N3281" s="1"/>
      <c r="O3281" s="1"/>
      <c r="Q3281"/>
    </row>
    <row r="3282" spans="1:17" ht="13.15" customHeight="1" x14ac:dyDescent="0.2">
      <c r="A3282" s="1" t="s">
        <v>21478</v>
      </c>
      <c r="B3282" s="1" t="s">
        <v>21391</v>
      </c>
      <c r="C3282" s="580">
        <v>1</v>
      </c>
      <c r="D3282" s="1">
        <v>0</v>
      </c>
      <c r="E3282" t="s">
        <v>4354</v>
      </c>
      <c r="F3282" t="s">
        <v>21392</v>
      </c>
      <c r="G3282" s="580">
        <v>0</v>
      </c>
      <c r="H3282" s="1" t="s">
        <v>21426</v>
      </c>
      <c r="I3282" s="1"/>
      <c r="J3282" s="1"/>
      <c r="K3282" s="1"/>
      <c r="L3282" s="1"/>
      <c r="M3282" s="1"/>
      <c r="N3282" s="1"/>
    </row>
    <row r="3283" spans="1:17" ht="13.15" customHeight="1" x14ac:dyDescent="0.2">
      <c r="A3283" s="1" t="s">
        <v>21479</v>
      </c>
      <c r="B3283" s="1" t="s">
        <v>21391</v>
      </c>
      <c r="C3283" s="580">
        <v>2</v>
      </c>
      <c r="D3283" s="1">
        <v>0</v>
      </c>
      <c r="E3283" t="s">
        <v>4354</v>
      </c>
      <c r="F3283" t="s">
        <v>9487</v>
      </c>
      <c r="G3283" s="580">
        <v>2013.48</v>
      </c>
      <c r="H3283" s="1">
        <v>0</v>
      </c>
      <c r="I3283" s="1"/>
      <c r="J3283" s="1"/>
      <c r="K3283" s="1"/>
      <c r="L3283" s="1"/>
      <c r="M3283" s="1"/>
      <c r="N3283" s="1"/>
    </row>
    <row r="3284" spans="1:17" ht="13.15" customHeight="1" x14ac:dyDescent="0.2">
      <c r="A3284" s="1" t="s">
        <v>21480</v>
      </c>
      <c r="B3284" s="1" t="s">
        <v>21391</v>
      </c>
      <c r="C3284" s="580">
        <v>3</v>
      </c>
      <c r="D3284" s="1">
        <v>0</v>
      </c>
      <c r="E3284" t="s">
        <v>4354</v>
      </c>
      <c r="F3284" t="s">
        <v>21534</v>
      </c>
      <c r="G3284" s="580">
        <v>2013.48</v>
      </c>
      <c r="H3284" s="1" t="s">
        <v>21428</v>
      </c>
      <c r="I3284" s="1"/>
      <c r="J3284" s="1"/>
      <c r="K3284" s="1"/>
      <c r="L3284" s="1"/>
      <c r="M3284" s="1"/>
      <c r="N3284" s="1"/>
    </row>
    <row r="3285" spans="1:17" ht="13.15" customHeight="1" x14ac:dyDescent="0.2">
      <c r="A3285" s="1" t="s">
        <v>21481</v>
      </c>
      <c r="B3285" s="1" t="s">
        <v>21391</v>
      </c>
      <c r="C3285" s="580">
        <v>4</v>
      </c>
      <c r="D3285" s="1">
        <v>0</v>
      </c>
      <c r="E3285" t="s">
        <v>4354</v>
      </c>
      <c r="F3285" t="s">
        <v>21535</v>
      </c>
      <c r="G3285" s="580">
        <v>2013.48</v>
      </c>
      <c r="H3285" s="1" t="s">
        <v>21429</v>
      </c>
      <c r="I3285" s="1"/>
      <c r="J3285" s="1"/>
      <c r="K3285" s="1"/>
      <c r="L3285" s="1"/>
      <c r="M3285" s="1"/>
      <c r="N3285" s="1"/>
    </row>
    <row r="3286" spans="1:17" ht="13.15" customHeight="1" x14ac:dyDescent="0.2">
      <c r="A3286" s="1" t="s">
        <v>21482</v>
      </c>
      <c r="B3286" s="1" t="s">
        <v>21391</v>
      </c>
      <c r="C3286" s="580">
        <v>5</v>
      </c>
      <c r="D3286" s="1">
        <v>2070.6</v>
      </c>
      <c r="E3286" t="s">
        <v>4354</v>
      </c>
      <c r="F3286" t="s">
        <v>21406</v>
      </c>
      <c r="G3286" s="580">
        <v>2013.48</v>
      </c>
      <c r="H3286" s="1" t="s">
        <v>21430</v>
      </c>
      <c r="I3286" s="1"/>
      <c r="J3286" s="1"/>
      <c r="K3286" s="1"/>
      <c r="L3286" s="1"/>
      <c r="M3286" s="1"/>
      <c r="N3286" s="1"/>
    </row>
    <row r="3287" spans="1:17" ht="13.15" customHeight="1" x14ac:dyDescent="0.2">
      <c r="A3287" s="1" t="s">
        <v>21483</v>
      </c>
      <c r="B3287" s="1" t="s">
        <v>21391</v>
      </c>
      <c r="C3287" s="580">
        <v>6</v>
      </c>
      <c r="D3287" s="1">
        <v>0</v>
      </c>
      <c r="E3287" t="s">
        <v>4354</v>
      </c>
      <c r="F3287" t="s">
        <v>21397</v>
      </c>
      <c r="G3287" s="580">
        <v>2876.4</v>
      </c>
      <c r="H3287" s="1">
        <v>0</v>
      </c>
      <c r="I3287" s="1"/>
      <c r="J3287" s="1"/>
      <c r="K3287" s="1"/>
      <c r="L3287" s="1"/>
      <c r="M3287" s="1"/>
      <c r="N3287" s="1"/>
    </row>
    <row r="3288" spans="1:17" ht="13.15" customHeight="1" x14ac:dyDescent="0.2">
      <c r="A3288" s="1" t="s">
        <v>21484</v>
      </c>
      <c r="B3288" s="1" t="s">
        <v>21391</v>
      </c>
      <c r="C3288" s="580">
        <v>7</v>
      </c>
      <c r="D3288" s="1">
        <v>2070.6</v>
      </c>
      <c r="E3288" t="s">
        <v>4354</v>
      </c>
      <c r="F3288" t="s">
        <v>21536</v>
      </c>
      <c r="G3288" s="580">
        <v>2013.48</v>
      </c>
      <c r="H3288" s="1" t="s">
        <v>21432</v>
      </c>
      <c r="I3288" s="1"/>
      <c r="J3288" s="1"/>
      <c r="K3288" s="1"/>
      <c r="L3288" s="1"/>
      <c r="M3288" s="1"/>
      <c r="N3288" s="1"/>
    </row>
    <row r="3289" spans="1:17" ht="13.15" customHeight="1" x14ac:dyDescent="0.2">
      <c r="A3289" s="1" t="s">
        <v>21485</v>
      </c>
      <c r="B3289" s="1" t="s">
        <v>21391</v>
      </c>
      <c r="C3289" s="580">
        <v>8</v>
      </c>
      <c r="D3289" s="1">
        <v>0</v>
      </c>
      <c r="E3289" t="s">
        <v>4354</v>
      </c>
      <c r="F3289" t="s">
        <v>21404</v>
      </c>
      <c r="G3289" s="580">
        <v>2013.48</v>
      </c>
      <c r="H3289" s="1">
        <v>0</v>
      </c>
      <c r="I3289" s="1"/>
      <c r="J3289" s="1"/>
      <c r="K3289" s="1"/>
      <c r="L3289" s="1"/>
      <c r="M3289" s="1"/>
      <c r="N3289" s="1"/>
    </row>
    <row r="3290" spans="1:17" ht="13.15" customHeight="1" x14ac:dyDescent="0.2">
      <c r="A3290" s="1" t="s">
        <v>21486</v>
      </c>
      <c r="B3290" s="1" t="s">
        <v>21391</v>
      </c>
      <c r="C3290" s="580">
        <v>9</v>
      </c>
      <c r="D3290" s="1">
        <v>0</v>
      </c>
      <c r="E3290" t="s">
        <v>4354</v>
      </c>
      <c r="F3290">
        <v>0</v>
      </c>
      <c r="G3290" s="580">
        <v>0</v>
      </c>
      <c r="H3290" s="1" t="s">
        <v>21434</v>
      </c>
      <c r="I3290" s="1"/>
      <c r="J3290" s="1"/>
      <c r="K3290" s="1"/>
      <c r="L3290" s="1"/>
      <c r="M3290" s="1"/>
      <c r="N3290" s="1"/>
    </row>
    <row r="3291" spans="1:17" ht="13.15" customHeight="1" x14ac:dyDescent="0.2">
      <c r="A3291" s="1" t="s">
        <v>21487</v>
      </c>
      <c r="B3291" s="1" t="s">
        <v>21391</v>
      </c>
      <c r="C3291" s="580">
        <v>13</v>
      </c>
      <c r="D3291" s="1">
        <v>2958</v>
      </c>
      <c r="E3291" t="s">
        <v>4354</v>
      </c>
      <c r="F3291" t="s">
        <v>21397</v>
      </c>
      <c r="G3291" s="580">
        <v>2876.4</v>
      </c>
      <c r="H3291" s="1" t="s">
        <v>21435</v>
      </c>
      <c r="I3291" s="1"/>
      <c r="J3291" s="1"/>
      <c r="K3291" s="1"/>
      <c r="L3291" s="1"/>
      <c r="M3291" s="1"/>
      <c r="N3291" s="1"/>
    </row>
    <row r="3292" spans="1:17" ht="13.15" customHeight="1" x14ac:dyDescent="0.2">
      <c r="A3292" s="1" t="s">
        <v>21488</v>
      </c>
      <c r="B3292" s="1" t="s">
        <v>21391</v>
      </c>
      <c r="C3292" s="580">
        <v>14</v>
      </c>
      <c r="D3292" s="1">
        <v>2958</v>
      </c>
      <c r="E3292" t="s">
        <v>4354</v>
      </c>
      <c r="F3292" t="s">
        <v>21397</v>
      </c>
      <c r="G3292" s="580">
        <v>2876.4</v>
      </c>
      <c r="H3292" s="1" t="s">
        <v>21436</v>
      </c>
      <c r="I3292" s="1"/>
      <c r="J3292" s="1"/>
      <c r="K3292" s="1"/>
      <c r="L3292" s="1"/>
      <c r="M3292" s="1"/>
      <c r="N3292" s="1"/>
    </row>
    <row r="3293" spans="1:17" ht="13.15" customHeight="1" x14ac:dyDescent="0.2">
      <c r="A3293" s="1" t="s">
        <v>21489</v>
      </c>
      <c r="B3293" s="1" t="s">
        <v>21391</v>
      </c>
      <c r="C3293" s="580">
        <v>15</v>
      </c>
      <c r="D3293" s="1">
        <v>2958</v>
      </c>
      <c r="E3293" t="s">
        <v>4354</v>
      </c>
      <c r="F3293" t="s">
        <v>21398</v>
      </c>
      <c r="G3293" s="580">
        <v>2876.4</v>
      </c>
      <c r="H3293" s="1" t="s">
        <v>21437</v>
      </c>
      <c r="I3293" s="1"/>
      <c r="J3293" s="1"/>
      <c r="K3293" s="1"/>
      <c r="L3293" s="1"/>
      <c r="M3293" s="1"/>
      <c r="N3293" s="1"/>
    </row>
    <row r="3294" spans="1:17" ht="13.15" customHeight="1" x14ac:dyDescent="0.2">
      <c r="A3294" s="1" t="s">
        <v>21490</v>
      </c>
      <c r="B3294" s="1" t="s">
        <v>21391</v>
      </c>
      <c r="C3294" s="580">
        <v>16</v>
      </c>
      <c r="D3294" s="1">
        <v>2958</v>
      </c>
      <c r="E3294" t="s">
        <v>4354</v>
      </c>
      <c r="F3294" t="s">
        <v>21399</v>
      </c>
      <c r="G3294" s="580">
        <v>2876.4</v>
      </c>
      <c r="H3294" s="1" t="s">
        <v>21438</v>
      </c>
      <c r="I3294" s="1"/>
      <c r="J3294" s="1"/>
      <c r="K3294" s="1"/>
      <c r="L3294" s="1"/>
      <c r="M3294" s="1"/>
      <c r="N3294" s="1"/>
    </row>
    <row r="3295" spans="1:17" ht="13.15" customHeight="1" x14ac:dyDescent="0.2">
      <c r="A3295" s="1" t="s">
        <v>21491</v>
      </c>
      <c r="B3295" s="1" t="s">
        <v>21391</v>
      </c>
      <c r="C3295" s="580">
        <v>17</v>
      </c>
      <c r="D3295" s="1">
        <v>0</v>
      </c>
      <c r="E3295" t="s">
        <v>4354</v>
      </c>
      <c r="F3295" t="s">
        <v>21537</v>
      </c>
      <c r="G3295" s="580">
        <v>2013.48</v>
      </c>
      <c r="H3295" s="1" t="s">
        <v>21439</v>
      </c>
      <c r="I3295" s="1"/>
      <c r="J3295" s="1"/>
      <c r="K3295" s="1"/>
      <c r="L3295" s="1"/>
      <c r="M3295" s="1"/>
      <c r="N3295" s="1"/>
    </row>
    <row r="3296" spans="1:17" ht="13.15" customHeight="1" x14ac:dyDescent="0.2">
      <c r="A3296" s="1" t="s">
        <v>21492</v>
      </c>
      <c r="B3296" s="1" t="s">
        <v>21391</v>
      </c>
      <c r="C3296" s="580">
        <v>18</v>
      </c>
      <c r="D3296" s="1">
        <v>0</v>
      </c>
      <c r="E3296" t="s">
        <v>4354</v>
      </c>
      <c r="F3296" t="s">
        <v>21401</v>
      </c>
      <c r="G3296" s="580">
        <v>0</v>
      </c>
      <c r="H3296" s="1" t="s">
        <v>21440</v>
      </c>
      <c r="I3296" s="1"/>
      <c r="J3296" s="1"/>
      <c r="K3296" s="1"/>
      <c r="L3296" s="1"/>
      <c r="M3296" s="1"/>
      <c r="N3296" s="1"/>
    </row>
    <row r="3297" spans="1:14" ht="13.15" customHeight="1" x14ac:dyDescent="0.2">
      <c r="A3297" s="1" t="s">
        <v>21493</v>
      </c>
      <c r="B3297" s="1" t="s">
        <v>21391</v>
      </c>
      <c r="C3297" s="580">
        <v>19</v>
      </c>
      <c r="D3297" s="1">
        <v>2070.6</v>
      </c>
      <c r="E3297" t="s">
        <v>4354</v>
      </c>
      <c r="F3297" t="s">
        <v>9492</v>
      </c>
      <c r="G3297" s="580">
        <v>2013.48</v>
      </c>
      <c r="H3297" s="1" t="s">
        <v>21441</v>
      </c>
      <c r="I3297" s="1"/>
      <c r="J3297" s="1"/>
      <c r="K3297" s="1"/>
      <c r="L3297" s="1"/>
      <c r="M3297" s="1"/>
      <c r="N3297" s="1"/>
    </row>
    <row r="3298" spans="1:14" ht="13.15" customHeight="1" x14ac:dyDescent="0.2">
      <c r="A3298" s="1" t="s">
        <v>21494</v>
      </c>
      <c r="B3298" s="1" t="s">
        <v>21391</v>
      </c>
      <c r="C3298" s="580">
        <v>20</v>
      </c>
      <c r="D3298" s="1">
        <v>2070.6</v>
      </c>
      <c r="E3298" t="s">
        <v>4354</v>
      </c>
      <c r="F3298" t="s">
        <v>21402</v>
      </c>
      <c r="G3298" s="580">
        <v>2013.48</v>
      </c>
      <c r="H3298" s="1" t="s">
        <v>21442</v>
      </c>
      <c r="I3298" s="1"/>
      <c r="J3298" s="1"/>
      <c r="K3298" s="1"/>
      <c r="L3298" s="1"/>
      <c r="M3298" s="1"/>
      <c r="N3298" s="1"/>
    </row>
    <row r="3299" spans="1:14" ht="13.15" customHeight="1" x14ac:dyDescent="0.2">
      <c r="A3299" s="1" t="s">
        <v>21495</v>
      </c>
      <c r="B3299" s="1" t="s">
        <v>21391</v>
      </c>
      <c r="C3299" s="580">
        <v>21</v>
      </c>
      <c r="D3299" s="1">
        <v>2070.6</v>
      </c>
      <c r="E3299" t="s">
        <v>4354</v>
      </c>
      <c r="F3299">
        <v>0</v>
      </c>
      <c r="G3299" s="580">
        <v>0</v>
      </c>
      <c r="H3299" s="1" t="s">
        <v>21443</v>
      </c>
      <c r="I3299" s="1"/>
      <c r="J3299" s="1"/>
      <c r="K3299" s="1"/>
      <c r="L3299" s="1"/>
      <c r="M3299" s="1"/>
      <c r="N3299" s="1"/>
    </row>
    <row r="3300" spans="1:14" ht="13.15" customHeight="1" x14ac:dyDescent="0.2">
      <c r="A3300" s="1" t="s">
        <v>21496</v>
      </c>
      <c r="B3300" s="1" t="s">
        <v>21391</v>
      </c>
      <c r="C3300" s="580">
        <v>22</v>
      </c>
      <c r="D3300" s="1">
        <v>0</v>
      </c>
      <c r="E3300" t="s">
        <v>4354</v>
      </c>
      <c r="F3300" t="s">
        <v>21538</v>
      </c>
      <c r="G3300" s="580">
        <v>2876.4</v>
      </c>
      <c r="H3300" s="1" t="s">
        <v>21444</v>
      </c>
      <c r="I3300" s="1"/>
      <c r="J3300" s="1"/>
      <c r="K3300" s="1"/>
      <c r="L3300" s="1"/>
      <c r="M3300" s="1"/>
      <c r="N3300" s="1"/>
    </row>
    <row r="3301" spans="1:14" ht="13.15" customHeight="1" x14ac:dyDescent="0.2">
      <c r="A3301" s="1" t="s">
        <v>21497</v>
      </c>
      <c r="B3301" s="1" t="s">
        <v>21391</v>
      </c>
      <c r="C3301" s="580">
        <v>23</v>
      </c>
      <c r="D3301" s="1">
        <v>2070.6</v>
      </c>
      <c r="E3301" t="s">
        <v>4354</v>
      </c>
      <c r="F3301" t="s">
        <v>9490</v>
      </c>
      <c r="G3301" s="580">
        <v>2013.48</v>
      </c>
      <c r="H3301" s="1" t="s">
        <v>21445</v>
      </c>
      <c r="I3301" s="1"/>
      <c r="J3301" s="1"/>
      <c r="K3301" s="1"/>
      <c r="L3301" s="1"/>
      <c r="M3301" s="1"/>
      <c r="N3301" s="1"/>
    </row>
    <row r="3302" spans="1:14" ht="13.15" customHeight="1" x14ac:dyDescent="0.2">
      <c r="A3302" s="1" t="s">
        <v>21498</v>
      </c>
      <c r="B3302" s="1" t="s">
        <v>21391</v>
      </c>
      <c r="C3302" s="580">
        <v>24</v>
      </c>
      <c r="D3302" s="1">
        <v>0</v>
      </c>
      <c r="E3302" t="s">
        <v>4354</v>
      </c>
      <c r="F3302" t="s">
        <v>21539</v>
      </c>
      <c r="G3302" s="580">
        <v>2876.4</v>
      </c>
      <c r="H3302" s="1" t="s">
        <v>21446</v>
      </c>
      <c r="I3302" s="1"/>
      <c r="J3302" s="1"/>
      <c r="K3302" s="1"/>
      <c r="L3302" s="1"/>
      <c r="M3302" s="1"/>
      <c r="N3302" s="1"/>
    </row>
    <row r="3303" spans="1:14" ht="13.15" customHeight="1" x14ac:dyDescent="0.2">
      <c r="A3303" s="1" t="s">
        <v>21499</v>
      </c>
      <c r="B3303" s="1" t="s">
        <v>21391</v>
      </c>
      <c r="C3303" s="580">
        <v>25</v>
      </c>
      <c r="D3303" s="1">
        <v>2070.6</v>
      </c>
      <c r="E3303" t="s">
        <v>4354</v>
      </c>
      <c r="F3303">
        <v>0</v>
      </c>
      <c r="G3303" s="580">
        <v>0</v>
      </c>
      <c r="H3303" s="1" t="s">
        <v>21426</v>
      </c>
      <c r="I3303" s="1"/>
      <c r="J3303" s="1"/>
      <c r="K3303" s="1"/>
      <c r="L3303" s="1"/>
      <c r="M3303" s="1"/>
      <c r="N3303" s="1"/>
    </row>
    <row r="3304" spans="1:14" ht="13.15" customHeight="1" x14ac:dyDescent="0.2">
      <c r="A3304" s="1" t="s">
        <v>21500</v>
      </c>
      <c r="B3304" s="1" t="s">
        <v>21391</v>
      </c>
      <c r="C3304" s="580">
        <v>26</v>
      </c>
      <c r="D3304" s="1">
        <v>2070.6</v>
      </c>
      <c r="E3304" t="s">
        <v>4354</v>
      </c>
      <c r="F3304" t="s">
        <v>21412</v>
      </c>
      <c r="G3304" s="580">
        <v>0</v>
      </c>
      <c r="H3304" s="1" t="s">
        <v>21427</v>
      </c>
      <c r="I3304" s="1"/>
      <c r="J3304" s="1"/>
      <c r="K3304" s="1"/>
      <c r="L3304" s="1"/>
      <c r="M3304" s="1"/>
      <c r="N3304" s="1"/>
    </row>
    <row r="3305" spans="1:14" ht="13.15" customHeight="1" x14ac:dyDescent="0.2">
      <c r="A3305" s="1" t="s">
        <v>21501</v>
      </c>
      <c r="B3305" s="1" t="s">
        <v>21391</v>
      </c>
      <c r="C3305" s="580">
        <v>27</v>
      </c>
      <c r="D3305" s="1">
        <v>2070.6</v>
      </c>
      <c r="E3305" t="s">
        <v>4354</v>
      </c>
      <c r="F3305" t="s">
        <v>21395</v>
      </c>
      <c r="G3305" s="580">
        <v>2013.48</v>
      </c>
      <c r="H3305" s="1" t="s">
        <v>21447</v>
      </c>
      <c r="I3305" s="1"/>
      <c r="J3305" s="1"/>
      <c r="K3305" s="1"/>
      <c r="L3305" s="1"/>
      <c r="M3305" s="1"/>
      <c r="N3305" s="1"/>
    </row>
    <row r="3306" spans="1:14" ht="13.15" customHeight="1" x14ac:dyDescent="0.2">
      <c r="A3306" s="1" t="s">
        <v>21502</v>
      </c>
      <c r="B3306" s="1" t="s">
        <v>21391</v>
      </c>
      <c r="C3306" s="580">
        <v>28</v>
      </c>
      <c r="D3306" s="1">
        <v>1005.72</v>
      </c>
      <c r="E3306" t="s">
        <v>4354</v>
      </c>
      <c r="F3306" t="s">
        <v>21407</v>
      </c>
      <c r="G3306" s="580">
        <v>977.976</v>
      </c>
      <c r="H3306" s="1" t="s">
        <v>21448</v>
      </c>
      <c r="I3306" s="1"/>
      <c r="J3306" s="1"/>
      <c r="K3306" s="1"/>
      <c r="L3306" s="1"/>
      <c r="M3306" s="1"/>
      <c r="N3306" s="1"/>
    </row>
    <row r="3307" spans="1:14" ht="13.15" customHeight="1" x14ac:dyDescent="0.2">
      <c r="A3307" s="1" t="s">
        <v>21503</v>
      </c>
      <c r="B3307" s="1" t="s">
        <v>21391</v>
      </c>
      <c r="C3307" s="580">
        <v>29</v>
      </c>
      <c r="D3307" s="1">
        <v>1005.72</v>
      </c>
      <c r="E3307" t="s">
        <v>4354</v>
      </c>
      <c r="F3307" t="s">
        <v>21408</v>
      </c>
      <c r="G3307" s="580">
        <v>977.976</v>
      </c>
      <c r="H3307" s="1" t="s">
        <v>21449</v>
      </c>
      <c r="I3307" s="1"/>
      <c r="J3307" s="1"/>
      <c r="K3307" s="1"/>
      <c r="L3307" s="1"/>
      <c r="M3307" s="1"/>
      <c r="N3307" s="1"/>
    </row>
    <row r="3308" spans="1:14" ht="13.15" customHeight="1" x14ac:dyDescent="0.2">
      <c r="A3308" s="1" t="s">
        <v>21504</v>
      </c>
      <c r="B3308" s="1" t="s">
        <v>21391</v>
      </c>
      <c r="C3308" s="580">
        <v>30</v>
      </c>
      <c r="D3308" s="1">
        <v>1005.72</v>
      </c>
      <c r="E3308" t="s">
        <v>4354</v>
      </c>
      <c r="F3308" t="s">
        <v>21409</v>
      </c>
      <c r="G3308" s="580">
        <v>977.976</v>
      </c>
      <c r="H3308" s="1" t="s">
        <v>21450</v>
      </c>
      <c r="I3308" s="1"/>
      <c r="J3308" s="1"/>
      <c r="K3308" s="1"/>
      <c r="L3308" s="1"/>
      <c r="M3308" s="1"/>
      <c r="N3308" s="1"/>
    </row>
    <row r="3309" spans="1:14" ht="13.15" customHeight="1" x14ac:dyDescent="0.2">
      <c r="A3309" s="1" t="s">
        <v>21505</v>
      </c>
      <c r="B3309" s="1" t="s">
        <v>21391</v>
      </c>
      <c r="C3309" s="580">
        <v>31</v>
      </c>
      <c r="D3309" s="1">
        <v>1005.72</v>
      </c>
      <c r="E3309" t="s">
        <v>4354</v>
      </c>
      <c r="F3309" t="s">
        <v>21540</v>
      </c>
      <c r="G3309" s="580">
        <v>977.976</v>
      </c>
      <c r="H3309" s="1" t="s">
        <v>21451</v>
      </c>
      <c r="I3309" s="1"/>
      <c r="J3309" s="1"/>
      <c r="K3309" s="1"/>
      <c r="L3309" s="1"/>
      <c r="M3309" s="1"/>
      <c r="N3309" s="1"/>
    </row>
    <row r="3310" spans="1:14" ht="13.15" customHeight="1" x14ac:dyDescent="0.2">
      <c r="A3310" s="1" t="s">
        <v>21506</v>
      </c>
      <c r="B3310" s="1" t="s">
        <v>21391</v>
      </c>
      <c r="C3310" s="580">
        <v>32</v>
      </c>
      <c r="D3310" s="1">
        <v>0</v>
      </c>
      <c r="E3310" t="s">
        <v>4354</v>
      </c>
      <c r="F3310">
        <v>0</v>
      </c>
      <c r="G3310" s="580">
        <v>0</v>
      </c>
      <c r="H3310" s="1" t="s">
        <v>21452</v>
      </c>
      <c r="I3310" s="1"/>
      <c r="J3310" s="1"/>
      <c r="K3310" s="1"/>
      <c r="L3310" s="1"/>
      <c r="M3310" s="1"/>
      <c r="N3310" s="1"/>
    </row>
    <row r="3311" spans="1:14" ht="13.15" customHeight="1" x14ac:dyDescent="0.2">
      <c r="A3311" s="1" t="s">
        <v>21507</v>
      </c>
      <c r="B3311" s="1" t="s">
        <v>21391</v>
      </c>
      <c r="C3311" s="580">
        <v>35</v>
      </c>
      <c r="D3311" s="1">
        <v>0</v>
      </c>
      <c r="E3311" t="s">
        <v>4354</v>
      </c>
      <c r="F3311">
        <v>0</v>
      </c>
      <c r="G3311" s="580">
        <v>0</v>
      </c>
      <c r="H3311" s="1" t="s">
        <v>21426</v>
      </c>
      <c r="I3311" s="1"/>
      <c r="J3311" s="1"/>
      <c r="K3311" s="1"/>
      <c r="L3311" s="1"/>
      <c r="M3311" s="1"/>
      <c r="N3311" s="1"/>
    </row>
    <row r="3312" spans="1:14" ht="13.15" customHeight="1" x14ac:dyDescent="0.2">
      <c r="A3312" s="1" t="s">
        <v>21508</v>
      </c>
      <c r="B3312" s="1" t="s">
        <v>21391</v>
      </c>
      <c r="C3312" s="580">
        <v>36</v>
      </c>
      <c r="D3312" s="1">
        <v>2070.6</v>
      </c>
      <c r="E3312" t="s">
        <v>4354</v>
      </c>
      <c r="F3312">
        <v>0</v>
      </c>
      <c r="G3312" s="580">
        <v>0</v>
      </c>
      <c r="H3312" s="1" t="s">
        <v>21453</v>
      </c>
      <c r="I3312" s="1"/>
      <c r="J3312" s="1"/>
      <c r="K3312" s="1"/>
      <c r="L3312" s="1"/>
      <c r="M3312" s="1"/>
      <c r="N3312" s="1"/>
    </row>
    <row r="3313" spans="1:14" ht="13.15" customHeight="1" x14ac:dyDescent="0.2">
      <c r="A3313" s="1" t="s">
        <v>21509</v>
      </c>
      <c r="B3313" s="1" t="s">
        <v>21391</v>
      </c>
      <c r="C3313" s="580">
        <v>37</v>
      </c>
      <c r="D3313" s="1">
        <v>2070.6</v>
      </c>
      <c r="E3313" t="s">
        <v>4354</v>
      </c>
      <c r="F3313" t="s">
        <v>21411</v>
      </c>
      <c r="G3313" s="580">
        <v>2013.48</v>
      </c>
      <c r="H3313" s="1" t="s">
        <v>21454</v>
      </c>
      <c r="I3313" s="1"/>
      <c r="J3313" s="1"/>
      <c r="K3313" s="1"/>
      <c r="L3313" s="1"/>
      <c r="M3313" s="1"/>
      <c r="N3313" s="1"/>
    </row>
    <row r="3314" spans="1:14" ht="13.15" customHeight="1" x14ac:dyDescent="0.2">
      <c r="A3314" s="1" t="s">
        <v>21510</v>
      </c>
      <c r="B3314" s="1" t="s">
        <v>21391</v>
      </c>
      <c r="C3314" s="580">
        <v>38</v>
      </c>
      <c r="D3314" s="1">
        <v>0</v>
      </c>
      <c r="E3314" t="s">
        <v>4354</v>
      </c>
      <c r="F3314" t="s">
        <v>21405</v>
      </c>
      <c r="G3314" s="580">
        <v>2013.48</v>
      </c>
      <c r="H3314" s="1" t="s">
        <v>21455</v>
      </c>
      <c r="I3314" s="1"/>
      <c r="J3314" s="1"/>
      <c r="K3314" s="1"/>
      <c r="L3314" s="1"/>
      <c r="M3314" s="1"/>
      <c r="N3314" s="1"/>
    </row>
    <row r="3315" spans="1:14" ht="13.15" customHeight="1" x14ac:dyDescent="0.2">
      <c r="A3315" s="1" t="s">
        <v>21511</v>
      </c>
      <c r="B3315" s="1" t="s">
        <v>21391</v>
      </c>
      <c r="C3315" s="580">
        <v>39</v>
      </c>
      <c r="D3315" s="1">
        <v>0</v>
      </c>
      <c r="E3315" t="s">
        <v>4354</v>
      </c>
      <c r="F3315" t="s">
        <v>21541</v>
      </c>
      <c r="G3315" s="580">
        <v>2128.5360000000001</v>
      </c>
      <c r="H3315" s="1" t="s">
        <v>21456</v>
      </c>
      <c r="I3315" s="1"/>
      <c r="J3315" s="1"/>
      <c r="K3315" s="1"/>
      <c r="L3315" s="1"/>
      <c r="M3315" s="1"/>
      <c r="N3315" s="1"/>
    </row>
    <row r="3316" spans="1:14" ht="13.15" customHeight="1" x14ac:dyDescent="0.2">
      <c r="A3316" s="1" t="s">
        <v>21512</v>
      </c>
      <c r="B3316" s="1" t="s">
        <v>21391</v>
      </c>
      <c r="C3316" s="580">
        <v>40</v>
      </c>
      <c r="D3316" s="1">
        <v>0</v>
      </c>
      <c r="E3316" t="s">
        <v>4354</v>
      </c>
      <c r="F3316" t="s">
        <v>21542</v>
      </c>
      <c r="G3316" s="580">
        <v>2128.5360000000001</v>
      </c>
      <c r="H3316" s="1" t="s">
        <v>21457</v>
      </c>
      <c r="I3316" s="1"/>
      <c r="J3316" s="1"/>
      <c r="K3316" s="1"/>
      <c r="L3316" s="1"/>
      <c r="M3316" s="1"/>
      <c r="N3316" s="1"/>
    </row>
    <row r="3317" spans="1:14" ht="13.15" customHeight="1" x14ac:dyDescent="0.2">
      <c r="A3317" s="1" t="s">
        <v>21513</v>
      </c>
      <c r="B3317" s="1" t="s">
        <v>21391</v>
      </c>
      <c r="C3317" s="580">
        <v>41</v>
      </c>
      <c r="D3317" s="1">
        <v>2305.5</v>
      </c>
      <c r="E3317" t="s">
        <v>4354</v>
      </c>
      <c r="F3317" t="s">
        <v>9495</v>
      </c>
      <c r="G3317" s="580">
        <v>2243.5920000000001</v>
      </c>
      <c r="H3317" s="1" t="s">
        <v>21458</v>
      </c>
      <c r="I3317" s="1"/>
      <c r="J3317" s="1"/>
      <c r="K3317" s="1"/>
      <c r="L3317" s="1"/>
      <c r="M3317" s="1"/>
      <c r="N3317" s="1"/>
    </row>
    <row r="3318" spans="1:14" ht="13.15" customHeight="1" x14ac:dyDescent="0.2">
      <c r="A3318" s="1" t="s">
        <v>21514</v>
      </c>
      <c r="B3318" s="1" t="s">
        <v>21391</v>
      </c>
      <c r="C3318" s="580">
        <v>42</v>
      </c>
      <c r="D3318" s="1">
        <v>2188.92</v>
      </c>
      <c r="E3318" t="s">
        <v>4354</v>
      </c>
      <c r="F3318" t="s">
        <v>21416</v>
      </c>
      <c r="G3318" s="580">
        <v>2128.5360000000001</v>
      </c>
      <c r="H3318" s="1" t="s">
        <v>21459</v>
      </c>
      <c r="I3318" s="1"/>
      <c r="J3318" s="1"/>
      <c r="K3318" s="1"/>
      <c r="L3318" s="1"/>
      <c r="M3318" s="1"/>
      <c r="N3318" s="1"/>
    </row>
    <row r="3319" spans="1:14" ht="13.15" customHeight="1" x14ac:dyDescent="0.2">
      <c r="A3319" s="1" t="s">
        <v>21515</v>
      </c>
      <c r="B3319" s="1" t="s">
        <v>21391</v>
      </c>
      <c r="C3319" s="580">
        <v>43</v>
      </c>
      <c r="D3319" s="1">
        <v>0</v>
      </c>
      <c r="E3319" t="s">
        <v>4354</v>
      </c>
      <c r="F3319" t="s">
        <v>21417</v>
      </c>
      <c r="G3319" s="580">
        <v>0</v>
      </c>
      <c r="H3319" s="1" t="s">
        <v>21460</v>
      </c>
      <c r="I3319" s="1"/>
      <c r="J3319" s="1"/>
      <c r="K3319" s="1"/>
      <c r="L3319" s="1"/>
      <c r="M3319" s="1"/>
      <c r="N3319" s="1"/>
    </row>
    <row r="3320" spans="1:14" ht="13.15" customHeight="1" x14ac:dyDescent="0.2">
      <c r="A3320" s="1" t="s">
        <v>21516</v>
      </c>
      <c r="B3320" s="1" t="s">
        <v>21391</v>
      </c>
      <c r="C3320" s="580">
        <v>44</v>
      </c>
      <c r="D3320" s="1">
        <v>2188.92</v>
      </c>
      <c r="E3320" t="s">
        <v>4354</v>
      </c>
      <c r="F3320" t="s">
        <v>21421</v>
      </c>
      <c r="G3320" s="580">
        <v>2128.5360000000001</v>
      </c>
      <c r="H3320" s="1" t="s">
        <v>21461</v>
      </c>
      <c r="I3320" s="1"/>
      <c r="J3320" s="1"/>
      <c r="K3320" s="1"/>
      <c r="L3320" s="1"/>
      <c r="M3320" s="1"/>
      <c r="N3320" s="1"/>
    </row>
    <row r="3321" spans="1:14" ht="13.15" customHeight="1" x14ac:dyDescent="0.2">
      <c r="A3321" s="1" t="s">
        <v>21517</v>
      </c>
      <c r="B3321" s="1" t="s">
        <v>21391</v>
      </c>
      <c r="C3321" s="580">
        <v>45</v>
      </c>
      <c r="D3321" s="1">
        <v>2307.2399999999998</v>
      </c>
      <c r="E3321" t="s">
        <v>4354</v>
      </c>
      <c r="F3321">
        <v>0</v>
      </c>
      <c r="G3321" s="580">
        <v>0</v>
      </c>
      <c r="H3321" s="1" t="s">
        <v>21462</v>
      </c>
      <c r="I3321" s="1"/>
      <c r="J3321" s="1"/>
      <c r="K3321" s="1"/>
      <c r="L3321" s="1"/>
      <c r="M3321" s="1"/>
      <c r="N3321" s="1"/>
    </row>
    <row r="3322" spans="1:14" ht="13.15" customHeight="1" x14ac:dyDescent="0.2">
      <c r="A3322" s="1" t="s">
        <v>21518</v>
      </c>
      <c r="B3322" s="1" t="s">
        <v>21391</v>
      </c>
      <c r="C3322" s="580">
        <v>46</v>
      </c>
      <c r="D3322" s="1">
        <v>2188.92</v>
      </c>
      <c r="E3322" t="s">
        <v>4354</v>
      </c>
      <c r="F3322" t="s">
        <v>21418</v>
      </c>
      <c r="G3322" s="580">
        <v>2128.5360000000001</v>
      </c>
      <c r="H3322" s="1" t="s">
        <v>21463</v>
      </c>
      <c r="I3322" s="1"/>
      <c r="J3322" s="1"/>
      <c r="K3322" s="1"/>
      <c r="L3322" s="1"/>
      <c r="M3322" s="1"/>
      <c r="N3322" s="1"/>
    </row>
    <row r="3323" spans="1:14" ht="13.15" customHeight="1" x14ac:dyDescent="0.2">
      <c r="A3323" s="1" t="s">
        <v>21519</v>
      </c>
      <c r="B3323" s="1" t="s">
        <v>21391</v>
      </c>
      <c r="C3323" s="580">
        <v>47</v>
      </c>
      <c r="D3323" s="1">
        <v>2188.92</v>
      </c>
      <c r="E3323" t="s">
        <v>4354</v>
      </c>
      <c r="F3323" t="s">
        <v>21419</v>
      </c>
      <c r="G3323" s="580">
        <v>2128.5360000000001</v>
      </c>
      <c r="H3323" s="1" t="s">
        <v>21464</v>
      </c>
      <c r="I3323" s="1"/>
      <c r="J3323" s="1"/>
      <c r="K3323" s="1"/>
      <c r="L3323" s="1"/>
      <c r="M3323" s="1"/>
      <c r="N3323" s="1"/>
    </row>
    <row r="3324" spans="1:14" ht="13.15" customHeight="1" x14ac:dyDescent="0.2">
      <c r="A3324" s="1" t="s">
        <v>21520</v>
      </c>
      <c r="B3324" s="1" t="s">
        <v>21391</v>
      </c>
      <c r="C3324" s="580">
        <v>48</v>
      </c>
      <c r="D3324" s="1">
        <v>2188.92</v>
      </c>
      <c r="E3324" t="s">
        <v>4354</v>
      </c>
      <c r="F3324" t="s">
        <v>21420</v>
      </c>
      <c r="G3324" s="580">
        <v>2128.5360000000001</v>
      </c>
      <c r="H3324" s="1" t="s">
        <v>21465</v>
      </c>
      <c r="I3324" s="1"/>
      <c r="J3324" s="1"/>
      <c r="K3324" s="1"/>
      <c r="L3324" s="1"/>
      <c r="M3324" s="1"/>
      <c r="N3324" s="1"/>
    </row>
    <row r="3325" spans="1:14" ht="13.15" customHeight="1" x14ac:dyDescent="0.2">
      <c r="A3325" s="1" t="s">
        <v>21521</v>
      </c>
      <c r="B3325" s="1" t="s">
        <v>21391</v>
      </c>
      <c r="C3325" s="580">
        <v>49</v>
      </c>
      <c r="D3325" s="1">
        <v>2188.92</v>
      </c>
      <c r="E3325" t="s">
        <v>4354</v>
      </c>
      <c r="F3325" t="s">
        <v>9498</v>
      </c>
      <c r="G3325" s="580">
        <v>2128.5360000000001</v>
      </c>
      <c r="H3325" s="1" t="s">
        <v>21466</v>
      </c>
      <c r="I3325" s="1"/>
      <c r="J3325" s="1"/>
      <c r="K3325" s="1"/>
      <c r="L3325" s="1"/>
      <c r="M3325" s="1"/>
      <c r="N3325" s="1"/>
    </row>
    <row r="3326" spans="1:14" ht="13.15" customHeight="1" x14ac:dyDescent="0.2">
      <c r="A3326" s="1" t="s">
        <v>21522</v>
      </c>
      <c r="B3326" s="1" t="s">
        <v>21391</v>
      </c>
      <c r="C3326" s="580">
        <v>50</v>
      </c>
      <c r="D3326" s="1">
        <v>2188.92</v>
      </c>
      <c r="E3326" t="s">
        <v>4354</v>
      </c>
      <c r="F3326">
        <v>0</v>
      </c>
      <c r="G3326" s="580">
        <v>0</v>
      </c>
      <c r="H3326" s="1" t="s">
        <v>21467</v>
      </c>
      <c r="I3326" s="1"/>
      <c r="J3326" s="1"/>
      <c r="K3326" s="1"/>
      <c r="L3326" s="1"/>
      <c r="M3326" s="1"/>
      <c r="N3326" s="1"/>
    </row>
    <row r="3327" spans="1:14" ht="13.15" customHeight="1" x14ac:dyDescent="0.2">
      <c r="A3327" s="1" t="s">
        <v>21523</v>
      </c>
      <c r="B3327" s="1" t="s">
        <v>21391</v>
      </c>
      <c r="C3327" s="580">
        <v>51</v>
      </c>
      <c r="D3327" s="1">
        <v>2188.92</v>
      </c>
      <c r="E3327" t="s">
        <v>4354</v>
      </c>
      <c r="F3327">
        <v>0</v>
      </c>
      <c r="G3327" s="580">
        <v>0</v>
      </c>
      <c r="H3327" s="1" t="s">
        <v>21468</v>
      </c>
      <c r="I3327" s="1"/>
      <c r="J3327" s="1"/>
      <c r="K3327" s="1"/>
      <c r="L3327" s="1"/>
      <c r="M3327" s="1"/>
      <c r="N3327" s="1"/>
    </row>
    <row r="3328" spans="1:14" ht="13.15" customHeight="1" x14ac:dyDescent="0.2">
      <c r="A3328" s="1" t="s">
        <v>21524</v>
      </c>
      <c r="B3328" s="1" t="s">
        <v>21391</v>
      </c>
      <c r="C3328" s="580">
        <v>52</v>
      </c>
      <c r="D3328" s="1">
        <v>0</v>
      </c>
      <c r="E3328" t="s">
        <v>4354</v>
      </c>
      <c r="F3328">
        <v>0</v>
      </c>
      <c r="G3328" s="580">
        <v>0</v>
      </c>
      <c r="H3328" s="1" t="s">
        <v>21469</v>
      </c>
      <c r="I3328" s="1"/>
      <c r="J3328" s="1"/>
      <c r="K3328" s="1"/>
      <c r="L3328" s="1"/>
      <c r="M3328" s="1"/>
      <c r="N3328" s="1"/>
    </row>
    <row r="3329" spans="1:14" ht="13.15" customHeight="1" x14ac:dyDescent="0.2">
      <c r="A3329" s="1" t="s">
        <v>21525</v>
      </c>
      <c r="B3329" s="1" t="s">
        <v>21391</v>
      </c>
      <c r="C3329" s="580">
        <v>53</v>
      </c>
      <c r="D3329" s="1">
        <v>0</v>
      </c>
      <c r="E3329" t="s">
        <v>4354</v>
      </c>
      <c r="F3329">
        <v>0</v>
      </c>
      <c r="G3329" s="580">
        <v>0</v>
      </c>
      <c r="H3329" s="1" t="s">
        <v>21470</v>
      </c>
      <c r="I3329" s="1"/>
      <c r="J3329" s="1"/>
      <c r="K3329" s="1"/>
      <c r="L3329" s="1"/>
      <c r="M3329" s="1"/>
      <c r="N3329" s="1"/>
    </row>
    <row r="3330" spans="1:14" ht="13.15" customHeight="1" x14ac:dyDescent="0.2">
      <c r="A3330" s="1" t="s">
        <v>21526</v>
      </c>
      <c r="B3330" s="1" t="s">
        <v>21391</v>
      </c>
      <c r="C3330" s="580">
        <v>54</v>
      </c>
      <c r="D3330" s="1">
        <v>0</v>
      </c>
      <c r="E3330" t="s">
        <v>4354</v>
      </c>
      <c r="F3330" t="s">
        <v>21543</v>
      </c>
      <c r="G3330" s="580">
        <v>2243.5920000000001</v>
      </c>
      <c r="H3330" s="1" t="s">
        <v>21471</v>
      </c>
      <c r="I3330" s="1"/>
      <c r="J3330" s="1"/>
      <c r="K3330" s="1"/>
      <c r="L3330" s="1"/>
      <c r="M3330" s="1"/>
      <c r="N3330" s="1"/>
    </row>
    <row r="3331" spans="1:14" ht="13.15" customHeight="1" x14ac:dyDescent="0.2">
      <c r="A3331" s="1" t="s">
        <v>21527</v>
      </c>
      <c r="B3331" s="1" t="s">
        <v>21391</v>
      </c>
      <c r="C3331" s="580">
        <v>55</v>
      </c>
      <c r="D3331" s="1">
        <v>0</v>
      </c>
      <c r="E3331" t="s">
        <v>4354</v>
      </c>
      <c r="F3331" t="s">
        <v>21544</v>
      </c>
      <c r="G3331" s="580">
        <v>2243.5920000000001</v>
      </c>
      <c r="H3331" s="1" t="s">
        <v>21472</v>
      </c>
      <c r="I3331" s="1"/>
      <c r="J3331" s="1"/>
      <c r="K3331" s="1"/>
      <c r="L3331" s="1"/>
      <c r="M3331" s="1"/>
      <c r="N3331" s="1"/>
    </row>
    <row r="3332" spans="1:14" ht="13.15" customHeight="1" x14ac:dyDescent="0.2">
      <c r="A3332" s="1" t="s">
        <v>21528</v>
      </c>
      <c r="B3332" s="1" t="s">
        <v>21391</v>
      </c>
      <c r="C3332" s="580">
        <v>56</v>
      </c>
      <c r="D3332" s="1">
        <v>0</v>
      </c>
      <c r="E3332" t="s">
        <v>4354</v>
      </c>
      <c r="F3332" t="s">
        <v>21545</v>
      </c>
      <c r="G3332" s="580">
        <v>2243.5920000000001</v>
      </c>
      <c r="H3332" s="1" t="s">
        <v>21473</v>
      </c>
      <c r="I3332" s="1"/>
      <c r="J3332" s="1"/>
      <c r="K3332" s="1"/>
      <c r="L3332" s="1"/>
      <c r="M3332" s="1"/>
      <c r="N3332" s="1"/>
    </row>
    <row r="3333" spans="1:14" ht="13.15" customHeight="1" x14ac:dyDescent="0.2">
      <c r="A3333" s="1" t="s">
        <v>21529</v>
      </c>
      <c r="B3333" s="1" t="s">
        <v>21391</v>
      </c>
      <c r="C3333" s="580">
        <v>57</v>
      </c>
      <c r="D3333" s="1">
        <v>0</v>
      </c>
      <c r="E3333" t="s">
        <v>4354</v>
      </c>
      <c r="F3333" t="s">
        <v>11598</v>
      </c>
      <c r="G3333" s="580">
        <v>2243.5920000000001</v>
      </c>
      <c r="H3333" s="1" t="s">
        <v>21474</v>
      </c>
      <c r="I3333" s="1"/>
      <c r="J3333" s="1"/>
      <c r="K3333" s="1"/>
      <c r="L3333" s="1"/>
      <c r="M3333" s="1"/>
      <c r="N3333" s="1"/>
    </row>
    <row r="3334" spans="1:14" ht="13.15" customHeight="1" x14ac:dyDescent="0.2">
      <c r="A3334" s="1" t="s">
        <v>21530</v>
      </c>
      <c r="B3334" s="1" t="s">
        <v>21391</v>
      </c>
      <c r="C3334" s="580">
        <v>58</v>
      </c>
      <c r="D3334" s="1">
        <v>1242.3599999999999</v>
      </c>
      <c r="E3334" t="s">
        <v>4354</v>
      </c>
      <c r="F3334" t="s">
        <v>21424</v>
      </c>
      <c r="G3334" s="580">
        <v>1208.088</v>
      </c>
      <c r="H3334" s="1" t="s">
        <v>21475</v>
      </c>
      <c r="I3334" s="1"/>
      <c r="J3334" s="1"/>
      <c r="K3334" s="1"/>
      <c r="L3334" s="1"/>
      <c r="M3334" s="1"/>
      <c r="N3334" s="1"/>
    </row>
    <row r="3335" spans="1:14" ht="13.15" customHeight="1" x14ac:dyDescent="0.2">
      <c r="A3335" s="1" t="s">
        <v>21531</v>
      </c>
      <c r="B3335" s="1" t="s">
        <v>21391</v>
      </c>
      <c r="C3335" s="580">
        <v>59</v>
      </c>
      <c r="D3335" s="1">
        <v>0</v>
      </c>
      <c r="E3335" t="s">
        <v>4354</v>
      </c>
      <c r="F3335">
        <v>0</v>
      </c>
      <c r="G3335" s="580">
        <v>0</v>
      </c>
      <c r="H3335" s="1" t="s">
        <v>21476</v>
      </c>
      <c r="I3335" s="1"/>
      <c r="J3335" s="1"/>
      <c r="K3335" s="1"/>
      <c r="L3335" s="1"/>
      <c r="M3335" s="1"/>
      <c r="N3335" s="1"/>
    </row>
    <row r="3336" spans="1:14" ht="13.15" customHeight="1" x14ac:dyDescent="0.2">
      <c r="A3336" s="1" t="s">
        <v>21532</v>
      </c>
      <c r="B3336" s="1" t="s">
        <v>21391</v>
      </c>
      <c r="C3336" s="580">
        <v>60</v>
      </c>
      <c r="D3336" s="1">
        <v>1242.3599999999999</v>
      </c>
      <c r="E3336" t="s">
        <v>4354</v>
      </c>
      <c r="F3336" t="s">
        <v>21425</v>
      </c>
      <c r="G3336" s="580">
        <v>1208.088</v>
      </c>
      <c r="H3336" s="1" t="s">
        <v>21477</v>
      </c>
      <c r="I3336" s="1"/>
      <c r="J3336" s="1"/>
      <c r="K3336" s="1"/>
      <c r="L3336" s="1"/>
      <c r="M3336" s="1"/>
      <c r="N3336" s="1"/>
    </row>
  </sheetData>
  <phoneticPr fontId="11" type="noConversion"/>
  <printOptions horizontalCentered="1" verticalCentered="1"/>
  <pageMargins left="0.11811023622047245" right="0" top="0.12" bottom="0" header="0.31496062992125984" footer="0.13"/>
  <pageSetup paperSize="9"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19292-2C61-48B9-BC54-B59228190635}">
  <sheetPr codeName="Hoja30"/>
  <dimension ref="B1:AB1862"/>
  <sheetViews>
    <sheetView showGridLines="0" zoomScale="115" zoomScaleNormal="115" workbookViewId="0">
      <pane ySplit="1" topLeftCell="A2" activePane="bottomLeft" state="frozen"/>
      <selection activeCell="M14" sqref="M14"/>
      <selection pane="bottomLeft" activeCell="J6" sqref="J6"/>
    </sheetView>
  </sheetViews>
  <sheetFormatPr baseColWidth="10" defaultColWidth="10.7109375" defaultRowHeight="12.75" x14ac:dyDescent="0.2"/>
  <cols>
    <col min="1" max="1" width="1" style="9" customWidth="1"/>
    <col min="2" max="2" width="5.7109375" style="9" customWidth="1"/>
    <col min="3" max="3" width="24" style="9" customWidth="1"/>
    <col min="4" max="4" width="8.140625" style="9" customWidth="1"/>
    <col min="5" max="5" width="12.42578125" style="9" customWidth="1"/>
    <col min="6" max="6" width="14.42578125" style="9" customWidth="1"/>
    <col min="7" max="7" width="1.42578125" style="9" customWidth="1"/>
    <col min="8" max="8" width="7" style="9" customWidth="1"/>
    <col min="9" max="9" width="31" style="9" customWidth="1"/>
    <col min="10" max="10" width="7.85546875" style="9" customWidth="1"/>
    <col min="11" max="11" width="9.28515625" style="9" customWidth="1"/>
    <col min="12" max="12" width="14.5703125" style="9" customWidth="1"/>
    <col min="13" max="13" width="26.140625" style="9" bestFit="1" customWidth="1"/>
    <col min="14" max="14" width="13.7109375" style="9" customWidth="1"/>
    <col min="15" max="15" width="13.85546875" style="9" bestFit="1" customWidth="1"/>
    <col min="16" max="16" width="13.28515625" style="9" bestFit="1" customWidth="1"/>
    <col min="17" max="17" width="9.7109375" style="9" bestFit="1" customWidth="1"/>
    <col min="18" max="18" width="38.85546875" style="9" bestFit="1" customWidth="1"/>
    <col min="19" max="19" width="14.42578125" style="9" bestFit="1" customWidth="1"/>
    <col min="20" max="20" width="13.42578125" style="9" bestFit="1" customWidth="1"/>
    <col min="21" max="23" width="10.7109375" style="9"/>
    <col min="24" max="24" width="12.85546875" style="9" bestFit="1" customWidth="1"/>
    <col min="25" max="27" width="10.7109375" style="9"/>
    <col min="28" max="28" width="14.42578125" style="9" bestFit="1" customWidth="1"/>
    <col min="29" max="41" width="10.7109375" style="9"/>
    <col min="42" max="42" width="52.28515625" style="9" bestFit="1" customWidth="1"/>
    <col min="43" max="43" width="14.28515625" style="9" bestFit="1" customWidth="1"/>
    <col min="44" max="44" width="83.7109375" style="9" bestFit="1" customWidth="1"/>
    <col min="45" max="45" width="13.7109375" style="9" bestFit="1" customWidth="1"/>
    <col min="46" max="46" width="5.7109375" style="9" bestFit="1" customWidth="1"/>
    <col min="47" max="47" width="12.28515625" style="9" bestFit="1" customWidth="1"/>
    <col min="48" max="16384" width="10.7109375" style="9"/>
  </cols>
  <sheetData>
    <row r="1" spans="2:17" ht="24" customHeight="1" x14ac:dyDescent="0.2">
      <c r="B1" s="1351" t="s">
        <v>8103</v>
      </c>
      <c r="C1" s="1352" t="s">
        <v>8104</v>
      </c>
      <c r="D1" s="1352" t="s">
        <v>8105</v>
      </c>
      <c r="E1" s="1352" t="s">
        <v>8106</v>
      </c>
      <c r="F1" s="1353" t="s">
        <v>8107</v>
      </c>
      <c r="G1" s="160"/>
      <c r="H1" s="1354" t="s">
        <v>8103</v>
      </c>
      <c r="I1" s="1355" t="s">
        <v>8104</v>
      </c>
      <c r="J1" s="1355" t="s">
        <v>8105</v>
      </c>
      <c r="K1" s="1355" t="s">
        <v>8107</v>
      </c>
      <c r="L1" s="1356" t="s">
        <v>8107</v>
      </c>
      <c r="N1" s="43" t="s">
        <v>8104</v>
      </c>
      <c r="O1" s="43" t="s">
        <v>8107</v>
      </c>
    </row>
    <row r="2" spans="2:17" ht="5.25" customHeight="1" thickBot="1" x14ac:dyDescent="0.25">
      <c r="B2" s="1357"/>
      <c r="C2" s="160"/>
      <c r="D2" s="160"/>
      <c r="E2" s="160"/>
      <c r="F2" s="1358"/>
      <c r="G2" s="160"/>
      <c r="H2" s="1357"/>
      <c r="I2" s="160"/>
      <c r="J2" s="160"/>
      <c r="K2" s="160"/>
      <c r="L2" s="1358"/>
      <c r="O2" s="1115"/>
    </row>
    <row r="3" spans="2:17" ht="20.25" customHeight="1" x14ac:dyDescent="0.2">
      <c r="B3" s="439"/>
      <c r="C3" s="501" t="s">
        <v>16</v>
      </c>
      <c r="D3" s="1359" t="str">
        <f t="shared" ref="D3:D4" ca="1" si="0">+HYPERLINK("#"&amp;CELL("direccion",INDIRECT("'"&amp;C3&amp;"'!A1")),"IR")</f>
        <v>IR</v>
      </c>
      <c r="E3" s="9" t="s">
        <v>8110</v>
      </c>
      <c r="F3" s="1308">
        <f>IF(E3="PEDIDO",FADER!H2,"")</f>
        <v>339740.18</v>
      </c>
      <c r="G3" s="1309"/>
      <c r="H3" s="439" t="s">
        <v>8109</v>
      </c>
      <c r="I3" s="46" t="s">
        <v>2097</v>
      </c>
      <c r="J3" s="1360" t="str">
        <f t="shared" ref="J3:J16" ca="1" si="1">+HYPERLINK("#"&amp;CELL("direccion",INDIRECT("'"&amp;I3&amp;"'!A1")),"IR")</f>
        <v>IR</v>
      </c>
      <c r="K3" s="9" t="s">
        <v>8110</v>
      </c>
      <c r="L3" s="1308">
        <f t="shared" ref="L3:L17" ca="1" si="2">IF(K3&lt;&gt;"",ROUND(VLOOKUP(I3,$I$97:$L$124,4,0),-3),"")</f>
        <v>162000</v>
      </c>
      <c r="M3" s="82"/>
      <c r="N3" s="9" t="str" cm="1">
        <f t="array" aca="1" ref="N3:O14" ca="1">+_xlfn.VSTACK(
_xlfn._xlws.FILTER(_xlfn.CHOOSECOLS($C3:$F18,1,4),$B3:$B18="OK"),
_xlfn._xlws.FILTER(_xlfn.CHOOSECOLS($I3:$L18,1,4),$H3:$H18="OK")
)</f>
        <v>ORING</v>
      </c>
      <c r="O3" s="1115">
        <f ca="1"/>
        <v>1157681.6455050004</v>
      </c>
    </row>
    <row r="4" spans="2:17" ht="20.25" customHeight="1" x14ac:dyDescent="0.2">
      <c r="B4" s="439"/>
      <c r="C4" s="46" t="s">
        <v>8108</v>
      </c>
      <c r="D4" s="1360" t="str">
        <f t="shared" ca="1" si="0"/>
        <v>IR</v>
      </c>
      <c r="F4" s="1308" t="str">
        <f>IF(E4="PEDIDO",CECATTO!I2,"")</f>
        <v/>
      </c>
      <c r="G4" s="1309"/>
      <c r="H4" s="439"/>
      <c r="I4" s="46" t="s">
        <v>7189</v>
      </c>
      <c r="J4" s="1361" t="str">
        <f t="shared" ca="1" si="1"/>
        <v>IR</v>
      </c>
      <c r="L4" s="1308" t="str">
        <f t="shared" si="2"/>
        <v/>
      </c>
      <c r="M4" s="4"/>
      <c r="N4" s="9" t="str">
        <f ca="1"/>
        <v>SELFLEX</v>
      </c>
      <c r="O4" s="1115">
        <f ca="1"/>
        <v>368000</v>
      </c>
    </row>
    <row r="5" spans="2:17" ht="20.25" customHeight="1" x14ac:dyDescent="0.2">
      <c r="B5" s="439" t="s">
        <v>8109</v>
      </c>
      <c r="C5" s="46" t="s">
        <v>2480</v>
      </c>
      <c r="D5" s="1360" t="str">
        <f t="shared" ref="D5:D15" ca="1" si="3">+HYPERLINK("#"&amp;CELL("direccion",INDIRECT("'"&amp;C5&amp;"'!A1")),"IR")</f>
        <v>IR</v>
      </c>
      <c r="E5" s="9" t="s">
        <v>8110</v>
      </c>
      <c r="F5" s="1308">
        <f>IF(E5="PEDIDO",ORING!M53,"")</f>
        <v>1157681.6455050004</v>
      </c>
      <c r="G5" s="1309"/>
      <c r="H5" s="439"/>
      <c r="I5" s="46" t="s">
        <v>5635</v>
      </c>
      <c r="J5" s="1361" t="str">
        <f t="shared" ca="1" si="1"/>
        <v>IR</v>
      </c>
      <c r="K5" s="9" t="s">
        <v>8110</v>
      </c>
      <c r="L5" s="1308">
        <f t="shared" ca="1" si="2"/>
        <v>963000</v>
      </c>
      <c r="M5" s="4"/>
      <c r="N5" s="9" t="str">
        <f ca="1"/>
        <v>ALCIDES</v>
      </c>
      <c r="O5" s="1115">
        <f ca="1"/>
        <v>868000</v>
      </c>
    </row>
    <row r="6" spans="2:17" ht="20.25" customHeight="1" x14ac:dyDescent="0.2">
      <c r="B6" s="439" t="s">
        <v>8109</v>
      </c>
      <c r="C6" s="46" t="s">
        <v>7302</v>
      </c>
      <c r="D6" s="1360" t="str">
        <f t="shared" ca="1" si="3"/>
        <v>IR</v>
      </c>
      <c r="E6" s="9" t="s">
        <v>8110</v>
      </c>
      <c r="F6" s="1308">
        <f t="shared" ref="F6:F11" si="4">IF(E6&lt;&gt;"",ROUND(VLOOKUP(C6,$I$97:$L$124,4,0),-3),"")</f>
        <v>368000</v>
      </c>
      <c r="G6" s="1309"/>
      <c r="H6" s="439"/>
      <c r="I6" s="46" t="s">
        <v>4542</v>
      </c>
      <c r="J6" s="1361" t="str">
        <f t="shared" ca="1" si="1"/>
        <v>IR</v>
      </c>
      <c r="L6" s="1308" t="str">
        <f t="shared" si="2"/>
        <v/>
      </c>
      <c r="M6" s="4"/>
      <c r="N6" s="9" t="str">
        <f ca="1"/>
        <v>ALNAT</v>
      </c>
      <c r="O6" s="1115">
        <f ca="1"/>
        <v>3293000</v>
      </c>
    </row>
    <row r="7" spans="2:17" ht="20.25" customHeight="1" x14ac:dyDescent="0.2">
      <c r="B7" s="439" t="s">
        <v>8109</v>
      </c>
      <c r="C7" s="46" t="s">
        <v>8111</v>
      </c>
      <c r="D7" s="1361" t="str">
        <f ca="1">+HYPERLINK("#"&amp;CELL("direccion",INDIRECT("'"&amp;C7&amp;"'!A1")),"IR")</f>
        <v>IR</v>
      </c>
      <c r="E7" s="9" t="s">
        <v>8110</v>
      </c>
      <c r="F7" s="1308">
        <f t="shared" ca="1" si="4"/>
        <v>868000</v>
      </c>
      <c r="G7" s="1309"/>
      <c r="H7" s="439" t="s">
        <v>8109</v>
      </c>
      <c r="I7" s="46" t="s">
        <v>4667</v>
      </c>
      <c r="J7" s="1361" t="str">
        <f t="shared" ca="1" si="1"/>
        <v>IR</v>
      </c>
      <c r="K7" s="9" t="s">
        <v>8110</v>
      </c>
      <c r="L7" s="1308">
        <f t="shared" si="2"/>
        <v>328000</v>
      </c>
      <c r="M7" s="4"/>
      <c r="N7" s="9" t="str">
        <f ca="1"/>
        <v>INYECT GAS</v>
      </c>
      <c r="O7" s="1115">
        <f ca="1"/>
        <v>378000</v>
      </c>
    </row>
    <row r="8" spans="2:17" ht="20.25" customHeight="1" x14ac:dyDescent="0.2">
      <c r="B8" s="439"/>
      <c r="C8" s="46" t="s">
        <v>3147</v>
      </c>
      <c r="D8" s="1360" t="str">
        <f t="shared" ca="1" si="3"/>
        <v>IR</v>
      </c>
      <c r="F8" s="1308" t="str">
        <f t="shared" si="4"/>
        <v/>
      </c>
      <c r="G8" s="1309"/>
      <c r="H8" s="439" t="s">
        <v>8109</v>
      </c>
      <c r="I8" s="46" t="s">
        <v>6819</v>
      </c>
      <c r="J8" s="1361" t="str">
        <f t="shared" ca="1" si="1"/>
        <v>IR</v>
      </c>
      <c r="K8" s="9" t="s">
        <v>8110</v>
      </c>
      <c r="L8" s="1308">
        <f t="shared" ca="1" si="2"/>
        <v>583000</v>
      </c>
      <c r="N8" s="9" t="str">
        <f ca="1"/>
        <v>REGATONES</v>
      </c>
      <c r="O8" s="1115">
        <f ca="1"/>
        <v>416000</v>
      </c>
    </row>
    <row r="9" spans="2:17" ht="20.25" customHeight="1" x14ac:dyDescent="0.2">
      <c r="B9" s="439"/>
      <c r="C9" s="46" t="s">
        <v>8112</v>
      </c>
      <c r="D9" s="1360" t="str">
        <f t="shared" ca="1" si="3"/>
        <v>IR</v>
      </c>
      <c r="F9" s="1308" t="str">
        <f t="shared" si="4"/>
        <v/>
      </c>
      <c r="G9" s="1309"/>
      <c r="H9" s="439"/>
      <c r="I9" s="46" t="s">
        <v>3176</v>
      </c>
      <c r="J9" s="1361" t="str">
        <f t="shared" ca="1" si="1"/>
        <v>IR</v>
      </c>
      <c r="L9" s="1308" t="str">
        <f t="shared" si="2"/>
        <v/>
      </c>
      <c r="N9" s="9" t="str">
        <f ca="1"/>
        <v>OTIA</v>
      </c>
      <c r="O9" s="1115">
        <f ca="1"/>
        <v>162000</v>
      </c>
    </row>
    <row r="10" spans="2:17" ht="20.25" customHeight="1" x14ac:dyDescent="0.2">
      <c r="B10" s="439"/>
      <c r="C10" s="46" t="s">
        <v>5112</v>
      </c>
      <c r="D10" s="1360" t="str">
        <f t="shared" ca="1" si="3"/>
        <v>IR</v>
      </c>
      <c r="F10" s="1308" t="str">
        <f t="shared" si="4"/>
        <v/>
      </c>
      <c r="G10" s="1309"/>
      <c r="H10" s="439"/>
      <c r="I10" s="46" t="s">
        <v>8113</v>
      </c>
      <c r="J10" s="1361" t="str">
        <f t="shared" ca="1" si="1"/>
        <v>IR</v>
      </c>
      <c r="L10" s="1308" t="str">
        <f t="shared" si="2"/>
        <v/>
      </c>
      <c r="N10" s="9" t="str">
        <f ca="1"/>
        <v>LCT</v>
      </c>
      <c r="O10" s="1115">
        <f ca="1"/>
        <v>328000</v>
      </c>
    </row>
    <row r="11" spans="2:17" ht="20.25" customHeight="1" x14ac:dyDescent="0.2">
      <c r="B11" s="439"/>
      <c r="C11" s="46" t="s">
        <v>8114</v>
      </c>
      <c r="D11" s="1360" t="str">
        <f t="shared" ca="1" si="3"/>
        <v>IR</v>
      </c>
      <c r="F11" s="1308" t="str">
        <f t="shared" si="4"/>
        <v/>
      </c>
      <c r="G11" s="1309"/>
      <c r="H11" s="439"/>
      <c r="I11" s="46" t="s">
        <v>6029</v>
      </c>
      <c r="J11" s="1361" t="str">
        <f t="shared" ca="1" si="1"/>
        <v>IR</v>
      </c>
      <c r="L11" s="1308" t="str">
        <f t="shared" si="2"/>
        <v/>
      </c>
      <c r="N11" s="9" t="str">
        <f ca="1"/>
        <v>JUCAP</v>
      </c>
      <c r="O11" s="1115">
        <f ca="1"/>
        <v>583000</v>
      </c>
    </row>
    <row r="12" spans="2:17" ht="20.25" customHeight="1" x14ac:dyDescent="0.2">
      <c r="B12" s="439"/>
      <c r="C12" s="46" t="s">
        <v>2780</v>
      </c>
      <c r="D12" s="1360" t="str">
        <f t="shared" ca="1" si="3"/>
        <v>IR</v>
      </c>
      <c r="F12" s="1308" t="str">
        <f>IF(E12="","",INSERTOS!H1)</f>
        <v/>
      </c>
      <c r="G12" s="1309"/>
      <c r="H12" s="439"/>
      <c r="I12" s="46" t="s">
        <v>5941</v>
      </c>
      <c r="J12" s="1361" t="str">
        <f t="shared" ca="1" si="1"/>
        <v>IR</v>
      </c>
      <c r="K12" s="9" t="s">
        <v>8110</v>
      </c>
      <c r="L12" s="1308">
        <f t="shared" ca="1" si="2"/>
        <v>210000</v>
      </c>
      <c r="N12" s="26" t="str">
        <f ca="1"/>
        <v>DAHE DIESEL</v>
      </c>
      <c r="O12" s="1115">
        <f ca="1"/>
        <v>599000</v>
      </c>
    </row>
    <row r="13" spans="2:17" ht="20.25" customHeight="1" x14ac:dyDescent="0.2">
      <c r="B13" s="439"/>
      <c r="C13" s="46" t="s">
        <v>1198</v>
      </c>
      <c r="D13" s="1360" t="str">
        <f t="shared" ca="1" si="3"/>
        <v>IR</v>
      </c>
      <c r="F13" s="1308" t="str">
        <f>IF(E13="","",INSERTOS!G7)</f>
        <v/>
      </c>
      <c r="G13" s="1309"/>
      <c r="H13" s="439" t="s">
        <v>8109</v>
      </c>
      <c r="I13" s="46" t="s">
        <v>8115</v>
      </c>
      <c r="J13" s="1361" t="str">
        <f t="shared" ca="1" si="1"/>
        <v>IR</v>
      </c>
      <c r="K13" s="9" t="s">
        <v>8110</v>
      </c>
      <c r="L13" s="1308">
        <f t="shared" si="2"/>
        <v>599000</v>
      </c>
      <c r="N13" s="9" t="str">
        <f ca="1"/>
        <v>KLOSTER</v>
      </c>
      <c r="O13" s="1115">
        <f ca="1"/>
        <v>52000</v>
      </c>
      <c r="P13" s="9" t="s">
        <v>8116</v>
      </c>
      <c r="Q13" s="1115">
        <f>IF(B17="OK",'REGATONES'!Q70,"")</f>
        <v>0</v>
      </c>
    </row>
    <row r="14" spans="2:17" ht="20.25" customHeight="1" x14ac:dyDescent="0.2">
      <c r="B14" s="439"/>
      <c r="C14" s="46" t="s">
        <v>8117</v>
      </c>
      <c r="D14" s="1360" t="str">
        <f t="shared" ca="1" si="3"/>
        <v>IR</v>
      </c>
      <c r="F14" s="1308" t="str">
        <f>IF(E14&lt;&gt;"",ROUND(VLOOKUP(C14,$I$97:$L$124,4,0),-3),"")</f>
        <v/>
      </c>
      <c r="G14" s="1309"/>
      <c r="H14" s="439"/>
      <c r="I14" s="46" t="s">
        <v>8118</v>
      </c>
      <c r="J14" s="1361" t="str">
        <f t="shared" ca="1" si="1"/>
        <v>IR</v>
      </c>
      <c r="L14" s="1308" t="str">
        <f t="shared" si="2"/>
        <v/>
      </c>
      <c r="N14" s="9" t="str">
        <f ca="1"/>
        <v>SKOTNICA</v>
      </c>
      <c r="O14" s="1115">
        <f ca="1"/>
        <v>309000</v>
      </c>
      <c r="P14" s="9" t="s">
        <v>8119</v>
      </c>
      <c r="Q14" s="1115">
        <f>IF(B17="OK",'REGATONES'!S70,"")</f>
        <v>83200</v>
      </c>
    </row>
    <row r="15" spans="2:17" ht="20.25" customHeight="1" x14ac:dyDescent="0.2">
      <c r="B15" s="439" t="s">
        <v>8109</v>
      </c>
      <c r="C15" s="46" t="s">
        <v>4354</v>
      </c>
      <c r="D15" s="1360" t="str">
        <f t="shared" ca="1" si="3"/>
        <v>IR</v>
      </c>
      <c r="E15" s="9" t="s">
        <v>8110</v>
      </c>
      <c r="F15" s="1308">
        <f ca="1">IF(E15&lt;&gt;"",ROUND(VLOOKUP(C15,$I$97:$L$124,4,0),-3),"")</f>
        <v>3293000</v>
      </c>
      <c r="G15" s="1309"/>
      <c r="H15" s="439" t="s">
        <v>8109</v>
      </c>
      <c r="I15" s="46" t="s">
        <v>3371</v>
      </c>
      <c r="J15" s="1361" t="str">
        <f t="shared" ca="1" si="1"/>
        <v>IR</v>
      </c>
      <c r="K15" s="9" t="s">
        <v>8110</v>
      </c>
      <c r="L15" s="1308">
        <f t="shared" ca="1" si="2"/>
        <v>52000</v>
      </c>
      <c r="O15" s="1115"/>
      <c r="P15" s="9" t="s">
        <v>8120</v>
      </c>
      <c r="Q15" s="1115">
        <f>IF(B17="OK",'REGATONES'!U70,"")</f>
        <v>0</v>
      </c>
    </row>
    <row r="16" spans="2:17" ht="20.25" customHeight="1" x14ac:dyDescent="0.2">
      <c r="B16" s="439" t="s">
        <v>8109</v>
      </c>
      <c r="C16" s="46" t="s">
        <v>8121</v>
      </c>
      <c r="D16" s="1361" t="str">
        <f t="shared" ref="D16:D17" ca="1" si="5">+HYPERLINK("#"&amp;CELL("direccion",INDIRECT("'"&amp;C16&amp;"'!A1")),"IR")</f>
        <v>IR</v>
      </c>
      <c r="E16" s="9" t="s">
        <v>8110</v>
      </c>
      <c r="F16" s="1308">
        <f ca="1">IF(E16&lt;&gt;"",ROUND(VLOOKUP(C16,$I$97:$L$124,4,0),-3),"")</f>
        <v>378000</v>
      </c>
      <c r="G16" s="1309"/>
      <c r="H16" s="439"/>
      <c r="I16" s="46" t="s">
        <v>5464</v>
      </c>
      <c r="J16" s="1360" t="str">
        <f t="shared" ca="1" si="1"/>
        <v>IR</v>
      </c>
      <c r="K16" s="9" t="s">
        <v>8110</v>
      </c>
      <c r="L16" s="1308">
        <f t="shared" ca="1" si="2"/>
        <v>133000</v>
      </c>
      <c r="O16" s="1115"/>
      <c r="P16" s="9" t="s">
        <v>8122</v>
      </c>
      <c r="Q16" s="1115">
        <f>IF(B17="OK",'REGATONES'!V70,"")</f>
        <v>163020</v>
      </c>
    </row>
    <row r="17" spans="2:17" ht="20.25" customHeight="1" x14ac:dyDescent="0.2">
      <c r="B17" s="439" t="s">
        <v>8109</v>
      </c>
      <c r="C17" s="1419" t="s">
        <v>6576</v>
      </c>
      <c r="D17" s="1399" t="str">
        <f t="shared" ca="1" si="5"/>
        <v>IR</v>
      </c>
      <c r="E17" s="9" t="s">
        <v>8110</v>
      </c>
      <c r="F17" s="1308">
        <f ca="1">IF(E17&lt;&gt;"",ROUND(VLOOKUP(C17,$I$97:$L$124,4,0),-3),"")</f>
        <v>416000</v>
      </c>
      <c r="G17" s="1309"/>
      <c r="H17" s="439"/>
      <c r="I17" s="1419" t="s">
        <v>7364</v>
      </c>
      <c r="J17" s="1399" t="str">
        <f ca="1">+HYPERLINK("#"&amp;CELL("direccion",INDIRECT("'"&amp;I17&amp;"'!A1")),"IR")</f>
        <v>IR</v>
      </c>
      <c r="K17" s="9" t="s">
        <v>8110</v>
      </c>
      <c r="L17" s="1308">
        <f t="shared" si="2"/>
        <v>335000</v>
      </c>
      <c r="O17" s="1115"/>
      <c r="P17" s="9" t="s">
        <v>8123</v>
      </c>
      <c r="Q17" s="1115">
        <f>IF(B17="OK",'REGATONES'!P70,"")</f>
        <v>169500</v>
      </c>
    </row>
    <row r="18" spans="2:17" ht="20.25" customHeight="1" thickBot="1" x14ac:dyDescent="0.25">
      <c r="B18" s="439"/>
      <c r="C18" s="47" t="s">
        <v>8124</v>
      </c>
      <c r="D18" s="1400" t="str">
        <f ca="1">+HYPERLINK("#"&amp;CELL("direccion",INDIRECT("'"&amp;C18&amp;"'!A1")),"IR")</f>
        <v>IR</v>
      </c>
      <c r="F18" s="1362"/>
      <c r="H18" s="439" t="s">
        <v>8109</v>
      </c>
      <c r="I18" s="47" t="s">
        <v>8125</v>
      </c>
      <c r="J18" s="1400" t="str">
        <f ca="1">+HYPERLINK("#"&amp;CELL("direccion",INDIRECT("'"&amp;I18&amp;"'!A1")),"IR")</f>
        <v>IR</v>
      </c>
      <c r="K18" s="9" t="s">
        <v>8110</v>
      </c>
      <c r="L18" s="1308">
        <f>IF(K18&lt;&gt;"",ROUND(VLOOKUP(I18,$I$97:$L$128,4,0),-3),"")</f>
        <v>309000</v>
      </c>
      <c r="N18" s="26"/>
      <c r="Q18" s="1371"/>
    </row>
    <row r="19" spans="2:17" ht="21.75" customHeight="1" thickBot="1" x14ac:dyDescent="0.25">
      <c r="B19" s="1363"/>
      <c r="C19" s="316"/>
      <c r="D19" s="316"/>
      <c r="E19" s="1433" t="s">
        <v>21553</v>
      </c>
      <c r="F19" s="1349">
        <f ca="1">+SUMIFS(F3:F18,B3:B18,"=" &amp; "OK")</f>
        <v>6480681.6455049999</v>
      </c>
      <c r="G19" s="1309"/>
      <c r="H19" s="1363"/>
      <c r="I19" s="316"/>
      <c r="J19" s="316"/>
      <c r="K19" s="1433" t="s">
        <v>21553</v>
      </c>
      <c r="L19" s="1349">
        <f ca="1">+SUMIFS(L3:L18,H3:H18,"=" &amp; "OK")</f>
        <v>2033000</v>
      </c>
      <c r="N19" s="1350" t="s">
        <v>8126</v>
      </c>
      <c r="O19" s="1379">
        <f ca="1">+SUM(O3:O18)</f>
        <v>8513681.6455049999</v>
      </c>
      <c r="Q19" s="1371"/>
    </row>
    <row r="20" spans="2:17" ht="6.75" customHeight="1" x14ac:dyDescent="0.2"/>
    <row r="21" spans="2:17" x14ac:dyDescent="0.2">
      <c r="B21" s="1376" t="s">
        <v>8127</v>
      </c>
      <c r="F21" s="26"/>
      <c r="G21" s="186"/>
      <c r="N21" s="1364"/>
      <c r="Q21" s="1371"/>
    </row>
    <row r="22" spans="2:17" x14ac:dyDescent="0.2">
      <c r="C22" s="1116" t="s">
        <v>8128</v>
      </c>
      <c r="F22" s="1116" t="s">
        <v>8107</v>
      </c>
      <c r="G22" s="30"/>
      <c r="I22" s="1116" t="s">
        <v>8129</v>
      </c>
      <c r="N22" s="1364"/>
    </row>
    <row r="23" spans="2:17" x14ac:dyDescent="0.2">
      <c r="C23" s="18" t="s">
        <v>8130</v>
      </c>
      <c r="D23" s="81" t="s">
        <v>8131</v>
      </c>
      <c r="E23" s="82"/>
      <c r="F23" s="1332"/>
      <c r="G23" s="1311"/>
      <c r="H23" s="4"/>
      <c r="I23" s="1365" t="s">
        <v>8134</v>
      </c>
      <c r="J23" s="9" t="s">
        <v>8133</v>
      </c>
      <c r="K23" s="9" t="str">
        <f t="shared" ref="K23:K24" si="6">+C23&amp;"
"&amp;I23&amp;"
"&amp;TEXT(F23,"$#.###.0,00")</f>
        <v>SERCAR - Sirna Adrian
0720054088000006204622
$0,00</v>
      </c>
      <c r="N23" s="1364"/>
      <c r="O23"/>
    </row>
    <row r="24" spans="2:17" x14ac:dyDescent="0.2">
      <c r="C24" s="18" t="s">
        <v>8135</v>
      </c>
      <c r="D24" s="81" t="s">
        <v>8136</v>
      </c>
      <c r="F24" s="1332"/>
      <c r="G24" s="1311"/>
      <c r="I24" s="1365" t="s">
        <v>8138</v>
      </c>
      <c r="J24" s="9" t="s">
        <v>8137</v>
      </c>
      <c r="K24" s="9" t="str">
        <f t="shared" si="6"/>
        <v>FADER - Sirna Jose
0720054020000000261472
$0,00</v>
      </c>
      <c r="N24" s="1364"/>
      <c r="O24"/>
    </row>
    <row r="25" spans="2:17" x14ac:dyDescent="0.2">
      <c r="C25" s="18"/>
      <c r="D25" s="81"/>
      <c r="F25" s="1332"/>
      <c r="G25" s="1311"/>
      <c r="I25" s="1365"/>
      <c r="N25" s="1364"/>
      <c r="O25"/>
    </row>
    <row r="26" spans="2:17" x14ac:dyDescent="0.2">
      <c r="C26" s="1401"/>
      <c r="D26" s="81"/>
      <c r="E26" s="82"/>
      <c r="F26" s="1332"/>
      <c r="G26" s="1311"/>
      <c r="H26" s="4"/>
      <c r="I26" s="1365"/>
      <c r="K26" s="9" t="s">
        <v>8141</v>
      </c>
      <c r="N26" s="1364"/>
      <c r="O26"/>
    </row>
    <row r="27" spans="2:17" x14ac:dyDescent="0.2">
      <c r="C27" s="1401" t="s">
        <v>21611</v>
      </c>
      <c r="D27" s="81"/>
      <c r="E27" s="82" t="s">
        <v>8132</v>
      </c>
      <c r="F27" s="1332">
        <v>665500</v>
      </c>
      <c r="G27" s="1311"/>
      <c r="H27" s="4"/>
      <c r="I27" s="1454" t="s">
        <v>21613</v>
      </c>
      <c r="J27" s="27"/>
      <c r="K27" s="4" t="s">
        <v>4354</v>
      </c>
      <c r="L27" s="9" t="s">
        <v>8142</v>
      </c>
      <c r="N27" s="1364"/>
      <c r="O27"/>
    </row>
    <row r="28" spans="2:17" x14ac:dyDescent="0.2">
      <c r="C28" s="18" t="s">
        <v>21612</v>
      </c>
      <c r="D28" s="81"/>
      <c r="E28" s="82" t="s">
        <v>8132</v>
      </c>
      <c r="F28" s="1332">
        <v>380000</v>
      </c>
      <c r="G28" s="1311"/>
      <c r="H28" s="4"/>
      <c r="I28" s="1454" t="s">
        <v>21614</v>
      </c>
      <c r="J28" s="1366"/>
      <c r="K28" s="396" t="s">
        <v>8143</v>
      </c>
      <c r="L28" s="482" t="s">
        <v>8144</v>
      </c>
      <c r="N28" s="1364"/>
      <c r="O28"/>
      <c r="Q28" s="1115"/>
    </row>
    <row r="29" spans="2:17" x14ac:dyDescent="0.2">
      <c r="C29" s="1401" t="s">
        <v>21595</v>
      </c>
      <c r="D29" s="81"/>
      <c r="E29" s="82" t="s">
        <v>8136</v>
      </c>
      <c r="F29" s="1332">
        <f>642504-480000</f>
        <v>162504</v>
      </c>
      <c r="G29" s="1311"/>
      <c r="H29" s="4"/>
      <c r="I29" s="1117"/>
      <c r="J29" s="1366"/>
      <c r="K29" s="9" t="s">
        <v>7365</v>
      </c>
      <c r="L29" s="9" t="s">
        <v>8145</v>
      </c>
      <c r="N29" s="856"/>
    </row>
    <row r="30" spans="2:17" x14ac:dyDescent="0.2">
      <c r="C30" s="1401" t="s">
        <v>4667</v>
      </c>
      <c r="D30" s="81"/>
      <c r="E30" s="82"/>
      <c r="F30" s="1332">
        <v>132970</v>
      </c>
      <c r="G30" s="1311"/>
      <c r="H30" s="4"/>
      <c r="I30" s="1117"/>
      <c r="J30" s="482"/>
      <c r="N30" s="1364"/>
    </row>
    <row r="31" spans="2:17" x14ac:dyDescent="0.2">
      <c r="C31" s="1401" t="s">
        <v>8123</v>
      </c>
      <c r="D31" s="81"/>
      <c r="E31" s="82" t="s">
        <v>8132</v>
      </c>
      <c r="F31" s="1332">
        <v>239000</v>
      </c>
      <c r="G31" s="1311"/>
      <c r="H31" s="4" t="s">
        <v>21610</v>
      </c>
      <c r="I31" s="1117"/>
      <c r="J31" s="1366"/>
      <c r="N31" s="1364"/>
    </row>
    <row r="32" spans="2:17" x14ac:dyDescent="0.2">
      <c r="C32" s="1401"/>
      <c r="D32" s="81"/>
      <c r="E32" s="82"/>
      <c r="F32" s="1332"/>
      <c r="G32" s="1311"/>
      <c r="H32" s="4"/>
      <c r="I32" s="1117"/>
      <c r="K32" s="1115" t="s">
        <v>8146</v>
      </c>
    </row>
    <row r="33" spans="2:17" x14ac:dyDescent="0.2">
      <c r="C33" s="1401"/>
      <c r="D33" s="81"/>
      <c r="E33" s="82"/>
      <c r="F33" s="1332"/>
      <c r="G33" s="1311"/>
      <c r="H33" s="4"/>
      <c r="I33" s="1454"/>
      <c r="K33" s="1115" t="s">
        <v>8147</v>
      </c>
    </row>
    <row r="34" spans="2:17" x14ac:dyDescent="0.2">
      <c r="C34" s="1401" t="s">
        <v>21619</v>
      </c>
      <c r="D34" s="81"/>
      <c r="E34" s="82"/>
      <c r="F34" s="1332">
        <v>75600</v>
      </c>
      <c r="G34" s="1311"/>
      <c r="H34" s="4"/>
      <c r="I34" s="1117"/>
      <c r="K34" s="1115" t="s">
        <v>21558</v>
      </c>
    </row>
    <row r="35" spans="2:17" x14ac:dyDescent="0.2">
      <c r="C35" s="1401"/>
      <c r="D35" s="81"/>
      <c r="E35" s="82"/>
      <c r="F35" s="1332"/>
      <c r="G35" s="1311"/>
      <c r="H35" s="4"/>
      <c r="I35" s="1117"/>
      <c r="K35" s="1115"/>
    </row>
    <row r="36" spans="2:17" x14ac:dyDescent="0.2">
      <c r="C36" s="1401" t="s">
        <v>21609</v>
      </c>
      <c r="D36" s="81"/>
      <c r="E36" s="82"/>
      <c r="F36" s="1332">
        <f>724500-220000</f>
        <v>504500</v>
      </c>
      <c r="G36" s="1311"/>
      <c r="H36" s="4"/>
      <c r="I36" s="1117"/>
      <c r="K36" s="1115"/>
    </row>
    <row r="37" spans="2:17" x14ac:dyDescent="0.2">
      <c r="C37" s="1401"/>
      <c r="D37" s="81"/>
      <c r="E37" s="82"/>
      <c r="F37" s="1332"/>
      <c r="G37" s="1311"/>
      <c r="H37" s="4"/>
      <c r="I37" s="1117"/>
      <c r="K37" s="1115"/>
    </row>
    <row r="38" spans="2:17" x14ac:dyDescent="0.2">
      <c r="B38" s="688"/>
      <c r="C38" s="1401" t="s">
        <v>21602</v>
      </c>
      <c r="D38" s="81"/>
      <c r="E38" s="82" t="s">
        <v>8132</v>
      </c>
      <c r="F38" s="1332">
        <v>253200</v>
      </c>
      <c r="G38" s="1311"/>
      <c r="H38" s="4" t="s">
        <v>21610</v>
      </c>
      <c r="I38" s="1117"/>
      <c r="L38" s="26"/>
    </row>
    <row r="39" spans="2:17" x14ac:dyDescent="0.2">
      <c r="B39" s="688"/>
      <c r="C39" s="1401" t="s">
        <v>21607</v>
      </c>
      <c r="D39" s="81"/>
      <c r="E39" s="82"/>
      <c r="F39" s="1332">
        <v>618564.85</v>
      </c>
      <c r="G39" s="1311"/>
      <c r="H39" s="4"/>
      <c r="I39" s="1117"/>
      <c r="L39" s="1368"/>
    </row>
    <row r="40" spans="2:17" x14ac:dyDescent="0.2">
      <c r="C40" s="1401"/>
      <c r="D40" s="81"/>
      <c r="E40" s="82"/>
      <c r="F40" s="1332"/>
      <c r="G40" s="1311"/>
      <c r="H40" s="4"/>
      <c r="I40" s="1117"/>
      <c r="K40" s="482"/>
      <c r="L40" s="1368"/>
    </row>
    <row r="41" spans="2:17" x14ac:dyDescent="0.2">
      <c r="C41" s="18" t="s">
        <v>21601</v>
      </c>
      <c r="D41" s="81"/>
      <c r="E41" s="82"/>
      <c r="F41" s="1332">
        <f>1171920-200000-161059-80000</f>
        <v>730861</v>
      </c>
      <c r="G41" s="1311"/>
      <c r="H41" s="1375"/>
      <c r="I41" s="1117"/>
      <c r="K41" s="27"/>
      <c r="L41" s="26"/>
    </row>
    <row r="42" spans="2:17" x14ac:dyDescent="0.2">
      <c r="C42" s="19" t="s">
        <v>8148</v>
      </c>
      <c r="D42" s="81"/>
      <c r="E42" s="9" t="s">
        <v>8132</v>
      </c>
      <c r="F42" s="1332"/>
      <c r="G42" s="1311"/>
      <c r="H42" s="1367" t="s">
        <v>8149</v>
      </c>
      <c r="I42" s="1213" t="s">
        <v>8150</v>
      </c>
      <c r="N42" s="1368"/>
    </row>
    <row r="43" spans="2:17" x14ac:dyDescent="0.2">
      <c r="C43" s="19" t="s">
        <v>8151</v>
      </c>
      <c r="D43" s="81"/>
      <c r="E43" s="9" t="s">
        <v>8132</v>
      </c>
      <c r="F43" s="1332"/>
      <c r="G43" s="1311"/>
      <c r="H43" s="1369" t="s">
        <v>8152</v>
      </c>
      <c r="I43" s="1117" t="s">
        <v>8153</v>
      </c>
      <c r="K43" s="1370"/>
      <c r="L43" s="1368"/>
    </row>
    <row r="44" spans="2:17" x14ac:dyDescent="0.2">
      <c r="F44" s="1371"/>
      <c r="G44" s="1371"/>
      <c r="I44" s="1371"/>
      <c r="J44" s="1371"/>
    </row>
    <row r="45" spans="2:17" x14ac:dyDescent="0.2">
      <c r="C45" s="1118" t="s">
        <v>8154</v>
      </c>
      <c r="F45" s="1119">
        <f>+SUM(F23:F43)</f>
        <v>3762699.85</v>
      </c>
      <c r="G45" s="1222"/>
      <c r="L45" s="9" t="s">
        <v>8145</v>
      </c>
      <c r="M45" s="30"/>
      <c r="N45" s="30"/>
      <c r="O45" s="30"/>
      <c r="P45" s="30"/>
      <c r="Q45" s="82"/>
    </row>
    <row r="46" spans="2:17" x14ac:dyDescent="0.2">
      <c r="F46" s="1371"/>
      <c r="G46" s="1371"/>
      <c r="I46" s="1371" t="s">
        <v>8155</v>
      </c>
      <c r="J46" s="30" t="s">
        <v>8156</v>
      </c>
      <c r="K46" s="30" t="s">
        <v>8157</v>
      </c>
      <c r="L46" s="30" t="s">
        <v>8107</v>
      </c>
      <c r="M46" s="30" t="s">
        <v>8158</v>
      </c>
      <c r="N46" s="30" t="s">
        <v>8159</v>
      </c>
    </row>
    <row r="47" spans="2:17" x14ac:dyDescent="0.2">
      <c r="E47" s="82" t="s">
        <v>8136</v>
      </c>
      <c r="F47" s="1371">
        <f>+SUMIFS(F23:F43,E23:E43,E47,H23:H43,"SI")</f>
        <v>0</v>
      </c>
      <c r="G47" s="1371"/>
    </row>
    <row r="48" spans="2:17" x14ac:dyDescent="0.2">
      <c r="E48" s="82" t="s">
        <v>8132</v>
      </c>
      <c r="F48" s="1371">
        <f>+SUMIFS(F23:F43,E23:E43,E48,H23:H43,"SI")</f>
        <v>492200</v>
      </c>
      <c r="G48" s="1371"/>
    </row>
    <row r="49" spans="4:28" x14ac:dyDescent="0.2">
      <c r="F49" s="1371"/>
      <c r="G49" s="1371"/>
      <c r="I49" s="1295"/>
      <c r="J49" s="688"/>
      <c r="K49" s="1295"/>
      <c r="N49" s="82"/>
      <c r="P49" s="1295"/>
    </row>
    <row r="50" spans="4:28" ht="15" thickBot="1" x14ac:dyDescent="0.25">
      <c r="E50" s="1214"/>
      <c r="F50" s="1214"/>
      <c r="G50" s="1214"/>
      <c r="I50" s="1295">
        <f t="shared" ref="I50:I51" si="7">+K50+2</f>
        <v>46114</v>
      </c>
      <c r="J50" s="1442">
        <f t="shared" ref="J50:J51" ca="1" si="8">+K50-TODAY()</f>
        <v>-20</v>
      </c>
      <c r="K50" s="1295">
        <v>46112</v>
      </c>
      <c r="L50" s="1372">
        <v>266253.34999999998</v>
      </c>
      <c r="M50" s="9" t="s">
        <v>8166</v>
      </c>
      <c r="N50" s="82" t="s">
        <v>8163</v>
      </c>
      <c r="P50" s="1432" t="s">
        <v>21547</v>
      </c>
    </row>
    <row r="51" spans="4:28" ht="14.25" x14ac:dyDescent="0.2">
      <c r="D51" s="1387" t="s">
        <v>8160</v>
      </c>
      <c r="E51" s="1388" t="s">
        <v>8161</v>
      </c>
      <c r="F51" s="1389" t="s">
        <v>8162</v>
      </c>
      <c r="G51" s="1214"/>
      <c r="I51" s="1295">
        <f t="shared" si="7"/>
        <v>46157</v>
      </c>
      <c r="J51" s="688">
        <f t="shared" ca="1" si="8"/>
        <v>23</v>
      </c>
      <c r="K51" s="1295">
        <v>46155</v>
      </c>
      <c r="L51" s="1372">
        <v>564841.93000000005</v>
      </c>
      <c r="M51" s="9" t="s">
        <v>21603</v>
      </c>
      <c r="N51" s="82" t="s">
        <v>8163</v>
      </c>
      <c r="P51" s="1381"/>
    </row>
    <row r="52" spans="4:28" ht="14.25" x14ac:dyDescent="0.2">
      <c r="D52" s="208"/>
      <c r="E52" s="1384">
        <v>1000</v>
      </c>
      <c r="F52" s="1390">
        <f>+E52*D52</f>
        <v>0</v>
      </c>
      <c r="G52" s="1214"/>
      <c r="I52" s="1295">
        <f t="shared" ref="I52" si="9">+K52+2</f>
        <v>46125</v>
      </c>
      <c r="J52" s="688">
        <f t="shared" ref="J52" ca="1" si="10">+K52-TODAY()</f>
        <v>-9</v>
      </c>
      <c r="K52" s="1295">
        <v>46123</v>
      </c>
      <c r="L52" s="1372">
        <v>532506.69999999995</v>
      </c>
      <c r="M52" s="9" t="s">
        <v>21604</v>
      </c>
    </row>
    <row r="53" spans="4:28" ht="14.25" x14ac:dyDescent="0.2">
      <c r="D53" s="208"/>
      <c r="E53" s="1384">
        <v>2000</v>
      </c>
      <c r="F53" s="1390">
        <f t="shared" ref="F53:F55" si="11">+E53*D53</f>
        <v>0</v>
      </c>
      <c r="G53" s="1214"/>
      <c r="I53" s="1295">
        <f t="shared" ref="I53:I55" si="12">+K53+2</f>
        <v>46131</v>
      </c>
      <c r="J53" s="688">
        <f t="shared" ref="J53:J55" ca="1" si="13">+K53-TODAY()</f>
        <v>-3</v>
      </c>
      <c r="K53" s="1295">
        <v>46129</v>
      </c>
      <c r="L53" s="1372">
        <v>612801.4</v>
      </c>
      <c r="M53" s="9" t="s">
        <v>21605</v>
      </c>
      <c r="N53" s="82" t="s">
        <v>21616</v>
      </c>
    </row>
    <row r="54" spans="4:28" x14ac:dyDescent="0.2">
      <c r="D54" s="208"/>
      <c r="E54" s="1384">
        <v>10000</v>
      </c>
      <c r="F54" s="1390">
        <f t="shared" si="11"/>
        <v>0</v>
      </c>
      <c r="G54" s="1371"/>
      <c r="I54" s="1295">
        <f t="shared" si="12"/>
        <v>46138</v>
      </c>
      <c r="J54" s="688">
        <f t="shared" ca="1" si="13"/>
        <v>4</v>
      </c>
      <c r="K54" s="1295">
        <v>46136</v>
      </c>
      <c r="L54" s="1372">
        <v>389726.18</v>
      </c>
      <c r="M54" s="9" t="s">
        <v>21572</v>
      </c>
      <c r="N54" s="9" t="s">
        <v>21615</v>
      </c>
      <c r="AB54" s="1115"/>
    </row>
    <row r="55" spans="4:28" ht="13.5" thickBot="1" x14ac:dyDescent="0.25">
      <c r="D55" s="209"/>
      <c r="E55" s="1391">
        <v>20000</v>
      </c>
      <c r="F55" s="1392">
        <f t="shared" si="11"/>
        <v>0</v>
      </c>
      <c r="G55" s="1371"/>
      <c r="I55" s="1295">
        <f t="shared" si="12"/>
        <v>46142</v>
      </c>
      <c r="J55" s="688">
        <f t="shared" ca="1" si="13"/>
        <v>8</v>
      </c>
      <c r="K55" s="1295">
        <v>46140</v>
      </c>
      <c r="L55" s="1372">
        <v>200000</v>
      </c>
      <c r="M55" s="9" t="s">
        <v>21572</v>
      </c>
      <c r="N55" s="9" t="s">
        <v>21615</v>
      </c>
      <c r="AB55" s="1115"/>
    </row>
    <row r="56" spans="4:28" ht="14.25" x14ac:dyDescent="0.2">
      <c r="D56" s="4"/>
      <c r="E56" s="1385"/>
      <c r="F56" s="1382"/>
      <c r="G56" s="1310"/>
      <c r="H56" s="1373"/>
      <c r="I56" s="1295">
        <f t="shared" ref="I56" si="14">+K56+2</f>
        <v>46148</v>
      </c>
      <c r="J56" s="688">
        <f t="shared" ref="J56" ca="1" si="15">+K56-TODAY()</f>
        <v>14</v>
      </c>
      <c r="K56" s="1295">
        <v>46146</v>
      </c>
      <c r="L56" s="1372">
        <v>1513329.65</v>
      </c>
      <c r="M56" s="9" t="s">
        <v>21572</v>
      </c>
      <c r="N56" s="82" t="s">
        <v>21616</v>
      </c>
      <c r="AB56" s="1115"/>
    </row>
    <row r="57" spans="4:28" ht="15" thickBot="1" x14ac:dyDescent="0.25">
      <c r="E57" s="1214"/>
      <c r="F57" s="1386"/>
      <c r="G57" s="1215"/>
      <c r="H57" s="482"/>
      <c r="I57" s="1295">
        <f>+K57+2</f>
        <v>2</v>
      </c>
      <c r="J57" s="1452">
        <f ca="1">+K57-TODAY()</f>
        <v>-46132</v>
      </c>
      <c r="K57" s="1295"/>
      <c r="L57" s="1368"/>
    </row>
    <row r="58" spans="4:28" ht="13.5" customHeight="1" thickBot="1" x14ac:dyDescent="0.25">
      <c r="D58" s="1457" t="s">
        <v>8164</v>
      </c>
      <c r="E58" s="1458"/>
      <c r="F58" s="1393">
        <f>+SUM(F52:F55)</f>
        <v>0</v>
      </c>
      <c r="G58" s="1215"/>
      <c r="H58" s="482"/>
      <c r="K58" s="1295"/>
      <c r="L58" s="1449"/>
    </row>
    <row r="59" spans="4:28" ht="14.25" x14ac:dyDescent="0.2">
      <c r="E59" s="1214"/>
      <c r="F59" s="1373"/>
    </row>
    <row r="60" spans="4:28" x14ac:dyDescent="0.2">
      <c r="F60" s="1371"/>
      <c r="K60" s="9" t="s">
        <v>8164</v>
      </c>
      <c r="L60" s="1220">
        <f ca="1">+SUM(INDIRECT("L43:L"&amp;ROW()-1))</f>
        <v>4079459.21</v>
      </c>
      <c r="S60" s="1368" t="s">
        <v>8165</v>
      </c>
    </row>
    <row r="61" spans="4:28" x14ac:dyDescent="0.2">
      <c r="F61" s="9">
        <v>62335.96</v>
      </c>
    </row>
    <row r="62" spans="4:28" x14ac:dyDescent="0.2">
      <c r="F62" s="9">
        <v>94777.78</v>
      </c>
    </row>
    <row r="64" spans="4:28" x14ac:dyDescent="0.2">
      <c r="F64" s="26">
        <f>+F61+F62</f>
        <v>157113.74</v>
      </c>
      <c r="I64" s="396"/>
    </row>
    <row r="65" spans="4:19" x14ac:dyDescent="0.2">
      <c r="I65" s="1295"/>
      <c r="J65" s="688"/>
      <c r="K65" s="1295"/>
    </row>
    <row r="66" spans="4:19" ht="16.5" customHeight="1" x14ac:dyDescent="0.2">
      <c r="D66" s="208">
        <v>60</v>
      </c>
      <c r="E66" s="1384">
        <v>200</v>
      </c>
      <c r="F66" s="1390">
        <f t="shared" ref="F66" si="16">+E66*D66</f>
        <v>12000</v>
      </c>
      <c r="I66" s="1434"/>
      <c r="M66" s="1368"/>
    </row>
    <row r="67" spans="4:19" ht="16.5" customHeight="1" x14ac:dyDescent="0.2"/>
    <row r="69" spans="4:19" x14ac:dyDescent="0.2">
      <c r="F69" s="1115"/>
    </row>
    <row r="73" spans="4:19" x14ac:dyDescent="0.2">
      <c r="E73" s="1371"/>
      <c r="F73" s="1371"/>
    </row>
    <row r="74" spans="4:19" x14ac:dyDescent="0.2">
      <c r="F74" s="1221" t="s">
        <v>8167</v>
      </c>
      <c r="G74" s="1221"/>
    </row>
    <row r="75" spans="4:19" x14ac:dyDescent="0.2">
      <c r="F75" s="1221"/>
      <c r="G75" s="1221"/>
    </row>
    <row r="76" spans="4:19" x14ac:dyDescent="0.2">
      <c r="D76" s="9" t="s">
        <v>8168</v>
      </c>
      <c r="E76" s="9">
        <v>1450</v>
      </c>
      <c r="H76" s="1115"/>
    </row>
    <row r="77" spans="4:19" x14ac:dyDescent="0.2">
      <c r="E77" s="1369"/>
      <c r="F77" s="1115"/>
      <c r="G77" s="1311"/>
    </row>
    <row r="78" spans="4:19" x14ac:dyDescent="0.2">
      <c r="G78" s="1311"/>
      <c r="H78" s="1115"/>
      <c r="N78" s="31" t="s">
        <v>21572</v>
      </c>
    </row>
    <row r="79" spans="4:19" x14ac:dyDescent="0.2">
      <c r="D79" s="1377">
        <f>2000-500-350</f>
        <v>1150</v>
      </c>
      <c r="E79" s="1369" t="s">
        <v>8169</v>
      </c>
      <c r="F79" s="1115">
        <f>+D79*E76</f>
        <v>1667500</v>
      </c>
      <c r="G79" s="1311"/>
      <c r="N79" s="1443"/>
    </row>
    <row r="80" spans="4:19" x14ac:dyDescent="0.2">
      <c r="N80" s="1443" t="s">
        <v>21576</v>
      </c>
      <c r="R80" s="9" t="s">
        <v>21588</v>
      </c>
      <c r="S80" s="1444">
        <v>226744.55</v>
      </c>
    </row>
    <row r="81" spans="3:20" x14ac:dyDescent="0.2">
      <c r="N81" s="1443" t="s">
        <v>21577</v>
      </c>
      <c r="R81" s="9" t="s">
        <v>21589</v>
      </c>
      <c r="S81" s="1444">
        <v>229154.28</v>
      </c>
    </row>
    <row r="82" spans="3:20" x14ac:dyDescent="0.2">
      <c r="N82" s="1443" t="s">
        <v>21578</v>
      </c>
      <c r="R82" s="9" t="s">
        <v>21590</v>
      </c>
      <c r="S82" s="1446">
        <v>117546.48</v>
      </c>
    </row>
    <row r="83" spans="3:20" x14ac:dyDescent="0.2">
      <c r="N83" s="1443" t="s">
        <v>21579</v>
      </c>
      <c r="R83" s="9" t="s">
        <v>21591</v>
      </c>
      <c r="S83" s="1444"/>
      <c r="T83" s="1444">
        <v>901277.88</v>
      </c>
    </row>
    <row r="84" spans="3:20" x14ac:dyDescent="0.2">
      <c r="N84" s="1443" t="s">
        <v>21580</v>
      </c>
      <c r="R84" s="9" t="s">
        <v>21592</v>
      </c>
      <c r="S84" s="1444">
        <v>241030.59</v>
      </c>
    </row>
    <row r="85" spans="3:20" x14ac:dyDescent="0.2">
      <c r="N85" s="1443" t="s">
        <v>21581</v>
      </c>
      <c r="R85" s="9" t="s">
        <v>21593</v>
      </c>
      <c r="S85" s="1446">
        <v>485000</v>
      </c>
    </row>
    <row r="86" spans="3:20" x14ac:dyDescent="0.2">
      <c r="G86" s="30"/>
      <c r="H86" s="1217"/>
    </row>
    <row r="87" spans="3:20" x14ac:dyDescent="0.2">
      <c r="F87" s="30"/>
      <c r="G87" s="30"/>
      <c r="H87" s="1217"/>
      <c r="N87" s="31" t="s">
        <v>21573</v>
      </c>
      <c r="S87" s="167">
        <f>+SUM(S80:S85)</f>
        <v>1299475.8999999999</v>
      </c>
    </row>
    <row r="88" spans="3:20" x14ac:dyDescent="0.2">
      <c r="F88" s="30"/>
      <c r="G88" s="30"/>
      <c r="H88" s="1217"/>
      <c r="N88"/>
    </row>
    <row r="89" spans="3:20" x14ac:dyDescent="0.2">
      <c r="F89" s="30"/>
      <c r="G89" s="30"/>
      <c r="H89" s="1217"/>
      <c r="N89" s="31" t="s">
        <v>21574</v>
      </c>
    </row>
    <row r="90" spans="3:20" x14ac:dyDescent="0.2">
      <c r="F90" s="30"/>
      <c r="G90" s="30"/>
      <c r="H90" s="1217"/>
      <c r="N90" s="1443"/>
    </row>
    <row r="91" spans="3:20" x14ac:dyDescent="0.2">
      <c r="F91" s="30"/>
      <c r="G91" s="30"/>
      <c r="H91" s="1217"/>
      <c r="N91" s="1443" t="s">
        <v>21582</v>
      </c>
      <c r="R91" s="9" t="s">
        <v>21585</v>
      </c>
      <c r="S91" s="1444">
        <v>579273.54</v>
      </c>
    </row>
    <row r="92" spans="3:20" x14ac:dyDescent="0.2">
      <c r="F92" s="30"/>
      <c r="G92" s="30"/>
      <c r="H92" s="1217"/>
      <c r="N92" s="1443" t="s">
        <v>21583</v>
      </c>
      <c r="R92" s="9" t="s">
        <v>21586</v>
      </c>
      <c r="S92" s="1444">
        <v>22700.33</v>
      </c>
    </row>
    <row r="93" spans="3:20" x14ac:dyDescent="0.2">
      <c r="F93" s="30"/>
      <c r="G93" s="30"/>
      <c r="H93" s="1217"/>
      <c r="N93" s="1443" t="s">
        <v>21584</v>
      </c>
      <c r="R93" s="9" t="s">
        <v>21587</v>
      </c>
      <c r="S93" s="1444">
        <v>120000</v>
      </c>
    </row>
    <row r="94" spans="3:20" x14ac:dyDescent="0.2">
      <c r="F94" s="30"/>
      <c r="G94" s="30"/>
      <c r="H94" s="1217"/>
      <c r="N94" s="1443"/>
    </row>
    <row r="95" spans="3:20" x14ac:dyDescent="0.2">
      <c r="C95" s="9" t="s">
        <v>16</v>
      </c>
      <c r="F95" s="30"/>
      <c r="G95" s="30"/>
      <c r="H95" s="1217"/>
      <c r="N95" s="31" t="s">
        <v>21575</v>
      </c>
      <c r="S95" s="167">
        <f>+SUM(S91:S93)</f>
        <v>721973.87</v>
      </c>
    </row>
    <row r="96" spans="3:20" x14ac:dyDescent="0.2">
      <c r="C96" s="9" t="s">
        <v>8108</v>
      </c>
      <c r="F96" s="30"/>
      <c r="G96" s="30"/>
      <c r="H96" s="1217"/>
      <c r="I96" s="291" t="s">
        <v>8170</v>
      </c>
      <c r="L96" s="291" t="s">
        <v>8107</v>
      </c>
    </row>
    <row r="97" spans="3:19" x14ac:dyDescent="0.2">
      <c r="C97" s="9" t="s">
        <v>8143</v>
      </c>
      <c r="F97" s="30"/>
      <c r="G97" s="30"/>
      <c r="H97" s="1217"/>
      <c r="I97" s="9" t="s">
        <v>16</v>
      </c>
      <c r="L97" s="27">
        <f>+FADER!H2</f>
        <v>339740.18</v>
      </c>
    </row>
    <row r="98" spans="3:19" x14ac:dyDescent="0.2">
      <c r="C98" s="9" t="s">
        <v>7302</v>
      </c>
      <c r="F98" s="30"/>
      <c r="G98" s="30"/>
      <c r="H98" s="1217"/>
      <c r="I98" s="9" t="s">
        <v>8108</v>
      </c>
      <c r="L98" s="27">
        <f>+CECATTO!I2</f>
        <v>240000</v>
      </c>
      <c r="S98" s="1445">
        <f>+S95+S87</f>
        <v>2021449.77</v>
      </c>
    </row>
    <row r="99" spans="3:19" x14ac:dyDescent="0.2">
      <c r="C99" s="9" t="s">
        <v>8111</v>
      </c>
      <c r="F99" s="30"/>
      <c r="G99" s="30"/>
      <c r="H99" s="1217"/>
      <c r="I99" s="9" t="s">
        <v>2480</v>
      </c>
      <c r="L99" s="27">
        <f>+ORING!M53</f>
        <v>1157681.6455050004</v>
      </c>
    </row>
    <row r="100" spans="3:19" x14ac:dyDescent="0.2">
      <c r="C100" s="9" t="s">
        <v>3147</v>
      </c>
      <c r="F100" s="30"/>
      <c r="G100" s="30"/>
      <c r="H100" s="1217"/>
      <c r="I100" s="9" t="s">
        <v>7302</v>
      </c>
      <c r="L100" s="27">
        <f>+SELFLEX!F1</f>
        <v>368160.3</v>
      </c>
    </row>
    <row r="101" spans="3:19" x14ac:dyDescent="0.2">
      <c r="C101" s="9" t="s">
        <v>5112</v>
      </c>
      <c r="F101" s="30"/>
      <c r="G101" s="30"/>
      <c r="H101" s="1217"/>
      <c r="I101" s="9" t="s">
        <v>8111</v>
      </c>
      <c r="L101" s="27" cm="1">
        <f t="array" aca="1" ref="L101" ca="1">+INDIRECT(I101&amp;"!H75")</f>
        <v>867867.66</v>
      </c>
      <c r="N101"/>
    </row>
    <row r="102" spans="3:19" x14ac:dyDescent="0.2">
      <c r="C102" s="9" t="s">
        <v>2780</v>
      </c>
      <c r="F102" s="30"/>
      <c r="G102" s="30"/>
      <c r="H102" s="1217"/>
      <c r="I102" s="9" t="s">
        <v>3147</v>
      </c>
      <c r="L102" s="27" cm="1">
        <f t="array" aca="1" ref="L102" ca="1">+INDIRECT(I102&amp;"!Y1")</f>
        <v>161321.45260000002</v>
      </c>
    </row>
    <row r="103" spans="3:19" x14ac:dyDescent="0.2">
      <c r="C103" s="9" t="s">
        <v>1198</v>
      </c>
      <c r="F103" s="30"/>
      <c r="G103" s="30"/>
      <c r="H103" s="1217"/>
      <c r="I103" s="9" t="s">
        <v>5112</v>
      </c>
      <c r="L103" s="27" cm="1">
        <f t="array" aca="1" ref="L103" ca="1">+INDIRECT(I103&amp;"!A19")</f>
        <v>896723.37599999993</v>
      </c>
    </row>
    <row r="104" spans="3:19" x14ac:dyDescent="0.2">
      <c r="C104" s="9" t="s">
        <v>8117</v>
      </c>
      <c r="F104" s="30"/>
      <c r="G104" s="30"/>
      <c r="H104" s="1217"/>
      <c r="I104" s="9" t="s">
        <v>8117</v>
      </c>
      <c r="L104" s="27" cm="1">
        <f t="array" aca="1" ref="L104" ca="1">+INDIRECT("'"&amp;I104&amp;"'!G1")</f>
        <v>118444.4</v>
      </c>
    </row>
    <row r="105" spans="3:19" x14ac:dyDescent="0.2">
      <c r="C105" s="9" t="s">
        <v>4354</v>
      </c>
      <c r="F105" s="30"/>
      <c r="G105" s="30"/>
      <c r="H105" s="1217"/>
      <c r="I105" s="9" t="s">
        <v>4354</v>
      </c>
      <c r="L105" s="27" cm="1">
        <f t="array" aca="1" ref="L105" ca="1">+INDIRECT(I105&amp;"!bl1")</f>
        <v>3293192.0205799993</v>
      </c>
    </row>
    <row r="106" spans="3:19" x14ac:dyDescent="0.2">
      <c r="C106" s="9" t="s">
        <v>8121</v>
      </c>
      <c r="F106" s="30"/>
      <c r="G106" s="30"/>
      <c r="H106" s="1217"/>
      <c r="I106" s="9" t="s">
        <v>8121</v>
      </c>
      <c r="L106" s="27" cm="1">
        <f t="array" aca="1" ref="L106" ca="1">+INDIRECT("'"&amp;I106&amp;"'!E1")</f>
        <v>377525.46</v>
      </c>
    </row>
    <row r="107" spans="3:19" x14ac:dyDescent="0.2">
      <c r="C107" s="9" t="s">
        <v>6576</v>
      </c>
      <c r="F107" s="30"/>
      <c r="G107" s="30"/>
      <c r="H107" s="1217"/>
      <c r="I107" s="9" t="s">
        <v>6576</v>
      </c>
      <c r="L107" s="27" cm="1">
        <f t="array" aca="1" ref="L107" ca="1">+INDIRECT("'"&amp;I107&amp;"'!S104")</f>
        <v>415720</v>
      </c>
    </row>
    <row r="108" spans="3:19" x14ac:dyDescent="0.2">
      <c r="C108" s="9" t="s">
        <v>2097</v>
      </c>
      <c r="F108" s="30"/>
      <c r="G108" s="30"/>
      <c r="H108" s="1217"/>
      <c r="I108" s="9" t="s">
        <v>8124</v>
      </c>
    </row>
    <row r="109" spans="3:19" x14ac:dyDescent="0.2">
      <c r="C109" s="9" t="s">
        <v>7189</v>
      </c>
      <c r="I109" s="9" t="s">
        <v>2097</v>
      </c>
      <c r="L109" s="27" cm="1">
        <f t="array" aca="1" ref="L109" ca="1">+INDIRECT("'"&amp;I109&amp;"'!H1")</f>
        <v>162431.99999999997</v>
      </c>
    </row>
    <row r="110" spans="3:19" x14ac:dyDescent="0.2">
      <c r="C110" s="9" t="s">
        <v>5635</v>
      </c>
      <c r="I110" s="9" t="s">
        <v>7189</v>
      </c>
      <c r="L110" s="27" cm="1">
        <f t="array" aca="1" ref="L110" ca="1">+INDIRECT("'"&amp;I110&amp;"'!F14")</f>
        <v>657260</v>
      </c>
    </row>
    <row r="111" spans="3:19" x14ac:dyDescent="0.2">
      <c r="C111" s="9" t="s">
        <v>4542</v>
      </c>
      <c r="I111" s="9" t="s">
        <v>5635</v>
      </c>
      <c r="L111" s="27" cm="1">
        <f t="array" aca="1" ref="L111" ca="1">+INDIRECT("'"&amp;I111&amp;"'!F1")</f>
        <v>963057.23999999987</v>
      </c>
    </row>
    <row r="112" spans="3:19" x14ac:dyDescent="0.2">
      <c r="C112" s="9" t="s">
        <v>4667</v>
      </c>
      <c r="I112" s="9" t="s">
        <v>4542</v>
      </c>
      <c r="L112" s="27" cm="1">
        <f t="array" aca="1" ref="L112" ca="1">+INDIRECT("'"&amp;I112&amp;"'!F1")</f>
        <v>254928</v>
      </c>
    </row>
    <row r="113" spans="3:12" x14ac:dyDescent="0.2">
      <c r="C113" s="9" t="s">
        <v>6819</v>
      </c>
      <c r="I113" s="9" t="s">
        <v>4667</v>
      </c>
      <c r="L113" s="27">
        <f>+LCT!G1</f>
        <v>328468</v>
      </c>
    </row>
    <row r="114" spans="3:12" x14ac:dyDescent="0.2">
      <c r="C114" s="9" t="s">
        <v>3176</v>
      </c>
      <c r="I114" s="9" t="s">
        <v>6819</v>
      </c>
      <c r="L114" s="27" cm="1">
        <f t="array" aca="1" ref="L114" ca="1">+INDIRECT("'"&amp;I114&amp;"'!F1")</f>
        <v>582586.94999999995</v>
      </c>
    </row>
    <row r="115" spans="3:12" x14ac:dyDescent="0.2">
      <c r="C115" s="9" t="s">
        <v>8113</v>
      </c>
      <c r="I115" s="9" t="s">
        <v>3176</v>
      </c>
      <c r="L115" s="27" cm="1">
        <f t="array" aca="1" ref="L115" ca="1">+INDIRECT("'"&amp;I115&amp;"'!F1")</f>
        <v>309900</v>
      </c>
    </row>
    <row r="116" spans="3:12" x14ac:dyDescent="0.2">
      <c r="C116" s="9" t="s">
        <v>6029</v>
      </c>
      <c r="I116" s="9" t="s">
        <v>8113</v>
      </c>
      <c r="L116" s="27" cm="1">
        <f t="array" aca="1" ref="L116" ca="1">+INDIRECT("'"&amp;I116&amp;"'!G1")</f>
        <v>114359.67999999999</v>
      </c>
    </row>
    <row r="117" spans="3:12" x14ac:dyDescent="0.2">
      <c r="C117" s="9" t="s">
        <v>5941</v>
      </c>
      <c r="I117" s="9" t="s">
        <v>6029</v>
      </c>
      <c r="L117" s="27" cm="1">
        <f t="array" aca="1" ref="L117" ca="1">+INDIRECT("'"&amp;I117&amp;"'!F1")</f>
        <v>302151.65999999997</v>
      </c>
    </row>
    <row r="118" spans="3:12" x14ac:dyDescent="0.2">
      <c r="C118" s="9" t="s">
        <v>8115</v>
      </c>
      <c r="I118" s="9" t="s">
        <v>5941</v>
      </c>
      <c r="L118" s="27" cm="1">
        <f t="array" aca="1" ref="L118" ca="1">+INDIRECT("'"&amp;I118&amp;"'!AX3")</f>
        <v>209927.23868499999</v>
      </c>
    </row>
    <row r="119" spans="3:12" x14ac:dyDescent="0.2">
      <c r="C119" s="9" t="s">
        <v>8118</v>
      </c>
      <c r="I119" s="9" t="s">
        <v>3371</v>
      </c>
      <c r="L119" s="27" cm="1">
        <f t="array" aca="1" ref="L119" ca="1">+INDIRECT("'"&amp;I119&amp;"'!H1")</f>
        <v>52319.939999999995</v>
      </c>
    </row>
    <row r="120" spans="3:12" x14ac:dyDescent="0.2">
      <c r="C120" s="9" t="s">
        <v>3371</v>
      </c>
      <c r="I120" s="9" t="s">
        <v>8115</v>
      </c>
      <c r="L120" s="27">
        <f>+'DAHE DIESEL'!G1</f>
        <v>599196.375</v>
      </c>
    </row>
    <row r="121" spans="3:12" x14ac:dyDescent="0.2">
      <c r="C121" s="9" t="s">
        <v>5464</v>
      </c>
      <c r="I121" s="9" t="s">
        <v>8118</v>
      </c>
      <c r="L121" s="27">
        <f>+CILIO!V3</f>
        <v>78560</v>
      </c>
    </row>
    <row r="122" spans="3:12" x14ac:dyDescent="0.2">
      <c r="C122" s="9" t="s">
        <v>7365</v>
      </c>
      <c r="I122" s="9" t="s">
        <v>5464</v>
      </c>
      <c r="L122" s="27" cm="1">
        <f t="array" aca="1" ref="L122" ca="1">+INDIRECT("'"&amp;I122&amp;"'!E1")</f>
        <v>133114</v>
      </c>
    </row>
    <row r="123" spans="3:12" x14ac:dyDescent="0.2">
      <c r="C123" s="9" t="s">
        <v>8171</v>
      </c>
      <c r="I123" s="9" t="s">
        <v>8172</v>
      </c>
      <c r="L123" s="27">
        <f>INSERTOS!H1</f>
        <v>0</v>
      </c>
    </row>
    <row r="124" spans="3:12" x14ac:dyDescent="0.2">
      <c r="C124" s="9" t="s">
        <v>8125</v>
      </c>
      <c r="I124" s="9" t="s">
        <v>7364</v>
      </c>
      <c r="L124" s="27">
        <f>+'PERILLAS DE COCINA'!BB1</f>
        <v>334867.5</v>
      </c>
    </row>
    <row r="125" spans="3:12" x14ac:dyDescent="0.2">
      <c r="C125" s="9" t="s">
        <v>8173</v>
      </c>
      <c r="I125" s="9" t="s">
        <v>8125</v>
      </c>
      <c r="L125" s="27">
        <f>+SKOTNICA!H2</f>
        <v>309350.82750000001</v>
      </c>
    </row>
    <row r="155" spans="8:8" x14ac:dyDescent="0.2">
      <c r="H155"/>
    </row>
    <row r="189" spans="6:10" x14ac:dyDescent="0.2">
      <c r="F189" s="82" t="s">
        <v>8174</v>
      </c>
    </row>
    <row r="190" spans="6:10" x14ac:dyDescent="0.2">
      <c r="F190" s="82" t="s">
        <v>8175</v>
      </c>
    </row>
    <row r="191" spans="6:10" x14ac:dyDescent="0.2">
      <c r="F191" s="1315" t="s">
        <v>8176</v>
      </c>
      <c r="I191" s="1315" t="s">
        <v>8177</v>
      </c>
      <c r="J191" s="1315" t="s">
        <v>8178</v>
      </c>
    </row>
    <row r="192" spans="6:10" x14ac:dyDescent="0.2">
      <c r="F192" s="1374">
        <v>46374</v>
      </c>
      <c r="I192" s="1115">
        <v>403395</v>
      </c>
      <c r="J192" s="9" t="s">
        <v>8179</v>
      </c>
    </row>
    <row r="193" spans="6:10" x14ac:dyDescent="0.2">
      <c r="F193" s="1374">
        <v>46379</v>
      </c>
      <c r="I193" s="1115">
        <v>1035354</v>
      </c>
      <c r="J193" s="9" t="s">
        <v>8180</v>
      </c>
    </row>
    <row r="194" spans="6:10" x14ac:dyDescent="0.2">
      <c r="F194" s="1374">
        <v>46031</v>
      </c>
      <c r="I194" s="1115">
        <v>537330</v>
      </c>
      <c r="J194" s="9" t="s">
        <v>8181</v>
      </c>
    </row>
    <row r="195" spans="6:10" x14ac:dyDescent="0.2">
      <c r="F195" s="1312" t="s">
        <v>8154</v>
      </c>
      <c r="G195" s="1312"/>
      <c r="I195" s="1312">
        <f>+SUM(I192:I194)</f>
        <v>1976079</v>
      </c>
    </row>
    <row r="196" spans="6:10" x14ac:dyDescent="0.2">
      <c r="F196" s="82" t="s">
        <v>8182</v>
      </c>
      <c r="I196" s="1115"/>
    </row>
    <row r="197" spans="6:10" x14ac:dyDescent="0.2">
      <c r="F197" s="1374">
        <v>46367</v>
      </c>
      <c r="I197" s="1115">
        <v>200000</v>
      </c>
    </row>
    <row r="198" spans="6:10" x14ac:dyDescent="0.2">
      <c r="F198" s="1374">
        <v>46373</v>
      </c>
      <c r="I198" s="1115">
        <v>100000</v>
      </c>
    </row>
    <row r="199" spans="6:10" x14ac:dyDescent="0.2">
      <c r="F199" s="1374">
        <v>46375</v>
      </c>
      <c r="I199" s="1115">
        <v>150000</v>
      </c>
    </row>
    <row r="200" spans="6:10" x14ac:dyDescent="0.2">
      <c r="F200" s="1374">
        <v>46382</v>
      </c>
      <c r="I200" s="1115">
        <v>150000</v>
      </c>
    </row>
    <row r="201" spans="6:10" x14ac:dyDescent="0.2">
      <c r="F201" s="1374">
        <v>46024</v>
      </c>
      <c r="I201" s="1115">
        <v>150000</v>
      </c>
    </row>
    <row r="202" spans="6:10" x14ac:dyDescent="0.2">
      <c r="F202" s="1374">
        <v>46027</v>
      </c>
      <c r="I202" s="1115">
        <v>250000</v>
      </c>
    </row>
    <row r="203" spans="6:10" x14ac:dyDescent="0.2">
      <c r="F203" s="1374">
        <v>46031</v>
      </c>
      <c r="I203" s="1115">
        <v>500000</v>
      </c>
    </row>
    <row r="204" spans="6:10" x14ac:dyDescent="0.2">
      <c r="F204" s="1374"/>
      <c r="I204" s="1115">
        <v>150000</v>
      </c>
    </row>
    <row r="205" spans="6:10" x14ac:dyDescent="0.2">
      <c r="I205" s="1115"/>
    </row>
    <row r="206" spans="6:10" x14ac:dyDescent="0.2">
      <c r="F206" s="1312" t="s">
        <v>8154</v>
      </c>
      <c r="G206" s="1312"/>
      <c r="I206" s="1312">
        <f>+SUM(I197:I205)</f>
        <v>1650000</v>
      </c>
    </row>
    <row r="207" spans="6:10" ht="4.5" customHeight="1" x14ac:dyDescent="0.2"/>
    <row r="208" spans="6:10" ht="16.899999999999999" customHeight="1" x14ac:dyDescent="0.2">
      <c r="F208" s="1313" t="s">
        <v>8183</v>
      </c>
      <c r="G208" s="1313"/>
      <c r="I208" s="1314">
        <f>+I195-I206</f>
        <v>326079</v>
      </c>
    </row>
    <row r="213" spans="5:9" x14ac:dyDescent="0.2">
      <c r="F213" s="82" t="s">
        <v>21561</v>
      </c>
    </row>
    <row r="214" spans="5:9" x14ac:dyDescent="0.2">
      <c r="F214" s="465" t="s">
        <v>8176</v>
      </c>
      <c r="G214" s="30"/>
      <c r="H214" s="30"/>
      <c r="I214" s="465" t="s">
        <v>8107</v>
      </c>
    </row>
    <row r="215" spans="5:9" x14ac:dyDescent="0.2">
      <c r="E215" s="1369" t="s">
        <v>11682</v>
      </c>
      <c r="F215" s="1374">
        <v>46080</v>
      </c>
      <c r="I215" s="26">
        <v>2038099.03</v>
      </c>
    </row>
    <row r="216" spans="5:9" x14ac:dyDescent="0.2">
      <c r="E216" s="1369"/>
      <c r="F216" s="1374">
        <v>46094</v>
      </c>
      <c r="I216" s="26">
        <v>256602</v>
      </c>
    </row>
    <row r="217" spans="5:9" x14ac:dyDescent="0.2">
      <c r="E217" s="1369"/>
      <c r="F217" s="1374">
        <v>46101</v>
      </c>
      <c r="I217" s="26">
        <v>875036</v>
      </c>
    </row>
    <row r="218" spans="5:9" x14ac:dyDescent="0.2">
      <c r="E218" s="1369"/>
      <c r="F218" s="1374"/>
      <c r="G218" s="82" t="s">
        <v>8164</v>
      </c>
      <c r="I218" s="1447">
        <f>+SUM(I215:I217)</f>
        <v>3169737.0300000003</v>
      </c>
    </row>
    <row r="219" spans="5:9" x14ac:dyDescent="0.2">
      <c r="E219" s="1369"/>
      <c r="F219" s="1374"/>
      <c r="I219" s="26"/>
    </row>
    <row r="220" spans="5:9" x14ac:dyDescent="0.2">
      <c r="E220" s="1369" t="s">
        <v>21559</v>
      </c>
      <c r="F220" s="1374">
        <v>46087</v>
      </c>
      <c r="I220" s="26">
        <v>-280000</v>
      </c>
    </row>
    <row r="221" spans="5:9" x14ac:dyDescent="0.2">
      <c r="E221" s="1369"/>
      <c r="F221" s="1374">
        <v>46087</v>
      </c>
      <c r="I221" s="26">
        <v>-330000</v>
      </c>
    </row>
    <row r="222" spans="5:9" x14ac:dyDescent="0.2">
      <c r="E222" s="1369"/>
      <c r="F222" s="1374">
        <v>46087</v>
      </c>
      <c r="I222" s="26">
        <v>-500000</v>
      </c>
    </row>
    <row r="223" spans="5:9" x14ac:dyDescent="0.2">
      <c r="E223" s="1369"/>
      <c r="F223" s="1374">
        <v>46101</v>
      </c>
      <c r="I223" s="26">
        <v>-700000</v>
      </c>
    </row>
    <row r="224" spans="5:9" x14ac:dyDescent="0.2">
      <c r="E224" s="1369"/>
      <c r="F224" s="1374">
        <v>46101</v>
      </c>
      <c r="I224" s="26">
        <v>-211000</v>
      </c>
    </row>
    <row r="225" spans="5:9" x14ac:dyDescent="0.2">
      <c r="E225" s="1369"/>
      <c r="F225" s="1374"/>
      <c r="G225" s="82" t="s">
        <v>8164</v>
      </c>
      <c r="I225" s="1447">
        <f>+SUM(I220:I224)</f>
        <v>-2021000</v>
      </c>
    </row>
    <row r="226" spans="5:9" x14ac:dyDescent="0.2">
      <c r="E226" s="1369"/>
      <c r="F226" s="1374"/>
      <c r="I226" s="26"/>
    </row>
    <row r="227" spans="5:9" x14ac:dyDescent="0.2">
      <c r="F227" s="1435" t="s">
        <v>21560</v>
      </c>
      <c r="G227" s="30"/>
      <c r="H227" s="30"/>
      <c r="I227" s="1436">
        <f>+I218+I225</f>
        <v>1148737.0300000003</v>
      </c>
    </row>
    <row r="247" spans="4:9" x14ac:dyDescent="0.2">
      <c r="D247" s="9" t="s">
        <v>21548</v>
      </c>
    </row>
    <row r="248" spans="4:9" x14ac:dyDescent="0.2">
      <c r="D248" s="9" t="s">
        <v>11691</v>
      </c>
      <c r="E248" s="30" t="s">
        <v>21550</v>
      </c>
    </row>
    <row r="249" spans="4:9" x14ac:dyDescent="0.2">
      <c r="D249" s="30" t="s">
        <v>21549</v>
      </c>
      <c r="E249" s="30" t="s">
        <v>8177</v>
      </c>
      <c r="I249" s="30" t="s">
        <v>21551</v>
      </c>
    </row>
    <row r="250" spans="4:9" x14ac:dyDescent="0.2">
      <c r="D250" s="4">
        <v>1</v>
      </c>
      <c r="E250" s="26">
        <f t="shared" ref="E250:E268" si="17">+I250*1.8</f>
        <v>2078.6360960090574</v>
      </c>
      <c r="I250" s="9">
        <v>1154.797831116143</v>
      </c>
    </row>
    <row r="251" spans="4:9" x14ac:dyDescent="0.2">
      <c r="D251" s="4">
        <v>1.5</v>
      </c>
      <c r="E251" s="26">
        <f t="shared" si="17"/>
        <v>2236.5013355999999</v>
      </c>
      <c r="I251" s="9">
        <v>1242.5007419999999</v>
      </c>
    </row>
    <row r="252" spans="4:9" x14ac:dyDescent="0.2">
      <c r="D252" s="4">
        <v>1.78</v>
      </c>
      <c r="E252" s="26">
        <f t="shared" si="17"/>
        <v>2236.5013355999999</v>
      </c>
      <c r="I252" s="9">
        <v>1242.5007419999999</v>
      </c>
    </row>
    <row r="253" spans="4:9" x14ac:dyDescent="0.2">
      <c r="D253" s="4">
        <v>2</v>
      </c>
      <c r="E253" s="26">
        <f t="shared" si="17"/>
        <v>2345.0693616000003</v>
      </c>
      <c r="I253" s="9">
        <v>1302.8163120000002</v>
      </c>
    </row>
    <row r="254" spans="4:9" x14ac:dyDescent="0.2">
      <c r="D254" s="4">
        <v>2.25</v>
      </c>
      <c r="E254" s="26">
        <f t="shared" si="17"/>
        <v>2345.0693616000003</v>
      </c>
      <c r="I254" s="9">
        <v>1302.8163120000002</v>
      </c>
    </row>
    <row r="255" spans="4:9" x14ac:dyDescent="0.2">
      <c r="D255" s="4">
        <v>2.5</v>
      </c>
      <c r="E255" s="26">
        <f t="shared" si="17"/>
        <v>2345.0693616000003</v>
      </c>
      <c r="I255" s="9">
        <v>1302.8163120000002</v>
      </c>
    </row>
    <row r="256" spans="4:9" x14ac:dyDescent="0.2">
      <c r="D256" s="4">
        <v>2.62</v>
      </c>
      <c r="E256" s="26">
        <f t="shared" si="17"/>
        <v>2345.0693616000003</v>
      </c>
      <c r="I256" s="9">
        <v>1302.8163120000002</v>
      </c>
    </row>
    <row r="257" spans="4:9" x14ac:dyDescent="0.2">
      <c r="D257" s="4">
        <v>2.75</v>
      </c>
      <c r="E257" s="26">
        <f t="shared" si="17"/>
        <v>2399.3533746000007</v>
      </c>
      <c r="I257" s="9">
        <v>1332.9740970000003</v>
      </c>
    </row>
    <row r="258" spans="4:9" x14ac:dyDescent="0.2">
      <c r="D258" s="4">
        <v>3</v>
      </c>
      <c r="E258" s="26">
        <f t="shared" si="17"/>
        <v>2399.3533746000007</v>
      </c>
      <c r="I258" s="9">
        <v>1332.9740970000003</v>
      </c>
    </row>
    <row r="259" spans="4:9" x14ac:dyDescent="0.2">
      <c r="D259" s="4">
        <v>3.25</v>
      </c>
      <c r="E259" s="26">
        <f t="shared" si="17"/>
        <v>2725.0574526000014</v>
      </c>
      <c r="I259" s="9">
        <v>1513.9208070000007</v>
      </c>
    </row>
    <row r="260" spans="4:9" x14ac:dyDescent="0.2">
      <c r="D260" s="4">
        <v>3.5</v>
      </c>
      <c r="E260" s="26">
        <f t="shared" si="17"/>
        <v>2725.0574526000014</v>
      </c>
      <c r="I260" s="9">
        <v>1513.9208070000007</v>
      </c>
    </row>
    <row r="261" spans="4:9" x14ac:dyDescent="0.2">
      <c r="D261" s="4">
        <v>3.53</v>
      </c>
      <c r="E261" s="26">
        <f t="shared" si="17"/>
        <v>2725.0574526000014</v>
      </c>
      <c r="I261" s="9">
        <v>1513.9208070000007</v>
      </c>
    </row>
    <row r="262" spans="4:9" x14ac:dyDescent="0.2">
      <c r="D262" s="4">
        <v>3.75</v>
      </c>
      <c r="E262" s="26">
        <f t="shared" si="17"/>
        <v>3205.2327098394444</v>
      </c>
      <c r="I262" s="9">
        <v>1780.6848387996913</v>
      </c>
    </row>
    <row r="263" spans="4:9" x14ac:dyDescent="0.2">
      <c r="D263" s="4">
        <v>4</v>
      </c>
      <c r="E263" s="26">
        <f t="shared" si="17"/>
        <v>2991.0491163000006</v>
      </c>
      <c r="I263" s="9">
        <v>1661.6939535000004</v>
      </c>
    </row>
    <row r="264" spans="4:9" x14ac:dyDescent="0.2">
      <c r="D264" s="4">
        <v>4.5</v>
      </c>
      <c r="E264" s="26">
        <f t="shared" si="17"/>
        <v>3559.2217857000014</v>
      </c>
      <c r="I264" s="9">
        <v>1977.3454365000007</v>
      </c>
    </row>
    <row r="265" spans="4:9" x14ac:dyDescent="0.2">
      <c r="D265" s="4">
        <v>5</v>
      </c>
      <c r="E265" s="26">
        <f t="shared" si="17"/>
        <v>4411.4807898000008</v>
      </c>
      <c r="I265" s="9">
        <v>2450.8226610000002</v>
      </c>
    </row>
    <row r="266" spans="4:9" x14ac:dyDescent="0.2">
      <c r="D266" s="4">
        <v>5.33</v>
      </c>
      <c r="E266" s="26">
        <f t="shared" si="17"/>
        <v>5068.3173471000009</v>
      </c>
      <c r="I266" s="9">
        <v>2815.7318595000006</v>
      </c>
    </row>
    <row r="267" spans="4:9" x14ac:dyDescent="0.2">
      <c r="D267" s="4">
        <v>5.5</v>
      </c>
      <c r="E267" s="26">
        <f t="shared" si="17"/>
        <v>5068.3173471000009</v>
      </c>
      <c r="I267" s="9">
        <v>2815.7318595000006</v>
      </c>
    </row>
    <row r="268" spans="4:9" x14ac:dyDescent="0.2">
      <c r="D268" s="4">
        <v>6</v>
      </c>
      <c r="E268" s="26">
        <f t="shared" si="17"/>
        <v>6211.9005543000012</v>
      </c>
      <c r="I268" s="9">
        <v>3451.0558635000007</v>
      </c>
    </row>
    <row r="269" spans="4:9" x14ac:dyDescent="0.2">
      <c r="D269" s="82" t="s">
        <v>21552</v>
      </c>
    </row>
    <row r="1862" ht="12.75" customHeight="1" x14ac:dyDescent="0.2"/>
  </sheetData>
  <sortState xmlns:xlrd2="http://schemas.microsoft.com/office/spreadsheetml/2017/richdata2" ref="AP139:AV2595">
    <sortCondition descending="1" ref="AT139:AT2595"/>
  </sortState>
  <mergeCells count="1">
    <mergeCell ref="D58:E58"/>
  </mergeCells>
  <conditionalFormatting sqref="C3:C17">
    <cfRule type="expression" dxfId="154" priority="214">
      <formula>IF(#REF!="Pedido",TRUE,FALSE)</formula>
    </cfRule>
  </conditionalFormatting>
  <conditionalFormatting sqref="C3:C18 I3:I18">
    <cfRule type="expression" dxfId="153" priority="257">
      <formula>IF(E3="Pedido",TRUE,FALSE)</formula>
    </cfRule>
    <cfRule type="expression" dxfId="152" priority="258">
      <formula>C3=$M$4</formula>
    </cfRule>
    <cfRule type="expression" dxfId="151" priority="259">
      <formula>+IF(E3="Pedido",TRUE,FALSE)</formula>
    </cfRule>
  </conditionalFormatting>
  <conditionalFormatting sqref="C16">
    <cfRule type="expression" dxfId="150" priority="2">
      <formula>IF(XFC32="Pedido",TRUE,FALSE)</formula>
    </cfRule>
  </conditionalFormatting>
  <conditionalFormatting sqref="C17 I17:I18">
    <cfRule type="expression" dxfId="149" priority="267">
      <formula>IF(XFC39="Pedido",TRUE,FALSE)</formula>
    </cfRule>
  </conditionalFormatting>
  <conditionalFormatting sqref="C17:C18 I17:I18">
    <cfRule type="expression" dxfId="148" priority="265">
      <formula>IF(XFC32="Pedido",TRUE,FALSE)</formula>
    </cfRule>
    <cfRule type="expression" dxfId="147" priority="266">
      <formula>C17=$M$4</formula>
    </cfRule>
  </conditionalFormatting>
  <conditionalFormatting sqref="C18">
    <cfRule type="expression" dxfId="146" priority="273">
      <formula>IF(XFC41="Pedido",TRUE,FALSE)</formula>
    </cfRule>
  </conditionalFormatting>
  <conditionalFormatting sqref="F22:F43">
    <cfRule type="expression" dxfId="145" priority="11">
      <formula>IF(H22="SI",TRUE,FALSE)</formula>
    </cfRule>
  </conditionalFormatting>
  <conditionalFormatting sqref="I3:I16 C13:C16">
    <cfRule type="expression" dxfId="144" priority="263">
      <formula>IF(#REF!="Pedido",TRUE,FALSE)</formula>
    </cfRule>
    <cfRule type="expression" dxfId="143" priority="264">
      <formula>C3=$M$4</formula>
    </cfRule>
  </conditionalFormatting>
  <conditionalFormatting sqref="I16">
    <cfRule type="expression" dxfId="142" priority="16">
      <formula>IF(E32="Pedido",TRUE,FALSE)</formula>
    </cfRule>
  </conditionalFormatting>
  <conditionalFormatting sqref="N3:O18">
    <cfRule type="expression" dxfId="141" priority="1">
      <formula>AND($N3&lt;&gt;"",ISODD(ROW()-ROW($N$3)+1))</formula>
    </cfRule>
  </conditionalFormatting>
  <pageMargins left="0.7" right="0.7" top="0.75" bottom="0.75" header="0.3" footer="0.3"/>
  <pageSetup paperSize="9" orientation="portrait" r:id="rId1"/>
  <ignoredErrors>
    <ignoredError sqref="I23:I2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74638-272D-4FCC-9679-07B51688030B}">
  <sheetPr codeName="Hoja2">
    <tabColor theme="9"/>
  </sheetPr>
  <dimension ref="A1:W356"/>
  <sheetViews>
    <sheetView showGridLines="0" zoomScale="115" zoomScaleNormal="115" workbookViewId="0">
      <pane ySplit="2" topLeftCell="A3" activePane="bottomLeft" state="frozen"/>
      <selection activeCell="O86" sqref="O86"/>
      <selection pane="bottomLeft" activeCell="H23" sqref="H23"/>
    </sheetView>
  </sheetViews>
  <sheetFormatPr baseColWidth="10" defaultColWidth="11.42578125" defaultRowHeight="12.75" x14ac:dyDescent="0.2"/>
  <cols>
    <col min="2" max="2" width="13" customWidth="1"/>
    <col min="3" max="3" width="9.5703125" style="573" bestFit="1" customWidth="1"/>
    <col min="4" max="4" width="11.28515625" style="13"/>
    <col min="5" max="5" width="14.85546875" customWidth="1"/>
    <col min="6" max="6" width="11.7109375" bestFit="1" customWidth="1"/>
    <col min="7" max="7" width="2" customWidth="1"/>
    <col min="8" max="8" width="19" bestFit="1" customWidth="1"/>
    <col min="9" max="9" width="1.28515625" customWidth="1"/>
    <col min="10" max="10" width="7" customWidth="1"/>
    <col min="11" max="11" width="14.28515625" bestFit="1" customWidth="1"/>
    <col min="12" max="12" width="3.5703125" customWidth="1"/>
    <col min="13" max="13" width="6" customWidth="1"/>
    <col min="14" max="14" width="9.28515625" customWidth="1"/>
    <col min="15" max="15" width="12" customWidth="1"/>
    <col min="16" max="16" width="15.5703125" customWidth="1"/>
    <col min="17" max="17" width="14" bestFit="1" customWidth="1"/>
    <col min="18" max="18" width="23.85546875" bestFit="1" customWidth="1"/>
    <col min="19" max="19" width="12.5703125" bestFit="1" customWidth="1"/>
    <col min="20" max="20" width="10.7109375" style="387"/>
    <col min="21" max="21" width="5.85546875" customWidth="1"/>
    <col min="22" max="22" width="5.28515625" customWidth="1"/>
    <col min="23" max="23" width="10.7109375" style="3"/>
  </cols>
  <sheetData>
    <row r="1" spans="1:23" ht="16.5" thickBot="1" x14ac:dyDescent="0.3">
      <c r="A1" s="1459" t="s">
        <v>8184</v>
      </c>
      <c r="B1" s="1460"/>
      <c r="C1" s="1464"/>
      <c r="D1" s="457"/>
      <c r="E1" s="96" t="s">
        <v>8185</v>
      </c>
      <c r="F1" s="408" t="s">
        <v>8186</v>
      </c>
      <c r="H1" s="408" t="s">
        <v>8164</v>
      </c>
      <c r="I1" s="1"/>
      <c r="J1" s="1461" t="s">
        <v>8187</v>
      </c>
      <c r="K1" s="1462"/>
      <c r="L1" s="1462"/>
      <c r="M1" s="1462"/>
      <c r="N1" s="1463"/>
      <c r="P1" s="102">
        <f>+H2*1.21</f>
        <v>411085.61780000001</v>
      </c>
    </row>
    <row r="2" spans="1:23" ht="13.5" thickBot="1" x14ac:dyDescent="0.25">
      <c r="A2" s="633" t="s">
        <v>8160</v>
      </c>
      <c r="B2" s="370" t="s">
        <v>8188</v>
      </c>
      <c r="C2" s="1465"/>
      <c r="D2" s="632" t="s">
        <v>8189</v>
      </c>
      <c r="E2" s="639" t="s">
        <v>8190</v>
      </c>
      <c r="F2" s="370" t="s">
        <v>8189</v>
      </c>
      <c r="H2" s="409">
        <f>+SUM(H3:H356)</f>
        <v>339740.18</v>
      </c>
      <c r="I2" s="1"/>
      <c r="J2" s="569" t="s">
        <v>8189</v>
      </c>
      <c r="K2" s="571" t="s">
        <v>3</v>
      </c>
      <c r="L2" s="570"/>
      <c r="M2" s="569" t="s">
        <v>8189</v>
      </c>
      <c r="N2" s="571" t="s">
        <v>3</v>
      </c>
      <c r="P2" s="635" t="s">
        <v>8191</v>
      </c>
      <c r="Q2" s="30" t="s">
        <v>8192</v>
      </c>
      <c r="R2" s="30" t="s">
        <v>8193</v>
      </c>
    </row>
    <row r="3" spans="1:23" x14ac:dyDescent="0.2">
      <c r="A3" s="6">
        <v>200</v>
      </c>
      <c r="B3" s="582" t="str">
        <f>+_xlfn.XLOOKUP("PLASTICOS"&amp;D3,CODIGOS_Y_COSTOS[ID],CODIGOS_Y_COSTOS[CODIGO],0,0,1)</f>
        <v>F-1078</v>
      </c>
      <c r="D3" s="1216">
        <v>156</v>
      </c>
      <c r="E3" s="638" t="str">
        <f t="shared" ref="E3:E34" si="0">+IFERROR(IFERROR(VLOOKUP(D3,$J$3:$J$16,1,0),VLOOKUP(D3,$M$3:$M$16,1,0)),"OK")</f>
        <v>OK</v>
      </c>
      <c r="F3" s="97">
        <f>+_xlfn.XLOOKUP("PLASTICOS"&amp;D3,CODIGOS_Y_COSTOS[ID],CODIGOS_Y_COSTOS[COSTO],0,0,1)</f>
        <v>237.3571</v>
      </c>
      <c r="H3" s="97">
        <f t="shared" ref="H3:H34" si="1">+F3*A3</f>
        <v>47471.42</v>
      </c>
      <c r="I3" s="1"/>
      <c r="J3" s="572">
        <v>149</v>
      </c>
      <c r="K3" s="64">
        <f>+_xlfn.XLOOKUP("PLASTICOS"&amp;J3,CODIGOS_Y_COSTOS[ID],CODIGOS_Y_COSTOS[COSTO],0,0,1)</f>
        <v>230.8837</v>
      </c>
      <c r="L3" s="4" t="s">
        <v>8194</v>
      </c>
      <c r="M3" s="572">
        <v>362</v>
      </c>
      <c r="N3" s="64">
        <f>+_xlfn.XLOOKUP("PLASTICOS"&amp;M3,CODIGOS_Y_COSTOS[ID],CODIGOS_Y_COSTOS[COSTO],0,0,1)</f>
        <v>253.54060000000001</v>
      </c>
      <c r="O3" s="13" t="str">
        <f>IFERROR(VLOOKUP(J3,D:D,1,0),"")&amp;" - "&amp;IFERROR(VLOOKUP(M3,D:D,1,0),"")</f>
        <v xml:space="preserve"> - </v>
      </c>
      <c r="P3" s="32" t="s">
        <v>16</v>
      </c>
      <c r="Q3" t="s">
        <v>8139</v>
      </c>
      <c r="R3" s="169" t="s">
        <v>8138</v>
      </c>
      <c r="S3" s="1">
        <v>463551</v>
      </c>
    </row>
    <row r="4" spans="1:23" x14ac:dyDescent="0.2">
      <c r="A4" s="6">
        <v>200</v>
      </c>
      <c r="B4" s="582" t="str">
        <f>+_xlfn.XLOOKUP("PLASTICOS"&amp;D4,CODIGOS_Y_COSTOS[ID],CODIGOS_Y_COSTOS[CODIGO],0,0,1)</f>
        <v>S-054</v>
      </c>
      <c r="D4" s="1216">
        <v>240</v>
      </c>
      <c r="E4" s="638" t="str">
        <f t="shared" si="0"/>
        <v>OK</v>
      </c>
      <c r="F4" s="98">
        <f>+_xlfn.XLOOKUP("PLASTICOS"&amp;D4,CODIGOS_Y_COSTOS[ID],CODIGOS_Y_COSTOS[COSTO],0,0,1)</f>
        <v>324.1875</v>
      </c>
      <c r="H4" s="98">
        <f t="shared" si="1"/>
        <v>64837.5</v>
      </c>
      <c r="I4" s="1"/>
      <c r="J4" s="572">
        <v>276</v>
      </c>
      <c r="K4" s="64">
        <f>+_xlfn.XLOOKUP("PLASTICOS"&amp;J4,CODIGOS_Y_COSTOS[ID],CODIGOS_Y_COSTOS[COSTO],0,0,1)</f>
        <v>323.66879999999998</v>
      </c>
      <c r="L4" s="4" t="s">
        <v>8194</v>
      </c>
      <c r="M4" s="572">
        <v>322</v>
      </c>
      <c r="N4" s="64">
        <f>+_xlfn.XLOOKUP("PLASTICOS"&amp;M4,CODIGOS_Y_COSTOS[ID],CODIGOS_Y_COSTOS[COSTO],0,0,1)</f>
        <v>323.66879999999998</v>
      </c>
      <c r="O4" s="13" t="str">
        <f t="shared" ref="O4:O10" si="2">IFERROR(VLOOKUP(J4,D:D,1,0),"")&amp;" - "&amp;IFERROR(VLOOKUP(M4,D:D,1,0),"")</f>
        <v xml:space="preserve"> - </v>
      </c>
      <c r="P4" s="32" t="s">
        <v>8195</v>
      </c>
      <c r="Q4" t="s">
        <v>8196</v>
      </c>
      <c r="R4" s="169" t="s">
        <v>8197</v>
      </c>
      <c r="S4" s="1">
        <v>159962</v>
      </c>
    </row>
    <row r="5" spans="1:23" ht="13.5" thickBot="1" x14ac:dyDescent="0.25">
      <c r="A5" s="6">
        <v>200</v>
      </c>
      <c r="B5" s="582" t="str">
        <f>+_xlfn.XLOOKUP("PLASTICOS"&amp;D5,CODIGOS_Y_COSTOS[ID],CODIGOS_Y_COSTOS[CODIGO],0,0,1)</f>
        <v>F-1095</v>
      </c>
      <c r="D5" s="1216">
        <v>328</v>
      </c>
      <c r="E5" s="638">
        <f t="shared" si="0"/>
        <v>328</v>
      </c>
      <c r="F5" s="98">
        <f>+_xlfn.XLOOKUP("PLASTICOS"&amp;D5,CODIGOS_Y_COSTOS[ID],CODIGOS_Y_COSTOS[COSTO],0,0,1)</f>
        <v>215.7792</v>
      </c>
      <c r="H5" s="98">
        <f t="shared" si="1"/>
        <v>43155.840000000004</v>
      </c>
      <c r="I5" s="1"/>
      <c r="J5" s="572">
        <v>34</v>
      </c>
      <c r="K5" s="64">
        <f>+_xlfn.XLOOKUP("PLASTICOS"&amp;J5,CODIGOS_Y_COSTOS[ID],CODIGOS_Y_COSTOS[COSTO],0,0,1)</f>
        <v>153.20320000000001</v>
      </c>
      <c r="L5" s="4" t="s">
        <v>8194</v>
      </c>
      <c r="M5" s="572">
        <v>109</v>
      </c>
      <c r="N5" s="64">
        <f>+_xlfn.XLOOKUP("PLASTICOS"&amp;M5,CODIGOS_Y_COSTOS[ID],CODIGOS_Y_COSTOS[COSTO],0,0,1)</f>
        <v>153.20320000000001</v>
      </c>
      <c r="O5" s="13" t="str">
        <f t="shared" si="2"/>
        <v xml:space="preserve"> - </v>
      </c>
    </row>
    <row r="6" spans="1:23" ht="13.5" thickTop="1" x14ac:dyDescent="0.2">
      <c r="A6" s="6">
        <v>200</v>
      </c>
      <c r="B6" s="582" t="str">
        <f>+_xlfn.XLOOKUP("PLASTICOS"&amp;D6,CODIGOS_Y_COSTOS[ID],CODIGOS_Y_COSTOS[CODIGO],0,0,1)</f>
        <v>F-002</v>
      </c>
      <c r="D6" s="1216">
        <v>15</v>
      </c>
      <c r="E6" s="638">
        <f t="shared" si="0"/>
        <v>15</v>
      </c>
      <c r="F6" s="98">
        <f>+_xlfn.XLOOKUP("PLASTICOS"&amp;D6,CODIGOS_Y_COSTOS[ID],CODIGOS_Y_COSTOS[COSTO],0,0,1)</f>
        <v>187.72790000000001</v>
      </c>
      <c r="H6" s="98">
        <f t="shared" si="1"/>
        <v>37545.58</v>
      </c>
      <c r="I6" s="1"/>
      <c r="J6" s="572">
        <v>84</v>
      </c>
      <c r="K6" s="64">
        <f>+_xlfn.XLOOKUP("PLASTICOS"&amp;J6,CODIGOS_Y_COSTOS[ID],CODIGOS_Y_COSTOS[COSTO],0,0,1)</f>
        <v>179.55</v>
      </c>
      <c r="L6" s="4" t="s">
        <v>8194</v>
      </c>
      <c r="M6" s="572">
        <v>324</v>
      </c>
      <c r="N6" s="64">
        <f>+_xlfn.XLOOKUP("PLASTICOS"&amp;M6,CODIGOS_Y_COSTOS[ID],CODIGOS_Y_COSTOS[COSTO],0,0,1)</f>
        <v>179.55</v>
      </c>
      <c r="O6" s="13" t="str">
        <f t="shared" si="2"/>
        <v xml:space="preserve"> - </v>
      </c>
      <c r="P6" s="4"/>
      <c r="T6" s="1466" t="s">
        <v>8198</v>
      </c>
      <c r="U6" s="1467"/>
      <c r="V6" s="1467"/>
      <c r="W6" s="1468"/>
    </row>
    <row r="7" spans="1:23" x14ac:dyDescent="0.2">
      <c r="A7" s="6">
        <v>200</v>
      </c>
      <c r="B7" s="582" t="str">
        <f>+_xlfn.XLOOKUP("PLASTICOS"&amp;D7,CODIGOS_Y_COSTOS[ID],CODIGOS_Y_COSTOS[CODIGO],0,0,1)</f>
        <v>F-978</v>
      </c>
      <c r="C7" s="1453"/>
      <c r="D7" s="1216">
        <v>5</v>
      </c>
      <c r="E7" s="638" t="str">
        <f t="shared" si="0"/>
        <v>OK</v>
      </c>
      <c r="F7" s="98">
        <f>+_xlfn.XLOOKUP("PLASTICOS"&amp;D7,CODIGOS_Y_COSTOS[ID],CODIGOS_Y_COSTOS[COSTO],0,0,1)</f>
        <v>170.46559999999999</v>
      </c>
      <c r="H7" s="98">
        <f t="shared" si="1"/>
        <v>34093.119999999995</v>
      </c>
      <c r="I7" s="1"/>
      <c r="J7" s="572">
        <v>206</v>
      </c>
      <c r="K7" s="64">
        <f>+_xlfn.XLOOKUP("PLASTICOS"&amp;J7,CODIGOS_Y_COSTOS[ID],CODIGOS_Y_COSTOS[COSTO],0,0,1)</f>
        <v>170.57249999999999</v>
      </c>
      <c r="L7" s="4" t="s">
        <v>8194</v>
      </c>
      <c r="M7" s="572">
        <v>323</v>
      </c>
      <c r="N7" s="64">
        <f>+_xlfn.XLOOKUP("PLASTICOS"&amp;M7,CODIGOS_Y_COSTOS[ID],CODIGOS_Y_COSTOS[COSTO],0,0,1)</f>
        <v>173.565</v>
      </c>
      <c r="O7" s="13" t="str">
        <f t="shared" si="2"/>
        <v xml:space="preserve"> - </v>
      </c>
      <c r="P7" s="4"/>
      <c r="T7" s="1105">
        <v>149</v>
      </c>
      <c r="U7" s="1106" t="e" vm="1">
        <v>#VALUE!</v>
      </c>
      <c r="V7" s="1107" t="e" vm="2">
        <v>#VALUE!</v>
      </c>
      <c r="W7" s="1108">
        <v>362</v>
      </c>
    </row>
    <row r="8" spans="1:23" x14ac:dyDescent="0.2">
      <c r="A8" s="6">
        <v>200</v>
      </c>
      <c r="B8" s="582" t="str">
        <f>+_xlfn.XLOOKUP("PLASTICOS"&amp;D8,CODIGOS_Y_COSTOS[ID],CODIGOS_Y_COSTOS[CODIGO],0,0,1)</f>
        <v>F-993</v>
      </c>
      <c r="D8" s="1216">
        <v>6</v>
      </c>
      <c r="E8" s="638" t="str">
        <f t="shared" si="0"/>
        <v>OK</v>
      </c>
      <c r="F8" s="98">
        <f>+_xlfn.XLOOKUP("PLASTICOS"&amp;D8,CODIGOS_Y_COSTOS[ID],CODIGOS_Y_COSTOS[COSTO],0,0,1)</f>
        <v>203.91130000000001</v>
      </c>
      <c r="H8" s="98">
        <f t="shared" si="1"/>
        <v>40782.26</v>
      </c>
      <c r="I8" s="1"/>
      <c r="J8" s="572">
        <v>43</v>
      </c>
      <c r="K8" s="64">
        <f>+_xlfn.XLOOKUP("PLASTICOS"&amp;J8,CODIGOS_Y_COSTOS[ID],CODIGOS_Y_COSTOS[COSTO],0,0,1)</f>
        <v>135.66</v>
      </c>
      <c r="L8" s="4" t="s">
        <v>8194</v>
      </c>
      <c r="M8" s="572">
        <v>318</v>
      </c>
      <c r="N8" s="64">
        <f>+_xlfn.XLOOKUP("PLASTICOS"&amp;M8,CODIGOS_Y_COSTOS[ID],CODIGOS_Y_COSTOS[COSTO],0,0,1)</f>
        <v>135.66</v>
      </c>
      <c r="O8" s="13" t="str">
        <f t="shared" si="2"/>
        <v xml:space="preserve"> - </v>
      </c>
      <c r="P8" s="4"/>
      <c r="T8" s="1105">
        <v>276</v>
      </c>
      <c r="U8" s="1106" t="e" vm="3">
        <v>#VALUE!</v>
      </c>
      <c r="V8" s="1107" t="e" vm="4">
        <v>#VALUE!</v>
      </c>
      <c r="W8" s="1108">
        <v>322</v>
      </c>
    </row>
    <row r="9" spans="1:23" x14ac:dyDescent="0.2">
      <c r="A9" s="6">
        <v>200</v>
      </c>
      <c r="B9" s="582" t="str">
        <f>+_xlfn.XLOOKUP("PLASTICOS"&amp;D9,CODIGOS_Y_COSTOS[ID],CODIGOS_Y_COSTOS[CODIGO],0,0,1)</f>
        <v>F-1054</v>
      </c>
      <c r="D9" s="1216">
        <v>283</v>
      </c>
      <c r="E9" s="638" t="str">
        <f t="shared" si="0"/>
        <v>OK</v>
      </c>
      <c r="F9" s="98">
        <f>+_xlfn.XLOOKUP("PLASTICOS"&amp;D9,CODIGOS_Y_COSTOS[ID],CODIGOS_Y_COSTOS[COSTO],0,0,1)</f>
        <v>176.93889999999999</v>
      </c>
      <c r="H9" s="98">
        <f t="shared" si="1"/>
        <v>35387.78</v>
      </c>
      <c r="I9" s="1"/>
      <c r="J9" s="572">
        <v>88</v>
      </c>
      <c r="K9" s="64">
        <f>+_xlfn.XLOOKUP("PLASTICOS"&amp;J9,CODIGOS_Y_COSTOS[ID],CODIGOS_Y_COSTOS[COSTO],0,0,1)</f>
        <v>239.4</v>
      </c>
      <c r="L9" s="4" t="s">
        <v>8194</v>
      </c>
      <c r="M9" s="572">
        <v>161</v>
      </c>
      <c r="N9" s="64">
        <f>+_xlfn.XLOOKUP("PLASTICOS"&amp;M9,CODIGOS_Y_COSTOS[ID],CODIGOS_Y_COSTOS[COSTO],0,0,1)</f>
        <v>239.4</v>
      </c>
      <c r="O9" s="13" t="str">
        <f t="shared" si="2"/>
        <v xml:space="preserve"> - </v>
      </c>
      <c r="Q9" s="32" t="s">
        <v>8199</v>
      </c>
      <c r="R9" s="32" t="s">
        <v>8177</v>
      </c>
      <c r="T9" s="1105">
        <v>34</v>
      </c>
      <c r="U9" s="1106" t="e" vm="5">
        <v>#VALUE!</v>
      </c>
      <c r="V9" s="1107" t="e" vm="5">
        <v>#VALUE!</v>
      </c>
      <c r="W9" s="1108">
        <v>109</v>
      </c>
    </row>
    <row r="10" spans="1:23" x14ac:dyDescent="0.2">
      <c r="A10" s="6">
        <v>200</v>
      </c>
      <c r="B10" s="582" t="str">
        <f>+_xlfn.XLOOKUP("PLASTICOS"&amp;D10,CODIGOS_Y_COSTOS[ID],CODIGOS_Y_COSTOS[CODIGO],0,0,1)</f>
        <v>F-1082</v>
      </c>
      <c r="D10" s="1216">
        <v>290</v>
      </c>
      <c r="E10" s="638">
        <f t="shared" si="0"/>
        <v>290</v>
      </c>
      <c r="F10" s="98">
        <f>+_xlfn.XLOOKUP("PLASTICOS"&amp;D10,CODIGOS_Y_COSTOS[ID],CODIGOS_Y_COSTOS[COSTO],0,0,1)</f>
        <v>182.33340000000001</v>
      </c>
      <c r="H10" s="98">
        <f t="shared" si="1"/>
        <v>36466.68</v>
      </c>
      <c r="I10" s="1"/>
      <c r="J10" s="572">
        <v>290</v>
      </c>
      <c r="K10" s="64">
        <f>+_xlfn.XLOOKUP("PLASTICOS"&amp;J10,CODIGOS_Y_COSTOS[ID],CODIGOS_Y_COSTOS[COSTO],0,0,1)</f>
        <v>182.33340000000001</v>
      </c>
      <c r="L10" s="4" t="s">
        <v>8194</v>
      </c>
      <c r="M10" s="572">
        <v>15</v>
      </c>
      <c r="N10" s="64">
        <f>+_xlfn.XLOOKUP("PLASTICOS"&amp;M10,CODIGOS_Y_COSTOS[ID],CODIGOS_Y_COSTOS[COSTO],0,0,1)</f>
        <v>187.72790000000001</v>
      </c>
      <c r="O10" s="13" t="str">
        <f t="shared" si="2"/>
        <v>290 - 15</v>
      </c>
      <c r="Q10" s="9">
        <v>35</v>
      </c>
      <c r="R10" s="1115">
        <v>854715</v>
      </c>
      <c r="T10" s="1105">
        <v>84</v>
      </c>
      <c r="U10" s="1106" t="e" vm="6">
        <v>#VALUE!</v>
      </c>
      <c r="V10" s="1107" t="e" vm="6">
        <v>#VALUE!</v>
      </c>
      <c r="W10" s="1108">
        <v>324</v>
      </c>
    </row>
    <row r="11" spans="1:23" x14ac:dyDescent="0.2">
      <c r="A11" s="6">
        <v>200</v>
      </c>
      <c r="B11" s="582">
        <f>+_xlfn.XLOOKUP("PLASTICOS"&amp;D11,CODIGOS_Y_COSTOS[ID],CODIGOS_Y_COSTOS[CODIGO],0,0,1)</f>
        <v>0</v>
      </c>
      <c r="D11" s="1216"/>
      <c r="E11" s="638" t="str">
        <f t="shared" si="0"/>
        <v>OK</v>
      </c>
      <c r="F11" s="98">
        <f>+_xlfn.XLOOKUP("PLASTICOS"&amp;D11,CODIGOS_Y_COSTOS[ID],CODIGOS_Y_COSTOS[COSTO],0,0,1)</f>
        <v>0</v>
      </c>
      <c r="H11" s="98">
        <f t="shared" si="1"/>
        <v>0</v>
      </c>
      <c r="I11" s="1"/>
      <c r="J11" s="572">
        <v>295</v>
      </c>
      <c r="K11" s="64">
        <f>+_xlfn.XLOOKUP("PLASTICOS"&amp;J11,CODIGOS_Y_COSTOS[ID],CODIGOS_Y_COSTOS[COSTO],0,0,1)</f>
        <v>269.72399999999999</v>
      </c>
      <c r="L11" s="4" t="s">
        <v>8194</v>
      </c>
      <c r="M11" s="572">
        <v>328</v>
      </c>
      <c r="N11" s="64">
        <f>+_xlfn.XLOOKUP("PLASTICOS"&amp;M11,CODIGOS_Y_COSTOS[ID],CODIGOS_Y_COSTOS[COSTO],0,0,1)</f>
        <v>215.7792</v>
      </c>
      <c r="O11" s="13" t="str">
        <f t="shared" ref="O11:O16" si="3">IFERROR(VLOOKUP(J11,D:D,1,0),"")&amp;" - "&amp;IFERROR(VLOOKUP(M11,D:D,1,0),"")</f>
        <v xml:space="preserve"> - 328</v>
      </c>
      <c r="Q11" s="9">
        <v>36</v>
      </c>
      <c r="R11" s="1115">
        <v>875330</v>
      </c>
      <c r="T11" s="1105">
        <v>206</v>
      </c>
      <c r="U11" s="1106" t="e" vm="7">
        <v>#VALUE!</v>
      </c>
      <c r="V11" s="1107" t="e" vm="8">
        <v>#VALUE!</v>
      </c>
      <c r="W11" s="1108">
        <v>323</v>
      </c>
    </row>
    <row r="12" spans="1:23" x14ac:dyDescent="0.2">
      <c r="A12" s="6">
        <v>200</v>
      </c>
      <c r="B12" s="582">
        <f>+_xlfn.XLOOKUP("PLASTICOS"&amp;D12,CODIGOS_Y_COSTOS[ID],CODIGOS_Y_COSTOS[CODIGO],0,0,1)</f>
        <v>0</v>
      </c>
      <c r="D12" s="1216"/>
      <c r="E12" s="638" t="str">
        <f t="shared" si="0"/>
        <v>OK</v>
      </c>
      <c r="F12" s="98">
        <f>+_xlfn.XLOOKUP("PLASTICOS"&amp;D12,CODIGOS_Y_COSTOS[ID],CODIGOS_Y_COSTOS[COSTO],0,0,1)</f>
        <v>0</v>
      </c>
      <c r="H12" s="98">
        <f t="shared" si="1"/>
        <v>0</v>
      </c>
      <c r="I12" s="1"/>
      <c r="J12" s="572">
        <v>297</v>
      </c>
      <c r="K12" s="64">
        <f>+_xlfn.XLOOKUP("PLASTICOS"&amp;J12,CODIGOS_Y_COSTOS[ID],CODIGOS_Y_COSTOS[COSTO],0,0,1)</f>
        <v>182.33340000000001</v>
      </c>
      <c r="L12" s="4" t="s">
        <v>8194</v>
      </c>
      <c r="M12" s="572">
        <v>15</v>
      </c>
      <c r="N12" s="64">
        <f>+_xlfn.XLOOKUP("PLASTICOS"&amp;M12,CODIGOS_Y_COSTOS[ID],CODIGOS_Y_COSTOS[COSTO],0,0,1)</f>
        <v>187.72790000000001</v>
      </c>
      <c r="O12" s="13" t="str">
        <f t="shared" si="3"/>
        <v xml:space="preserve"> - 15</v>
      </c>
      <c r="Q12" s="9">
        <v>37</v>
      </c>
      <c r="R12" s="1115">
        <v>834480</v>
      </c>
      <c r="T12" s="1105">
        <v>43</v>
      </c>
      <c r="U12" s="1106" t="e" vm="9">
        <v>#VALUE!</v>
      </c>
      <c r="V12" s="1107" t="e" vm="10">
        <v>#VALUE!</v>
      </c>
      <c r="W12" s="1108">
        <v>318</v>
      </c>
    </row>
    <row r="13" spans="1:23" x14ac:dyDescent="0.2">
      <c r="A13" s="6">
        <v>200</v>
      </c>
      <c r="B13" s="582">
        <f>+_xlfn.XLOOKUP("PLASTICOS"&amp;D13,CODIGOS_Y_COSTOS[ID],CODIGOS_Y_COSTOS[CODIGO],0,0,1)</f>
        <v>0</v>
      </c>
      <c r="D13" s="1216"/>
      <c r="E13" s="638" t="str">
        <f t="shared" si="0"/>
        <v>OK</v>
      </c>
      <c r="F13" s="98">
        <f>+_xlfn.XLOOKUP("PLASTICOS"&amp;D13,CODIGOS_Y_COSTOS[ID],CODIGOS_Y_COSTOS[COSTO],0,0,1)</f>
        <v>0</v>
      </c>
      <c r="H13" s="98">
        <f t="shared" si="1"/>
        <v>0</v>
      </c>
      <c r="I13" s="1"/>
      <c r="J13" s="572">
        <v>298</v>
      </c>
      <c r="K13" s="64">
        <f>+_xlfn.XLOOKUP("PLASTICOS"&amp;J13,CODIGOS_Y_COSTOS[ID],CODIGOS_Y_COSTOS[COSTO],0,0,1)</f>
        <v>213.74440000000001</v>
      </c>
      <c r="L13" s="4" t="s">
        <v>8194</v>
      </c>
      <c r="M13" s="572">
        <v>306</v>
      </c>
      <c r="N13" s="64">
        <f>+_xlfn.XLOOKUP("PLASTICOS"&amp;M13,CODIGOS_Y_COSTOS[ID],CODIGOS_Y_COSTOS[COSTO],0,0,1)</f>
        <v>204.99019999999999</v>
      </c>
      <c r="O13" s="13" t="str">
        <f t="shared" si="3"/>
        <v xml:space="preserve"> - </v>
      </c>
      <c r="Q13" s="9">
        <v>38</v>
      </c>
      <c r="R13" s="1115">
        <v>1036925</v>
      </c>
      <c r="T13" s="1105">
        <v>88</v>
      </c>
      <c r="U13" s="1106" t="e" vm="11">
        <v>#VALUE!</v>
      </c>
      <c r="V13" s="1107" t="e" vm="12">
        <v>#VALUE!</v>
      </c>
      <c r="W13" s="1108">
        <v>161</v>
      </c>
    </row>
    <row r="14" spans="1:23" x14ac:dyDescent="0.2">
      <c r="A14" s="6">
        <v>200</v>
      </c>
      <c r="B14" s="582">
        <f>+_xlfn.XLOOKUP("PLASTICOS"&amp;D14,CODIGOS_Y_COSTOS[ID],CODIGOS_Y_COSTOS[CODIGO],0,0,1)</f>
        <v>0</v>
      </c>
      <c r="D14" s="1216"/>
      <c r="E14" s="638" t="str">
        <f t="shared" si="0"/>
        <v>OK</v>
      </c>
      <c r="F14" s="98">
        <f>+_xlfn.XLOOKUP("PLASTICOS"&amp;D14,CODIGOS_Y_COSTOS[ID],CODIGOS_Y_COSTOS[COSTO],0,0,1)</f>
        <v>0</v>
      </c>
      <c r="H14" s="98">
        <f t="shared" si="1"/>
        <v>0</v>
      </c>
      <c r="I14" s="1"/>
      <c r="J14" s="572">
        <v>61</v>
      </c>
      <c r="K14" s="64">
        <f>+_xlfn.XLOOKUP("PLASTICOS"&amp;J14,CODIGOS_Y_COSTOS[ID],CODIGOS_Y_COSTOS[COSTO],0,0,1)</f>
        <v>211.47</v>
      </c>
      <c r="L14" s="4" t="s">
        <v>8194</v>
      </c>
      <c r="M14" s="572">
        <v>125</v>
      </c>
      <c r="N14" s="64">
        <f>+_xlfn.XLOOKUP("PLASTICOS"&amp;M14,CODIGOS_Y_COSTOS[ID],CODIGOS_Y_COSTOS[COSTO],0,0,1)</f>
        <v>211.47</v>
      </c>
      <c r="O14" s="13" t="str">
        <f t="shared" si="3"/>
        <v xml:space="preserve"> - </v>
      </c>
      <c r="Q14" s="9">
        <v>39</v>
      </c>
      <c r="R14" s="1115">
        <v>898225</v>
      </c>
      <c r="T14" s="1105">
        <v>290</v>
      </c>
      <c r="U14" s="1106" t="e" vm="13">
        <v>#VALUE!</v>
      </c>
      <c r="V14" s="1107" t="e" vm="14">
        <v>#VALUE!</v>
      </c>
      <c r="W14" s="1108">
        <v>15</v>
      </c>
    </row>
    <row r="15" spans="1:23" x14ac:dyDescent="0.2">
      <c r="A15" s="6">
        <v>200</v>
      </c>
      <c r="B15" s="582">
        <f>+_xlfn.XLOOKUP("PLASTICOS"&amp;D15,CODIGOS_Y_COSTOS[ID],CODIGOS_Y_COSTOS[CODIGO],0,0,1)</f>
        <v>0</v>
      </c>
      <c r="D15" s="1216"/>
      <c r="E15" s="638" t="str">
        <f t="shared" si="0"/>
        <v>OK</v>
      </c>
      <c r="F15" s="98">
        <f>+_xlfn.XLOOKUP("PLASTICOS"&amp;D15,CODIGOS_Y_COSTOS[ID],CODIGOS_Y_COSTOS[COSTO],0,0,1)</f>
        <v>0</v>
      </c>
      <c r="H15" s="98">
        <f t="shared" si="1"/>
        <v>0</v>
      </c>
      <c r="I15" s="1"/>
      <c r="J15" s="572">
        <v>123</v>
      </c>
      <c r="K15" s="64">
        <f>+_xlfn.XLOOKUP("PLASTICOS"&amp;J15,CODIGOS_Y_COSTOS[ID],CODIGOS_Y_COSTOS[COSTO],0,0,1)</f>
        <v>129.4675</v>
      </c>
      <c r="L15" s="4" t="s">
        <v>8194</v>
      </c>
      <c r="M15" s="572">
        <v>176</v>
      </c>
      <c r="N15" s="64">
        <f>+_xlfn.XLOOKUP("PLASTICOS"&amp;M15,CODIGOS_Y_COSTOS[ID],CODIGOS_Y_COSTOS[COSTO],0,0,1)</f>
        <v>129.4675</v>
      </c>
      <c r="O15" s="13" t="str">
        <f t="shared" si="3"/>
        <v xml:space="preserve"> - </v>
      </c>
      <c r="R15" s="1346">
        <f>+SUM(R10:R14)</f>
        <v>4499675</v>
      </c>
      <c r="T15"/>
      <c r="W15"/>
    </row>
    <row r="16" spans="1:23" ht="13.5" thickBot="1" x14ac:dyDescent="0.25">
      <c r="A16" s="6">
        <v>200</v>
      </c>
      <c r="B16" s="582">
        <f>+_xlfn.XLOOKUP("PLASTICOS"&amp;D16,CODIGOS_Y_COSTOS[ID],CODIGOS_Y_COSTOS[CODIGO],0,0,1)</f>
        <v>0</v>
      </c>
      <c r="D16" s="1216"/>
      <c r="E16" s="638" t="str">
        <f t="shared" si="0"/>
        <v>OK</v>
      </c>
      <c r="F16" s="98">
        <f>+_xlfn.XLOOKUP("PLASTICOS"&amp;D16,CODIGOS_Y_COSTOS[ID],CODIGOS_Y_COSTOS[COSTO],0,0,1)</f>
        <v>0</v>
      </c>
      <c r="H16" s="98">
        <f t="shared" si="1"/>
        <v>0</v>
      </c>
      <c r="I16" s="1"/>
      <c r="J16" s="1111">
        <v>101</v>
      </c>
      <c r="K16" s="65">
        <f>+_xlfn.XLOOKUP("PLASTICOS"&amp;J16,CODIGOS_Y_COSTOS[ID],CODIGOS_Y_COSTOS[COSTO],0,0,1)</f>
        <v>172.6234</v>
      </c>
      <c r="L16" s="1112" t="s">
        <v>8194</v>
      </c>
      <c r="M16" s="1111">
        <v>20</v>
      </c>
      <c r="N16" s="65">
        <f>+_xlfn.XLOOKUP("PLASTICOS"&amp;M16,CODIGOS_Y_COSTOS[ID],CODIGOS_Y_COSTOS[COSTO],0,0,1)</f>
        <v>159.67660000000001</v>
      </c>
      <c r="O16" s="13" t="str">
        <f t="shared" si="3"/>
        <v xml:space="preserve"> - </v>
      </c>
      <c r="Q16" t="s">
        <v>8200</v>
      </c>
      <c r="R16" t="str" cm="1">
        <f t="array" ref="R16:S16">+_xlfn.TEXTSPLIT(Q16," - ")</f>
        <v>S-001</v>
      </c>
      <c r="S16" t="str">
        <v>200</v>
      </c>
      <c r="T16" s="1105">
        <v>295</v>
      </c>
      <c r="U16" s="1106" t="e" vm="15">
        <v>#VALUE!</v>
      </c>
      <c r="V16" s="1107" t="e" vm="16">
        <v>#VALUE!</v>
      </c>
      <c r="W16" s="1108">
        <v>328</v>
      </c>
    </row>
    <row r="17" spans="1:23" x14ac:dyDescent="0.2">
      <c r="A17" s="6">
        <v>200</v>
      </c>
      <c r="B17" s="582">
        <f>+_xlfn.XLOOKUP("PLASTICOS"&amp;D17,CODIGOS_Y_COSTOS[ID],CODIGOS_Y_COSTOS[CODIGO],0,0,1)</f>
        <v>0</v>
      </c>
      <c r="D17" s="1216"/>
      <c r="E17" s="638" t="str">
        <f t="shared" si="0"/>
        <v>OK</v>
      </c>
      <c r="F17" s="98">
        <f>+_xlfn.XLOOKUP("PLASTICOS"&amp;D17,CODIGOS_Y_COSTOS[ID],CODIGOS_Y_COSTOS[COSTO],0,0,1)</f>
        <v>0</v>
      </c>
      <c r="H17" s="98">
        <f t="shared" si="1"/>
        <v>0</v>
      </c>
      <c r="I17" s="1"/>
      <c r="Q17" t="s">
        <v>8201</v>
      </c>
      <c r="R17" t="str" cm="1">
        <f t="array" ref="R17:S17">+_xlfn.TEXTSPLIT(Q17," - ")</f>
        <v>S-002</v>
      </c>
      <c r="S17" t="str">
        <v>200</v>
      </c>
      <c r="T17" s="1105">
        <v>297</v>
      </c>
      <c r="U17" s="1106" t="e" vm="17">
        <v>#VALUE!</v>
      </c>
      <c r="V17" s="1107" t="e" vm="14">
        <v>#VALUE!</v>
      </c>
      <c r="W17" s="1108">
        <v>15</v>
      </c>
    </row>
    <row r="18" spans="1:23" x14ac:dyDescent="0.2">
      <c r="A18" s="6">
        <v>200</v>
      </c>
      <c r="B18" s="582">
        <f>+_xlfn.XLOOKUP("PLASTICOS"&amp;D18,CODIGOS_Y_COSTOS[ID],CODIGOS_Y_COSTOS[CODIGO],0,0,1)</f>
        <v>0</v>
      </c>
      <c r="D18" s="1216"/>
      <c r="E18" s="638" t="str">
        <f t="shared" si="0"/>
        <v>OK</v>
      </c>
      <c r="F18" s="98">
        <f>+_xlfn.XLOOKUP("PLASTICOS"&amp;D18,CODIGOS_Y_COSTOS[ID],CODIGOS_Y_COSTOS[COSTO],0,0,1)</f>
        <v>0</v>
      </c>
      <c r="H18" s="98">
        <f t="shared" si="1"/>
        <v>0</v>
      </c>
      <c r="I18" s="1"/>
      <c r="Q18" t="s">
        <v>8202</v>
      </c>
      <c r="R18" t="str" cm="1">
        <f t="array" ref="R18:S18">+_xlfn.TEXTSPLIT(Q18," - ")</f>
        <v>S-066</v>
      </c>
      <c r="S18" t="str">
        <v>200</v>
      </c>
      <c r="T18" s="1105">
        <v>298</v>
      </c>
      <c r="U18" s="1106" t="e" vm="18">
        <v>#VALUE!</v>
      </c>
      <c r="V18" s="1107" t="e" vm="19">
        <v>#VALUE!</v>
      </c>
      <c r="W18" s="1108">
        <v>306</v>
      </c>
    </row>
    <row r="19" spans="1:23" x14ac:dyDescent="0.2">
      <c r="A19" s="6">
        <v>200</v>
      </c>
      <c r="B19" s="582">
        <f>+_xlfn.XLOOKUP("PLASTICOS"&amp;D19,CODIGOS_Y_COSTOS[ID],CODIGOS_Y_COSTOS[CODIGO],0,0,1)</f>
        <v>0</v>
      </c>
      <c r="D19" s="1216"/>
      <c r="E19" s="638" t="str">
        <f t="shared" si="0"/>
        <v>OK</v>
      </c>
      <c r="F19" s="98">
        <f>+_xlfn.XLOOKUP("PLASTICOS"&amp;D19,CODIGOS_Y_COSTOS[ID],CODIGOS_Y_COSTOS[COSTO],0,0,1)</f>
        <v>0</v>
      </c>
      <c r="H19" s="98">
        <f t="shared" si="1"/>
        <v>0</v>
      </c>
      <c r="I19" s="1"/>
      <c r="Q19" t="s">
        <v>8203</v>
      </c>
      <c r="R19" t="str" cm="1">
        <f t="array" ref="R19:S19">+_xlfn.TEXTSPLIT(Q19," - ")</f>
        <v>S-010</v>
      </c>
      <c r="S19" t="str">
        <v>200</v>
      </c>
      <c r="T19" s="1105">
        <v>61</v>
      </c>
      <c r="U19" s="1106" t="e" vm="20">
        <v>#VALUE!</v>
      </c>
      <c r="V19" s="1107" t="e" vm="21">
        <v>#VALUE!</v>
      </c>
      <c r="W19" s="1108">
        <v>125</v>
      </c>
    </row>
    <row r="20" spans="1:23" x14ac:dyDescent="0.2">
      <c r="A20" s="6">
        <v>200</v>
      </c>
      <c r="B20" s="582">
        <f>+_xlfn.XLOOKUP("PLASTICOS"&amp;D20,CODIGOS_Y_COSTOS[ID],CODIGOS_Y_COSTOS[CODIGO],0,0,1)</f>
        <v>0</v>
      </c>
      <c r="D20" s="1216"/>
      <c r="E20" s="638" t="str">
        <f t="shared" ref="E20:E25" si="4">+IFERROR(IFERROR(VLOOKUP(D20,$J$3:$J$16,1,0),VLOOKUP(D20,$M$3:$M$16,1,0)),"OK")</f>
        <v>OK</v>
      </c>
      <c r="F20" s="98">
        <f>+_xlfn.XLOOKUP("PLASTICOS"&amp;D20,CODIGOS_Y_COSTOS[ID],CODIGOS_Y_COSTOS[COSTO],0,0,1)</f>
        <v>0</v>
      </c>
      <c r="H20" s="98">
        <f t="shared" si="1"/>
        <v>0</v>
      </c>
      <c r="I20" s="1"/>
      <c r="Q20" t="s">
        <v>8204</v>
      </c>
      <c r="R20" t="str" cm="1">
        <f t="array" ref="R20:S20">+_xlfn.TEXTSPLIT(Q20," - ")</f>
        <v>S-016</v>
      </c>
      <c r="S20" t="str">
        <v>200</v>
      </c>
      <c r="T20" s="1105">
        <v>123</v>
      </c>
      <c r="U20" s="1106" t="e" vm="22">
        <v>#VALUE!</v>
      </c>
      <c r="V20" s="1107" t="e" vm="23">
        <v>#VALUE!</v>
      </c>
      <c r="W20" s="1108">
        <v>176</v>
      </c>
    </row>
    <row r="21" spans="1:23" x14ac:dyDescent="0.2">
      <c r="A21" s="6">
        <v>200</v>
      </c>
      <c r="B21" s="582">
        <f>+_xlfn.XLOOKUP("PLASTICOS"&amp;D21,CODIGOS_Y_COSTOS[ID],CODIGOS_Y_COSTOS[CODIGO],0,0,1)</f>
        <v>0</v>
      </c>
      <c r="D21" s="1216"/>
      <c r="E21" s="638" t="str">
        <f t="shared" si="4"/>
        <v>OK</v>
      </c>
      <c r="F21" s="98">
        <f>+_xlfn.XLOOKUP("PLASTICOS"&amp;D21,CODIGOS_Y_COSTOS[ID],CODIGOS_Y_COSTOS[COSTO],0,0,1)</f>
        <v>0</v>
      </c>
      <c r="H21" s="98">
        <f t="shared" si="1"/>
        <v>0</v>
      </c>
      <c r="I21" s="1"/>
      <c r="Q21" t="s">
        <v>8205</v>
      </c>
      <c r="R21" t="str" cm="1">
        <f t="array" ref="R21:S21">+_xlfn.TEXTSPLIT(Q21," - ")</f>
        <v>S-023</v>
      </c>
      <c r="S21" t="str">
        <v>200</v>
      </c>
      <c r="T21" s="1105">
        <v>101</v>
      </c>
      <c r="U21" s="1106" t="e" vm="24">
        <v>#VALUE!</v>
      </c>
      <c r="V21" s="1107" t="e" vm="25">
        <v>#VALUE!</v>
      </c>
      <c r="W21" s="1108">
        <v>20</v>
      </c>
    </row>
    <row r="22" spans="1:23" x14ac:dyDescent="0.2">
      <c r="A22" s="6">
        <v>200</v>
      </c>
      <c r="B22" s="582">
        <f>+_xlfn.XLOOKUP("PLASTICOS"&amp;D22,CODIGOS_Y_COSTOS[ID],CODIGOS_Y_COSTOS[CODIGO],0,0,1)</f>
        <v>0</v>
      </c>
      <c r="D22" s="1216"/>
      <c r="E22" s="638" t="str">
        <f t="shared" si="4"/>
        <v>OK</v>
      </c>
      <c r="F22" s="98">
        <f>+_xlfn.XLOOKUP("PLASTICOS"&amp;D22,CODIGOS_Y_COSTOS[ID],CODIGOS_Y_COSTOS[COSTO],0,0,1)</f>
        <v>0</v>
      </c>
      <c r="H22" s="98">
        <f t="shared" si="1"/>
        <v>0</v>
      </c>
      <c r="I22" s="1"/>
      <c r="O22">
        <v>7</v>
      </c>
      <c r="Q22" t="s">
        <v>8206</v>
      </c>
      <c r="R22" t="str" cm="1">
        <f t="array" ref="R22:S22">+_xlfn.TEXTSPLIT(Q22," - ")</f>
        <v>S-024</v>
      </c>
      <c r="S22" t="str">
        <v>200</v>
      </c>
      <c r="T22"/>
      <c r="W22"/>
    </row>
    <row r="23" spans="1:23" x14ac:dyDescent="0.2">
      <c r="A23" s="6">
        <v>200</v>
      </c>
      <c r="B23" s="582">
        <f>+_xlfn.XLOOKUP("PLASTICOS"&amp;D23,CODIGOS_Y_COSTOS[ID],CODIGOS_Y_COSTOS[CODIGO],0,0,1)</f>
        <v>0</v>
      </c>
      <c r="D23" s="1216"/>
      <c r="E23" s="638" t="str">
        <f t="shared" si="4"/>
        <v>OK</v>
      </c>
      <c r="F23" s="98">
        <f>+_xlfn.XLOOKUP("PLASTICOS"&amp;D23,CODIGOS_Y_COSTOS[ID],CODIGOS_Y_COSTOS[COSTO],0,0,1)</f>
        <v>0</v>
      </c>
      <c r="H23" s="98">
        <f t="shared" si="1"/>
        <v>0</v>
      </c>
      <c r="I23" s="1"/>
      <c r="O23">
        <v>15</v>
      </c>
      <c r="Q23" t="s">
        <v>8207</v>
      </c>
      <c r="R23" t="str" cm="1">
        <f t="array" ref="R23:S23">+_xlfn.TEXTSPLIT(Q23," - ")</f>
        <v>S-076/A</v>
      </c>
      <c r="S23" t="str">
        <v>200</v>
      </c>
    </row>
    <row r="24" spans="1:23" x14ac:dyDescent="0.2">
      <c r="A24" s="6">
        <v>200</v>
      </c>
      <c r="B24" s="582">
        <f>+_xlfn.XLOOKUP("PLASTICOS"&amp;D24,CODIGOS_Y_COSTOS[ID],CODIGOS_Y_COSTOS[CODIGO],0,0,1)</f>
        <v>0</v>
      </c>
      <c r="D24" s="1216"/>
      <c r="E24" s="638" t="str">
        <f t="shared" si="4"/>
        <v>OK</v>
      </c>
      <c r="F24" s="98">
        <f>+_xlfn.XLOOKUP("PLASTICOS"&amp;D24,CODIGOS_Y_COSTOS[ID],CODIGOS_Y_COSTOS[COSTO],0,0,1)</f>
        <v>0</v>
      </c>
      <c r="H24" s="98">
        <f t="shared" si="1"/>
        <v>0</v>
      </c>
      <c r="I24" s="1"/>
      <c r="O24">
        <v>34</v>
      </c>
      <c r="Q24" t="s">
        <v>8208</v>
      </c>
      <c r="R24" t="str" cm="1">
        <f t="array" ref="R24:S24">+_xlfn.TEXTSPLIT(Q24," - ")</f>
        <v>S-027</v>
      </c>
      <c r="S24" t="str">
        <v>200</v>
      </c>
    </row>
    <row r="25" spans="1:23" x14ac:dyDescent="0.2">
      <c r="A25" s="6">
        <v>200</v>
      </c>
      <c r="B25" s="582">
        <f>+_xlfn.XLOOKUP("PLASTICOS"&amp;D25,CODIGOS_Y_COSTOS[ID],CODIGOS_Y_COSTOS[CODIGO],0,0,1)</f>
        <v>0</v>
      </c>
      <c r="D25" s="1216"/>
      <c r="E25" s="638" t="str">
        <f t="shared" si="4"/>
        <v>OK</v>
      </c>
      <c r="F25" s="98">
        <f>+_xlfn.XLOOKUP("PLASTICOS"&amp;D25,CODIGOS_Y_COSTOS[ID],CODIGOS_Y_COSTOS[COSTO],0,0,1)</f>
        <v>0</v>
      </c>
      <c r="H25" s="98">
        <f t="shared" si="1"/>
        <v>0</v>
      </c>
      <c r="I25" s="1"/>
      <c r="O25">
        <v>47</v>
      </c>
      <c r="Q25" t="s">
        <v>8209</v>
      </c>
      <c r="R25" t="str" cm="1">
        <f t="array" ref="R25:S25">+_xlfn.TEXTSPLIT(Q25," - ")</f>
        <v>S-009</v>
      </c>
      <c r="S25" t="str">
        <v>200</v>
      </c>
    </row>
    <row r="26" spans="1:23" x14ac:dyDescent="0.2">
      <c r="A26" s="6">
        <v>200</v>
      </c>
      <c r="B26" s="582">
        <f>+_xlfn.XLOOKUP("PLASTICOS"&amp;D26,CODIGOS_Y_COSTOS[ID],CODIGOS_Y_COSTOS[CODIGO],0,0,1)</f>
        <v>0</v>
      </c>
      <c r="D26" s="1216"/>
      <c r="E26" s="638" t="str">
        <f t="shared" si="0"/>
        <v>OK</v>
      </c>
      <c r="F26" s="98">
        <f>+_xlfn.XLOOKUP("PLASTICOS"&amp;D26,CODIGOS_Y_COSTOS[ID],CODIGOS_Y_COSTOS[COSTO],0,0,1)</f>
        <v>0</v>
      </c>
      <c r="H26" s="98">
        <f t="shared" si="1"/>
        <v>0</v>
      </c>
      <c r="I26" s="1"/>
      <c r="O26">
        <v>48</v>
      </c>
      <c r="Q26" t="s">
        <v>8210</v>
      </c>
      <c r="R26" t="str" cm="1">
        <f t="array" ref="R26:S26">+_xlfn.TEXTSPLIT(Q26," - ")</f>
        <v>S-131</v>
      </c>
      <c r="S26" t="str">
        <v>200</v>
      </c>
    </row>
    <row r="27" spans="1:23" x14ac:dyDescent="0.2">
      <c r="A27" s="6">
        <v>100</v>
      </c>
      <c r="B27" s="582">
        <f>+_xlfn.XLOOKUP("PLASTICOS"&amp;D27,CODIGOS_Y_COSTOS[ID],CODIGOS_Y_COSTOS[CODIGO],0,0,1)</f>
        <v>0</v>
      </c>
      <c r="D27" s="1216"/>
      <c r="E27" s="638" t="str">
        <f t="shared" si="0"/>
        <v>OK</v>
      </c>
      <c r="F27" s="98">
        <f>+_xlfn.XLOOKUP("PLASTICOS"&amp;D27,CODIGOS_Y_COSTOS[ID],CODIGOS_Y_COSTOS[COSTO],0,0,1)</f>
        <v>0</v>
      </c>
      <c r="H27" s="98">
        <f t="shared" si="1"/>
        <v>0</v>
      </c>
      <c r="I27" s="1"/>
      <c r="J27" t="s">
        <v>8211</v>
      </c>
      <c r="K27" s="61">
        <f>+H2*1.21</f>
        <v>411085.61780000001</v>
      </c>
      <c r="O27">
        <v>62</v>
      </c>
      <c r="Q27" t="s">
        <v>8212</v>
      </c>
      <c r="R27" t="str" cm="1">
        <f t="array" ref="R27:S27">+_xlfn.TEXTSPLIT(Q27," - ")</f>
        <v>S-038</v>
      </c>
      <c r="S27" t="str">
        <v>200</v>
      </c>
    </row>
    <row r="28" spans="1:23" x14ac:dyDescent="0.2">
      <c r="A28" s="6">
        <v>100</v>
      </c>
      <c r="B28" s="582">
        <f>+_xlfn.XLOOKUP("PLASTICOS"&amp;D28,CODIGOS_Y_COSTOS[ID],CODIGOS_Y_COSTOS[CODIGO],0,0,1)</f>
        <v>0</v>
      </c>
      <c r="D28" s="1216"/>
      <c r="E28" s="638" t="str">
        <f t="shared" si="0"/>
        <v>OK</v>
      </c>
      <c r="F28" s="98">
        <f>+_xlfn.XLOOKUP("PLASTICOS"&amp;D28,CODIGOS_Y_COSTOS[ID],CODIGOS_Y_COSTOS[COSTO],0,0,1)</f>
        <v>0</v>
      </c>
      <c r="H28" s="98">
        <f t="shared" si="1"/>
        <v>0</v>
      </c>
      <c r="I28" s="1"/>
      <c r="O28">
        <v>92</v>
      </c>
      <c r="Q28" t="s">
        <v>8213</v>
      </c>
      <c r="R28" t="str" cm="1">
        <f t="array" ref="R28:S28">+_xlfn.TEXTSPLIT(Q28," - ")</f>
        <v>S-084</v>
      </c>
      <c r="S28" t="str">
        <v>200</v>
      </c>
    </row>
    <row r="29" spans="1:23" x14ac:dyDescent="0.2">
      <c r="A29" s="6">
        <v>200</v>
      </c>
      <c r="B29" s="582">
        <f>+_xlfn.XLOOKUP("PLASTICOS"&amp;D29,CODIGOS_Y_COSTOS[ID],CODIGOS_Y_COSTOS[CODIGO],0,0,1)</f>
        <v>0</v>
      </c>
      <c r="D29" s="1216"/>
      <c r="E29" s="638" t="str">
        <f t="shared" si="0"/>
        <v>OK</v>
      </c>
      <c r="F29" s="98">
        <f>+_xlfn.XLOOKUP("PLASTICOS"&amp;D29,CODIGOS_Y_COSTOS[ID],CODIGOS_Y_COSTOS[COSTO],0,0,1)</f>
        <v>0</v>
      </c>
      <c r="H29" s="98">
        <f t="shared" si="1"/>
        <v>0</v>
      </c>
      <c r="I29" s="1"/>
      <c r="K29" s="1"/>
      <c r="O29">
        <v>124</v>
      </c>
      <c r="Q29" t="s">
        <v>8214</v>
      </c>
      <c r="R29" t="str" cm="1">
        <f t="array" ref="R29:S29">+_xlfn.TEXTSPLIT(Q29," - ")</f>
        <v>S-079</v>
      </c>
      <c r="S29" t="str">
        <v>200</v>
      </c>
    </row>
    <row r="30" spans="1:23" x14ac:dyDescent="0.2">
      <c r="A30" s="6">
        <v>100</v>
      </c>
      <c r="B30" s="582">
        <f>+_xlfn.XLOOKUP("PLASTICOS"&amp;D30,CODIGOS_Y_COSTOS[ID],CODIGOS_Y_COSTOS[CODIGO],0,0,1)</f>
        <v>0</v>
      </c>
      <c r="D30" s="1216"/>
      <c r="E30" s="638" t="str">
        <f t="shared" si="0"/>
        <v>OK</v>
      </c>
      <c r="F30" s="98">
        <f>+_xlfn.XLOOKUP("PLASTICOS"&amp;D30,CODIGOS_Y_COSTOS[ID],CODIGOS_Y_COSTOS[COSTO],0,0,1)</f>
        <v>0</v>
      </c>
      <c r="H30" s="98">
        <f t="shared" si="1"/>
        <v>0</v>
      </c>
      <c r="I30" s="1"/>
      <c r="O30">
        <v>125</v>
      </c>
      <c r="Q30" t="s">
        <v>8215</v>
      </c>
      <c r="R30" t="str" cm="1">
        <f t="array" ref="R30:S30">+_xlfn.TEXTSPLIT(Q30," - ")</f>
        <v>S-047</v>
      </c>
      <c r="S30" t="str">
        <v>200</v>
      </c>
    </row>
    <row r="31" spans="1:23" x14ac:dyDescent="0.2">
      <c r="A31" s="6">
        <v>200</v>
      </c>
      <c r="B31" s="582">
        <f>+_xlfn.XLOOKUP("PLASTICOS"&amp;D31,CODIGOS_Y_COSTOS[ID],CODIGOS_Y_COSTOS[CODIGO],0,0,1)</f>
        <v>0</v>
      </c>
      <c r="D31" s="1216"/>
      <c r="E31" s="638" t="str">
        <f t="shared" si="0"/>
        <v>OK</v>
      </c>
      <c r="F31" s="98">
        <f>+_xlfn.XLOOKUP("PLASTICOS"&amp;D31,CODIGOS_Y_COSTOS[ID],CODIGOS_Y_COSTOS[COSTO],0,0,1)</f>
        <v>0</v>
      </c>
      <c r="H31" s="98">
        <f t="shared" si="1"/>
        <v>0</v>
      </c>
      <c r="I31" s="1"/>
      <c r="J31" s="388"/>
      <c r="O31">
        <v>134</v>
      </c>
      <c r="Q31" t="s">
        <v>8216</v>
      </c>
      <c r="R31" t="str" cm="1">
        <f t="array" ref="R31:S31">+_xlfn.TEXTSPLIT(Q31," - ")</f>
        <v>S-049</v>
      </c>
      <c r="S31" t="str">
        <v>200</v>
      </c>
    </row>
    <row r="32" spans="1:23" x14ac:dyDescent="0.2">
      <c r="A32" s="6">
        <v>200</v>
      </c>
      <c r="B32" s="582">
        <f>+_xlfn.XLOOKUP("PLASTICOS"&amp;D32,CODIGOS_Y_COSTOS[ID],CODIGOS_Y_COSTOS[CODIGO],0,0,1)</f>
        <v>0</v>
      </c>
      <c r="D32" s="1216"/>
      <c r="E32" s="638" t="str">
        <f t="shared" si="0"/>
        <v>OK</v>
      </c>
      <c r="F32" s="98">
        <f>+_xlfn.XLOOKUP("PLASTICOS"&amp;D32,CODIGOS_Y_COSTOS[ID],CODIGOS_Y_COSTOS[COSTO],0,0,1)</f>
        <v>0</v>
      </c>
      <c r="H32" s="98">
        <f t="shared" si="1"/>
        <v>0</v>
      </c>
      <c r="I32" s="1"/>
      <c r="O32">
        <v>149</v>
      </c>
      <c r="Q32" t="s">
        <v>8217</v>
      </c>
      <c r="R32" t="str" cm="1">
        <f t="array" ref="R32:S32">+_xlfn.TEXTSPLIT(Q32," - ")</f>
        <v>S-106</v>
      </c>
      <c r="S32" t="str">
        <v>100</v>
      </c>
    </row>
    <row r="33" spans="1:19" x14ac:dyDescent="0.2">
      <c r="A33" s="6">
        <v>100</v>
      </c>
      <c r="B33" s="582">
        <f>+_xlfn.XLOOKUP("PLASTICOS"&amp;D33,CODIGOS_Y_COSTOS[ID],CODIGOS_Y_COSTOS[CODIGO],0,0,1)</f>
        <v>0</v>
      </c>
      <c r="D33" s="1216"/>
      <c r="E33" s="638" t="str">
        <f t="shared" si="0"/>
        <v>OK</v>
      </c>
      <c r="F33" s="98">
        <f>+_xlfn.XLOOKUP("PLASTICOS"&amp;D33,CODIGOS_Y_COSTOS[ID],CODIGOS_Y_COSTOS[COSTO],0,0,1)</f>
        <v>0</v>
      </c>
      <c r="H33" s="98">
        <f t="shared" si="1"/>
        <v>0</v>
      </c>
      <c r="I33" s="1"/>
      <c r="O33">
        <v>150</v>
      </c>
      <c r="Q33" t="s">
        <v>8218</v>
      </c>
      <c r="R33" t="str" cm="1">
        <f t="array" ref="R33:S33">+_xlfn.TEXTSPLIT(Q33," - ")</f>
        <v>S-042</v>
      </c>
      <c r="S33" t="str">
        <v>200</v>
      </c>
    </row>
    <row r="34" spans="1:19" x14ac:dyDescent="0.2">
      <c r="A34" s="6">
        <v>100</v>
      </c>
      <c r="B34" s="582">
        <f>+_xlfn.XLOOKUP("PLASTICOS"&amp;D34,CODIGOS_Y_COSTOS[ID],CODIGOS_Y_COSTOS[CODIGO],0,0,1)</f>
        <v>0</v>
      </c>
      <c r="D34" s="1216"/>
      <c r="E34" s="638" t="str">
        <f t="shared" si="0"/>
        <v>OK</v>
      </c>
      <c r="F34" s="98">
        <f>+_xlfn.XLOOKUP("PLASTICOS"&amp;D34,CODIGOS_Y_COSTOS[ID],CODIGOS_Y_COSTOS[COSTO],0,0,1)</f>
        <v>0</v>
      </c>
      <c r="H34" s="98">
        <f t="shared" si="1"/>
        <v>0</v>
      </c>
      <c r="I34" s="1"/>
      <c r="O34">
        <v>157</v>
      </c>
      <c r="Q34" t="s">
        <v>8219</v>
      </c>
      <c r="R34" t="str" cm="1">
        <f t="array" ref="R34:S34">+_xlfn.TEXTSPLIT(Q34," - ")</f>
        <v>S-052</v>
      </c>
      <c r="S34" t="str">
        <v>200</v>
      </c>
    </row>
    <row r="35" spans="1:19" x14ac:dyDescent="0.2">
      <c r="A35" s="6">
        <v>100</v>
      </c>
      <c r="B35" s="582">
        <f>+_xlfn.XLOOKUP("PLASTICOS"&amp;D35,CODIGOS_Y_COSTOS[ID],CODIGOS_Y_COSTOS[CODIGO],0,0,1)</f>
        <v>0</v>
      </c>
      <c r="D35" s="1216"/>
      <c r="E35" s="638" t="str">
        <f t="shared" ref="E35:E66" si="5">+IFERROR(IFERROR(VLOOKUP(D35,$J$3:$J$16,1,0),VLOOKUP(D35,$M$3:$M$16,1,0)),"OK")</f>
        <v>OK</v>
      </c>
      <c r="F35" s="98">
        <f>+_xlfn.XLOOKUP("PLASTICOS"&amp;D35,CODIGOS_Y_COSTOS[ID],CODIGOS_Y_COSTOS[COSTO],0,0,1)</f>
        <v>0</v>
      </c>
      <c r="H35" s="98">
        <f>+F35*A35</f>
        <v>0</v>
      </c>
      <c r="I35" s="1"/>
      <c r="K35" s="1">
        <f>+SUMIFS(H3:H356,B3:B356,"F-"&amp;"*")*1.21</f>
        <v>332632.24280000007</v>
      </c>
      <c r="L35" t="s">
        <v>16</v>
      </c>
      <c r="N35" s="13">
        <f>+COUNTIFS(B3:B356,"F-"&amp;"*")</f>
        <v>7</v>
      </c>
      <c r="O35">
        <v>158</v>
      </c>
      <c r="Q35" t="s">
        <v>8220</v>
      </c>
      <c r="R35" t="str" cm="1">
        <f t="array" ref="R35:S35">+_xlfn.TEXTSPLIT(Q35," - ")</f>
        <v>S-044</v>
      </c>
      <c r="S35" t="str">
        <v>200</v>
      </c>
    </row>
    <row r="36" spans="1:19" x14ac:dyDescent="0.2">
      <c r="A36" s="6">
        <v>200</v>
      </c>
      <c r="B36" s="582">
        <f>+_xlfn.XLOOKUP("PLASTICOS"&amp;D36,CODIGOS_Y_COSTOS[ID],CODIGOS_Y_COSTOS[CODIGO],0,0,1)</f>
        <v>0</v>
      </c>
      <c r="D36" s="1216"/>
      <c r="E36" s="638" t="str">
        <f t="shared" si="5"/>
        <v>OK</v>
      </c>
      <c r="F36" s="98">
        <f>+_xlfn.XLOOKUP("PLASTICOS"&amp;D36,CODIGOS_Y_COSTOS[ID],CODIGOS_Y_COSTOS[COSTO],0,0,1)</f>
        <v>0</v>
      </c>
      <c r="H36" s="98">
        <f>+F36*A36</f>
        <v>0</v>
      </c>
      <c r="I36" s="1"/>
      <c r="K36" s="1">
        <f>+SUMIFS(H3:H356,B3:B356,"S-"&amp;"*")*1.21</f>
        <v>78453.375</v>
      </c>
      <c r="L36" t="s">
        <v>8221</v>
      </c>
      <c r="N36" s="13">
        <f>+COUNTIFS(B3:B356,"S-"&amp;"*")</f>
        <v>1</v>
      </c>
      <c r="O36">
        <v>206</v>
      </c>
      <c r="Q36" t="s">
        <v>8222</v>
      </c>
      <c r="R36" t="str" cm="1">
        <f t="array" ref="R36:S36">+_xlfn.TEXTSPLIT(Q36," - ")</f>
        <v>S-011</v>
      </c>
      <c r="S36" t="str">
        <v>200</v>
      </c>
    </row>
    <row r="37" spans="1:19" x14ac:dyDescent="0.2">
      <c r="A37" s="6">
        <v>100</v>
      </c>
      <c r="B37" s="582">
        <f>+_xlfn.XLOOKUP("PLASTICOS"&amp;D37,CODIGOS_Y_COSTOS[ID],CODIGOS_Y_COSTOS[CODIGO],0,0,1)</f>
        <v>0</v>
      </c>
      <c r="D37" s="1216"/>
      <c r="E37" s="638" t="str">
        <f t="shared" si="5"/>
        <v>OK</v>
      </c>
      <c r="F37" s="98">
        <f>+_xlfn.XLOOKUP("PLASTICOS"&amp;D37,CODIGOS_Y_COSTOS[ID],CODIGOS_Y_COSTOS[COSTO],0,0,1)</f>
        <v>0</v>
      </c>
      <c r="H37" s="98">
        <f>+F37*A37</f>
        <v>0</v>
      </c>
      <c r="I37" s="1"/>
      <c r="N37" s="32">
        <f>+N35+N36</f>
        <v>8</v>
      </c>
      <c r="O37">
        <v>208</v>
      </c>
      <c r="Q37" t="s">
        <v>8223</v>
      </c>
      <c r="R37" t="str" cm="1">
        <f t="array" ref="R37:S37">+_xlfn.TEXTSPLIT(Q37," - ")</f>
        <v>S-075</v>
      </c>
      <c r="S37" t="str">
        <v>200</v>
      </c>
    </row>
    <row r="38" spans="1:19" x14ac:dyDescent="0.2">
      <c r="A38" s="6">
        <v>200</v>
      </c>
      <c r="B38" s="582">
        <f>+_xlfn.XLOOKUP("PLASTICOS"&amp;D38,CODIGOS_Y_COSTOS[ID],CODIGOS_Y_COSTOS[CODIGO],0,0,1)</f>
        <v>0</v>
      </c>
      <c r="D38" s="1216"/>
      <c r="E38" s="638" t="str">
        <f t="shared" si="5"/>
        <v>OK</v>
      </c>
      <c r="F38" s="98">
        <f>+_xlfn.XLOOKUP("PLASTICOS"&amp;D38,CODIGOS_Y_COSTOS[ID],CODIGOS_Y_COSTOS[COSTO],0,0,1)</f>
        <v>0</v>
      </c>
      <c r="H38" s="98">
        <f>+F38*A38</f>
        <v>0</v>
      </c>
      <c r="I38" s="1"/>
      <c r="O38">
        <v>218</v>
      </c>
      <c r="Q38" t="s">
        <v>8224</v>
      </c>
      <c r="R38" t="str" cm="1">
        <f t="array" ref="R38:S38">+_xlfn.TEXTSPLIT(Q38," - ")</f>
        <v>S-082</v>
      </c>
      <c r="S38" t="str">
        <v>200</v>
      </c>
    </row>
    <row r="39" spans="1:19" x14ac:dyDescent="0.2">
      <c r="A39" s="6">
        <v>200</v>
      </c>
      <c r="B39" s="582">
        <f>+_xlfn.XLOOKUP("PLASTICOS"&amp;D39,CODIGOS_Y_COSTOS[ID],CODIGOS_Y_COSTOS[CODIGO],0,0,1)</f>
        <v>0</v>
      </c>
      <c r="D39" s="1216"/>
      <c r="E39" s="638" t="str">
        <f t="shared" si="5"/>
        <v>OK</v>
      </c>
      <c r="F39" s="98">
        <f>+_xlfn.XLOOKUP("PLASTICOS"&amp;D39,CODIGOS_Y_COSTOS[ID],CODIGOS_Y_COSTOS[COSTO],0,0,1)</f>
        <v>0</v>
      </c>
      <c r="H39" s="98">
        <f>+F39*A39</f>
        <v>0</v>
      </c>
      <c r="I39" s="1"/>
      <c r="O39">
        <v>235</v>
      </c>
      <c r="Q39" t="s">
        <v>8225</v>
      </c>
      <c r="R39" t="str" cm="1">
        <f t="array" ref="R39:S39">+_xlfn.TEXTSPLIT(Q39," - ")</f>
        <v>S-103</v>
      </c>
      <c r="S39" t="str">
        <v>200</v>
      </c>
    </row>
    <row r="40" spans="1:19" x14ac:dyDescent="0.2">
      <c r="A40" s="6">
        <v>200</v>
      </c>
      <c r="B40" s="582">
        <f>+_xlfn.XLOOKUP("PLASTICOS"&amp;D40,CODIGOS_Y_COSTOS[ID],CODIGOS_Y_COSTOS[CODIGO],0,0,1)</f>
        <v>0</v>
      </c>
      <c r="D40" s="1216"/>
      <c r="E40" s="638" t="str">
        <f t="shared" si="5"/>
        <v>OK</v>
      </c>
      <c r="F40" s="98">
        <f>+_xlfn.XLOOKUP("PLASTICOS"&amp;D40,CODIGOS_Y_COSTOS[ID],CODIGOS_Y_COSTOS[COSTO],0,0,1)</f>
        <v>0</v>
      </c>
      <c r="H40" s="98">
        <f t="shared" ref="H40:H54" si="6">+F40*A40</f>
        <v>0</v>
      </c>
      <c r="I40" s="1"/>
      <c r="O40">
        <v>227</v>
      </c>
      <c r="Q40" t="s">
        <v>8226</v>
      </c>
      <c r="R40" t="str" cm="1">
        <f t="array" ref="R40:S40">+_xlfn.TEXTSPLIT(Q40," - ")</f>
        <v>S-198</v>
      </c>
      <c r="S40" t="str">
        <v>200</v>
      </c>
    </row>
    <row r="41" spans="1:19" x14ac:dyDescent="0.2">
      <c r="A41" s="6">
        <v>200</v>
      </c>
      <c r="B41" s="582">
        <f>+_xlfn.XLOOKUP("PLASTICOS"&amp;D41,CODIGOS_Y_COSTOS[ID],CODIGOS_Y_COSTOS[CODIGO],0,0,1)</f>
        <v>0</v>
      </c>
      <c r="D41" s="1216"/>
      <c r="E41" s="638" t="str">
        <f t="shared" si="5"/>
        <v>OK</v>
      </c>
      <c r="F41" s="98">
        <f>+_xlfn.XLOOKUP("PLASTICOS"&amp;D41,CODIGOS_Y_COSTOS[ID],CODIGOS_Y_COSTOS[COSTO],0,0,1)</f>
        <v>0</v>
      </c>
      <c r="H41" s="98">
        <f t="shared" si="6"/>
        <v>0</v>
      </c>
      <c r="I41" s="1"/>
      <c r="O41">
        <v>248</v>
      </c>
      <c r="Q41" t="s">
        <v>8227</v>
      </c>
      <c r="R41" t="str" cm="1">
        <f t="array" ref="R41:S41">+_xlfn.TEXTSPLIT(Q41," - ")</f>
        <v>S-195</v>
      </c>
      <c r="S41" t="str">
        <v>200</v>
      </c>
    </row>
    <row r="42" spans="1:19" x14ac:dyDescent="0.2">
      <c r="A42" s="6">
        <v>200</v>
      </c>
      <c r="B42" s="582">
        <f>+_xlfn.XLOOKUP("PLASTICOS"&amp;D42,CODIGOS_Y_COSTOS[ID],CODIGOS_Y_COSTOS[CODIGO],0,0,1)</f>
        <v>0</v>
      </c>
      <c r="D42" s="1216"/>
      <c r="E42" s="638" t="str">
        <f t="shared" si="5"/>
        <v>OK</v>
      </c>
      <c r="F42" s="98">
        <f>+_xlfn.XLOOKUP("PLASTICOS"&amp;D42,CODIGOS_Y_COSTOS[ID],CODIGOS_Y_COSTOS[COSTO],0,0,1)</f>
        <v>0</v>
      </c>
      <c r="H42" s="98">
        <f t="shared" si="6"/>
        <v>0</v>
      </c>
      <c r="I42" s="1"/>
      <c r="O42">
        <v>265</v>
      </c>
      <c r="Q42" t="s">
        <v>8228</v>
      </c>
      <c r="R42" t="str" cm="1">
        <f t="array" ref="R42:S42">+_xlfn.TEXTSPLIT(Q42," - ")</f>
        <v>S-017</v>
      </c>
      <c r="S42" t="str">
        <v>200</v>
      </c>
    </row>
    <row r="43" spans="1:19" x14ac:dyDescent="0.2">
      <c r="A43" s="6">
        <v>200</v>
      </c>
      <c r="B43" s="582">
        <f>+_xlfn.XLOOKUP("PLASTICOS"&amp;D43,CODIGOS_Y_COSTOS[ID],CODIGOS_Y_COSTOS[CODIGO],0,0,1)</f>
        <v>0</v>
      </c>
      <c r="D43" s="1216"/>
      <c r="E43" s="638" t="str">
        <f t="shared" si="5"/>
        <v>OK</v>
      </c>
      <c r="F43" s="98">
        <f>+_xlfn.XLOOKUP("PLASTICOS"&amp;D43,CODIGOS_Y_COSTOS[ID],CODIGOS_Y_COSTOS[COSTO],0,0,1)</f>
        <v>0</v>
      </c>
      <c r="H43" s="98">
        <f t="shared" si="6"/>
        <v>0</v>
      </c>
      <c r="I43" s="1"/>
      <c r="O43">
        <v>269</v>
      </c>
      <c r="Q43" t="s">
        <v>8229</v>
      </c>
      <c r="R43" t="str" cm="1">
        <f t="array" ref="R43:S43">+_xlfn.TEXTSPLIT(Q43," - ")</f>
        <v>S-165</v>
      </c>
      <c r="S43" t="str">
        <v>200</v>
      </c>
    </row>
    <row r="44" spans="1:19" x14ac:dyDescent="0.2">
      <c r="A44" s="6">
        <v>200</v>
      </c>
      <c r="B44" s="582">
        <f>+_xlfn.XLOOKUP("PLASTICOS"&amp;D44,CODIGOS_Y_COSTOS[ID],CODIGOS_Y_COSTOS[CODIGO],0,0,1)</f>
        <v>0</v>
      </c>
      <c r="D44" s="1216"/>
      <c r="E44" s="638" t="str">
        <f t="shared" si="5"/>
        <v>OK</v>
      </c>
      <c r="F44" s="98">
        <f>+_xlfn.XLOOKUP("PLASTICOS"&amp;D44,CODIGOS_Y_COSTOS[ID],CODIGOS_Y_COSTOS[COSTO],0,0,1)</f>
        <v>0</v>
      </c>
      <c r="H44" s="98">
        <f t="shared" si="6"/>
        <v>0</v>
      </c>
      <c r="I44" s="1"/>
      <c r="O44">
        <v>285</v>
      </c>
      <c r="Q44" t="s">
        <v>8230</v>
      </c>
      <c r="R44" t="str" cm="1">
        <f t="array" ref="R44:S44">+_xlfn.TEXTSPLIT(Q44," - ")</f>
        <v>S-207</v>
      </c>
      <c r="S44" t="str">
        <v>200</v>
      </c>
    </row>
    <row r="45" spans="1:19" x14ac:dyDescent="0.2">
      <c r="A45" s="6">
        <v>200</v>
      </c>
      <c r="B45" s="582">
        <f>+_xlfn.XLOOKUP("PLASTICOS"&amp;D45,CODIGOS_Y_COSTOS[ID],CODIGOS_Y_COSTOS[CODIGO],0,0,1)</f>
        <v>0</v>
      </c>
      <c r="D45" s="1216"/>
      <c r="E45" s="638" t="str">
        <f t="shared" si="5"/>
        <v>OK</v>
      </c>
      <c r="F45" s="98">
        <f>+_xlfn.XLOOKUP("PLASTICOS"&amp;D45,CODIGOS_Y_COSTOS[ID],CODIGOS_Y_COSTOS[COSTO],0,0,1)</f>
        <v>0</v>
      </c>
      <c r="H45" s="98">
        <f t="shared" si="6"/>
        <v>0</v>
      </c>
      <c r="I45" s="1"/>
      <c r="O45">
        <v>292</v>
      </c>
      <c r="Q45" t="s">
        <v>8231</v>
      </c>
      <c r="R45" t="str" cm="1">
        <f t="array" ref="R45:S45">+_xlfn.TEXTSPLIT(Q45," - ")</f>
        <v>S-140</v>
      </c>
      <c r="S45" t="str">
        <v>200</v>
      </c>
    </row>
    <row r="46" spans="1:19" x14ac:dyDescent="0.2">
      <c r="A46" s="6">
        <v>200</v>
      </c>
      <c r="B46" s="582">
        <f>+_xlfn.XLOOKUP("PLASTICOS"&amp;D46,CODIGOS_Y_COSTOS[ID],CODIGOS_Y_COSTOS[CODIGO],0,0,1)</f>
        <v>0</v>
      </c>
      <c r="D46" s="1216"/>
      <c r="E46" s="638" t="str">
        <f t="shared" si="5"/>
        <v>OK</v>
      </c>
      <c r="F46" s="98">
        <f>+_xlfn.XLOOKUP("PLASTICOS"&amp;D46,CODIGOS_Y_COSTOS[ID],CODIGOS_Y_COSTOS[COSTO],0,0,1)</f>
        <v>0</v>
      </c>
      <c r="H46" s="98">
        <f t="shared" si="6"/>
        <v>0</v>
      </c>
      <c r="I46" s="1"/>
      <c r="O46">
        <v>294</v>
      </c>
      <c r="Q46" t="s">
        <v>8232</v>
      </c>
      <c r="R46" t="str" cm="1">
        <f t="array" ref="R46:S46">+_xlfn.TEXTSPLIT(Q46," - ")</f>
        <v>S-004</v>
      </c>
      <c r="S46" t="str">
        <v>200</v>
      </c>
    </row>
    <row r="47" spans="1:19" x14ac:dyDescent="0.2">
      <c r="A47" s="6">
        <v>200</v>
      </c>
      <c r="B47" s="582">
        <f>+_xlfn.XLOOKUP("PLASTICOS"&amp;D47,CODIGOS_Y_COSTOS[ID],CODIGOS_Y_COSTOS[CODIGO],0,0,1)</f>
        <v>0</v>
      </c>
      <c r="D47" s="1216"/>
      <c r="E47" s="638" t="str">
        <f t="shared" si="5"/>
        <v>OK</v>
      </c>
      <c r="F47" s="98">
        <f>+_xlfn.XLOOKUP("PLASTICOS"&amp;D47,CODIGOS_Y_COSTOS[ID],CODIGOS_Y_COSTOS[COSTO],0,0,1)</f>
        <v>0</v>
      </c>
      <c r="H47" s="98">
        <f t="shared" si="6"/>
        <v>0</v>
      </c>
      <c r="I47" s="1"/>
      <c r="O47">
        <v>295</v>
      </c>
      <c r="Q47" t="s">
        <v>8233</v>
      </c>
      <c r="R47" t="str" cm="1">
        <f t="array" ref="R47:S47">+_xlfn.TEXTSPLIT(Q47," - ")</f>
        <v>S-087</v>
      </c>
      <c r="S47" t="str">
        <v>200</v>
      </c>
    </row>
    <row r="48" spans="1:19" x14ac:dyDescent="0.2">
      <c r="A48" s="6">
        <v>200</v>
      </c>
      <c r="B48" s="582">
        <f>+_xlfn.XLOOKUP("PLASTICOS"&amp;D48,CODIGOS_Y_COSTOS[ID],CODIGOS_Y_COSTOS[CODIGO],0,0,1)</f>
        <v>0</v>
      </c>
      <c r="D48" s="1216"/>
      <c r="E48" s="638" t="str">
        <f t="shared" si="5"/>
        <v>OK</v>
      </c>
      <c r="F48" s="98">
        <f>+_xlfn.XLOOKUP("PLASTICOS"&amp;D48,CODIGOS_Y_COSTOS[ID],CODIGOS_Y_COSTOS[COSTO],0,0,1)</f>
        <v>0</v>
      </c>
      <c r="H48" s="98">
        <f t="shared" si="6"/>
        <v>0</v>
      </c>
      <c r="I48" s="1"/>
      <c r="O48">
        <v>322</v>
      </c>
      <c r="Q48" t="s">
        <v>8234</v>
      </c>
      <c r="R48" t="str" cm="1">
        <f t="array" ref="R48:S48">+_xlfn.TEXTSPLIT(Q48," - ")</f>
        <v>S-058</v>
      </c>
      <c r="S48" t="str">
        <v>100</v>
      </c>
    </row>
    <row r="49" spans="1:19" x14ac:dyDescent="0.2">
      <c r="A49" s="6">
        <v>200</v>
      </c>
      <c r="B49" s="582">
        <f>+_xlfn.XLOOKUP("PLASTICOS"&amp;D49,CODIGOS_Y_COSTOS[ID],CODIGOS_Y_COSTOS[CODIGO],0,0,1)</f>
        <v>0</v>
      </c>
      <c r="D49" s="1216"/>
      <c r="E49" s="638" t="str">
        <f t="shared" si="5"/>
        <v>OK</v>
      </c>
      <c r="F49" s="98">
        <f>+_xlfn.XLOOKUP("PLASTICOS"&amp;D49,CODIGOS_Y_COSTOS[ID],CODIGOS_Y_COSTOS[COSTO],0,0,1)</f>
        <v>0</v>
      </c>
      <c r="H49" s="98">
        <f t="shared" si="6"/>
        <v>0</v>
      </c>
      <c r="I49" s="1"/>
      <c r="O49">
        <v>341</v>
      </c>
      <c r="Q49" t="s">
        <v>8235</v>
      </c>
      <c r="R49" t="str" cm="1">
        <f t="array" ref="R49:S49">+_xlfn.TEXTSPLIT(Q49," - ")</f>
        <v>S-298</v>
      </c>
      <c r="S49" t="str">
        <v>200</v>
      </c>
    </row>
    <row r="50" spans="1:19" x14ac:dyDescent="0.2">
      <c r="A50" s="6">
        <v>200</v>
      </c>
      <c r="B50" s="582">
        <f>+_xlfn.XLOOKUP("PLASTICOS"&amp;D50,CODIGOS_Y_COSTOS[ID],CODIGOS_Y_COSTOS[CODIGO],0,0,1)</f>
        <v>0</v>
      </c>
      <c r="D50" s="1216"/>
      <c r="E50" s="638" t="str">
        <f t="shared" si="5"/>
        <v>OK</v>
      </c>
      <c r="F50" s="98">
        <f>+_xlfn.XLOOKUP("PLASTICOS"&amp;D50,CODIGOS_Y_COSTOS[ID],CODIGOS_Y_COSTOS[COSTO],0,0,1)</f>
        <v>0</v>
      </c>
      <c r="H50" s="98">
        <f t="shared" si="6"/>
        <v>0</v>
      </c>
      <c r="I50" s="1"/>
      <c r="O50">
        <v>342</v>
      </c>
      <c r="Q50" t="s">
        <v>8236</v>
      </c>
      <c r="R50" t="str" cm="1">
        <f t="array" ref="R50:S50">+_xlfn.TEXTSPLIT(Q50," - ")</f>
        <v>S-291</v>
      </c>
      <c r="S50" t="str">
        <v>200</v>
      </c>
    </row>
    <row r="51" spans="1:19" x14ac:dyDescent="0.2">
      <c r="A51" s="6">
        <v>200</v>
      </c>
      <c r="B51" s="582">
        <f>+_xlfn.XLOOKUP("PLASTICOS"&amp;D51,CODIGOS_Y_COSTOS[ID],CODIGOS_Y_COSTOS[CODIGO],0,0,1)</f>
        <v>0</v>
      </c>
      <c r="D51" s="1216"/>
      <c r="E51" s="638" t="str">
        <f t="shared" si="5"/>
        <v>OK</v>
      </c>
      <c r="F51" s="98">
        <f>+_xlfn.XLOOKUP("PLASTICOS"&amp;D51,CODIGOS_Y_COSTOS[ID],CODIGOS_Y_COSTOS[COSTO],0,0,1)</f>
        <v>0</v>
      </c>
      <c r="H51" s="98">
        <f t="shared" si="6"/>
        <v>0</v>
      </c>
      <c r="I51" s="1"/>
      <c r="O51">
        <v>350</v>
      </c>
      <c r="Q51" t="s">
        <v>8237</v>
      </c>
      <c r="R51" t="str" cm="1">
        <f t="array" ref="R51:S51">+_xlfn.TEXTSPLIT(Q51," - ")</f>
        <v>S-314</v>
      </c>
      <c r="S51" t="str">
        <v>100</v>
      </c>
    </row>
    <row r="52" spans="1:19" x14ac:dyDescent="0.2">
      <c r="A52" s="6">
        <v>200</v>
      </c>
      <c r="B52" s="582">
        <f>+_xlfn.XLOOKUP("PLASTICOS"&amp;D52,CODIGOS_Y_COSTOS[ID],CODIGOS_Y_COSTOS[CODIGO],0,0,1)</f>
        <v>0</v>
      </c>
      <c r="D52" s="1216"/>
      <c r="E52" s="638" t="str">
        <f t="shared" si="5"/>
        <v>OK</v>
      </c>
      <c r="F52" s="98">
        <f>+_xlfn.XLOOKUP("PLASTICOS"&amp;D52,CODIGOS_Y_COSTOS[ID],CODIGOS_Y_COSTOS[COSTO],0,0,1)</f>
        <v>0</v>
      </c>
      <c r="H52" s="98">
        <f t="shared" si="6"/>
        <v>0</v>
      </c>
      <c r="I52" s="1"/>
      <c r="O52">
        <v>351</v>
      </c>
      <c r="Q52" t="s">
        <v>8238</v>
      </c>
      <c r="R52" t="str" cm="1">
        <f t="array" ref="R52:S52">+_xlfn.TEXTSPLIT(Q52," - ")</f>
        <v>S-078</v>
      </c>
      <c r="S52" t="str">
        <v>200</v>
      </c>
    </row>
    <row r="53" spans="1:19" x14ac:dyDescent="0.2">
      <c r="A53" s="6">
        <v>200</v>
      </c>
      <c r="B53" s="582">
        <f>+_xlfn.XLOOKUP("PLASTICOS"&amp;D53,CODIGOS_Y_COSTOS[ID],CODIGOS_Y_COSTOS[CODIGO],0,0,1)</f>
        <v>0</v>
      </c>
      <c r="D53" s="1216"/>
      <c r="E53" s="638" t="str">
        <f t="shared" si="5"/>
        <v>OK</v>
      </c>
      <c r="F53" s="98">
        <f>+_xlfn.XLOOKUP("PLASTICOS"&amp;D53,CODIGOS_Y_COSTOS[ID],CODIGOS_Y_COSTOS[COSTO],0,0,1)</f>
        <v>0</v>
      </c>
      <c r="H53" s="98">
        <f t="shared" si="6"/>
        <v>0</v>
      </c>
      <c r="I53" s="1"/>
      <c r="O53">
        <v>357</v>
      </c>
      <c r="Q53" t="s">
        <v>8239</v>
      </c>
      <c r="R53" t="str" cm="1">
        <f t="array" ref="R53:S53">+_xlfn.TEXTSPLIT(Q53," - ")</f>
        <v>S-313</v>
      </c>
      <c r="S53" t="str">
        <v>200</v>
      </c>
    </row>
    <row r="54" spans="1:19" x14ac:dyDescent="0.2">
      <c r="A54" s="6">
        <v>200</v>
      </c>
      <c r="B54" s="582">
        <f>+_xlfn.XLOOKUP("PLASTICOS"&amp;D54,CODIGOS_Y_COSTOS[ID],CODIGOS_Y_COSTOS[CODIGO],0,0,1)</f>
        <v>0</v>
      </c>
      <c r="D54" s="1216"/>
      <c r="E54" s="638" t="str">
        <f t="shared" si="5"/>
        <v>OK</v>
      </c>
      <c r="F54" s="98">
        <f>+_xlfn.XLOOKUP("PLASTICOS"&amp;D54,CODIGOS_Y_COSTOS[ID],CODIGOS_Y_COSTOS[COSTO],0,0,1)</f>
        <v>0</v>
      </c>
      <c r="H54" s="98">
        <f t="shared" si="6"/>
        <v>0</v>
      </c>
      <c r="I54" s="1"/>
      <c r="O54">
        <v>358</v>
      </c>
      <c r="Q54" t="s">
        <v>8240</v>
      </c>
      <c r="R54" t="str" cm="1">
        <f t="array" ref="R54:S54">+_xlfn.TEXTSPLIT(Q54," - ")</f>
        <v>S-358</v>
      </c>
      <c r="S54" t="str">
        <v>200</v>
      </c>
    </row>
    <row r="55" spans="1:19" x14ac:dyDescent="0.2">
      <c r="A55" s="6">
        <v>200</v>
      </c>
      <c r="B55" s="582">
        <f>+_xlfn.XLOOKUP("PLASTICOS"&amp;D55,CODIGOS_Y_COSTOS[ID],CODIGOS_Y_COSTOS[CODIGO],0,0,1)</f>
        <v>0</v>
      </c>
      <c r="D55" s="1216"/>
      <c r="E55" s="638" t="str">
        <f t="shared" si="5"/>
        <v>OK</v>
      </c>
      <c r="F55" s="98">
        <f>+_xlfn.XLOOKUP("PLASTICOS"&amp;D55,CODIGOS_Y_COSTOS[ID],CODIGOS_Y_COSTOS[COSTO],0,0,1)</f>
        <v>0</v>
      </c>
      <c r="H55" s="98">
        <f t="shared" ref="H55:H62" si="7">+F55*A55</f>
        <v>0</v>
      </c>
      <c r="I55" s="1"/>
      <c r="O55">
        <v>362</v>
      </c>
      <c r="Q55" t="s">
        <v>8241</v>
      </c>
      <c r="R55" t="str" cm="1">
        <f t="array" ref="R55:S55">+_xlfn.TEXTSPLIT(Q55," - ")</f>
        <v>S-368</v>
      </c>
      <c r="S55" t="str">
        <v>100</v>
      </c>
    </row>
    <row r="56" spans="1:19" x14ac:dyDescent="0.2">
      <c r="A56" s="6">
        <v>200</v>
      </c>
      <c r="B56" s="582">
        <f>+_xlfn.XLOOKUP("PLASTICOS"&amp;D56,CODIGOS_Y_COSTOS[ID],CODIGOS_Y_COSTOS[CODIGO],0,0,1)</f>
        <v>0</v>
      </c>
      <c r="D56" s="1216"/>
      <c r="E56" s="638" t="str">
        <f t="shared" si="5"/>
        <v>OK</v>
      </c>
      <c r="F56" s="98">
        <f>+_xlfn.XLOOKUP("PLASTICOS"&amp;D56,CODIGOS_Y_COSTOS[ID],CODIGOS_Y_COSTOS[COSTO],0,0,1)</f>
        <v>0</v>
      </c>
      <c r="H56" s="98">
        <f t="shared" si="7"/>
        <v>0</v>
      </c>
      <c r="I56" s="1"/>
      <c r="O56">
        <v>373</v>
      </c>
      <c r="Q56" t="s">
        <v>8242</v>
      </c>
      <c r="R56" t="str" cm="1">
        <f t="array" ref="R56:S56">+_xlfn.TEXTSPLIT(Q56," - ")</f>
        <v>S-367</v>
      </c>
      <c r="S56" t="str">
        <v>200</v>
      </c>
    </row>
    <row r="57" spans="1:19" x14ac:dyDescent="0.2">
      <c r="A57" s="6">
        <v>200</v>
      </c>
      <c r="B57" s="582">
        <f>+_xlfn.XLOOKUP("PLASTICOS"&amp;D57,CODIGOS_Y_COSTOS[ID],CODIGOS_Y_COSTOS[CODIGO],0,0,1)</f>
        <v>0</v>
      </c>
      <c r="D57" s="1216"/>
      <c r="E57" s="638" t="str">
        <f t="shared" si="5"/>
        <v>OK</v>
      </c>
      <c r="F57" s="98">
        <f>+_xlfn.XLOOKUP("PLASTICOS"&amp;D57,CODIGOS_Y_COSTOS[ID],CODIGOS_Y_COSTOS[COSTO],0,0,1)</f>
        <v>0</v>
      </c>
      <c r="H57" s="98">
        <f t="shared" si="7"/>
        <v>0</v>
      </c>
      <c r="I57" s="1"/>
      <c r="K57" s="93"/>
      <c r="O57">
        <v>372</v>
      </c>
      <c r="Q57" t="s">
        <v>8243</v>
      </c>
      <c r="R57" t="str" cm="1">
        <f t="array" ref="R57:S57">+_xlfn.TEXTSPLIT(Q57," - ")</f>
        <v>S-375</v>
      </c>
      <c r="S57" t="str">
        <v>100</v>
      </c>
    </row>
    <row r="58" spans="1:19" x14ac:dyDescent="0.2">
      <c r="A58" s="6">
        <v>200</v>
      </c>
      <c r="B58" s="582">
        <f>+_xlfn.XLOOKUP("PLASTICOS"&amp;D58,CODIGOS_Y_COSTOS[ID],CODIGOS_Y_COSTOS[CODIGO],0,0,1)</f>
        <v>0</v>
      </c>
      <c r="D58" s="1216"/>
      <c r="E58" s="638" t="str">
        <f t="shared" si="5"/>
        <v>OK</v>
      </c>
      <c r="F58" s="98">
        <f>+_xlfn.XLOOKUP("PLASTICOS"&amp;D58,CODIGOS_Y_COSTOS[ID],CODIGOS_Y_COSTOS[COSTO],0,0,1)</f>
        <v>0</v>
      </c>
      <c r="H58" s="98">
        <f t="shared" si="7"/>
        <v>0</v>
      </c>
      <c r="I58" s="1"/>
      <c r="Q58" t="s">
        <v>8244</v>
      </c>
      <c r="R58" t="str" cm="1">
        <f t="array" ref="R58:S58">+_xlfn.TEXTSPLIT(Q58," - ")</f>
        <v>S-376</v>
      </c>
      <c r="S58" t="str">
        <v>200</v>
      </c>
    </row>
    <row r="59" spans="1:19" x14ac:dyDescent="0.2">
      <c r="A59" s="6">
        <v>200</v>
      </c>
      <c r="B59" s="582">
        <f>+_xlfn.XLOOKUP("PLASTICOS"&amp;D59,CODIGOS_Y_COSTOS[ID],CODIGOS_Y_COSTOS[CODIGO],0,0,1)</f>
        <v>0</v>
      </c>
      <c r="D59" s="1216"/>
      <c r="E59" s="638" t="str">
        <f t="shared" si="5"/>
        <v>OK</v>
      </c>
      <c r="F59" s="98">
        <f>+_xlfn.XLOOKUP("PLASTICOS"&amp;D59,CODIGOS_Y_COSTOS[ID],CODIGOS_Y_COSTOS[COSTO],0,0,1)</f>
        <v>0</v>
      </c>
      <c r="H59" s="98">
        <f t="shared" si="7"/>
        <v>0</v>
      </c>
      <c r="I59" s="1"/>
      <c r="Q59" t="s">
        <v>8245</v>
      </c>
      <c r="R59" t="str" cm="1">
        <f t="array" ref="R59:S59">+_xlfn.TEXTSPLIT(Q59," - ")</f>
        <v>S-378</v>
      </c>
      <c r="S59" t="str">
        <v>200</v>
      </c>
    </row>
    <row r="60" spans="1:19" x14ac:dyDescent="0.2">
      <c r="A60" s="6">
        <v>200</v>
      </c>
      <c r="B60" s="582">
        <f>+_xlfn.XLOOKUP("PLASTICOS"&amp;D60,CODIGOS_Y_COSTOS[ID],CODIGOS_Y_COSTOS[CODIGO],0,0,1)</f>
        <v>0</v>
      </c>
      <c r="D60" s="1216"/>
      <c r="E60" s="638" t="str">
        <f t="shared" si="5"/>
        <v>OK</v>
      </c>
      <c r="F60" s="98">
        <f>+_xlfn.XLOOKUP("PLASTICOS"&amp;D60,CODIGOS_Y_COSTOS[ID],CODIGOS_Y_COSTOS[COSTO],0,0,1)</f>
        <v>0</v>
      </c>
      <c r="H60" s="98">
        <f t="shared" si="7"/>
        <v>0</v>
      </c>
      <c r="I60" s="1"/>
      <c r="Q60" t="s">
        <v>8246</v>
      </c>
      <c r="R60" t="str" cm="1">
        <f t="array" ref="R60:S60">+_xlfn.TEXTSPLIT(Q60," - ")</f>
        <v>S-373</v>
      </c>
      <c r="S60" t="str">
        <v>200</v>
      </c>
    </row>
    <row r="61" spans="1:19" x14ac:dyDescent="0.2">
      <c r="A61" s="6">
        <v>200</v>
      </c>
      <c r="B61" s="582">
        <f>+_xlfn.XLOOKUP("PLASTICOS"&amp;D61,CODIGOS_Y_COSTOS[ID],CODIGOS_Y_COSTOS[CODIGO],0,0,1)</f>
        <v>0</v>
      </c>
      <c r="D61" s="1216"/>
      <c r="E61" s="638" t="str">
        <f t="shared" si="5"/>
        <v>OK</v>
      </c>
      <c r="F61" s="98">
        <f>+_xlfn.XLOOKUP("PLASTICOS"&amp;D61,CODIGOS_Y_COSTOS[ID],CODIGOS_Y_COSTOS[COSTO],0,0,1)</f>
        <v>0</v>
      </c>
      <c r="H61" s="98">
        <f t="shared" si="7"/>
        <v>0</v>
      </c>
      <c r="I61" s="1"/>
      <c r="Q61" t="s">
        <v>8247</v>
      </c>
      <c r="R61" t="str" cm="1">
        <f t="array" ref="R61:S61">+_xlfn.TEXTSPLIT(Q61," - ")</f>
        <v>S-372</v>
      </c>
      <c r="S61" t="str">
        <v>100</v>
      </c>
    </row>
    <row r="62" spans="1:19" x14ac:dyDescent="0.2">
      <c r="A62" s="6">
        <v>200</v>
      </c>
      <c r="B62" s="582">
        <f>+_xlfn.XLOOKUP("PLASTICOS"&amp;D62,CODIGOS_Y_COSTOS[ID],CODIGOS_Y_COSTOS[CODIGO],0,0,1)</f>
        <v>0</v>
      </c>
      <c r="D62" s="1216"/>
      <c r="E62" s="638" t="str">
        <f t="shared" si="5"/>
        <v>OK</v>
      </c>
      <c r="F62" s="98">
        <f>+_xlfn.XLOOKUP("PLASTICOS"&amp;D62,CODIGOS_Y_COSTOS[ID],CODIGOS_Y_COSTOS[COSTO],0,0,1)</f>
        <v>0</v>
      </c>
      <c r="H62" s="98">
        <f t="shared" si="7"/>
        <v>0</v>
      </c>
      <c r="I62" s="1"/>
      <c r="Q62" t="s">
        <v>8248</v>
      </c>
      <c r="R62" t="str" cm="1">
        <f t="array" ref="R62:S62">+_xlfn.TEXTSPLIT(Q62," - ")</f>
        <v>S-380</v>
      </c>
      <c r="S62" t="str">
        <v>100</v>
      </c>
    </row>
    <row r="63" spans="1:19" x14ac:dyDescent="0.2">
      <c r="A63" s="6">
        <v>200</v>
      </c>
      <c r="B63" s="582">
        <f>+_xlfn.XLOOKUP("PLASTICOS"&amp;D63,CODIGOS_Y_COSTOS[ID],CODIGOS_Y_COSTOS[CODIGO],0,0,1)</f>
        <v>0</v>
      </c>
      <c r="D63" s="1216"/>
      <c r="E63" s="638" t="str">
        <f t="shared" si="5"/>
        <v>OK</v>
      </c>
      <c r="F63" s="98">
        <f>+_xlfn.XLOOKUP("PLASTICOS"&amp;D63,CODIGOS_Y_COSTOS[ID],CODIGOS_Y_COSTOS[COSTO],0,0,1)</f>
        <v>0</v>
      </c>
      <c r="H63" s="98">
        <f t="shared" ref="H63:H78" si="8">+F63*A63</f>
        <v>0</v>
      </c>
      <c r="I63" s="1"/>
      <c r="Q63" t="s">
        <v>8249</v>
      </c>
      <c r="R63" t="str" cm="1">
        <f t="array" ref="R63:S63">+_xlfn.TEXTSPLIT(Q63," - ")</f>
        <v>F-978</v>
      </c>
      <c r="S63" t="str">
        <v>200</v>
      </c>
    </row>
    <row r="64" spans="1:19" x14ac:dyDescent="0.2">
      <c r="A64" s="6">
        <v>200</v>
      </c>
      <c r="B64" s="582">
        <f>+_xlfn.XLOOKUP("PLASTICOS"&amp;D64,CODIGOS_Y_COSTOS[ID],CODIGOS_Y_COSTOS[CODIGO],0,0,1)</f>
        <v>0</v>
      </c>
      <c r="D64" s="1216"/>
      <c r="E64" s="638" t="str">
        <f t="shared" si="5"/>
        <v>OK</v>
      </c>
      <c r="F64" s="98">
        <f>+_xlfn.XLOOKUP("PLASTICOS"&amp;D64,CODIGOS_Y_COSTOS[ID],CODIGOS_Y_COSTOS[COSTO],0,0,1)</f>
        <v>0</v>
      </c>
      <c r="H64" s="98">
        <f t="shared" si="8"/>
        <v>0</v>
      </c>
      <c r="I64" s="1"/>
      <c r="Q64" t="s">
        <v>8250</v>
      </c>
      <c r="R64" t="str" cm="1">
        <f t="array" ref="R64:S64">+_xlfn.TEXTSPLIT(Q64," - ")</f>
        <v>F-993</v>
      </c>
      <c r="S64" t="str">
        <v>200</v>
      </c>
    </row>
    <row r="65" spans="1:19" x14ac:dyDescent="0.2">
      <c r="A65" s="6">
        <v>200</v>
      </c>
      <c r="B65" s="582">
        <f>+_xlfn.XLOOKUP("PLASTICOS"&amp;D65,CODIGOS_Y_COSTOS[ID],CODIGOS_Y_COSTOS[CODIGO],0,0,1)</f>
        <v>0</v>
      </c>
      <c r="D65" s="1216"/>
      <c r="E65" s="638" t="str">
        <f t="shared" si="5"/>
        <v>OK</v>
      </c>
      <c r="F65" s="98">
        <f>+_xlfn.XLOOKUP("PLASTICOS"&amp;D65,CODIGOS_Y_COSTOS[ID],CODIGOS_Y_COSTOS[COSTO],0,0,1)</f>
        <v>0</v>
      </c>
      <c r="H65" s="98">
        <f t="shared" si="8"/>
        <v>0</v>
      </c>
      <c r="I65" s="1"/>
      <c r="Q65" t="s">
        <v>8251</v>
      </c>
      <c r="R65" t="str" cm="1">
        <f t="array" ref="R65:S65">+_xlfn.TEXTSPLIT(Q65," - ")</f>
        <v>F-979</v>
      </c>
      <c r="S65" t="str">
        <v>200</v>
      </c>
    </row>
    <row r="66" spans="1:19" x14ac:dyDescent="0.2">
      <c r="A66" s="6">
        <v>200</v>
      </c>
      <c r="B66" s="582">
        <f>+_xlfn.XLOOKUP("PLASTICOS"&amp;D66,CODIGOS_Y_COSTOS[ID],CODIGOS_Y_COSTOS[CODIGO],0,0,1)</f>
        <v>0</v>
      </c>
      <c r="D66" s="1216"/>
      <c r="E66" s="638" t="str">
        <f t="shared" si="5"/>
        <v>OK</v>
      </c>
      <c r="F66" s="98">
        <f>+_xlfn.XLOOKUP("PLASTICOS"&amp;D66,CODIGOS_Y_COSTOS[ID],CODIGOS_Y_COSTOS[COSTO],0,0,1)</f>
        <v>0</v>
      </c>
      <c r="H66" s="98">
        <f t="shared" si="8"/>
        <v>0</v>
      </c>
      <c r="I66" s="1"/>
      <c r="Q66" t="s">
        <v>8252</v>
      </c>
      <c r="R66" t="str" cm="1">
        <f t="array" ref="R66:S66">+_xlfn.TEXTSPLIT(Q66," - ")</f>
        <v>F-798/80</v>
      </c>
      <c r="S66" t="str">
        <v>200</v>
      </c>
    </row>
    <row r="67" spans="1:19" x14ac:dyDescent="0.2">
      <c r="A67" s="6">
        <v>200</v>
      </c>
      <c r="B67" s="582">
        <f>+_xlfn.XLOOKUP("PLASTICOS"&amp;D67,CODIGOS_Y_COSTOS[ID],CODIGOS_Y_COSTOS[CODIGO],0,0,1)</f>
        <v>0</v>
      </c>
      <c r="D67" s="1216"/>
      <c r="E67" s="638" t="str">
        <f t="shared" ref="E67:E98" si="9">+IFERROR(IFERROR(VLOOKUP(D67,$J$3:$J$16,1,0),VLOOKUP(D67,$M$3:$M$16,1,0)),"OK")</f>
        <v>OK</v>
      </c>
      <c r="F67" s="98">
        <f>+_xlfn.XLOOKUP("PLASTICOS"&amp;D67,CODIGOS_Y_COSTOS[ID],CODIGOS_Y_COSTOS[COSTO],0,0,1)</f>
        <v>0</v>
      </c>
      <c r="H67" s="98">
        <f t="shared" si="8"/>
        <v>0</v>
      </c>
      <c r="I67" s="1"/>
      <c r="Q67" t="s">
        <v>8253</v>
      </c>
      <c r="R67" t="str" cm="1">
        <f t="array" ref="R67:S67">+_xlfn.TEXTSPLIT(Q67," - ")</f>
        <v>F-002</v>
      </c>
      <c r="S67" t="str">
        <v>200</v>
      </c>
    </row>
    <row r="68" spans="1:19" x14ac:dyDescent="0.2">
      <c r="A68" s="6">
        <v>200</v>
      </c>
      <c r="B68" s="582">
        <f>+_xlfn.XLOOKUP("PLASTICOS"&amp;D68,CODIGOS_Y_COSTOS[ID],CODIGOS_Y_COSTOS[CODIGO],0,0,1)</f>
        <v>0</v>
      </c>
      <c r="D68" s="1216"/>
      <c r="E68" s="638" t="str">
        <f t="shared" si="9"/>
        <v>OK</v>
      </c>
      <c r="F68" s="98">
        <f>+_xlfn.XLOOKUP("PLASTICOS"&amp;D68,CODIGOS_Y_COSTOS[ID],CODIGOS_Y_COSTOS[COSTO],0,0,1)</f>
        <v>0</v>
      </c>
      <c r="H68" s="98">
        <f t="shared" si="8"/>
        <v>0</v>
      </c>
      <c r="I68" s="1"/>
      <c r="Q68" t="s">
        <v>8254</v>
      </c>
      <c r="R68" t="str" cm="1">
        <f t="array" ref="R68:S68">+_xlfn.TEXTSPLIT(Q68," - ")</f>
        <v>F-1022/N</v>
      </c>
      <c r="S68" t="str">
        <v>200</v>
      </c>
    </row>
    <row r="69" spans="1:19" x14ac:dyDescent="0.2">
      <c r="A69" s="6">
        <v>200</v>
      </c>
      <c r="B69" s="582">
        <f>+_xlfn.XLOOKUP("PLASTICOS"&amp;D69,CODIGOS_Y_COSTOS[ID],CODIGOS_Y_COSTOS[CODIGO],0,0,1)</f>
        <v>0</v>
      </c>
      <c r="D69" s="1216"/>
      <c r="E69" s="638" t="str">
        <f t="shared" si="9"/>
        <v>OK</v>
      </c>
      <c r="F69" s="98">
        <f>+_xlfn.XLOOKUP("PLASTICOS"&amp;D69,CODIGOS_Y_COSTOS[ID],CODIGOS_Y_COSTOS[COSTO],0,0,1)</f>
        <v>0</v>
      </c>
      <c r="H69" s="98">
        <f t="shared" si="8"/>
        <v>0</v>
      </c>
      <c r="I69" s="1"/>
      <c r="Q69" t="s">
        <v>8255</v>
      </c>
      <c r="R69" t="str" cm="1">
        <f t="array" ref="R69:S69">+_xlfn.TEXTSPLIT(Q69," - ")</f>
        <v>F-1026</v>
      </c>
      <c r="S69" t="str">
        <v>200</v>
      </c>
    </row>
    <row r="70" spans="1:19" x14ac:dyDescent="0.2">
      <c r="A70" s="6">
        <v>200</v>
      </c>
      <c r="B70" s="582">
        <f>+_xlfn.XLOOKUP("PLASTICOS"&amp;D70,CODIGOS_Y_COSTOS[ID],CODIGOS_Y_COSTOS[CODIGO],0,0,1)</f>
        <v>0</v>
      </c>
      <c r="D70" s="1216"/>
      <c r="E70" s="638" t="str">
        <f t="shared" si="9"/>
        <v>OK</v>
      </c>
      <c r="F70" s="98">
        <f>+_xlfn.XLOOKUP("PLASTICOS"&amp;D70,CODIGOS_Y_COSTOS[ID],CODIGOS_Y_COSTOS[COSTO],0,0,1)</f>
        <v>0</v>
      </c>
      <c r="H70" s="98">
        <f t="shared" si="8"/>
        <v>0</v>
      </c>
      <c r="K70" s="93"/>
      <c r="Q70" t="s">
        <v>8256</v>
      </c>
      <c r="R70" t="str" cm="1">
        <f t="array" ref="R70:S70">+_xlfn.TEXTSPLIT(Q70," - ")</f>
        <v>F-005</v>
      </c>
      <c r="S70" t="str">
        <v>200</v>
      </c>
    </row>
    <row r="71" spans="1:19" x14ac:dyDescent="0.2">
      <c r="A71" s="6">
        <v>200</v>
      </c>
      <c r="B71" s="582">
        <f>+_xlfn.XLOOKUP("PLASTICOS"&amp;D71,CODIGOS_Y_COSTOS[ID],CODIGOS_Y_COSTOS[CODIGO],0,0,1)</f>
        <v>0</v>
      </c>
      <c r="D71" s="1216"/>
      <c r="E71" s="638" t="str">
        <f t="shared" si="9"/>
        <v>OK</v>
      </c>
      <c r="F71" s="98">
        <f>+_xlfn.XLOOKUP("PLASTICOS"&amp;D71,CODIGOS_Y_COSTOS[ID],CODIGOS_Y_COSTOS[COSTO],0,0,1)</f>
        <v>0</v>
      </c>
      <c r="H71" s="98">
        <f t="shared" si="8"/>
        <v>0</v>
      </c>
      <c r="K71" s="93"/>
      <c r="Q71" t="s">
        <v>8257</v>
      </c>
      <c r="R71" t="str" cm="1">
        <f t="array" ref="R71:S71">+_xlfn.TEXTSPLIT(Q71," - ")</f>
        <v>F-001</v>
      </c>
      <c r="S71" t="str">
        <v>200</v>
      </c>
    </row>
    <row r="72" spans="1:19" x14ac:dyDescent="0.2">
      <c r="A72" s="6">
        <v>200</v>
      </c>
      <c r="B72" s="582">
        <f>+_xlfn.XLOOKUP("PLASTICOS"&amp;D72,CODIGOS_Y_COSTOS[ID],CODIGOS_Y_COSTOS[CODIGO],0,0,1)</f>
        <v>0</v>
      </c>
      <c r="D72" s="1216"/>
      <c r="E72" s="638" t="str">
        <f t="shared" si="9"/>
        <v>OK</v>
      </c>
      <c r="F72" s="98">
        <f>+_xlfn.XLOOKUP("PLASTICOS"&amp;D72,CODIGOS_Y_COSTOS[ID],CODIGOS_Y_COSTOS[COSTO],0,0,1)</f>
        <v>0</v>
      </c>
      <c r="H72" s="98">
        <f t="shared" si="8"/>
        <v>0</v>
      </c>
      <c r="K72" s="93"/>
      <c r="Q72" t="s">
        <v>21554</v>
      </c>
      <c r="R72" t="str" cm="1">
        <f t="array" ref="R72:S72">+_xlfn.TEXTSPLIT(Q72," - ")</f>
        <v>F-996/Ne</v>
      </c>
      <c r="S72" t="str">
        <v>200</v>
      </c>
    </row>
    <row r="73" spans="1:19" x14ac:dyDescent="0.2">
      <c r="A73" s="6">
        <v>200</v>
      </c>
      <c r="B73" s="582">
        <f>+_xlfn.XLOOKUP("PLASTICOS"&amp;D73,CODIGOS_Y_COSTOS[ID],CODIGOS_Y_COSTOS[CODIGO],0,0,1)</f>
        <v>0</v>
      </c>
      <c r="D73" s="1216"/>
      <c r="E73" s="638" t="str">
        <f t="shared" si="9"/>
        <v>OK</v>
      </c>
      <c r="F73" s="98">
        <f>+_xlfn.XLOOKUP("PLASTICOS"&amp;D73,CODIGOS_Y_COSTOS[ID],CODIGOS_Y_COSTOS[COSTO],0,0,1)</f>
        <v>0</v>
      </c>
      <c r="H73" s="98">
        <f t="shared" si="8"/>
        <v>0</v>
      </c>
      <c r="K73" s="93"/>
      <c r="Q73" t="s">
        <v>8258</v>
      </c>
      <c r="R73" t="str" cm="1">
        <f t="array" ref="R73:S73">+_xlfn.TEXTSPLIT(Q73," - ")</f>
        <v>F-0014/BL</v>
      </c>
      <c r="S73" t="str">
        <v>200</v>
      </c>
    </row>
    <row r="74" spans="1:19" x14ac:dyDescent="0.2">
      <c r="A74" s="6">
        <v>200</v>
      </c>
      <c r="B74" s="582">
        <f>+_xlfn.XLOOKUP("PLASTICOS"&amp;D74,CODIGOS_Y_COSTOS[ID],CODIGOS_Y_COSTOS[CODIGO],0,0,1)</f>
        <v>0</v>
      </c>
      <c r="D74" s="1216"/>
      <c r="E74" s="638" t="str">
        <f t="shared" si="9"/>
        <v>OK</v>
      </c>
      <c r="F74" s="98">
        <f>+_xlfn.XLOOKUP("PLASTICOS"&amp;D74,CODIGOS_Y_COSTOS[ID],CODIGOS_Y_COSTOS[COSTO],0,0,1)</f>
        <v>0</v>
      </c>
      <c r="H74" s="98">
        <f t="shared" si="8"/>
        <v>0</v>
      </c>
      <c r="K74" s="93"/>
      <c r="Q74" t="s">
        <v>8259</v>
      </c>
      <c r="R74" t="str" cm="1">
        <f t="array" ref="R74:S74">+_xlfn.TEXTSPLIT(Q74," - ")</f>
        <v>F-036</v>
      </c>
      <c r="S74" t="str">
        <v>200</v>
      </c>
    </row>
    <row r="75" spans="1:19" x14ac:dyDescent="0.2">
      <c r="A75" s="6">
        <v>200</v>
      </c>
      <c r="B75" s="582">
        <f>+_xlfn.XLOOKUP("PLASTICOS"&amp;D75,CODIGOS_Y_COSTOS[ID],CODIGOS_Y_COSTOS[CODIGO],0,0,1)</f>
        <v>0</v>
      </c>
      <c r="D75" s="1216"/>
      <c r="E75" s="638" t="str">
        <f t="shared" si="9"/>
        <v>OK</v>
      </c>
      <c r="F75" s="98">
        <f>+_xlfn.XLOOKUP("PLASTICOS"&amp;D75,CODIGOS_Y_COSTOS[ID],CODIGOS_Y_COSTOS[COSTO],0,0,1)</f>
        <v>0</v>
      </c>
      <c r="H75" s="98">
        <f t="shared" si="8"/>
        <v>0</v>
      </c>
      <c r="K75" s="93"/>
      <c r="Q75" t="s">
        <v>8260</v>
      </c>
      <c r="R75" t="str" cm="1">
        <f t="array" ref="R75:S75">+_xlfn.TEXTSPLIT(Q75," - ")</f>
        <v>F-030</v>
      </c>
      <c r="S75" t="str">
        <v>200</v>
      </c>
    </row>
    <row r="76" spans="1:19" x14ac:dyDescent="0.2">
      <c r="A76" s="6">
        <v>200</v>
      </c>
      <c r="B76" s="582">
        <f>+_xlfn.XLOOKUP("PLASTICOS"&amp;D76,CODIGOS_Y_COSTOS[ID],CODIGOS_Y_COSTOS[CODIGO],0,0,1)</f>
        <v>0</v>
      </c>
      <c r="D76" s="1216"/>
      <c r="E76" s="638" t="str">
        <f t="shared" si="9"/>
        <v>OK</v>
      </c>
      <c r="F76" s="98">
        <f>+_xlfn.XLOOKUP("PLASTICOS"&amp;D76,CODIGOS_Y_COSTOS[ID],CODIGOS_Y_COSTOS[COSTO],0,0,1)</f>
        <v>0</v>
      </c>
      <c r="H76" s="98">
        <f t="shared" si="8"/>
        <v>0</v>
      </c>
      <c r="K76" s="93"/>
      <c r="Q76" t="s">
        <v>8261</v>
      </c>
      <c r="R76" t="str" cm="1">
        <f t="array" ref="R76:S76">+_xlfn.TEXTSPLIT(Q76," - ")</f>
        <v>F-044</v>
      </c>
      <c r="S76" t="str">
        <v>200</v>
      </c>
    </row>
    <row r="77" spans="1:19" x14ac:dyDescent="0.2">
      <c r="A77" s="6">
        <v>200</v>
      </c>
      <c r="B77" s="582">
        <f>+_xlfn.XLOOKUP("PLASTICOS"&amp;D77,CODIGOS_Y_COSTOS[ID],CODIGOS_Y_COSTOS[CODIGO],0,0,1)</f>
        <v>0</v>
      </c>
      <c r="D77" s="1216"/>
      <c r="E77" s="638" t="str">
        <f t="shared" si="9"/>
        <v>OK</v>
      </c>
      <c r="F77" s="98">
        <f>+_xlfn.XLOOKUP("PLASTICOS"&amp;D77,CODIGOS_Y_COSTOS[ID],CODIGOS_Y_COSTOS[COSTO],0,0,1)</f>
        <v>0</v>
      </c>
      <c r="H77" s="98">
        <f t="shared" si="8"/>
        <v>0</v>
      </c>
      <c r="K77" s="93"/>
      <c r="Q77" t="s">
        <v>8262</v>
      </c>
      <c r="R77" t="str" cm="1">
        <f t="array" ref="R77:S77">+_xlfn.TEXTSPLIT(Q77," - ")</f>
        <v>F-1023</v>
      </c>
      <c r="S77" t="str">
        <v>200</v>
      </c>
    </row>
    <row r="78" spans="1:19" x14ac:dyDescent="0.2">
      <c r="A78" s="6">
        <v>200</v>
      </c>
      <c r="B78" s="582">
        <f>+_xlfn.XLOOKUP("PLASTICOS"&amp;D78,CODIGOS_Y_COSTOS[ID],CODIGOS_Y_COSTOS[CODIGO],0,0,1)</f>
        <v>0</v>
      </c>
      <c r="D78" s="1216"/>
      <c r="E78" s="638" t="str">
        <f t="shared" si="9"/>
        <v>OK</v>
      </c>
      <c r="F78" s="98">
        <f>+_xlfn.XLOOKUP("PLASTICOS"&amp;D78,CODIGOS_Y_COSTOS[ID],CODIGOS_Y_COSTOS[COSTO],0,0,1)</f>
        <v>0</v>
      </c>
      <c r="H78" s="98">
        <f t="shared" si="8"/>
        <v>0</v>
      </c>
      <c r="K78" s="93"/>
      <c r="Q78" t="s">
        <v>8263</v>
      </c>
      <c r="R78" t="str" cm="1">
        <f t="array" ref="R78:S78">+_xlfn.TEXTSPLIT(Q78," - ")</f>
        <v>F-997</v>
      </c>
      <c r="S78" t="str">
        <v>200</v>
      </c>
    </row>
    <row r="79" spans="1:19" x14ac:dyDescent="0.2">
      <c r="A79" s="6">
        <v>200</v>
      </c>
      <c r="B79" s="582">
        <f>+_xlfn.XLOOKUP("PLASTICOS"&amp;D79,CODIGOS_Y_COSTOS[ID],CODIGOS_Y_COSTOS[CODIGO],0,0,1)</f>
        <v>0</v>
      </c>
      <c r="D79" s="1216"/>
      <c r="E79" s="638" t="str">
        <f t="shared" si="9"/>
        <v>OK</v>
      </c>
      <c r="F79" s="98">
        <f>+_xlfn.XLOOKUP("PLASTICOS"&amp;D79,CODIGOS_Y_COSTOS[ID],CODIGOS_Y_COSTOS[COSTO],0,0,1)</f>
        <v>0</v>
      </c>
      <c r="H79" s="98">
        <f t="shared" ref="H79:H142" si="10">+F79*A79</f>
        <v>0</v>
      </c>
      <c r="K79" s="93"/>
      <c r="Q79" t="s">
        <v>8264</v>
      </c>
      <c r="R79" t="str" cm="1">
        <f t="array" ref="R79:S79">+_xlfn.TEXTSPLIT(Q79," - ")</f>
        <v>F-027</v>
      </c>
      <c r="S79" t="str">
        <v>200</v>
      </c>
    </row>
    <row r="80" spans="1:19" x14ac:dyDescent="0.2">
      <c r="A80" s="6">
        <v>200</v>
      </c>
      <c r="B80" s="582">
        <f>+_xlfn.XLOOKUP("PLASTICOS"&amp;D80,CODIGOS_Y_COSTOS[ID],CODIGOS_Y_COSTOS[CODIGO],0,0,1)</f>
        <v>0</v>
      </c>
      <c r="D80" s="1216"/>
      <c r="E80" s="638" t="str">
        <f t="shared" si="9"/>
        <v>OK</v>
      </c>
      <c r="F80" s="98">
        <f>+_xlfn.XLOOKUP("PLASTICOS"&amp;D80,CODIGOS_Y_COSTOS[ID],CODIGOS_Y_COSTOS[COSTO],0,0,1)</f>
        <v>0</v>
      </c>
      <c r="H80" s="98">
        <f t="shared" si="10"/>
        <v>0</v>
      </c>
      <c r="K80" s="93"/>
      <c r="Q80" t="s">
        <v>8265</v>
      </c>
      <c r="R80" t="str" cm="1">
        <f t="array" ref="R80:S80">+_xlfn.TEXTSPLIT(Q80," - ")</f>
        <v>F-0015</v>
      </c>
      <c r="S80" t="str">
        <v>200</v>
      </c>
    </row>
    <row r="81" spans="1:19" x14ac:dyDescent="0.2">
      <c r="A81" s="6">
        <v>200</v>
      </c>
      <c r="B81" s="582">
        <f>+_xlfn.XLOOKUP("PLASTICOS"&amp;D81,CODIGOS_Y_COSTOS[ID],CODIGOS_Y_COSTOS[CODIGO],0,0,1)</f>
        <v>0</v>
      </c>
      <c r="D81" s="1216"/>
      <c r="E81" s="638" t="str">
        <f t="shared" si="9"/>
        <v>OK</v>
      </c>
      <c r="F81" s="98">
        <f>+_xlfn.XLOOKUP("PLASTICOS"&amp;D81,CODIGOS_Y_COSTOS[ID],CODIGOS_Y_COSTOS[COSTO],0,0,1)</f>
        <v>0</v>
      </c>
      <c r="H81" s="98">
        <f t="shared" si="10"/>
        <v>0</v>
      </c>
      <c r="Q81" t="s">
        <v>8266</v>
      </c>
      <c r="R81" t="str" cm="1">
        <f t="array" ref="R81:S81">+_xlfn.TEXTSPLIT(Q81," - ")</f>
        <v>F-029</v>
      </c>
      <c r="S81" t="str">
        <v>200</v>
      </c>
    </row>
    <row r="82" spans="1:19" x14ac:dyDescent="0.2">
      <c r="A82" s="6">
        <v>200</v>
      </c>
      <c r="B82" s="582">
        <f>+_xlfn.XLOOKUP("PLASTICOS"&amp;D82,CODIGOS_Y_COSTOS[ID],CODIGOS_Y_COSTOS[CODIGO],0,0,1)</f>
        <v>0</v>
      </c>
      <c r="D82" s="1216"/>
      <c r="E82" s="638" t="str">
        <f t="shared" si="9"/>
        <v>OK</v>
      </c>
      <c r="F82" s="98">
        <f>+_xlfn.XLOOKUP("PLASTICOS"&amp;D82,CODIGOS_Y_COSTOS[ID],CODIGOS_Y_COSTOS[COSTO],0,0,1)</f>
        <v>0</v>
      </c>
      <c r="H82" s="98">
        <f t="shared" si="10"/>
        <v>0</v>
      </c>
      <c r="Q82" t="s">
        <v>8267</v>
      </c>
      <c r="R82" t="str" cm="1">
        <f t="array" ref="R82:S82">+_xlfn.TEXTSPLIT(Q82," - ")</f>
        <v>F-043</v>
      </c>
      <c r="S82" t="str">
        <v>200</v>
      </c>
    </row>
    <row r="83" spans="1:19" x14ac:dyDescent="0.2">
      <c r="A83" s="6">
        <v>200</v>
      </c>
      <c r="B83" s="582">
        <f>+_xlfn.XLOOKUP("PLASTICOS"&amp;D83,CODIGOS_Y_COSTOS[ID],CODIGOS_Y_COSTOS[CODIGO],0,0,1)</f>
        <v>0</v>
      </c>
      <c r="D83" s="1216"/>
      <c r="E83" s="638" t="str">
        <f t="shared" si="9"/>
        <v>OK</v>
      </c>
      <c r="F83" s="98">
        <f>+_xlfn.XLOOKUP("PLASTICOS"&amp;D83,CODIGOS_Y_COSTOS[ID],CODIGOS_Y_COSTOS[COSTO],0,0,1)</f>
        <v>0</v>
      </c>
      <c r="H83" s="98">
        <f t="shared" si="10"/>
        <v>0</v>
      </c>
      <c r="Q83" t="s">
        <v>8268</v>
      </c>
      <c r="R83" t="str" cm="1">
        <f t="array" ref="R83:S83">+_xlfn.TEXTSPLIT(Q83," - ")</f>
        <v>F-469/H</v>
      </c>
      <c r="S83" t="str">
        <v>100</v>
      </c>
    </row>
    <row r="84" spans="1:19" x14ac:dyDescent="0.2">
      <c r="A84" s="6">
        <v>200</v>
      </c>
      <c r="B84" s="582">
        <f>+_xlfn.XLOOKUP("PLASTICOS"&amp;D84,CODIGOS_Y_COSTOS[ID],CODIGOS_Y_COSTOS[CODIGO],0,0,1)</f>
        <v>0</v>
      </c>
      <c r="D84" s="1216"/>
      <c r="E84" s="638" t="str">
        <f t="shared" si="9"/>
        <v>OK</v>
      </c>
      <c r="F84" s="98">
        <f>+_xlfn.XLOOKUP("PLASTICOS"&amp;D84,CODIGOS_Y_COSTOS[ID],CODIGOS_Y_COSTOS[COSTO],0,0,1)</f>
        <v>0</v>
      </c>
      <c r="H84" s="98">
        <f t="shared" si="10"/>
        <v>0</v>
      </c>
      <c r="Q84" t="s">
        <v>8269</v>
      </c>
      <c r="R84" t="str" cm="1">
        <f t="array" ref="R84:S84">+_xlfn.TEXTSPLIT(Q84," - ")</f>
        <v>F-999/V</v>
      </c>
      <c r="S84" t="str">
        <v>200</v>
      </c>
    </row>
    <row r="85" spans="1:19" x14ac:dyDescent="0.2">
      <c r="A85" s="6">
        <v>200</v>
      </c>
      <c r="B85" s="582">
        <f>+_xlfn.XLOOKUP("PLASTICOS"&amp;D85,CODIGOS_Y_COSTOS[ID],CODIGOS_Y_COSTOS[CODIGO],0,0,1)</f>
        <v>0</v>
      </c>
      <c r="D85" s="1216"/>
      <c r="E85" s="638" t="str">
        <f t="shared" si="9"/>
        <v>OK</v>
      </c>
      <c r="F85" s="98">
        <f>+_xlfn.XLOOKUP("PLASTICOS"&amp;D85,CODIGOS_Y_COSTOS[ID],CODIGOS_Y_COSTOS[COSTO],0,0,1)</f>
        <v>0</v>
      </c>
      <c r="H85" s="98">
        <f t="shared" si="10"/>
        <v>0</v>
      </c>
      <c r="Q85" t="s">
        <v>8270</v>
      </c>
      <c r="R85" t="str" cm="1">
        <f t="array" ref="R85:S85">+_xlfn.TEXTSPLIT(Q85," - ")</f>
        <v>F-1025</v>
      </c>
      <c r="S85" t="str">
        <v>200</v>
      </c>
    </row>
    <row r="86" spans="1:19" x14ac:dyDescent="0.2">
      <c r="A86" s="6">
        <v>200</v>
      </c>
      <c r="B86" s="582">
        <f>+_xlfn.XLOOKUP("PLASTICOS"&amp;D86,CODIGOS_Y_COSTOS[ID],CODIGOS_Y_COSTOS[CODIGO],0,0,1)</f>
        <v>0</v>
      </c>
      <c r="D86" s="1216"/>
      <c r="E86" s="638" t="str">
        <f t="shared" si="9"/>
        <v>OK</v>
      </c>
      <c r="F86" s="98">
        <f>+_xlfn.XLOOKUP("PLASTICOS"&amp;D86,CODIGOS_Y_COSTOS[ID],CODIGOS_Y_COSTOS[COSTO],0,0,1)</f>
        <v>0</v>
      </c>
      <c r="H86" s="98">
        <f t="shared" si="10"/>
        <v>0</v>
      </c>
      <c r="Q86" t="s">
        <v>8271</v>
      </c>
      <c r="R86" t="str" cm="1">
        <f t="array" ref="R86:S86">+_xlfn.TEXTSPLIT(Q86," - ")</f>
        <v>F-0012/D</v>
      </c>
      <c r="S86" t="str">
        <v>200</v>
      </c>
    </row>
    <row r="87" spans="1:19" x14ac:dyDescent="0.2">
      <c r="A87" s="6">
        <v>200</v>
      </c>
      <c r="B87" s="582">
        <f>+_xlfn.XLOOKUP("PLASTICOS"&amp;D87,CODIGOS_Y_COSTOS[ID],CODIGOS_Y_COSTOS[CODIGO],0,0,1)</f>
        <v>0</v>
      </c>
      <c r="D87" s="1216"/>
      <c r="E87" s="638" t="str">
        <f t="shared" si="9"/>
        <v>OK</v>
      </c>
      <c r="F87" s="98">
        <f>+_xlfn.XLOOKUP("PLASTICOS"&amp;D87,CODIGOS_Y_COSTOS[ID],CODIGOS_Y_COSTOS[COSTO],0,0,1)</f>
        <v>0</v>
      </c>
      <c r="H87" s="98">
        <f t="shared" si="10"/>
        <v>0</v>
      </c>
      <c r="Q87" t="s">
        <v>8272</v>
      </c>
      <c r="R87" t="str" cm="1">
        <f t="array" ref="R87:S87">+_xlfn.TEXTSPLIT(Q87," - ")</f>
        <v>F-721</v>
      </c>
      <c r="S87" t="str">
        <v>200</v>
      </c>
    </row>
    <row r="88" spans="1:19" x14ac:dyDescent="0.2">
      <c r="A88" s="6">
        <v>200</v>
      </c>
      <c r="B88" s="582">
        <f>+_xlfn.XLOOKUP("PLASTICOS"&amp;D88,CODIGOS_Y_COSTOS[ID],CODIGOS_Y_COSTOS[CODIGO],0,0,1)</f>
        <v>0</v>
      </c>
      <c r="D88" s="1216"/>
      <c r="E88" s="638" t="str">
        <f t="shared" si="9"/>
        <v>OK</v>
      </c>
      <c r="F88" s="98">
        <f>+_xlfn.XLOOKUP("PLASTICOS"&amp;D88,CODIGOS_Y_COSTOS[ID],CODIGOS_Y_COSTOS[COSTO],0,0,1)</f>
        <v>0</v>
      </c>
      <c r="H88" s="98">
        <f t="shared" si="10"/>
        <v>0</v>
      </c>
      <c r="Q88" t="s">
        <v>8273</v>
      </c>
      <c r="R88" t="str" cm="1">
        <f t="array" ref="R88:S88">+_xlfn.TEXTSPLIT(Q88," - ")</f>
        <v>F-320</v>
      </c>
      <c r="S88" t="str">
        <v>200</v>
      </c>
    </row>
    <row r="89" spans="1:19" x14ac:dyDescent="0.2">
      <c r="A89" s="6">
        <v>200</v>
      </c>
      <c r="B89" s="582">
        <f>+_xlfn.XLOOKUP("PLASTICOS"&amp;D89,CODIGOS_Y_COSTOS[ID],CODIGOS_Y_COSTOS[CODIGO],0,0,1)</f>
        <v>0</v>
      </c>
      <c r="D89" s="1216"/>
      <c r="E89" s="638" t="str">
        <f t="shared" si="9"/>
        <v>OK</v>
      </c>
      <c r="F89" s="98">
        <f>+_xlfn.XLOOKUP("PLASTICOS"&amp;D89,CODIGOS_Y_COSTOS[ID],CODIGOS_Y_COSTOS[COSTO],0,0,1)</f>
        <v>0</v>
      </c>
      <c r="H89" s="98">
        <f t="shared" si="10"/>
        <v>0</v>
      </c>
      <c r="Q89" t="s">
        <v>8274</v>
      </c>
      <c r="R89" t="str" cm="1">
        <f t="array" ref="R89:S89">+_xlfn.TEXTSPLIT(Q89," - ")</f>
        <v>F-1076</v>
      </c>
      <c r="S89" t="str">
        <v>200</v>
      </c>
    </row>
    <row r="90" spans="1:19" x14ac:dyDescent="0.2">
      <c r="A90" s="6">
        <v>200</v>
      </c>
      <c r="B90" s="582">
        <f>+_xlfn.XLOOKUP("PLASTICOS"&amp;D90,CODIGOS_Y_COSTOS[ID],CODIGOS_Y_COSTOS[CODIGO],0,0,1)</f>
        <v>0</v>
      </c>
      <c r="D90" s="1216"/>
      <c r="E90" s="638" t="str">
        <f t="shared" si="9"/>
        <v>OK</v>
      </c>
      <c r="F90" s="98">
        <f>+_xlfn.XLOOKUP("PLASTICOS"&amp;D90,CODIGOS_Y_COSTOS[ID],CODIGOS_Y_COSTOS[COSTO],0,0,1)</f>
        <v>0</v>
      </c>
      <c r="H90" s="98">
        <f t="shared" si="10"/>
        <v>0</v>
      </c>
      <c r="Q90" t="s">
        <v>8275</v>
      </c>
      <c r="R90" t="str" cm="1">
        <f t="array" ref="R90:S90">+_xlfn.TEXTSPLIT(Q90," - ")</f>
        <v>F-737/A</v>
      </c>
      <c r="S90" t="str">
        <v>200</v>
      </c>
    </row>
    <row r="91" spans="1:19" x14ac:dyDescent="0.2">
      <c r="A91" s="6">
        <v>200</v>
      </c>
      <c r="B91" s="582">
        <f>+_xlfn.XLOOKUP("PLASTICOS"&amp;D91,CODIGOS_Y_COSTOS[ID],CODIGOS_Y_COSTOS[CODIGO],0,0,1)</f>
        <v>0</v>
      </c>
      <c r="D91" s="1421"/>
      <c r="E91" s="638" t="str">
        <f t="shared" si="9"/>
        <v>OK</v>
      </c>
      <c r="F91" s="98">
        <f>+_xlfn.XLOOKUP("PLASTICOS"&amp;D91,CODIGOS_Y_COSTOS[ID],CODIGOS_Y_COSTOS[COSTO],0,0,1)</f>
        <v>0</v>
      </c>
      <c r="H91" s="98">
        <f t="shared" si="10"/>
        <v>0</v>
      </c>
      <c r="Q91" t="s">
        <v>8276</v>
      </c>
      <c r="R91" t="str" cm="1">
        <f t="array" ref="R91:S91">+_xlfn.TEXTSPLIT(Q91," - ")</f>
        <v>F-1053</v>
      </c>
      <c r="S91" t="str">
        <v>200</v>
      </c>
    </row>
    <row r="92" spans="1:19" x14ac:dyDescent="0.2">
      <c r="A92" s="6">
        <v>200</v>
      </c>
      <c r="B92" s="582">
        <f>+_xlfn.XLOOKUP("PLASTICOS"&amp;D92,CODIGOS_Y_COSTOS[ID],CODIGOS_Y_COSTOS[CODIGO],0,0,1)</f>
        <v>0</v>
      </c>
      <c r="D92" s="1216"/>
      <c r="E92" s="638" t="str">
        <f t="shared" si="9"/>
        <v>OK</v>
      </c>
      <c r="F92" s="98">
        <f>+_xlfn.XLOOKUP("PLASTICOS"&amp;D92,CODIGOS_Y_COSTOS[ID],CODIGOS_Y_COSTOS[COSTO],0,0,1)</f>
        <v>0</v>
      </c>
      <c r="H92" s="98">
        <f t="shared" si="10"/>
        <v>0</v>
      </c>
      <c r="Q92" t="s">
        <v>8277</v>
      </c>
      <c r="R92" t="str" cm="1">
        <f t="array" ref="R92:S92">+_xlfn.TEXTSPLIT(Q92," - ")</f>
        <v>F-1074</v>
      </c>
      <c r="S92" t="str">
        <v>200</v>
      </c>
    </row>
    <row r="93" spans="1:19" x14ac:dyDescent="0.2">
      <c r="A93" s="6">
        <v>200</v>
      </c>
      <c r="B93" s="582">
        <f>+_xlfn.XLOOKUP("PLASTICOS"&amp;D93,CODIGOS_Y_COSTOS[ID],CODIGOS_Y_COSTOS[CODIGO],0,0,1)</f>
        <v>0</v>
      </c>
      <c r="D93" s="1216"/>
      <c r="E93" s="638" t="str">
        <f t="shared" si="9"/>
        <v>OK</v>
      </c>
      <c r="F93" s="98">
        <f>+_xlfn.XLOOKUP("PLASTICOS"&amp;D93,CODIGOS_Y_COSTOS[ID],CODIGOS_Y_COSTOS[COSTO],0,0,1)</f>
        <v>0</v>
      </c>
      <c r="H93" s="98">
        <f t="shared" si="10"/>
        <v>0</v>
      </c>
      <c r="Q93" t="s">
        <v>8278</v>
      </c>
      <c r="R93" t="str" cm="1">
        <f t="array" ref="R93:S93">+_xlfn.TEXTSPLIT(Q93," - ")</f>
        <v>F-1056</v>
      </c>
      <c r="S93" t="str">
        <v>200</v>
      </c>
    </row>
    <row r="94" spans="1:19" x14ac:dyDescent="0.2">
      <c r="A94" s="6">
        <v>200</v>
      </c>
      <c r="B94" s="582">
        <f>+_xlfn.XLOOKUP("PLASTICOS"&amp;D94,CODIGOS_Y_COSTOS[ID],CODIGOS_Y_COSTOS[CODIGO],0,0,1)</f>
        <v>0</v>
      </c>
      <c r="D94" s="1216"/>
      <c r="E94" s="638" t="str">
        <f t="shared" si="9"/>
        <v>OK</v>
      </c>
      <c r="F94" s="98">
        <f>+_xlfn.XLOOKUP("PLASTICOS"&amp;D94,CODIGOS_Y_COSTOS[ID],CODIGOS_Y_COSTOS[COSTO],0,0,1)</f>
        <v>0</v>
      </c>
      <c r="H94" s="98">
        <f t="shared" si="10"/>
        <v>0</v>
      </c>
      <c r="Q94" t="s">
        <v>8279</v>
      </c>
      <c r="R94" t="str" cm="1">
        <f t="array" ref="R94:S94">+_xlfn.TEXTSPLIT(Q94," - ")</f>
        <v>F-1078</v>
      </c>
      <c r="S94" t="str">
        <v>200</v>
      </c>
    </row>
    <row r="95" spans="1:19" x14ac:dyDescent="0.2">
      <c r="A95" s="6">
        <v>200</v>
      </c>
      <c r="B95" s="582">
        <f>+_xlfn.XLOOKUP("PLASTICOS"&amp;D95,CODIGOS_Y_COSTOS[ID],CODIGOS_Y_COSTOS[CODIGO],0,0,1)</f>
        <v>0</v>
      </c>
      <c r="D95" s="1216"/>
      <c r="E95" s="638" t="str">
        <f t="shared" si="9"/>
        <v>OK</v>
      </c>
      <c r="F95" s="98">
        <f>+_xlfn.XLOOKUP("PLASTICOS"&amp;D95,CODIGOS_Y_COSTOS[ID],CODIGOS_Y_COSTOS[COSTO],0,0,1)</f>
        <v>0</v>
      </c>
      <c r="H95" s="98">
        <f t="shared" si="10"/>
        <v>0</v>
      </c>
      <c r="Q95" t="s">
        <v>8280</v>
      </c>
      <c r="R95" t="str" cm="1">
        <f t="array" ref="R95:S95">+_xlfn.TEXTSPLIT(Q95," - ")</f>
        <v>F-1040</v>
      </c>
      <c r="S95" t="str">
        <v>100</v>
      </c>
    </row>
    <row r="96" spans="1:19" x14ac:dyDescent="0.2">
      <c r="A96" s="6">
        <v>200</v>
      </c>
      <c r="B96" s="582">
        <f>+_xlfn.XLOOKUP("PLASTICOS"&amp;D96,CODIGOS_Y_COSTOS[ID],CODIGOS_Y_COSTOS[CODIGO],0,0,1)</f>
        <v>0</v>
      </c>
      <c r="D96" s="1216"/>
      <c r="E96" s="638" t="str">
        <f t="shared" si="9"/>
        <v>OK</v>
      </c>
      <c r="F96" s="98">
        <f>+_xlfn.XLOOKUP("PLASTICOS"&amp;D96,CODIGOS_Y_COSTOS[ID],CODIGOS_Y_COSTOS[COSTO],0,0,1)</f>
        <v>0</v>
      </c>
      <c r="H96" s="98">
        <f t="shared" si="10"/>
        <v>0</v>
      </c>
      <c r="Q96" t="s">
        <v>8281</v>
      </c>
      <c r="R96" t="str" cm="1">
        <f t="array" ref="R96:S96">+_xlfn.TEXTSPLIT(Q96," - ")</f>
        <v>F-1084</v>
      </c>
      <c r="S96" t="str">
        <v>200</v>
      </c>
    </row>
    <row r="97" spans="1:19" x14ac:dyDescent="0.2">
      <c r="A97" s="6">
        <v>200</v>
      </c>
      <c r="B97" s="582">
        <f>+_xlfn.XLOOKUP("PLASTICOS"&amp;D97,CODIGOS_Y_COSTOS[ID],CODIGOS_Y_COSTOS[CODIGO],0,0,1)</f>
        <v>0</v>
      </c>
      <c r="D97" s="1216"/>
      <c r="E97" s="638" t="str">
        <f t="shared" si="9"/>
        <v>OK</v>
      </c>
      <c r="F97" s="98">
        <f>+_xlfn.XLOOKUP("PLASTICOS"&amp;D97,CODIGOS_Y_COSTOS[ID],CODIGOS_Y_COSTOS[COSTO],0,0,1)</f>
        <v>0</v>
      </c>
      <c r="H97" s="98">
        <f t="shared" si="10"/>
        <v>0</v>
      </c>
      <c r="Q97" t="s">
        <v>8282</v>
      </c>
      <c r="R97" t="str" cm="1">
        <f t="array" ref="R97:S97">+_xlfn.TEXTSPLIT(Q97," - ")</f>
        <v>F-1049</v>
      </c>
      <c r="S97" t="str">
        <v>50</v>
      </c>
    </row>
    <row r="98" spans="1:19" x14ac:dyDescent="0.2">
      <c r="A98" s="6">
        <v>200</v>
      </c>
      <c r="B98" s="582">
        <f>+_xlfn.XLOOKUP("PLASTICOS"&amp;D98,CODIGOS_Y_COSTOS[ID],CODIGOS_Y_COSTOS[CODIGO],0,0,1)</f>
        <v>0</v>
      </c>
      <c r="D98" s="1216"/>
      <c r="E98" s="638" t="str">
        <f t="shared" si="9"/>
        <v>OK</v>
      </c>
      <c r="F98" s="98">
        <f>+_xlfn.XLOOKUP("PLASTICOS"&amp;D98,CODIGOS_Y_COSTOS[ID],CODIGOS_Y_COSTOS[COSTO],0,0,1)</f>
        <v>0</v>
      </c>
      <c r="H98" s="98">
        <f t="shared" si="10"/>
        <v>0</v>
      </c>
      <c r="Q98" t="s">
        <v>8283</v>
      </c>
      <c r="R98" t="str" cm="1">
        <f t="array" ref="R98:S98">+_xlfn.TEXTSPLIT(Q98," - ")</f>
        <v>F-219/A</v>
      </c>
      <c r="S98" t="str">
        <v>50</v>
      </c>
    </row>
    <row r="99" spans="1:19" x14ac:dyDescent="0.2">
      <c r="A99" s="6">
        <v>200</v>
      </c>
      <c r="B99" s="582">
        <f>+_xlfn.XLOOKUP("PLASTICOS"&amp;D99,CODIGOS_Y_COSTOS[ID],CODIGOS_Y_COSTOS[CODIGO],0,0,1)</f>
        <v>0</v>
      </c>
      <c r="D99" s="1216"/>
      <c r="E99" s="638" t="str">
        <f t="shared" ref="E99:E123" si="11">+IFERROR(IFERROR(VLOOKUP(D99,$J$3:$J$16,1,0),VLOOKUP(D99,$M$3:$M$16,1,0)),"OK")</f>
        <v>OK</v>
      </c>
      <c r="F99" s="98">
        <f>+_xlfn.XLOOKUP("PLASTICOS"&amp;D99,CODIGOS_Y_COSTOS[ID],CODIGOS_Y_COSTOS[COSTO],0,0,1)</f>
        <v>0</v>
      </c>
      <c r="H99" s="98">
        <f t="shared" si="10"/>
        <v>0</v>
      </c>
      <c r="Q99" t="s">
        <v>8284</v>
      </c>
      <c r="R99" t="str" cm="1">
        <f t="array" ref="R99:S99">+_xlfn.TEXTSPLIT(Q99," - ")</f>
        <v>F-1090</v>
      </c>
      <c r="S99" t="str">
        <v>200</v>
      </c>
    </row>
    <row r="100" spans="1:19" x14ac:dyDescent="0.2">
      <c r="A100" s="6">
        <v>200</v>
      </c>
      <c r="B100" s="582">
        <f>+_xlfn.XLOOKUP("PLASTICOS"&amp;D100,CODIGOS_Y_COSTOS[ID],CODIGOS_Y_COSTOS[CODIGO],0,0,1)</f>
        <v>0</v>
      </c>
      <c r="D100" s="1216"/>
      <c r="E100" s="638" t="str">
        <f t="shared" si="11"/>
        <v>OK</v>
      </c>
      <c r="F100" s="98">
        <f>+_xlfn.XLOOKUP("PLASTICOS"&amp;D100,CODIGOS_Y_COSTOS[ID],CODIGOS_Y_COSTOS[COSTO],0,0,1)</f>
        <v>0</v>
      </c>
      <c r="H100" s="98">
        <f t="shared" si="10"/>
        <v>0</v>
      </c>
      <c r="Q100" t="s">
        <v>8285</v>
      </c>
      <c r="R100" t="str" cm="1">
        <f t="array" ref="R100:S100">+_xlfn.TEXTSPLIT(Q100," - ")</f>
        <v>F-1067 N/C</v>
      </c>
      <c r="S100" t="str">
        <v>200</v>
      </c>
    </row>
    <row r="101" spans="1:19" x14ac:dyDescent="0.2">
      <c r="A101" s="6">
        <v>200</v>
      </c>
      <c r="B101" s="582">
        <f>+_xlfn.XLOOKUP("PLASTICOS"&amp;D101,CODIGOS_Y_COSTOS[ID],CODIGOS_Y_COSTOS[CODIGO],0,0,1)</f>
        <v>0</v>
      </c>
      <c r="D101" s="1216"/>
      <c r="E101" s="638" t="str">
        <f t="shared" si="11"/>
        <v>OK</v>
      </c>
      <c r="F101" s="98">
        <f>+_xlfn.XLOOKUP("PLASTICOS"&amp;D101,CODIGOS_Y_COSTOS[ID],CODIGOS_Y_COSTOS[COSTO],0,0,1)</f>
        <v>0</v>
      </c>
      <c r="H101" s="98">
        <f t="shared" si="10"/>
        <v>0</v>
      </c>
      <c r="Q101" t="s">
        <v>8286</v>
      </c>
      <c r="R101" t="str" cm="1">
        <f t="array" ref="R101:S101">+_xlfn.TEXTSPLIT(Q101," - ")</f>
        <v>F-322</v>
      </c>
      <c r="S101" t="str">
        <v>200</v>
      </c>
    </row>
    <row r="102" spans="1:19" x14ac:dyDescent="0.2">
      <c r="A102" s="6">
        <v>200</v>
      </c>
      <c r="B102" s="582">
        <f>+_xlfn.XLOOKUP("PLASTICOS"&amp;D102,CODIGOS_Y_COSTOS[ID],CODIGOS_Y_COSTOS[CODIGO],0,0,1)</f>
        <v>0</v>
      </c>
      <c r="D102" s="1216"/>
      <c r="E102" s="638" t="str">
        <f t="shared" si="11"/>
        <v>OK</v>
      </c>
      <c r="F102" s="98">
        <f>+_xlfn.XLOOKUP("PLASTICOS"&amp;D102,CODIGOS_Y_COSTOS[ID],CODIGOS_Y_COSTOS[COSTO],0,0,1)</f>
        <v>0</v>
      </c>
      <c r="H102" s="98">
        <f t="shared" si="10"/>
        <v>0</v>
      </c>
      <c r="Q102" t="s">
        <v>8287</v>
      </c>
      <c r="R102" t="str" cm="1">
        <f t="array" ref="R102:S102">+_xlfn.TEXTSPLIT(Q102," - ")</f>
        <v>F-1087</v>
      </c>
      <c r="S102" t="str">
        <v>100</v>
      </c>
    </row>
    <row r="103" spans="1:19" x14ac:dyDescent="0.2">
      <c r="A103" s="6">
        <v>200</v>
      </c>
      <c r="B103" s="582">
        <f>+_xlfn.XLOOKUP("PLASTICOS"&amp;D103,CODIGOS_Y_COSTOS[ID],CODIGOS_Y_COSTOS[CODIGO],0,0,1)</f>
        <v>0</v>
      </c>
      <c r="D103" s="1216"/>
      <c r="E103" s="638" t="str">
        <f t="shared" si="11"/>
        <v>OK</v>
      </c>
      <c r="F103" s="98">
        <f>+_xlfn.XLOOKUP("PLASTICOS"&amp;D103,CODIGOS_Y_COSTOS[ID],CODIGOS_Y_COSTOS[COSTO],0,0,1)</f>
        <v>0</v>
      </c>
      <c r="H103" s="98">
        <f t="shared" si="10"/>
        <v>0</v>
      </c>
      <c r="Q103" t="s">
        <v>8288</v>
      </c>
      <c r="R103" t="str" cm="1">
        <f t="array" ref="R103:S103">+_xlfn.TEXTSPLIT(Q103," - ")</f>
        <v>F-466</v>
      </c>
      <c r="S103" t="str">
        <v>200</v>
      </c>
    </row>
    <row r="104" spans="1:19" x14ac:dyDescent="0.2">
      <c r="A104" s="6">
        <v>200</v>
      </c>
      <c r="B104" s="582">
        <f>+_xlfn.XLOOKUP("PLASTICOS"&amp;D104,CODIGOS_Y_COSTOS[ID],CODIGOS_Y_COSTOS[CODIGO],0,0,1)</f>
        <v>0</v>
      </c>
      <c r="D104" s="1216"/>
      <c r="E104" s="638" t="str">
        <f t="shared" si="11"/>
        <v>OK</v>
      </c>
      <c r="F104" s="98">
        <f>+_xlfn.XLOOKUP("PLASTICOS"&amp;D104,CODIGOS_Y_COSTOS[ID],CODIGOS_Y_COSTOS[COSTO],0,0,1)</f>
        <v>0</v>
      </c>
      <c r="H104" s="98">
        <f t="shared" si="10"/>
        <v>0</v>
      </c>
      <c r="Q104" t="s">
        <v>8289</v>
      </c>
      <c r="R104" t="str" cm="1">
        <f t="array" ref="R104:S104">+_xlfn.TEXTSPLIT(Q104," - ")</f>
        <v>F-1128</v>
      </c>
      <c r="S104" t="str">
        <v>200</v>
      </c>
    </row>
    <row r="105" spans="1:19" x14ac:dyDescent="0.2">
      <c r="A105" s="6">
        <v>200</v>
      </c>
      <c r="B105" s="582">
        <f>+_xlfn.XLOOKUP("PLASTICOS"&amp;D105,CODIGOS_Y_COSTOS[ID],CODIGOS_Y_COSTOS[CODIGO],0,0,1)</f>
        <v>0</v>
      </c>
      <c r="D105" s="1216"/>
      <c r="E105" s="638" t="str">
        <f t="shared" si="11"/>
        <v>OK</v>
      </c>
      <c r="F105" s="98">
        <f>+_xlfn.XLOOKUP("PLASTICOS"&amp;D105,CODIGOS_Y_COSTOS[ID],CODIGOS_Y_COSTOS[COSTO],0,0,1)</f>
        <v>0</v>
      </c>
      <c r="H105" s="98">
        <f t="shared" si="10"/>
        <v>0</v>
      </c>
      <c r="Q105" t="s">
        <v>8290</v>
      </c>
      <c r="R105" t="str" cm="1">
        <f t="array" ref="R105:S105">+_xlfn.TEXTSPLIT(Q105," - ")</f>
        <v>F-1108</v>
      </c>
      <c r="S105" t="str">
        <v>200</v>
      </c>
    </row>
    <row r="106" spans="1:19" x14ac:dyDescent="0.2">
      <c r="A106" s="6">
        <v>200</v>
      </c>
      <c r="B106" s="582">
        <f>+_xlfn.XLOOKUP("PLASTICOS"&amp;D106,CODIGOS_Y_COSTOS[ID],CODIGOS_Y_COSTOS[CODIGO],0,0,1)</f>
        <v>0</v>
      </c>
      <c r="D106" s="1216"/>
      <c r="E106" s="638" t="str">
        <f t="shared" si="11"/>
        <v>OK</v>
      </c>
      <c r="F106" s="98">
        <f>+_xlfn.XLOOKUP("PLASTICOS"&amp;D106,CODIGOS_Y_COSTOS[ID],CODIGOS_Y_COSTOS[COSTO],0,0,1)</f>
        <v>0</v>
      </c>
      <c r="H106" s="98">
        <f t="shared" si="10"/>
        <v>0</v>
      </c>
      <c r="K106" t="s">
        <v>151</v>
      </c>
      <c r="Q106" t="s">
        <v>8291</v>
      </c>
      <c r="R106" t="str" cm="1">
        <f t="array" ref="R106:S106">+_xlfn.TEXTSPLIT(Q106," - ")</f>
        <v>F-1131</v>
      </c>
      <c r="S106" t="str">
        <v>200</v>
      </c>
    </row>
    <row r="107" spans="1:19" x14ac:dyDescent="0.2">
      <c r="A107" s="6">
        <v>200</v>
      </c>
      <c r="B107" s="582">
        <f>+_xlfn.XLOOKUP("PLASTICOS"&amp;D107,CODIGOS_Y_COSTOS[ID],CODIGOS_Y_COSTOS[CODIGO],0,0,1)</f>
        <v>0</v>
      </c>
      <c r="D107" s="1216"/>
      <c r="E107" s="638" t="str">
        <f t="shared" si="11"/>
        <v>OK</v>
      </c>
      <c r="F107" s="98">
        <f>+_xlfn.XLOOKUP("PLASTICOS"&amp;D107,CODIGOS_Y_COSTOS[ID],CODIGOS_Y_COSTOS[COSTO],0,0,1)</f>
        <v>0</v>
      </c>
      <c r="H107" s="98">
        <f t="shared" si="10"/>
        <v>0</v>
      </c>
      <c r="Q107" t="s">
        <v>8292</v>
      </c>
      <c r="R107" t="str" cm="1">
        <f t="array" ref="R107:S107">+_xlfn.TEXTSPLIT(Q107," - ")</f>
        <v>F-1109</v>
      </c>
      <c r="S107" t="str">
        <v>200</v>
      </c>
    </row>
    <row r="108" spans="1:19" x14ac:dyDescent="0.2">
      <c r="A108" s="6">
        <v>200</v>
      </c>
      <c r="B108" s="582">
        <f>+_xlfn.XLOOKUP("PLASTICOS"&amp;D108,CODIGOS_Y_COSTOS[ID],CODIGOS_Y_COSTOS[CODIGO],0,0,1)</f>
        <v>0</v>
      </c>
      <c r="D108" s="1216"/>
      <c r="E108" s="638" t="str">
        <f t="shared" si="11"/>
        <v>OK</v>
      </c>
      <c r="F108" s="98">
        <f>+_xlfn.XLOOKUP("PLASTICOS"&amp;D108,CODIGOS_Y_COSTOS[ID],CODIGOS_Y_COSTOS[COSTO],0,0,1)</f>
        <v>0</v>
      </c>
      <c r="H108" s="98">
        <f t="shared" si="10"/>
        <v>0</v>
      </c>
      <c r="Q108" t="s">
        <v>8293</v>
      </c>
      <c r="R108" t="str" cm="1">
        <f t="array" ref="R108:S108">+_xlfn.TEXTSPLIT(Q108," - ")</f>
        <v>F-1117</v>
      </c>
      <c r="S108" t="str">
        <v>200</v>
      </c>
    </row>
    <row r="109" spans="1:19" x14ac:dyDescent="0.2">
      <c r="A109" s="6">
        <v>200</v>
      </c>
      <c r="B109" s="582">
        <f>+_xlfn.XLOOKUP("PLASTICOS"&amp;D109,CODIGOS_Y_COSTOS[ID],CODIGOS_Y_COSTOS[CODIGO],0,0,1)</f>
        <v>0</v>
      </c>
      <c r="D109" s="1216"/>
      <c r="E109" s="638" t="str">
        <f t="shared" si="11"/>
        <v>OK</v>
      </c>
      <c r="F109" s="98">
        <f>+_xlfn.XLOOKUP("PLASTICOS"&amp;D109,CODIGOS_Y_COSTOS[ID],CODIGOS_Y_COSTOS[COSTO],0,0,1)</f>
        <v>0</v>
      </c>
      <c r="H109" s="98">
        <f t="shared" si="10"/>
        <v>0</v>
      </c>
      <c r="Q109" t="s">
        <v>8294</v>
      </c>
      <c r="R109" t="str" cm="1">
        <f t="array" ref="R109:S109">+_xlfn.TEXTSPLIT(Q109," - ")</f>
        <v>F-1120</v>
      </c>
      <c r="S109" t="str">
        <v>200</v>
      </c>
    </row>
    <row r="110" spans="1:19" x14ac:dyDescent="0.2">
      <c r="A110" s="6">
        <v>200</v>
      </c>
      <c r="B110" s="582">
        <f>+_xlfn.XLOOKUP("PLASTICOS"&amp;D110,CODIGOS_Y_COSTOS[ID],CODIGOS_Y_COSTOS[CODIGO],0,0,1)</f>
        <v>0</v>
      </c>
      <c r="D110" s="1216"/>
      <c r="E110" s="638" t="str">
        <f t="shared" si="11"/>
        <v>OK</v>
      </c>
      <c r="F110" s="98">
        <f>+_xlfn.XLOOKUP("PLASTICOS"&amp;D110,CODIGOS_Y_COSTOS[ID],CODIGOS_Y_COSTOS[COSTO],0,0,1)</f>
        <v>0</v>
      </c>
      <c r="H110" s="98">
        <f t="shared" si="10"/>
        <v>0</v>
      </c>
      <c r="Q110" t="s">
        <v>8295</v>
      </c>
      <c r="R110" t="str" cm="1">
        <f t="array" ref="R110:S110">+_xlfn.TEXTSPLIT(Q110," - ")</f>
        <v>F-722</v>
      </c>
      <c r="S110" t="str">
        <v>200</v>
      </c>
    </row>
    <row r="111" spans="1:19" x14ac:dyDescent="0.2">
      <c r="A111" s="6">
        <v>200</v>
      </c>
      <c r="B111" s="582">
        <f>+_xlfn.XLOOKUP("PLASTICOS"&amp;D111,CODIGOS_Y_COSTOS[ID],CODIGOS_Y_COSTOS[CODIGO],0,0,1)</f>
        <v>0</v>
      </c>
      <c r="D111" s="1216"/>
      <c r="E111" s="638" t="str">
        <f t="shared" si="11"/>
        <v>OK</v>
      </c>
      <c r="F111" s="98">
        <f>+_xlfn.XLOOKUP("PLASTICOS"&amp;D111,CODIGOS_Y_COSTOS[ID],CODIGOS_Y_COSTOS[COSTO],0,0,1)</f>
        <v>0</v>
      </c>
      <c r="H111" s="98">
        <f t="shared" si="10"/>
        <v>0</v>
      </c>
      <c r="Q111" t="s">
        <v>8296</v>
      </c>
      <c r="R111" t="str" cm="1">
        <f t="array" ref="R111:S111">+_xlfn.TEXTSPLIT(Q111," - ")</f>
        <v>F-1135</v>
      </c>
      <c r="S111" t="str">
        <v>200</v>
      </c>
    </row>
    <row r="112" spans="1:19" x14ac:dyDescent="0.2">
      <c r="A112" s="6">
        <v>200</v>
      </c>
      <c r="B112" s="582">
        <f>+_xlfn.XLOOKUP("PLASTICOS"&amp;D112,CODIGOS_Y_COSTOS[ID],CODIGOS_Y_COSTOS[CODIGO],0,0,1)</f>
        <v>0</v>
      </c>
      <c r="D112" s="1216"/>
      <c r="E112" s="638" t="str">
        <f t="shared" si="11"/>
        <v>OK</v>
      </c>
      <c r="F112" s="98">
        <f>+_xlfn.XLOOKUP("PLASTICOS"&amp;D112,CODIGOS_Y_COSTOS[ID],CODIGOS_Y_COSTOS[COSTO],0,0,1)</f>
        <v>0</v>
      </c>
      <c r="H112" s="98">
        <f t="shared" si="10"/>
        <v>0</v>
      </c>
      <c r="Q112" t="s">
        <v>8297</v>
      </c>
      <c r="R112" t="str" cm="1">
        <f t="array" ref="R112:S112">+_xlfn.TEXTSPLIT(Q112," - ")</f>
        <v>F-1119</v>
      </c>
      <c r="S112" t="str">
        <v>200</v>
      </c>
    </row>
    <row r="113" spans="1:19" x14ac:dyDescent="0.2">
      <c r="A113" s="6">
        <v>200</v>
      </c>
      <c r="B113" s="582">
        <f>+_xlfn.XLOOKUP("PLASTICOS"&amp;D113,CODIGOS_Y_COSTOS[ID],CODIGOS_Y_COSTOS[CODIGO],0,0,1)</f>
        <v>0</v>
      </c>
      <c r="D113" s="1216"/>
      <c r="E113" s="638" t="str">
        <f t="shared" si="11"/>
        <v>OK</v>
      </c>
      <c r="F113" s="98">
        <f>+_xlfn.XLOOKUP("PLASTICOS"&amp;D113,CODIGOS_Y_COSTOS[ID],CODIGOS_Y_COSTOS[COSTO],0,0,1)</f>
        <v>0</v>
      </c>
      <c r="H113" s="98">
        <f t="shared" si="10"/>
        <v>0</v>
      </c>
      <c r="Q113" t="s">
        <v>8298</v>
      </c>
      <c r="R113" t="str" cm="1">
        <f t="array" ref="R113:S113">+_xlfn.TEXTSPLIT(Q113," - ")</f>
        <v>F-046</v>
      </c>
      <c r="S113" t="str">
        <v>200</v>
      </c>
    </row>
    <row r="114" spans="1:19" x14ac:dyDescent="0.2">
      <c r="A114" s="6">
        <v>200</v>
      </c>
      <c r="B114" s="582">
        <f>+_xlfn.XLOOKUP("PLASTICOS"&amp;D114,CODIGOS_Y_COSTOS[ID],CODIGOS_Y_COSTOS[CODIGO],0,0,1)</f>
        <v>0</v>
      </c>
      <c r="D114" s="1216"/>
      <c r="E114" s="638" t="str">
        <f t="shared" si="11"/>
        <v>OK</v>
      </c>
      <c r="F114" s="98">
        <f>+_xlfn.XLOOKUP("PLASTICOS"&amp;D114,CODIGOS_Y_COSTOS[ID],CODIGOS_Y_COSTOS[COSTO],0,0,1)</f>
        <v>0</v>
      </c>
      <c r="H114" s="98">
        <f t="shared" si="10"/>
        <v>0</v>
      </c>
      <c r="Q114" t="s">
        <v>8299</v>
      </c>
      <c r="R114" t="str" cm="1">
        <f t="array" ref="R114:S114">+_xlfn.TEXTSPLIT(Q114," - ")</f>
        <v>F-1054</v>
      </c>
      <c r="S114" t="str">
        <v>200</v>
      </c>
    </row>
    <row r="115" spans="1:19" x14ac:dyDescent="0.2">
      <c r="A115" s="6">
        <v>200</v>
      </c>
      <c r="B115" s="582">
        <f>+_xlfn.XLOOKUP("PLASTICOS"&amp;D115,CODIGOS_Y_COSTOS[ID],CODIGOS_Y_COSTOS[CODIGO],0,0,1)</f>
        <v>0</v>
      </c>
      <c r="D115" s="1216"/>
      <c r="E115" s="638" t="str">
        <f t="shared" si="11"/>
        <v>OK</v>
      </c>
      <c r="F115" s="98">
        <f>+_xlfn.XLOOKUP("PLASTICOS"&amp;D115,CODIGOS_Y_COSTOS[ID],CODIGOS_Y_COSTOS[COSTO],0,0,1)</f>
        <v>0</v>
      </c>
      <c r="H115" s="98">
        <f t="shared" si="10"/>
        <v>0</v>
      </c>
      <c r="Q115" t="s">
        <v>8300</v>
      </c>
      <c r="R115" t="str" cm="1">
        <f t="array" ref="R115:S115">+_xlfn.TEXTSPLIT(Q115," - ")</f>
        <v>F-1098</v>
      </c>
      <c r="S115" t="str">
        <v>200</v>
      </c>
    </row>
    <row r="116" spans="1:19" x14ac:dyDescent="0.2">
      <c r="A116" s="6">
        <v>200</v>
      </c>
      <c r="B116" s="582">
        <f>+_xlfn.XLOOKUP("PLASTICOS"&amp;D116,CODIGOS_Y_COSTOS[ID],CODIGOS_Y_COSTOS[CODIGO],0,0,1)</f>
        <v>0</v>
      </c>
      <c r="D116" s="1216"/>
      <c r="E116" s="638" t="str">
        <f t="shared" si="11"/>
        <v>OK</v>
      </c>
      <c r="F116" s="98">
        <f>+_xlfn.XLOOKUP("PLASTICOS"&amp;D116,CODIGOS_Y_COSTOS[ID],CODIGOS_Y_COSTOS[COSTO],0,0,1)</f>
        <v>0</v>
      </c>
      <c r="H116" s="98">
        <f t="shared" si="10"/>
        <v>0</v>
      </c>
      <c r="Q116" t="s">
        <v>8301</v>
      </c>
      <c r="R116" t="str" cm="1">
        <f t="array" ref="R116:S116">+_xlfn.TEXTSPLIT(Q116," - ")</f>
        <v>F-1150</v>
      </c>
      <c r="S116" t="str">
        <v>200</v>
      </c>
    </row>
    <row r="117" spans="1:19" x14ac:dyDescent="0.2">
      <c r="A117" s="6">
        <v>200</v>
      </c>
      <c r="B117" s="582">
        <f>+_xlfn.XLOOKUP("PLASTICOS"&amp;D117,CODIGOS_Y_COSTOS[ID],CODIGOS_Y_COSTOS[CODIGO],0,0,1)</f>
        <v>0</v>
      </c>
      <c r="D117" s="1216"/>
      <c r="E117" s="638" t="str">
        <f t="shared" si="11"/>
        <v>OK</v>
      </c>
      <c r="F117" s="98">
        <f>+_xlfn.XLOOKUP("PLASTICOS"&amp;D117,CODIGOS_Y_COSTOS[ID],CODIGOS_Y_COSTOS[COSTO],0,0,1)</f>
        <v>0</v>
      </c>
      <c r="H117" s="98">
        <f t="shared" si="10"/>
        <v>0</v>
      </c>
      <c r="Q117" t="s">
        <v>8302</v>
      </c>
      <c r="R117" t="str" cm="1">
        <f t="array" ref="R117:S117">+_xlfn.TEXTSPLIT(Q117," - ")</f>
        <v>F-1102</v>
      </c>
      <c r="S117" t="str">
        <v>200</v>
      </c>
    </row>
    <row r="118" spans="1:19" x14ac:dyDescent="0.2">
      <c r="A118" s="6">
        <v>200</v>
      </c>
      <c r="B118" s="582">
        <f>+_xlfn.XLOOKUP("PLASTICOS"&amp;D118,CODIGOS_Y_COSTOS[ID],CODIGOS_Y_COSTOS[CODIGO],0,0,1)</f>
        <v>0</v>
      </c>
      <c r="D118" s="1216"/>
      <c r="E118" s="638" t="str">
        <f t="shared" si="11"/>
        <v>OK</v>
      </c>
      <c r="F118" s="98">
        <f>+_xlfn.XLOOKUP("PLASTICOS"&amp;D118,CODIGOS_Y_COSTOS[ID],CODIGOS_Y_COSTOS[COSTO],0,0,1)</f>
        <v>0</v>
      </c>
      <c r="H118" s="98">
        <f t="shared" si="10"/>
        <v>0</v>
      </c>
      <c r="Q118" t="s">
        <v>8303</v>
      </c>
      <c r="R118" t="str" cm="1">
        <f t="array" ref="R118:S118">+_xlfn.TEXTSPLIT(Q118," - ")</f>
        <v>F-1081</v>
      </c>
      <c r="S118" t="str">
        <v>200</v>
      </c>
    </row>
    <row r="119" spans="1:19" x14ac:dyDescent="0.2">
      <c r="A119" s="6">
        <v>200</v>
      </c>
      <c r="B119" s="582">
        <f>+_xlfn.XLOOKUP("PLASTICOS"&amp;D119,CODIGOS_Y_COSTOS[ID],CODIGOS_Y_COSTOS[CODIGO],0,0,1)</f>
        <v>0</v>
      </c>
      <c r="D119" s="1216"/>
      <c r="E119" s="638" t="str">
        <f t="shared" si="11"/>
        <v>OK</v>
      </c>
      <c r="F119" s="98">
        <f>+_xlfn.XLOOKUP("PLASTICOS"&amp;D119,CODIGOS_Y_COSTOS[ID],CODIGOS_Y_COSTOS[COSTO],0,0,1)</f>
        <v>0</v>
      </c>
      <c r="H119" s="98">
        <f t="shared" si="10"/>
        <v>0</v>
      </c>
      <c r="Q119" t="s">
        <v>8304</v>
      </c>
      <c r="R119" t="str" cm="1">
        <f t="array" ref="R119:S119">+_xlfn.TEXTSPLIT(Q119," - ")</f>
        <v>F-1149</v>
      </c>
      <c r="S119" t="str">
        <v>200</v>
      </c>
    </row>
    <row r="120" spans="1:19" x14ac:dyDescent="0.2">
      <c r="A120" s="6">
        <v>200</v>
      </c>
      <c r="B120" s="582">
        <f>+_xlfn.XLOOKUP("PLASTICOS"&amp;D120,CODIGOS_Y_COSTOS[ID],CODIGOS_Y_COSTOS[CODIGO],0,0,1)</f>
        <v>0</v>
      </c>
      <c r="D120" s="1216"/>
      <c r="E120" s="638" t="str">
        <f t="shared" si="11"/>
        <v>OK</v>
      </c>
      <c r="F120" s="98">
        <f>+_xlfn.XLOOKUP("PLASTICOS"&amp;D120,CODIGOS_Y_COSTOS[ID],CODIGOS_Y_COSTOS[COSTO],0,0,1)</f>
        <v>0</v>
      </c>
      <c r="H120" s="98">
        <f t="shared" si="10"/>
        <v>0</v>
      </c>
      <c r="Q120" t="s">
        <v>8305</v>
      </c>
      <c r="R120" t="str" cm="1">
        <f t="array" ref="R120:S120">+_xlfn.TEXTSPLIT(Q120," - ")</f>
        <v>F-1080</v>
      </c>
      <c r="S120" t="str">
        <v>200</v>
      </c>
    </row>
    <row r="121" spans="1:19" x14ac:dyDescent="0.2">
      <c r="A121" s="6">
        <v>200</v>
      </c>
      <c r="B121" s="582">
        <f>+_xlfn.XLOOKUP("PLASTICOS"&amp;D121,CODIGOS_Y_COSTOS[ID],CODIGOS_Y_COSTOS[CODIGO],0,0,1)</f>
        <v>0</v>
      </c>
      <c r="D121" s="1216"/>
      <c r="E121" s="638" t="str">
        <f t="shared" si="11"/>
        <v>OK</v>
      </c>
      <c r="F121" s="98">
        <f>+_xlfn.XLOOKUP("PLASTICOS"&amp;D121,CODIGOS_Y_COSTOS[ID],CODIGOS_Y_COSTOS[COSTO],0,0,1)</f>
        <v>0</v>
      </c>
      <c r="H121" s="98">
        <f t="shared" si="10"/>
        <v>0</v>
      </c>
      <c r="Q121" t="s">
        <v>8306</v>
      </c>
      <c r="R121" t="str" cm="1">
        <f t="array" ref="R121:S121">+_xlfn.TEXTSPLIT(Q121," - ")</f>
        <v>F-1126</v>
      </c>
      <c r="S121" t="str">
        <v>200</v>
      </c>
    </row>
    <row r="122" spans="1:19" x14ac:dyDescent="0.2">
      <c r="A122" s="6">
        <v>200</v>
      </c>
      <c r="B122" s="582">
        <f>+_xlfn.XLOOKUP("PLASTICOS"&amp;D122,CODIGOS_Y_COSTOS[ID],CODIGOS_Y_COSTOS[CODIGO],0,0,1)</f>
        <v>0</v>
      </c>
      <c r="D122" s="1216"/>
      <c r="E122" s="638" t="str">
        <f t="shared" si="11"/>
        <v>OK</v>
      </c>
      <c r="F122" s="98">
        <f>+_xlfn.XLOOKUP("PLASTICOS"&amp;D122,CODIGOS_Y_COSTOS[ID],CODIGOS_Y_COSTOS[COSTO],0,0,1)</f>
        <v>0</v>
      </c>
      <c r="H122" s="98">
        <f t="shared" si="10"/>
        <v>0</v>
      </c>
      <c r="Q122" t="s">
        <v>8307</v>
      </c>
      <c r="R122" t="str" cm="1">
        <f t="array" ref="R122:S122">+_xlfn.TEXTSPLIT(Q122," - ")</f>
        <v>F-1158</v>
      </c>
      <c r="S122" t="str">
        <v>200</v>
      </c>
    </row>
    <row r="123" spans="1:19" x14ac:dyDescent="0.2">
      <c r="A123" s="6">
        <v>200</v>
      </c>
      <c r="B123" s="582">
        <f>+_xlfn.XLOOKUP("PLASTICOS"&amp;D123,CODIGOS_Y_COSTOS[ID],CODIGOS_Y_COSTOS[CODIGO],0,0,1)</f>
        <v>0</v>
      </c>
      <c r="D123" s="1216"/>
      <c r="E123" s="638" t="str">
        <f t="shared" si="11"/>
        <v>OK</v>
      </c>
      <c r="F123" s="98">
        <f>+_xlfn.XLOOKUP("PLASTICOS"&amp;D123,CODIGOS_Y_COSTOS[ID],CODIGOS_Y_COSTOS[COSTO],0,0,1)</f>
        <v>0</v>
      </c>
      <c r="H123" s="98">
        <f t="shared" si="10"/>
        <v>0</v>
      </c>
      <c r="Q123" t="s">
        <v>8308</v>
      </c>
      <c r="R123" t="str" cm="1">
        <f t="array" ref="R123:S123">+_xlfn.TEXTSPLIT(Q123," - ")</f>
        <v>F-1101</v>
      </c>
      <c r="S123" t="str">
        <v>200</v>
      </c>
    </row>
    <row r="124" spans="1:19" x14ac:dyDescent="0.2">
      <c r="A124" s="6">
        <v>200</v>
      </c>
      <c r="B124" s="582">
        <f>+_xlfn.XLOOKUP("PLASTICOS"&amp;D124,CODIGOS_Y_COSTOS[ID],CODIGOS_Y_COSTOS[CODIGO],0,0,1)</f>
        <v>0</v>
      </c>
      <c r="F124" s="98">
        <f>+_xlfn.XLOOKUP("PLASTICOS"&amp;D124,CODIGOS_Y_COSTOS[ID],CODIGOS_Y_COSTOS[COSTO],0,0,1)</f>
        <v>0</v>
      </c>
      <c r="H124" s="98">
        <f t="shared" si="10"/>
        <v>0</v>
      </c>
      <c r="Q124" t="s">
        <v>8309</v>
      </c>
      <c r="R124" t="str" cm="1">
        <f t="array" ref="R124:S124">+_xlfn.TEXTSPLIT(Q124," - ")</f>
        <v>F-1095</v>
      </c>
      <c r="S124" t="str">
        <v>200</v>
      </c>
    </row>
    <row r="125" spans="1:19" x14ac:dyDescent="0.2">
      <c r="A125" s="6">
        <v>200</v>
      </c>
      <c r="B125" s="582">
        <f>+_xlfn.XLOOKUP("PLASTICOS"&amp;D125,CODIGOS_Y_COSTOS[ID],CODIGOS_Y_COSTOS[CODIGO],0,0,1)</f>
        <v>0</v>
      </c>
      <c r="F125" s="98">
        <f>+_xlfn.XLOOKUP("PLASTICOS"&amp;D125,CODIGOS_Y_COSTOS[ID],CODIGOS_Y_COSTOS[COSTO],0,0,1)</f>
        <v>0</v>
      </c>
      <c r="H125" s="98">
        <f t="shared" si="10"/>
        <v>0</v>
      </c>
      <c r="Q125" t="s">
        <v>8310</v>
      </c>
      <c r="R125" t="str" cm="1">
        <f t="array" ref="R125:S125">+_xlfn.TEXTSPLIT(Q125," - ")</f>
        <v>F-1115</v>
      </c>
      <c r="S125" t="str">
        <v>100</v>
      </c>
    </row>
    <row r="126" spans="1:19" x14ac:dyDescent="0.2">
      <c r="A126" s="6">
        <v>200</v>
      </c>
      <c r="B126" s="582">
        <f>+_xlfn.XLOOKUP("PLASTICOS"&amp;D126,CODIGOS_Y_COSTOS[ID],CODIGOS_Y_COSTOS[CODIGO],0,0,1)</f>
        <v>0</v>
      </c>
      <c r="F126" s="98">
        <f>+_xlfn.XLOOKUP("PLASTICOS"&amp;D126,CODIGOS_Y_COSTOS[ID],CODIGOS_Y_COSTOS[COSTO],0,0,1)</f>
        <v>0</v>
      </c>
      <c r="H126" s="98">
        <f t="shared" si="10"/>
        <v>0</v>
      </c>
      <c r="Q126" t="s">
        <v>8311</v>
      </c>
      <c r="R126" t="str" cm="1">
        <f t="array" ref="R126:S126">+_xlfn.TEXTSPLIT(Q126," - ")</f>
        <v>F-1155</v>
      </c>
      <c r="S126" t="str">
        <v>200</v>
      </c>
    </row>
    <row r="127" spans="1:19" x14ac:dyDescent="0.2">
      <c r="A127" s="6">
        <v>200</v>
      </c>
      <c r="B127" s="582">
        <f>+_xlfn.XLOOKUP("PLASTICOS"&amp;D127,CODIGOS_Y_COSTOS[ID],CODIGOS_Y_COSTOS[CODIGO],0,0,1)</f>
        <v>0</v>
      </c>
      <c r="F127" s="98">
        <f>+_xlfn.XLOOKUP("PLASTICOS"&amp;D127,CODIGOS_Y_COSTOS[ID],CODIGOS_Y_COSTOS[COSTO],0,0,1)</f>
        <v>0</v>
      </c>
      <c r="H127" s="98">
        <f t="shared" si="10"/>
        <v>0</v>
      </c>
      <c r="Q127" t="s">
        <v>8312</v>
      </c>
      <c r="R127" t="str" cm="1">
        <f t="array" ref="R127:S127">+_xlfn.TEXTSPLIT(Q127," - ")</f>
        <v>F-1161</v>
      </c>
      <c r="S127" t="str">
        <v>200</v>
      </c>
    </row>
    <row r="128" spans="1:19" x14ac:dyDescent="0.2">
      <c r="A128" s="6">
        <v>200</v>
      </c>
      <c r="B128" s="582">
        <f>+_xlfn.XLOOKUP("PLASTICOS"&amp;D128,CODIGOS_Y_COSTOS[ID],CODIGOS_Y_COSTOS[CODIGO],0,0,1)</f>
        <v>0</v>
      </c>
      <c r="F128" s="98">
        <f>+_xlfn.XLOOKUP("PLASTICOS"&amp;D128,CODIGOS_Y_COSTOS[ID],CODIGOS_Y_COSTOS[COSTO],0,0,1)</f>
        <v>0</v>
      </c>
      <c r="H128" s="98">
        <f t="shared" si="10"/>
        <v>0</v>
      </c>
      <c r="Q128" t="s">
        <v>8313</v>
      </c>
      <c r="R128" t="str" cm="1">
        <f t="array" ref="R128:S128">+_xlfn.TEXTSPLIT(Q128," - ")</f>
        <v>F-1160</v>
      </c>
      <c r="S128" t="str">
        <v>200</v>
      </c>
    </row>
    <row r="129" spans="1:19" x14ac:dyDescent="0.2">
      <c r="A129" s="6">
        <v>200</v>
      </c>
      <c r="B129" s="582">
        <f>+_xlfn.XLOOKUP("PLASTICOS"&amp;D129,CODIGOS_Y_COSTOS[ID],CODIGOS_Y_COSTOS[CODIGO],0,0,1)</f>
        <v>0</v>
      </c>
      <c r="F129" s="98">
        <f>+_xlfn.XLOOKUP("PLASTICOS"&amp;D129,CODIGOS_Y_COSTOS[ID],CODIGOS_Y_COSTOS[COSTO],0,0,1)</f>
        <v>0</v>
      </c>
      <c r="H129" s="98">
        <f t="shared" si="10"/>
        <v>0</v>
      </c>
      <c r="Q129" t="s">
        <v>8314</v>
      </c>
      <c r="R129" t="str" cm="1">
        <f t="array" ref="R129:S129">+_xlfn.TEXTSPLIT(Q129," - ")</f>
        <v>F-1165</v>
      </c>
      <c r="S129" t="str">
        <v>200</v>
      </c>
    </row>
    <row r="130" spans="1:19" x14ac:dyDescent="0.2">
      <c r="A130" s="6">
        <v>200</v>
      </c>
      <c r="B130" s="582">
        <f>+_xlfn.XLOOKUP("PLASTICOS"&amp;D130,CODIGOS_Y_COSTOS[ID],CODIGOS_Y_COSTOS[CODIGO],0,0,1)</f>
        <v>0</v>
      </c>
      <c r="F130" s="98">
        <f>+_xlfn.XLOOKUP("PLASTICOS"&amp;D130,CODIGOS_Y_COSTOS[ID],CODIGOS_Y_COSTOS[COSTO],0,0,1)</f>
        <v>0</v>
      </c>
      <c r="H130" s="98">
        <f t="shared" si="10"/>
        <v>0</v>
      </c>
      <c r="Q130" t="s">
        <v>8315</v>
      </c>
      <c r="R130" t="str" cm="1">
        <f t="array" ref="R130:S130">+_xlfn.TEXTSPLIT(Q130," - ")</f>
        <v>F-1162</v>
      </c>
      <c r="S130" t="str">
        <v>200</v>
      </c>
    </row>
    <row r="131" spans="1:19" x14ac:dyDescent="0.2">
      <c r="A131" s="6">
        <v>200</v>
      </c>
      <c r="B131" s="582">
        <f>+_xlfn.XLOOKUP("PLASTICOS"&amp;D131,CODIGOS_Y_COSTOS[ID],CODIGOS_Y_COSTOS[CODIGO],0,0,1)</f>
        <v>0</v>
      </c>
      <c r="F131" s="98">
        <f>+_xlfn.XLOOKUP("PLASTICOS"&amp;D131,CODIGOS_Y_COSTOS[ID],CODIGOS_Y_COSTOS[COSTO],0,0,1)</f>
        <v>0</v>
      </c>
      <c r="H131" s="98">
        <f t="shared" si="10"/>
        <v>0</v>
      </c>
      <c r="Q131" t="s">
        <v>8316</v>
      </c>
      <c r="R131" t="str" cm="1">
        <f t="array" ref="R131:S131">+_xlfn.TEXTSPLIT(Q131," - ")</f>
        <v>F-1167</v>
      </c>
      <c r="S131" t="str">
        <v>100</v>
      </c>
    </row>
    <row r="132" spans="1:19" x14ac:dyDescent="0.2">
      <c r="A132" s="6">
        <v>200</v>
      </c>
      <c r="B132" s="582">
        <f>+_xlfn.XLOOKUP("PLASTICOS"&amp;D132,CODIGOS_Y_COSTOS[ID],CODIGOS_Y_COSTOS[CODIGO],0,0,1)</f>
        <v>0</v>
      </c>
      <c r="F132" s="98">
        <f>+_xlfn.XLOOKUP("PLASTICOS"&amp;D132,CODIGOS_Y_COSTOS[ID],CODIGOS_Y_COSTOS[COSTO],0,0,1)</f>
        <v>0</v>
      </c>
      <c r="H132" s="98">
        <f t="shared" si="10"/>
        <v>0</v>
      </c>
      <c r="Q132" t="s">
        <v>8317</v>
      </c>
      <c r="R132" t="str" cm="1">
        <f t="array" ref="R132:S132">+_xlfn.TEXTSPLIT(Q132," - ")</f>
        <v>F-1177</v>
      </c>
      <c r="S132" t="str">
        <v>200</v>
      </c>
    </row>
    <row r="133" spans="1:19" x14ac:dyDescent="0.2">
      <c r="A133" s="6">
        <v>200</v>
      </c>
      <c r="B133" s="582">
        <f>+_xlfn.XLOOKUP("PLASTICOS"&amp;D133,CODIGOS_Y_COSTOS[ID],CODIGOS_Y_COSTOS[CODIGO],0,0,1)</f>
        <v>0</v>
      </c>
      <c r="F133" s="98">
        <f>+_xlfn.XLOOKUP("PLASTICOS"&amp;D133,CODIGOS_Y_COSTOS[ID],CODIGOS_Y_COSTOS[COSTO],0,0,1)</f>
        <v>0</v>
      </c>
      <c r="H133" s="98">
        <f t="shared" si="10"/>
        <v>0</v>
      </c>
      <c r="Q133" t="s">
        <v>8318</v>
      </c>
      <c r="R133" t="str" cm="1">
        <f t="array" ref="R133:S133">+_xlfn.TEXTSPLIT(Q133," - ")</f>
        <v>F-1179</v>
      </c>
      <c r="S133" t="str">
        <v>200</v>
      </c>
    </row>
    <row r="134" spans="1:19" x14ac:dyDescent="0.2">
      <c r="A134" s="6">
        <v>200</v>
      </c>
      <c r="B134" s="582">
        <f>+_xlfn.XLOOKUP("PLASTICOS"&amp;D134,CODIGOS_Y_COSTOS[ID],CODIGOS_Y_COSTOS[CODIGO],0,0,1)</f>
        <v>0</v>
      </c>
      <c r="F134" s="98">
        <f>+_xlfn.XLOOKUP("PLASTICOS"&amp;D134,CODIGOS_Y_COSTOS[ID],CODIGOS_Y_COSTOS[COSTO],0,0,1)</f>
        <v>0</v>
      </c>
      <c r="H134" s="98">
        <f t="shared" si="10"/>
        <v>0</v>
      </c>
      <c r="Q134" t="s">
        <v>8319</v>
      </c>
      <c r="R134" t="str" cm="1">
        <f t="array" ref="R134:S134">+_xlfn.TEXTSPLIT(Q134," - ")</f>
        <v>F-1153</v>
      </c>
      <c r="S134" t="str">
        <v>200</v>
      </c>
    </row>
    <row r="135" spans="1:19" x14ac:dyDescent="0.2">
      <c r="A135" s="6">
        <v>200</v>
      </c>
      <c r="B135" s="582">
        <f>+_xlfn.XLOOKUP("PLASTICOS"&amp;D135,CODIGOS_Y_COSTOS[ID],CODIGOS_Y_COSTOS[CODIGO],0,0,1)</f>
        <v>0</v>
      </c>
      <c r="F135" s="98">
        <f>+_xlfn.XLOOKUP("PLASTICOS"&amp;D135,CODIGOS_Y_COSTOS[ID],CODIGOS_Y_COSTOS[COSTO],0,0,1)</f>
        <v>0</v>
      </c>
      <c r="H135" s="98">
        <f t="shared" si="10"/>
        <v>0</v>
      </c>
    </row>
    <row r="136" spans="1:19" x14ac:dyDescent="0.2">
      <c r="A136" s="6">
        <v>200</v>
      </c>
      <c r="B136" s="582">
        <f>+_xlfn.XLOOKUP("PLASTICOS"&amp;D136,CODIGOS_Y_COSTOS[ID],CODIGOS_Y_COSTOS[CODIGO],0,0,1)</f>
        <v>0</v>
      </c>
      <c r="F136" s="98">
        <f>+_xlfn.XLOOKUP("PLASTICOS"&amp;D136,CODIGOS_Y_COSTOS[ID],CODIGOS_Y_COSTOS[COSTO],0,0,1)</f>
        <v>0</v>
      </c>
      <c r="H136" s="98">
        <f t="shared" si="10"/>
        <v>0</v>
      </c>
    </row>
    <row r="137" spans="1:19" x14ac:dyDescent="0.2">
      <c r="A137" s="6">
        <v>200</v>
      </c>
      <c r="B137" s="582">
        <f>+_xlfn.XLOOKUP("PLASTICOS"&amp;D137,CODIGOS_Y_COSTOS[ID],CODIGOS_Y_COSTOS[CODIGO],0,0,1)</f>
        <v>0</v>
      </c>
      <c r="F137" s="98">
        <f>+_xlfn.XLOOKUP("PLASTICOS"&amp;D137,CODIGOS_Y_COSTOS[ID],CODIGOS_Y_COSTOS[COSTO],0,0,1)</f>
        <v>0</v>
      </c>
      <c r="H137" s="98">
        <f t="shared" si="10"/>
        <v>0</v>
      </c>
    </row>
    <row r="138" spans="1:19" x14ac:dyDescent="0.2">
      <c r="A138" s="6">
        <v>200</v>
      </c>
      <c r="B138" s="582">
        <f>+_xlfn.XLOOKUP("PLASTICOS"&amp;D138,CODIGOS_Y_COSTOS[ID],CODIGOS_Y_COSTOS[CODIGO],0,0,1)</f>
        <v>0</v>
      </c>
      <c r="F138" s="98">
        <f>+_xlfn.XLOOKUP("PLASTICOS"&amp;D138,CODIGOS_Y_COSTOS[ID],CODIGOS_Y_COSTOS[COSTO],0,0,1)</f>
        <v>0</v>
      </c>
      <c r="H138" s="98">
        <f t="shared" si="10"/>
        <v>0</v>
      </c>
    </row>
    <row r="139" spans="1:19" x14ac:dyDescent="0.2">
      <c r="A139" s="6">
        <v>200</v>
      </c>
      <c r="B139" s="582">
        <f>+_xlfn.XLOOKUP("PLASTICOS"&amp;D139,CODIGOS_Y_COSTOS[ID],CODIGOS_Y_COSTOS[CODIGO],0,0,1)</f>
        <v>0</v>
      </c>
      <c r="F139" s="98">
        <f>+_xlfn.XLOOKUP("PLASTICOS"&amp;D139,CODIGOS_Y_COSTOS[ID],CODIGOS_Y_COSTOS[COSTO],0,0,1)</f>
        <v>0</v>
      </c>
      <c r="H139" s="98">
        <f t="shared" si="10"/>
        <v>0</v>
      </c>
    </row>
    <row r="140" spans="1:19" x14ac:dyDescent="0.2">
      <c r="A140" s="6">
        <v>200</v>
      </c>
      <c r="B140" s="582">
        <f>+_xlfn.XLOOKUP("PLASTICOS"&amp;D140,CODIGOS_Y_COSTOS[ID],CODIGOS_Y_COSTOS[CODIGO],0,0,1)</f>
        <v>0</v>
      </c>
      <c r="F140" s="98">
        <f>+_xlfn.XLOOKUP("PLASTICOS"&amp;D140,CODIGOS_Y_COSTOS[ID],CODIGOS_Y_COSTOS[COSTO],0,0,1)</f>
        <v>0</v>
      </c>
      <c r="H140" s="98">
        <f t="shared" si="10"/>
        <v>0</v>
      </c>
    </row>
    <row r="141" spans="1:19" x14ac:dyDescent="0.2">
      <c r="A141" s="6">
        <v>200</v>
      </c>
      <c r="B141" s="582">
        <f>+_xlfn.XLOOKUP("PLASTICOS"&amp;D141,CODIGOS_Y_COSTOS[ID],CODIGOS_Y_COSTOS[CODIGO],0,0,1)</f>
        <v>0</v>
      </c>
      <c r="F141" s="98">
        <f>+_xlfn.XLOOKUP("PLASTICOS"&amp;D141,CODIGOS_Y_COSTOS[ID],CODIGOS_Y_COSTOS[COSTO],0,0,1)</f>
        <v>0</v>
      </c>
      <c r="H141" s="98">
        <f t="shared" si="10"/>
        <v>0</v>
      </c>
    </row>
    <row r="142" spans="1:19" x14ac:dyDescent="0.2">
      <c r="A142" s="6">
        <v>200</v>
      </c>
      <c r="B142" s="582">
        <f>+_xlfn.XLOOKUP("PLASTICOS"&amp;D142,CODIGOS_Y_COSTOS[ID],CODIGOS_Y_COSTOS[CODIGO],0,0,1)</f>
        <v>0</v>
      </c>
      <c r="F142" s="98">
        <f>+_xlfn.XLOOKUP("PLASTICOS"&amp;D142,CODIGOS_Y_COSTOS[ID],CODIGOS_Y_COSTOS[COSTO],0,0,1)</f>
        <v>0</v>
      </c>
      <c r="H142" s="98">
        <f t="shared" si="10"/>
        <v>0</v>
      </c>
    </row>
    <row r="143" spans="1:19" x14ac:dyDescent="0.2">
      <c r="A143" s="6">
        <v>200</v>
      </c>
      <c r="B143" s="582">
        <f>+_xlfn.XLOOKUP("PLASTICOS"&amp;D143,CODIGOS_Y_COSTOS[ID],CODIGOS_Y_COSTOS[CODIGO],0,0,1)</f>
        <v>0</v>
      </c>
      <c r="F143" s="98">
        <f>+_xlfn.XLOOKUP("PLASTICOS"&amp;D143,CODIGOS_Y_COSTOS[ID],CODIGOS_Y_COSTOS[COSTO],0,0,1)</f>
        <v>0</v>
      </c>
      <c r="H143" s="98">
        <f t="shared" ref="H143:H206" si="12">+F143*A143</f>
        <v>0</v>
      </c>
    </row>
    <row r="144" spans="1:19" x14ac:dyDescent="0.2">
      <c r="A144" s="6">
        <v>200</v>
      </c>
      <c r="B144" s="582">
        <f>+_xlfn.XLOOKUP("PLASTICOS"&amp;D144,CODIGOS_Y_COSTOS[ID],CODIGOS_Y_COSTOS[CODIGO],0,0,1)</f>
        <v>0</v>
      </c>
      <c r="F144" s="98">
        <f>+_xlfn.XLOOKUP("PLASTICOS"&amp;D144,CODIGOS_Y_COSTOS[ID],CODIGOS_Y_COSTOS[COSTO],0,0,1)</f>
        <v>0</v>
      </c>
      <c r="H144" s="98">
        <f t="shared" si="12"/>
        <v>0</v>
      </c>
    </row>
    <row r="145" spans="1:8" x14ac:dyDescent="0.2">
      <c r="A145" s="6">
        <v>200</v>
      </c>
      <c r="B145" s="582">
        <f>+_xlfn.XLOOKUP("PLASTICOS"&amp;D145,CODIGOS_Y_COSTOS[ID],CODIGOS_Y_COSTOS[CODIGO],0,0,1)</f>
        <v>0</v>
      </c>
      <c r="F145" s="98">
        <f>+_xlfn.XLOOKUP("PLASTICOS"&amp;D145,CODIGOS_Y_COSTOS[ID],CODIGOS_Y_COSTOS[COSTO],0,0,1)</f>
        <v>0</v>
      </c>
      <c r="H145" s="98">
        <f t="shared" si="12"/>
        <v>0</v>
      </c>
    </row>
    <row r="146" spans="1:8" x14ac:dyDescent="0.2">
      <c r="A146" s="6">
        <v>200</v>
      </c>
      <c r="B146" s="582">
        <f>+_xlfn.XLOOKUP("PLASTICOS"&amp;D146,CODIGOS_Y_COSTOS[ID],CODIGOS_Y_COSTOS[CODIGO],0,0,1)</f>
        <v>0</v>
      </c>
      <c r="F146" s="98">
        <f>+_xlfn.XLOOKUP("PLASTICOS"&amp;D146,CODIGOS_Y_COSTOS[ID],CODIGOS_Y_COSTOS[COSTO],0,0,1)</f>
        <v>0</v>
      </c>
      <c r="H146" s="98">
        <f t="shared" si="12"/>
        <v>0</v>
      </c>
    </row>
    <row r="147" spans="1:8" x14ac:dyDescent="0.2">
      <c r="A147" s="6">
        <v>200</v>
      </c>
      <c r="B147" s="582">
        <f>+_xlfn.XLOOKUP("PLASTICOS"&amp;D147,CODIGOS_Y_COSTOS[ID],CODIGOS_Y_COSTOS[CODIGO],0,0,1)</f>
        <v>0</v>
      </c>
      <c r="F147" s="98">
        <f>+_xlfn.XLOOKUP("PLASTICOS"&amp;D147,CODIGOS_Y_COSTOS[ID],CODIGOS_Y_COSTOS[COSTO],0,0,1)</f>
        <v>0</v>
      </c>
      <c r="H147" s="98">
        <f t="shared" si="12"/>
        <v>0</v>
      </c>
    </row>
    <row r="148" spans="1:8" x14ac:dyDescent="0.2">
      <c r="A148" s="6">
        <v>200</v>
      </c>
      <c r="B148" s="582">
        <f>+_xlfn.XLOOKUP("PLASTICOS"&amp;D148,CODIGOS_Y_COSTOS[ID],CODIGOS_Y_COSTOS[CODIGO],0,0,1)</f>
        <v>0</v>
      </c>
      <c r="F148" s="98">
        <f>+_xlfn.XLOOKUP("PLASTICOS"&amp;D148,CODIGOS_Y_COSTOS[ID],CODIGOS_Y_COSTOS[COSTO],0,0,1)</f>
        <v>0</v>
      </c>
      <c r="H148" s="98">
        <f t="shared" si="12"/>
        <v>0</v>
      </c>
    </row>
    <row r="149" spans="1:8" x14ac:dyDescent="0.2">
      <c r="A149" s="6">
        <v>200</v>
      </c>
      <c r="B149" s="582">
        <f>+_xlfn.XLOOKUP("PLASTICOS"&amp;D149,CODIGOS_Y_COSTOS[ID],CODIGOS_Y_COSTOS[CODIGO],0,0,1)</f>
        <v>0</v>
      </c>
      <c r="F149" s="98">
        <f>+_xlfn.XLOOKUP("PLASTICOS"&amp;D149,CODIGOS_Y_COSTOS[ID],CODIGOS_Y_COSTOS[COSTO],0,0,1)</f>
        <v>0</v>
      </c>
      <c r="H149" s="98">
        <f t="shared" si="12"/>
        <v>0</v>
      </c>
    </row>
    <row r="150" spans="1:8" x14ac:dyDescent="0.2">
      <c r="A150" s="6">
        <v>200</v>
      </c>
      <c r="B150" s="582">
        <f>+_xlfn.XLOOKUP("PLASTICOS"&amp;D150,CODIGOS_Y_COSTOS[ID],CODIGOS_Y_COSTOS[CODIGO],0,0,1)</f>
        <v>0</v>
      </c>
      <c r="F150" s="98">
        <f>+_xlfn.XLOOKUP("PLASTICOS"&amp;D150,CODIGOS_Y_COSTOS[ID],CODIGOS_Y_COSTOS[COSTO],0,0,1)</f>
        <v>0</v>
      </c>
      <c r="H150" s="98">
        <f t="shared" si="12"/>
        <v>0</v>
      </c>
    </row>
    <row r="151" spans="1:8" x14ac:dyDescent="0.2">
      <c r="A151" s="6">
        <v>200</v>
      </c>
      <c r="B151" s="582">
        <f>+_xlfn.XLOOKUP("PLASTICOS"&amp;D151,CODIGOS_Y_COSTOS[ID],CODIGOS_Y_COSTOS[CODIGO],0,0,1)</f>
        <v>0</v>
      </c>
      <c r="F151" s="98">
        <f>+_xlfn.XLOOKUP("PLASTICOS"&amp;D151,CODIGOS_Y_COSTOS[ID],CODIGOS_Y_COSTOS[COSTO],0,0,1)</f>
        <v>0</v>
      </c>
      <c r="H151" s="98">
        <f t="shared" si="12"/>
        <v>0</v>
      </c>
    </row>
    <row r="152" spans="1:8" x14ac:dyDescent="0.2">
      <c r="A152" s="6">
        <v>200</v>
      </c>
      <c r="B152" s="582">
        <f>+_xlfn.XLOOKUP("PLASTICOS"&amp;D152,CODIGOS_Y_COSTOS[ID],CODIGOS_Y_COSTOS[CODIGO],0,0,1)</f>
        <v>0</v>
      </c>
      <c r="F152" s="98">
        <f>+_xlfn.XLOOKUP("PLASTICOS"&amp;D152,CODIGOS_Y_COSTOS[ID],CODIGOS_Y_COSTOS[COSTO],0,0,1)</f>
        <v>0</v>
      </c>
      <c r="H152" s="98">
        <f t="shared" si="12"/>
        <v>0</v>
      </c>
    </row>
    <row r="153" spans="1:8" x14ac:dyDescent="0.2">
      <c r="A153" s="6">
        <v>200</v>
      </c>
      <c r="B153" s="582">
        <f>+_xlfn.XLOOKUP("PLASTICOS"&amp;D153,CODIGOS_Y_COSTOS[ID],CODIGOS_Y_COSTOS[CODIGO],0,0,1)</f>
        <v>0</v>
      </c>
      <c r="F153" s="98">
        <f>+_xlfn.XLOOKUP("PLASTICOS"&amp;D153,CODIGOS_Y_COSTOS[ID],CODIGOS_Y_COSTOS[COSTO],0,0,1)</f>
        <v>0</v>
      </c>
      <c r="H153" s="98">
        <f t="shared" si="12"/>
        <v>0</v>
      </c>
    </row>
    <row r="154" spans="1:8" x14ac:dyDescent="0.2">
      <c r="A154" s="6">
        <v>200</v>
      </c>
      <c r="B154" s="582">
        <f>+_xlfn.XLOOKUP("PLASTICOS"&amp;D154,CODIGOS_Y_COSTOS[ID],CODIGOS_Y_COSTOS[CODIGO],0,0,1)</f>
        <v>0</v>
      </c>
      <c r="F154" s="98">
        <f>+_xlfn.XLOOKUP("PLASTICOS"&amp;D154,CODIGOS_Y_COSTOS[ID],CODIGOS_Y_COSTOS[COSTO],0,0,1)</f>
        <v>0</v>
      </c>
      <c r="H154" s="98">
        <f t="shared" si="12"/>
        <v>0</v>
      </c>
    </row>
    <row r="155" spans="1:8" x14ac:dyDescent="0.2">
      <c r="A155" s="6">
        <v>200</v>
      </c>
      <c r="B155" s="582">
        <f>+_xlfn.XLOOKUP("PLASTICOS"&amp;D155,CODIGOS_Y_COSTOS[ID],CODIGOS_Y_COSTOS[CODIGO],0,0,1)</f>
        <v>0</v>
      </c>
      <c r="F155" s="98">
        <f>+_xlfn.XLOOKUP("PLASTICOS"&amp;D155,CODIGOS_Y_COSTOS[ID],CODIGOS_Y_COSTOS[COSTO],0,0,1)</f>
        <v>0</v>
      </c>
      <c r="H155" s="98">
        <f t="shared" si="12"/>
        <v>0</v>
      </c>
    </row>
    <row r="156" spans="1:8" x14ac:dyDescent="0.2">
      <c r="A156" s="6">
        <v>200</v>
      </c>
      <c r="B156" s="582">
        <f>+_xlfn.XLOOKUP("PLASTICOS"&amp;D156,CODIGOS_Y_COSTOS[ID],CODIGOS_Y_COSTOS[CODIGO],0,0,1)</f>
        <v>0</v>
      </c>
      <c r="F156" s="98">
        <f>+_xlfn.XLOOKUP("PLASTICOS"&amp;D156,CODIGOS_Y_COSTOS[ID],CODIGOS_Y_COSTOS[COSTO],0,0,1)</f>
        <v>0</v>
      </c>
      <c r="H156" s="98">
        <f t="shared" si="12"/>
        <v>0</v>
      </c>
    </row>
    <row r="157" spans="1:8" x14ac:dyDescent="0.2">
      <c r="A157" s="6">
        <v>200</v>
      </c>
      <c r="B157" s="582">
        <f>+_xlfn.XLOOKUP("PLASTICOS"&amp;D157,CODIGOS_Y_COSTOS[ID],CODIGOS_Y_COSTOS[CODIGO],0,0,1)</f>
        <v>0</v>
      </c>
      <c r="F157" s="98">
        <f>+_xlfn.XLOOKUP("PLASTICOS"&amp;D157,CODIGOS_Y_COSTOS[ID],CODIGOS_Y_COSTOS[COSTO],0,0,1)</f>
        <v>0</v>
      </c>
      <c r="H157" s="98">
        <f t="shared" si="12"/>
        <v>0</v>
      </c>
    </row>
    <row r="158" spans="1:8" x14ac:dyDescent="0.2">
      <c r="A158" s="6">
        <v>200</v>
      </c>
      <c r="B158" s="582">
        <f>+_xlfn.XLOOKUP("PLASTICOS"&amp;D158,CODIGOS_Y_COSTOS[ID],CODIGOS_Y_COSTOS[CODIGO],0,0,1)</f>
        <v>0</v>
      </c>
      <c r="F158" s="98">
        <f>+_xlfn.XLOOKUP("PLASTICOS"&amp;D158,CODIGOS_Y_COSTOS[ID],CODIGOS_Y_COSTOS[COSTO],0,0,1)</f>
        <v>0</v>
      </c>
      <c r="H158" s="98">
        <f t="shared" si="12"/>
        <v>0</v>
      </c>
    </row>
    <row r="159" spans="1:8" x14ac:dyDescent="0.2">
      <c r="A159" s="6">
        <v>200</v>
      </c>
      <c r="B159" s="582">
        <f>+_xlfn.XLOOKUP("PLASTICOS"&amp;D159,CODIGOS_Y_COSTOS[ID],CODIGOS_Y_COSTOS[CODIGO],0,0,1)</f>
        <v>0</v>
      </c>
      <c r="F159" s="98">
        <f>+_xlfn.XLOOKUP("PLASTICOS"&amp;D159,CODIGOS_Y_COSTOS[ID],CODIGOS_Y_COSTOS[COSTO],0,0,1)</f>
        <v>0</v>
      </c>
      <c r="H159" s="98">
        <f t="shared" si="12"/>
        <v>0</v>
      </c>
    </row>
    <row r="160" spans="1:8" x14ac:dyDescent="0.2">
      <c r="A160" s="6">
        <v>200</v>
      </c>
      <c r="B160" s="582">
        <f>+_xlfn.XLOOKUP("PLASTICOS"&amp;D160,CODIGOS_Y_COSTOS[ID],CODIGOS_Y_COSTOS[CODIGO],0,0,1)</f>
        <v>0</v>
      </c>
      <c r="F160" s="98">
        <f>+_xlfn.XLOOKUP("PLASTICOS"&amp;D160,CODIGOS_Y_COSTOS[ID],CODIGOS_Y_COSTOS[COSTO],0,0,1)</f>
        <v>0</v>
      </c>
      <c r="H160" s="98">
        <f t="shared" si="12"/>
        <v>0</v>
      </c>
    </row>
    <row r="161" spans="1:8" x14ac:dyDescent="0.2">
      <c r="A161" s="6">
        <v>200</v>
      </c>
      <c r="B161" s="582">
        <f>+_xlfn.XLOOKUP("PLASTICOS"&amp;D161,CODIGOS_Y_COSTOS[ID],CODIGOS_Y_COSTOS[CODIGO],0,0,1)</f>
        <v>0</v>
      </c>
      <c r="F161" s="98">
        <f>+_xlfn.XLOOKUP("PLASTICOS"&amp;D161,CODIGOS_Y_COSTOS[ID],CODIGOS_Y_COSTOS[COSTO],0,0,1)</f>
        <v>0</v>
      </c>
      <c r="H161" s="98">
        <f t="shared" si="12"/>
        <v>0</v>
      </c>
    </row>
    <row r="162" spans="1:8" x14ac:dyDescent="0.2">
      <c r="A162" s="6">
        <v>200</v>
      </c>
      <c r="B162" s="582">
        <f>+_xlfn.XLOOKUP("PLASTICOS"&amp;D162,CODIGOS_Y_COSTOS[ID],CODIGOS_Y_COSTOS[CODIGO],0,0,1)</f>
        <v>0</v>
      </c>
      <c r="F162" s="98">
        <f>+_xlfn.XLOOKUP("PLASTICOS"&amp;D162,CODIGOS_Y_COSTOS[ID],CODIGOS_Y_COSTOS[COSTO],0,0,1)</f>
        <v>0</v>
      </c>
      <c r="H162" s="98">
        <f t="shared" si="12"/>
        <v>0</v>
      </c>
    </row>
    <row r="163" spans="1:8" x14ac:dyDescent="0.2">
      <c r="A163" s="6">
        <v>200</v>
      </c>
      <c r="B163" s="582">
        <f>+_xlfn.XLOOKUP("PLASTICOS"&amp;D163,CODIGOS_Y_COSTOS[ID],CODIGOS_Y_COSTOS[CODIGO],0,0,1)</f>
        <v>0</v>
      </c>
      <c r="F163" s="98">
        <f>+_xlfn.XLOOKUP("PLASTICOS"&amp;D163,CODIGOS_Y_COSTOS[ID],CODIGOS_Y_COSTOS[COSTO],0,0,1)</f>
        <v>0</v>
      </c>
      <c r="H163" s="98">
        <f t="shared" si="12"/>
        <v>0</v>
      </c>
    </row>
    <row r="164" spans="1:8" x14ac:dyDescent="0.2">
      <c r="A164" s="6">
        <v>200</v>
      </c>
      <c r="B164" s="582">
        <f>+_xlfn.XLOOKUP("PLASTICOS"&amp;D164,CODIGOS_Y_COSTOS[ID],CODIGOS_Y_COSTOS[CODIGO],0,0,1)</f>
        <v>0</v>
      </c>
      <c r="F164" s="98">
        <f>+_xlfn.XLOOKUP("PLASTICOS"&amp;D164,CODIGOS_Y_COSTOS[ID],CODIGOS_Y_COSTOS[COSTO],0,0,1)</f>
        <v>0</v>
      </c>
      <c r="H164" s="98">
        <f t="shared" si="12"/>
        <v>0</v>
      </c>
    </row>
    <row r="165" spans="1:8" x14ac:dyDescent="0.2">
      <c r="A165" s="6">
        <v>200</v>
      </c>
      <c r="B165" s="582">
        <f>+_xlfn.XLOOKUP("PLASTICOS"&amp;D165,CODIGOS_Y_COSTOS[ID],CODIGOS_Y_COSTOS[CODIGO],0,0,1)</f>
        <v>0</v>
      </c>
      <c r="F165" s="98">
        <f>+_xlfn.XLOOKUP("PLASTICOS"&amp;D165,CODIGOS_Y_COSTOS[ID],CODIGOS_Y_COSTOS[COSTO],0,0,1)</f>
        <v>0</v>
      </c>
      <c r="H165" s="98">
        <f t="shared" si="12"/>
        <v>0</v>
      </c>
    </row>
    <row r="166" spans="1:8" x14ac:dyDescent="0.2">
      <c r="A166" s="6">
        <v>200</v>
      </c>
      <c r="B166" s="582">
        <f>+_xlfn.XLOOKUP("PLASTICOS"&amp;D166,CODIGOS_Y_COSTOS[ID],CODIGOS_Y_COSTOS[CODIGO],0,0,1)</f>
        <v>0</v>
      </c>
      <c r="F166" s="98">
        <f>+_xlfn.XLOOKUP("PLASTICOS"&amp;D166,CODIGOS_Y_COSTOS[ID],CODIGOS_Y_COSTOS[COSTO],0,0,1)</f>
        <v>0</v>
      </c>
      <c r="H166" s="98">
        <f t="shared" si="12"/>
        <v>0</v>
      </c>
    </row>
    <row r="167" spans="1:8" x14ac:dyDescent="0.2">
      <c r="A167" s="6">
        <v>200</v>
      </c>
      <c r="B167" s="582">
        <f>+_xlfn.XLOOKUP("PLASTICOS"&amp;D167,CODIGOS_Y_COSTOS[ID],CODIGOS_Y_COSTOS[CODIGO],0,0,1)</f>
        <v>0</v>
      </c>
      <c r="F167" s="98">
        <f>+_xlfn.XLOOKUP("PLASTICOS"&amp;D167,CODIGOS_Y_COSTOS[ID],CODIGOS_Y_COSTOS[COSTO],0,0,1)</f>
        <v>0</v>
      </c>
      <c r="H167" s="98">
        <f t="shared" si="12"/>
        <v>0</v>
      </c>
    </row>
    <row r="168" spans="1:8" x14ac:dyDescent="0.2">
      <c r="A168" s="6">
        <v>200</v>
      </c>
      <c r="B168" s="582">
        <f>+_xlfn.XLOOKUP("PLASTICOS"&amp;D168,CODIGOS_Y_COSTOS[ID],CODIGOS_Y_COSTOS[CODIGO],0,0,1)</f>
        <v>0</v>
      </c>
      <c r="F168" s="98">
        <f>+_xlfn.XLOOKUP("PLASTICOS"&amp;D168,CODIGOS_Y_COSTOS[ID],CODIGOS_Y_COSTOS[COSTO],0,0,1)</f>
        <v>0</v>
      </c>
      <c r="H168" s="98">
        <f t="shared" si="12"/>
        <v>0</v>
      </c>
    </row>
    <row r="169" spans="1:8" x14ac:dyDescent="0.2">
      <c r="A169" s="6">
        <v>200</v>
      </c>
      <c r="B169" s="582">
        <f>+_xlfn.XLOOKUP("PLASTICOS"&amp;D169,CODIGOS_Y_COSTOS[ID],CODIGOS_Y_COSTOS[CODIGO],0,0,1)</f>
        <v>0</v>
      </c>
      <c r="F169" s="98">
        <f>+_xlfn.XLOOKUP("PLASTICOS"&amp;D169,CODIGOS_Y_COSTOS[ID],CODIGOS_Y_COSTOS[COSTO],0,0,1)</f>
        <v>0</v>
      </c>
      <c r="H169" s="98">
        <f t="shared" si="12"/>
        <v>0</v>
      </c>
    </row>
    <row r="170" spans="1:8" x14ac:dyDescent="0.2">
      <c r="A170" s="6">
        <v>200</v>
      </c>
      <c r="B170" s="582">
        <f>+_xlfn.XLOOKUP("PLASTICOS"&amp;D170,CODIGOS_Y_COSTOS[ID],CODIGOS_Y_COSTOS[CODIGO],0,0,1)</f>
        <v>0</v>
      </c>
      <c r="F170" s="98">
        <f>+_xlfn.XLOOKUP("PLASTICOS"&amp;D170,CODIGOS_Y_COSTOS[ID],CODIGOS_Y_COSTOS[COSTO],0,0,1)</f>
        <v>0</v>
      </c>
      <c r="H170" s="98">
        <f t="shared" si="12"/>
        <v>0</v>
      </c>
    </row>
    <row r="171" spans="1:8" x14ac:dyDescent="0.2">
      <c r="A171" s="6">
        <v>200</v>
      </c>
      <c r="B171" s="582">
        <f>+_xlfn.XLOOKUP("PLASTICOS"&amp;D171,CODIGOS_Y_COSTOS[ID],CODIGOS_Y_COSTOS[CODIGO],0,0,1)</f>
        <v>0</v>
      </c>
      <c r="F171" s="98">
        <f>+_xlfn.XLOOKUP("PLASTICOS"&amp;D171,CODIGOS_Y_COSTOS[ID],CODIGOS_Y_COSTOS[COSTO],0,0,1)</f>
        <v>0</v>
      </c>
      <c r="H171" s="98">
        <f t="shared" si="12"/>
        <v>0</v>
      </c>
    </row>
    <row r="172" spans="1:8" x14ac:dyDescent="0.2">
      <c r="A172" s="6">
        <v>200</v>
      </c>
      <c r="B172" s="582">
        <f>+_xlfn.XLOOKUP("PLASTICOS"&amp;D172,CODIGOS_Y_COSTOS[ID],CODIGOS_Y_COSTOS[CODIGO],0,0,1)</f>
        <v>0</v>
      </c>
      <c r="F172" s="98">
        <f>+_xlfn.XLOOKUP("PLASTICOS"&amp;D172,CODIGOS_Y_COSTOS[ID],CODIGOS_Y_COSTOS[COSTO],0,0,1)</f>
        <v>0</v>
      </c>
      <c r="H172" s="98">
        <f t="shared" si="12"/>
        <v>0</v>
      </c>
    </row>
    <row r="173" spans="1:8" x14ac:dyDescent="0.2">
      <c r="A173" s="6">
        <v>200</v>
      </c>
      <c r="B173" s="582">
        <f>+_xlfn.XLOOKUP("PLASTICOS"&amp;D173,CODIGOS_Y_COSTOS[ID],CODIGOS_Y_COSTOS[CODIGO],0,0,1)</f>
        <v>0</v>
      </c>
      <c r="F173" s="98">
        <f>+_xlfn.XLOOKUP("PLASTICOS"&amp;D173,CODIGOS_Y_COSTOS[ID],CODIGOS_Y_COSTOS[COSTO],0,0,1)</f>
        <v>0</v>
      </c>
      <c r="H173" s="98">
        <f t="shared" si="12"/>
        <v>0</v>
      </c>
    </row>
    <row r="174" spans="1:8" x14ac:dyDescent="0.2">
      <c r="A174" s="6">
        <v>200</v>
      </c>
      <c r="B174" s="582">
        <f>+_xlfn.XLOOKUP("PLASTICOS"&amp;D174,CODIGOS_Y_COSTOS[ID],CODIGOS_Y_COSTOS[CODIGO],0,0,1)</f>
        <v>0</v>
      </c>
      <c r="F174" s="98">
        <f>+_xlfn.XLOOKUP("PLASTICOS"&amp;D174,CODIGOS_Y_COSTOS[ID],CODIGOS_Y_COSTOS[COSTO],0,0,1)</f>
        <v>0</v>
      </c>
      <c r="H174" s="98">
        <f t="shared" si="12"/>
        <v>0</v>
      </c>
    </row>
    <row r="175" spans="1:8" x14ac:dyDescent="0.2">
      <c r="A175" s="6">
        <v>200</v>
      </c>
      <c r="B175" s="582">
        <f>+_xlfn.XLOOKUP("PLASTICOS"&amp;D175,CODIGOS_Y_COSTOS[ID],CODIGOS_Y_COSTOS[CODIGO],0,0,1)</f>
        <v>0</v>
      </c>
      <c r="F175" s="98">
        <f>+_xlfn.XLOOKUP("PLASTICOS"&amp;D175,CODIGOS_Y_COSTOS[ID],CODIGOS_Y_COSTOS[COSTO],0,0,1)</f>
        <v>0</v>
      </c>
      <c r="H175" s="98">
        <f t="shared" si="12"/>
        <v>0</v>
      </c>
    </row>
    <row r="176" spans="1:8" x14ac:dyDescent="0.2">
      <c r="A176" s="6">
        <v>200</v>
      </c>
      <c r="B176" s="582">
        <f>+_xlfn.XLOOKUP("PLASTICOS"&amp;D176,CODIGOS_Y_COSTOS[ID],CODIGOS_Y_COSTOS[CODIGO],0,0,1)</f>
        <v>0</v>
      </c>
      <c r="F176" s="98">
        <f>+_xlfn.XLOOKUP("PLASTICOS"&amp;D176,CODIGOS_Y_COSTOS[ID],CODIGOS_Y_COSTOS[COSTO],0,0,1)</f>
        <v>0</v>
      </c>
      <c r="H176" s="98">
        <f t="shared" si="12"/>
        <v>0</v>
      </c>
    </row>
    <row r="177" spans="1:8" x14ac:dyDescent="0.2">
      <c r="A177" s="6">
        <v>200</v>
      </c>
      <c r="B177" s="582">
        <f>+_xlfn.XLOOKUP("PLASTICOS"&amp;D177,CODIGOS_Y_COSTOS[ID],CODIGOS_Y_COSTOS[CODIGO],0,0,1)</f>
        <v>0</v>
      </c>
      <c r="F177" s="98">
        <f>+_xlfn.XLOOKUP("PLASTICOS"&amp;D177,CODIGOS_Y_COSTOS[ID],CODIGOS_Y_COSTOS[COSTO],0,0,1)</f>
        <v>0</v>
      </c>
      <c r="H177" s="98">
        <f t="shared" si="12"/>
        <v>0</v>
      </c>
    </row>
    <row r="178" spans="1:8" x14ac:dyDescent="0.2">
      <c r="A178" s="6">
        <v>200</v>
      </c>
      <c r="B178" s="582">
        <f>+_xlfn.XLOOKUP("PLASTICOS"&amp;D178,CODIGOS_Y_COSTOS[ID],CODIGOS_Y_COSTOS[CODIGO],0,0,1)</f>
        <v>0</v>
      </c>
      <c r="F178" s="98">
        <f>+_xlfn.XLOOKUP("PLASTICOS"&amp;D178,CODIGOS_Y_COSTOS[ID],CODIGOS_Y_COSTOS[COSTO],0,0,1)</f>
        <v>0</v>
      </c>
      <c r="H178" s="98">
        <f t="shared" si="12"/>
        <v>0</v>
      </c>
    </row>
    <row r="179" spans="1:8" x14ac:dyDescent="0.2">
      <c r="A179" s="6">
        <v>200</v>
      </c>
      <c r="B179" s="582">
        <f>+_xlfn.XLOOKUP("PLASTICOS"&amp;D179,CODIGOS_Y_COSTOS[ID],CODIGOS_Y_COSTOS[CODIGO],0,0,1)</f>
        <v>0</v>
      </c>
      <c r="F179" s="98">
        <f>+_xlfn.XLOOKUP("PLASTICOS"&amp;D179,CODIGOS_Y_COSTOS[ID],CODIGOS_Y_COSTOS[COSTO],0,0,1)</f>
        <v>0</v>
      </c>
      <c r="H179" s="98">
        <f t="shared" si="12"/>
        <v>0</v>
      </c>
    </row>
    <row r="180" spans="1:8" x14ac:dyDescent="0.2">
      <c r="A180" s="6">
        <v>200</v>
      </c>
      <c r="B180" s="582">
        <f>+_xlfn.XLOOKUP("PLASTICOS"&amp;D180,CODIGOS_Y_COSTOS[ID],CODIGOS_Y_COSTOS[CODIGO],0,0,1)</f>
        <v>0</v>
      </c>
      <c r="F180" s="98">
        <f>+_xlfn.XLOOKUP("PLASTICOS"&amp;D180,CODIGOS_Y_COSTOS[ID],CODIGOS_Y_COSTOS[COSTO],0,0,1)</f>
        <v>0</v>
      </c>
      <c r="H180" s="98">
        <f t="shared" si="12"/>
        <v>0</v>
      </c>
    </row>
    <row r="181" spans="1:8" x14ac:dyDescent="0.2">
      <c r="A181" s="6">
        <v>200</v>
      </c>
      <c r="B181" s="582">
        <f>+_xlfn.XLOOKUP("PLASTICOS"&amp;D181,CODIGOS_Y_COSTOS[ID],CODIGOS_Y_COSTOS[CODIGO],0,0,1)</f>
        <v>0</v>
      </c>
      <c r="F181" s="98">
        <f>+_xlfn.XLOOKUP("PLASTICOS"&amp;D181,CODIGOS_Y_COSTOS[ID],CODIGOS_Y_COSTOS[COSTO],0,0,1)</f>
        <v>0</v>
      </c>
      <c r="H181" s="98">
        <f t="shared" si="12"/>
        <v>0</v>
      </c>
    </row>
    <row r="182" spans="1:8" x14ac:dyDescent="0.2">
      <c r="A182" s="6">
        <v>200</v>
      </c>
      <c r="B182" s="582">
        <f>+_xlfn.XLOOKUP("PLASTICOS"&amp;D182,CODIGOS_Y_COSTOS[ID],CODIGOS_Y_COSTOS[CODIGO],0,0,1)</f>
        <v>0</v>
      </c>
      <c r="F182" s="98">
        <f>+_xlfn.XLOOKUP("PLASTICOS"&amp;D182,CODIGOS_Y_COSTOS[ID],CODIGOS_Y_COSTOS[COSTO],0,0,1)</f>
        <v>0</v>
      </c>
      <c r="H182" s="98">
        <f t="shared" si="12"/>
        <v>0</v>
      </c>
    </row>
    <row r="183" spans="1:8" x14ac:dyDescent="0.2">
      <c r="A183" s="6">
        <v>200</v>
      </c>
      <c r="B183" s="582">
        <f>+_xlfn.XLOOKUP("PLASTICOS"&amp;D183,CODIGOS_Y_COSTOS[ID],CODIGOS_Y_COSTOS[CODIGO],0,0,1)</f>
        <v>0</v>
      </c>
      <c r="F183" s="98">
        <f>+_xlfn.XLOOKUP("PLASTICOS"&amp;D183,CODIGOS_Y_COSTOS[ID],CODIGOS_Y_COSTOS[COSTO],0,0,1)</f>
        <v>0</v>
      </c>
      <c r="H183" s="98">
        <f t="shared" si="12"/>
        <v>0</v>
      </c>
    </row>
    <row r="184" spans="1:8" x14ac:dyDescent="0.2">
      <c r="A184" s="6">
        <v>200</v>
      </c>
      <c r="B184" s="582">
        <f>+_xlfn.XLOOKUP("PLASTICOS"&amp;D184,CODIGOS_Y_COSTOS[ID],CODIGOS_Y_COSTOS[CODIGO],0,0,1)</f>
        <v>0</v>
      </c>
      <c r="F184" s="98">
        <f>+_xlfn.XLOOKUP("PLASTICOS"&amp;D184,CODIGOS_Y_COSTOS[ID],CODIGOS_Y_COSTOS[COSTO],0,0,1)</f>
        <v>0</v>
      </c>
      <c r="H184" s="98">
        <f t="shared" si="12"/>
        <v>0</v>
      </c>
    </row>
    <row r="185" spans="1:8" x14ac:dyDescent="0.2">
      <c r="A185" s="6">
        <v>200</v>
      </c>
      <c r="B185" s="582">
        <f>+_xlfn.XLOOKUP("PLASTICOS"&amp;D185,CODIGOS_Y_COSTOS[ID],CODIGOS_Y_COSTOS[CODIGO],0,0,1)</f>
        <v>0</v>
      </c>
      <c r="F185" s="98">
        <f>+_xlfn.XLOOKUP("PLASTICOS"&amp;D185,CODIGOS_Y_COSTOS[ID],CODIGOS_Y_COSTOS[COSTO],0,0,1)</f>
        <v>0</v>
      </c>
      <c r="H185" s="98">
        <f t="shared" si="12"/>
        <v>0</v>
      </c>
    </row>
    <row r="186" spans="1:8" x14ac:dyDescent="0.2">
      <c r="A186" s="6">
        <v>200</v>
      </c>
      <c r="B186" s="582">
        <f>+_xlfn.XLOOKUP("PLASTICOS"&amp;D186,CODIGOS_Y_COSTOS[ID],CODIGOS_Y_COSTOS[CODIGO],0,0,1)</f>
        <v>0</v>
      </c>
      <c r="F186" s="98">
        <f>+_xlfn.XLOOKUP("PLASTICOS"&amp;D186,CODIGOS_Y_COSTOS[ID],CODIGOS_Y_COSTOS[COSTO],0,0,1)</f>
        <v>0</v>
      </c>
      <c r="H186" s="98">
        <f t="shared" si="12"/>
        <v>0</v>
      </c>
    </row>
    <row r="187" spans="1:8" x14ac:dyDescent="0.2">
      <c r="A187" s="6">
        <v>200</v>
      </c>
      <c r="B187" s="582">
        <f>+_xlfn.XLOOKUP("PLASTICOS"&amp;D187,CODIGOS_Y_COSTOS[ID],CODIGOS_Y_COSTOS[CODIGO],0,0,1)</f>
        <v>0</v>
      </c>
      <c r="F187" s="98">
        <f>+_xlfn.XLOOKUP("PLASTICOS"&amp;D187,CODIGOS_Y_COSTOS[ID],CODIGOS_Y_COSTOS[COSTO],0,0,1)</f>
        <v>0</v>
      </c>
      <c r="H187" s="98">
        <f t="shared" si="12"/>
        <v>0</v>
      </c>
    </row>
    <row r="188" spans="1:8" x14ac:dyDescent="0.2">
      <c r="A188" s="6">
        <v>200</v>
      </c>
      <c r="B188" s="582">
        <f>+_xlfn.XLOOKUP("PLASTICOS"&amp;D188,CODIGOS_Y_COSTOS[ID],CODIGOS_Y_COSTOS[CODIGO],0,0,1)</f>
        <v>0</v>
      </c>
      <c r="F188" s="98">
        <f>+_xlfn.XLOOKUP("PLASTICOS"&amp;D188,CODIGOS_Y_COSTOS[ID],CODIGOS_Y_COSTOS[COSTO],0,0,1)</f>
        <v>0</v>
      </c>
      <c r="H188" s="98">
        <f t="shared" si="12"/>
        <v>0</v>
      </c>
    </row>
    <row r="189" spans="1:8" x14ac:dyDescent="0.2">
      <c r="A189" s="6">
        <v>200</v>
      </c>
      <c r="B189" s="582">
        <f>+_xlfn.XLOOKUP("PLASTICOS"&amp;D189,CODIGOS_Y_COSTOS[ID],CODIGOS_Y_COSTOS[CODIGO],0,0,1)</f>
        <v>0</v>
      </c>
      <c r="F189" s="98">
        <f>+_xlfn.XLOOKUP("PLASTICOS"&amp;D189,CODIGOS_Y_COSTOS[ID],CODIGOS_Y_COSTOS[COSTO],0,0,1)</f>
        <v>0</v>
      </c>
      <c r="H189" s="98">
        <f t="shared" si="12"/>
        <v>0</v>
      </c>
    </row>
    <row r="190" spans="1:8" x14ac:dyDescent="0.2">
      <c r="A190" s="6">
        <v>200</v>
      </c>
      <c r="B190" s="582">
        <f>+_xlfn.XLOOKUP("PLASTICOS"&amp;D190,CODIGOS_Y_COSTOS[ID],CODIGOS_Y_COSTOS[CODIGO],0,0,1)</f>
        <v>0</v>
      </c>
      <c r="F190" s="98">
        <f>+_xlfn.XLOOKUP("PLASTICOS"&amp;D190,CODIGOS_Y_COSTOS[ID],CODIGOS_Y_COSTOS[COSTO],0,0,1)</f>
        <v>0</v>
      </c>
      <c r="H190" s="98">
        <f t="shared" si="12"/>
        <v>0</v>
      </c>
    </row>
    <row r="191" spans="1:8" x14ac:dyDescent="0.2">
      <c r="A191" s="6">
        <v>200</v>
      </c>
      <c r="B191" s="582">
        <f>+_xlfn.XLOOKUP("PLASTICOS"&amp;D191,CODIGOS_Y_COSTOS[ID],CODIGOS_Y_COSTOS[CODIGO],0,0,1)</f>
        <v>0</v>
      </c>
      <c r="F191" s="98">
        <f>+_xlfn.XLOOKUP("PLASTICOS"&amp;D191,CODIGOS_Y_COSTOS[ID],CODIGOS_Y_COSTOS[COSTO],0,0,1)</f>
        <v>0</v>
      </c>
      <c r="H191" s="98">
        <f t="shared" si="12"/>
        <v>0</v>
      </c>
    </row>
    <row r="192" spans="1:8" x14ac:dyDescent="0.2">
      <c r="A192" s="6">
        <v>200</v>
      </c>
      <c r="B192" s="582">
        <f>+_xlfn.XLOOKUP("PLASTICOS"&amp;D192,CODIGOS_Y_COSTOS[ID],CODIGOS_Y_COSTOS[CODIGO],0,0,1)</f>
        <v>0</v>
      </c>
      <c r="F192" s="98">
        <f>+_xlfn.XLOOKUP("PLASTICOS"&amp;D192,CODIGOS_Y_COSTOS[ID],CODIGOS_Y_COSTOS[COSTO],0,0,1)</f>
        <v>0</v>
      </c>
      <c r="H192" s="98">
        <f t="shared" si="12"/>
        <v>0</v>
      </c>
    </row>
    <row r="193" spans="1:8" x14ac:dyDescent="0.2">
      <c r="A193" s="6">
        <v>200</v>
      </c>
      <c r="B193" s="582">
        <f>+_xlfn.XLOOKUP("PLASTICOS"&amp;D193,CODIGOS_Y_COSTOS[ID],CODIGOS_Y_COSTOS[CODIGO],0,0,1)</f>
        <v>0</v>
      </c>
      <c r="F193" s="98">
        <f>+_xlfn.XLOOKUP("PLASTICOS"&amp;D193,CODIGOS_Y_COSTOS[ID],CODIGOS_Y_COSTOS[COSTO],0,0,1)</f>
        <v>0</v>
      </c>
      <c r="H193" s="98">
        <f t="shared" si="12"/>
        <v>0</v>
      </c>
    </row>
    <row r="194" spans="1:8" x14ac:dyDescent="0.2">
      <c r="A194" s="6">
        <v>200</v>
      </c>
      <c r="B194" s="582">
        <f>+_xlfn.XLOOKUP("PLASTICOS"&amp;D194,CODIGOS_Y_COSTOS[ID],CODIGOS_Y_COSTOS[CODIGO],0,0,1)</f>
        <v>0</v>
      </c>
      <c r="F194" s="98">
        <f>+_xlfn.XLOOKUP("PLASTICOS"&amp;D194,CODIGOS_Y_COSTOS[ID],CODIGOS_Y_COSTOS[COSTO],0,0,1)</f>
        <v>0</v>
      </c>
      <c r="H194" s="98">
        <f t="shared" si="12"/>
        <v>0</v>
      </c>
    </row>
    <row r="195" spans="1:8" x14ac:dyDescent="0.2">
      <c r="A195" s="6">
        <v>200</v>
      </c>
      <c r="B195" s="582">
        <f>+_xlfn.XLOOKUP("PLASTICOS"&amp;D195,CODIGOS_Y_COSTOS[ID],CODIGOS_Y_COSTOS[CODIGO],0,0,1)</f>
        <v>0</v>
      </c>
      <c r="F195" s="98">
        <f>+_xlfn.XLOOKUP("PLASTICOS"&amp;D195,CODIGOS_Y_COSTOS[ID],CODIGOS_Y_COSTOS[COSTO],0,0,1)</f>
        <v>0</v>
      </c>
      <c r="H195" s="98">
        <f t="shared" si="12"/>
        <v>0</v>
      </c>
    </row>
    <row r="196" spans="1:8" x14ac:dyDescent="0.2">
      <c r="A196" s="6">
        <v>200</v>
      </c>
      <c r="B196" s="582">
        <f>+_xlfn.XLOOKUP("PLASTICOS"&amp;D196,CODIGOS_Y_COSTOS[ID],CODIGOS_Y_COSTOS[CODIGO],0,0,1)</f>
        <v>0</v>
      </c>
      <c r="F196" s="98">
        <f>+_xlfn.XLOOKUP("PLASTICOS"&amp;D196,CODIGOS_Y_COSTOS[ID],CODIGOS_Y_COSTOS[COSTO],0,0,1)</f>
        <v>0</v>
      </c>
      <c r="H196" s="98">
        <f t="shared" si="12"/>
        <v>0</v>
      </c>
    </row>
    <row r="197" spans="1:8" x14ac:dyDescent="0.2">
      <c r="A197" s="6">
        <v>200</v>
      </c>
      <c r="B197" s="582">
        <f>+_xlfn.XLOOKUP("PLASTICOS"&amp;D197,CODIGOS_Y_COSTOS[ID],CODIGOS_Y_COSTOS[CODIGO],0,0,1)</f>
        <v>0</v>
      </c>
      <c r="F197" s="98">
        <f>+_xlfn.XLOOKUP("PLASTICOS"&amp;D197,CODIGOS_Y_COSTOS[ID],CODIGOS_Y_COSTOS[COSTO],0,0,1)</f>
        <v>0</v>
      </c>
      <c r="H197" s="98">
        <f t="shared" si="12"/>
        <v>0</v>
      </c>
    </row>
    <row r="198" spans="1:8" x14ac:dyDescent="0.2">
      <c r="A198" s="6">
        <v>200</v>
      </c>
      <c r="B198" s="582">
        <f>+_xlfn.XLOOKUP("PLASTICOS"&amp;D198,CODIGOS_Y_COSTOS[ID],CODIGOS_Y_COSTOS[CODIGO],0,0,1)</f>
        <v>0</v>
      </c>
      <c r="F198" s="98">
        <f>+_xlfn.XLOOKUP("PLASTICOS"&amp;D198,CODIGOS_Y_COSTOS[ID],CODIGOS_Y_COSTOS[COSTO],0,0,1)</f>
        <v>0</v>
      </c>
      <c r="H198" s="98">
        <f t="shared" si="12"/>
        <v>0</v>
      </c>
    </row>
    <row r="199" spans="1:8" x14ac:dyDescent="0.2">
      <c r="A199" s="6">
        <v>200</v>
      </c>
      <c r="B199" s="582">
        <f>+_xlfn.XLOOKUP("PLASTICOS"&amp;D199,CODIGOS_Y_COSTOS[ID],CODIGOS_Y_COSTOS[CODIGO],0,0,1)</f>
        <v>0</v>
      </c>
      <c r="F199" s="98">
        <f>+_xlfn.XLOOKUP("PLASTICOS"&amp;D199,CODIGOS_Y_COSTOS[ID],CODIGOS_Y_COSTOS[COSTO],0,0,1)</f>
        <v>0</v>
      </c>
      <c r="H199" s="98">
        <f t="shared" si="12"/>
        <v>0</v>
      </c>
    </row>
    <row r="200" spans="1:8" x14ac:dyDescent="0.2">
      <c r="A200" s="6">
        <v>200</v>
      </c>
      <c r="B200" s="582">
        <f>+_xlfn.XLOOKUP("PLASTICOS"&amp;D200,CODIGOS_Y_COSTOS[ID],CODIGOS_Y_COSTOS[CODIGO],0,0,1)</f>
        <v>0</v>
      </c>
      <c r="F200" s="98">
        <f>+_xlfn.XLOOKUP("PLASTICOS"&amp;D200,CODIGOS_Y_COSTOS[ID],CODIGOS_Y_COSTOS[COSTO],0,0,1)</f>
        <v>0</v>
      </c>
      <c r="H200" s="98">
        <f t="shared" si="12"/>
        <v>0</v>
      </c>
    </row>
    <row r="201" spans="1:8" x14ac:dyDescent="0.2">
      <c r="A201" s="6">
        <v>200</v>
      </c>
      <c r="B201" s="582">
        <f>+_xlfn.XLOOKUP("PLASTICOS"&amp;D201,CODIGOS_Y_COSTOS[ID],CODIGOS_Y_COSTOS[CODIGO],0,0,1)</f>
        <v>0</v>
      </c>
      <c r="F201" s="98">
        <f>+_xlfn.XLOOKUP("PLASTICOS"&amp;D201,CODIGOS_Y_COSTOS[ID],CODIGOS_Y_COSTOS[COSTO],0,0,1)</f>
        <v>0</v>
      </c>
      <c r="H201" s="98">
        <f t="shared" si="12"/>
        <v>0</v>
      </c>
    </row>
    <row r="202" spans="1:8" x14ac:dyDescent="0.2">
      <c r="A202" s="6">
        <v>200</v>
      </c>
      <c r="B202" s="582">
        <f>+_xlfn.XLOOKUP("PLASTICOS"&amp;D202,CODIGOS_Y_COSTOS[ID],CODIGOS_Y_COSTOS[CODIGO],0,0,1)</f>
        <v>0</v>
      </c>
      <c r="F202" s="98">
        <f>+_xlfn.XLOOKUP("PLASTICOS"&amp;D202,CODIGOS_Y_COSTOS[ID],CODIGOS_Y_COSTOS[COSTO],0,0,1)</f>
        <v>0</v>
      </c>
      <c r="H202" s="98">
        <f t="shared" si="12"/>
        <v>0</v>
      </c>
    </row>
    <row r="203" spans="1:8" x14ac:dyDescent="0.2">
      <c r="A203" s="6">
        <v>200</v>
      </c>
      <c r="B203" s="582">
        <f>+_xlfn.XLOOKUP("PLASTICOS"&amp;D203,CODIGOS_Y_COSTOS[ID],CODIGOS_Y_COSTOS[CODIGO],0,0,1)</f>
        <v>0</v>
      </c>
      <c r="F203" s="98">
        <f>+_xlfn.XLOOKUP("PLASTICOS"&amp;D203,CODIGOS_Y_COSTOS[ID],CODIGOS_Y_COSTOS[COSTO],0,0,1)</f>
        <v>0</v>
      </c>
      <c r="H203" s="98">
        <f t="shared" si="12"/>
        <v>0</v>
      </c>
    </row>
    <row r="204" spans="1:8" x14ac:dyDescent="0.2">
      <c r="A204" s="6">
        <v>200</v>
      </c>
      <c r="B204" s="582">
        <f>+_xlfn.XLOOKUP("PLASTICOS"&amp;D204,CODIGOS_Y_COSTOS[ID],CODIGOS_Y_COSTOS[CODIGO],0,0,1)</f>
        <v>0</v>
      </c>
      <c r="F204" s="98">
        <f>+_xlfn.XLOOKUP("PLASTICOS"&amp;D204,CODIGOS_Y_COSTOS[ID],CODIGOS_Y_COSTOS[COSTO],0,0,1)</f>
        <v>0</v>
      </c>
      <c r="H204" s="98">
        <f t="shared" si="12"/>
        <v>0</v>
      </c>
    </row>
    <row r="205" spans="1:8" x14ac:dyDescent="0.2">
      <c r="A205" s="6">
        <v>200</v>
      </c>
      <c r="B205" s="582">
        <f>+_xlfn.XLOOKUP("PLASTICOS"&amp;D205,CODIGOS_Y_COSTOS[ID],CODIGOS_Y_COSTOS[CODIGO],0,0,1)</f>
        <v>0</v>
      </c>
      <c r="F205" s="98">
        <f>+_xlfn.XLOOKUP("PLASTICOS"&amp;D205,CODIGOS_Y_COSTOS[ID],CODIGOS_Y_COSTOS[COSTO],0,0,1)</f>
        <v>0</v>
      </c>
      <c r="H205" s="98">
        <f t="shared" si="12"/>
        <v>0</v>
      </c>
    </row>
    <row r="206" spans="1:8" x14ac:dyDescent="0.2">
      <c r="A206" s="6">
        <v>200</v>
      </c>
      <c r="B206" s="582">
        <f>+_xlfn.XLOOKUP("PLASTICOS"&amp;D206,CODIGOS_Y_COSTOS[ID],CODIGOS_Y_COSTOS[CODIGO],0,0,1)</f>
        <v>0</v>
      </c>
      <c r="F206" s="98">
        <f>+_xlfn.XLOOKUP("PLASTICOS"&amp;D206,CODIGOS_Y_COSTOS[ID],CODIGOS_Y_COSTOS[COSTO],0,0,1)</f>
        <v>0</v>
      </c>
      <c r="H206" s="98">
        <f t="shared" si="12"/>
        <v>0</v>
      </c>
    </row>
    <row r="207" spans="1:8" x14ac:dyDescent="0.2">
      <c r="A207" s="6">
        <v>200</v>
      </c>
      <c r="B207" s="582">
        <f>+_xlfn.XLOOKUP("PLASTICOS"&amp;D207,CODIGOS_Y_COSTOS[ID],CODIGOS_Y_COSTOS[CODIGO],0,0,1)</f>
        <v>0</v>
      </c>
      <c r="F207" s="98">
        <f>+_xlfn.XLOOKUP("PLASTICOS"&amp;D207,CODIGOS_Y_COSTOS[ID],CODIGOS_Y_COSTOS[COSTO],0,0,1)</f>
        <v>0</v>
      </c>
      <c r="H207" s="98">
        <f t="shared" ref="H207:H270" si="13">+F207*A207</f>
        <v>0</v>
      </c>
    </row>
    <row r="208" spans="1:8" x14ac:dyDescent="0.2">
      <c r="A208" s="6">
        <v>200</v>
      </c>
      <c r="B208" s="582">
        <f>+_xlfn.XLOOKUP("PLASTICOS"&amp;D208,CODIGOS_Y_COSTOS[ID],CODIGOS_Y_COSTOS[CODIGO],0,0,1)</f>
        <v>0</v>
      </c>
      <c r="F208" s="98">
        <f>+_xlfn.XLOOKUP("PLASTICOS"&amp;D208,CODIGOS_Y_COSTOS[ID],CODIGOS_Y_COSTOS[COSTO],0,0,1)</f>
        <v>0</v>
      </c>
      <c r="H208" s="98">
        <f t="shared" si="13"/>
        <v>0</v>
      </c>
    </row>
    <row r="209" spans="1:8" x14ac:dyDescent="0.2">
      <c r="A209" s="6">
        <v>200</v>
      </c>
      <c r="B209" s="582">
        <f>+_xlfn.XLOOKUP("PLASTICOS"&amp;D209,CODIGOS_Y_COSTOS[ID],CODIGOS_Y_COSTOS[CODIGO],0,0,1)</f>
        <v>0</v>
      </c>
      <c r="F209" s="98">
        <f>+_xlfn.XLOOKUP("PLASTICOS"&amp;D209,CODIGOS_Y_COSTOS[ID],CODIGOS_Y_COSTOS[COSTO],0,0,1)</f>
        <v>0</v>
      </c>
      <c r="H209" s="98">
        <f t="shared" si="13"/>
        <v>0</v>
      </c>
    </row>
    <row r="210" spans="1:8" x14ac:dyDescent="0.2">
      <c r="A210" s="6">
        <v>200</v>
      </c>
      <c r="B210" s="582">
        <f>+_xlfn.XLOOKUP("PLASTICOS"&amp;D210,CODIGOS_Y_COSTOS[ID],CODIGOS_Y_COSTOS[CODIGO],0,0,1)</f>
        <v>0</v>
      </c>
      <c r="F210" s="98">
        <f>+_xlfn.XLOOKUP("PLASTICOS"&amp;D210,CODIGOS_Y_COSTOS[ID],CODIGOS_Y_COSTOS[COSTO],0,0,1)</f>
        <v>0</v>
      </c>
      <c r="H210" s="98">
        <f t="shared" si="13"/>
        <v>0</v>
      </c>
    </row>
    <row r="211" spans="1:8" x14ac:dyDescent="0.2">
      <c r="A211" s="6">
        <v>200</v>
      </c>
      <c r="B211" s="582">
        <f>+_xlfn.XLOOKUP("PLASTICOS"&amp;D211,CODIGOS_Y_COSTOS[ID],CODIGOS_Y_COSTOS[CODIGO],0,0,1)</f>
        <v>0</v>
      </c>
      <c r="F211" s="98">
        <f>+_xlfn.XLOOKUP("PLASTICOS"&amp;D211,CODIGOS_Y_COSTOS[ID],CODIGOS_Y_COSTOS[COSTO],0,0,1)</f>
        <v>0</v>
      </c>
      <c r="H211" s="98">
        <f t="shared" si="13"/>
        <v>0</v>
      </c>
    </row>
    <row r="212" spans="1:8" x14ac:dyDescent="0.2">
      <c r="A212" s="6">
        <v>200</v>
      </c>
      <c r="B212" s="582">
        <f>+_xlfn.XLOOKUP("PLASTICOS"&amp;D212,CODIGOS_Y_COSTOS[ID],CODIGOS_Y_COSTOS[CODIGO],0,0,1)</f>
        <v>0</v>
      </c>
      <c r="F212" s="98">
        <f>+_xlfn.XLOOKUP("PLASTICOS"&amp;D212,CODIGOS_Y_COSTOS[ID],CODIGOS_Y_COSTOS[COSTO],0,0,1)</f>
        <v>0</v>
      </c>
      <c r="H212" s="98">
        <f t="shared" si="13"/>
        <v>0</v>
      </c>
    </row>
    <row r="213" spans="1:8" x14ac:dyDescent="0.2">
      <c r="A213" s="6">
        <v>200</v>
      </c>
      <c r="B213" s="582">
        <f>+_xlfn.XLOOKUP("PLASTICOS"&amp;D213,CODIGOS_Y_COSTOS[ID],CODIGOS_Y_COSTOS[CODIGO],0,0,1)</f>
        <v>0</v>
      </c>
      <c r="F213" s="98">
        <f>+_xlfn.XLOOKUP("PLASTICOS"&amp;D213,CODIGOS_Y_COSTOS[ID],CODIGOS_Y_COSTOS[COSTO],0,0,1)</f>
        <v>0</v>
      </c>
      <c r="H213" s="98">
        <f t="shared" si="13"/>
        <v>0</v>
      </c>
    </row>
    <row r="214" spans="1:8" x14ac:dyDescent="0.2">
      <c r="A214" s="6">
        <v>200</v>
      </c>
      <c r="B214" s="582">
        <f>+_xlfn.XLOOKUP("PLASTICOS"&amp;D214,CODIGOS_Y_COSTOS[ID],CODIGOS_Y_COSTOS[CODIGO],0,0,1)</f>
        <v>0</v>
      </c>
      <c r="F214" s="98">
        <f>+_xlfn.XLOOKUP("PLASTICOS"&amp;D214,CODIGOS_Y_COSTOS[ID],CODIGOS_Y_COSTOS[COSTO],0,0,1)</f>
        <v>0</v>
      </c>
      <c r="H214" s="98">
        <f t="shared" si="13"/>
        <v>0</v>
      </c>
    </row>
    <row r="215" spans="1:8" x14ac:dyDescent="0.2">
      <c r="A215" s="6">
        <v>200</v>
      </c>
      <c r="B215" s="582">
        <f>+_xlfn.XLOOKUP("PLASTICOS"&amp;D215,CODIGOS_Y_COSTOS[ID],CODIGOS_Y_COSTOS[CODIGO],0,0,1)</f>
        <v>0</v>
      </c>
      <c r="F215" s="98">
        <f>+_xlfn.XLOOKUP("PLASTICOS"&amp;D215,CODIGOS_Y_COSTOS[ID],CODIGOS_Y_COSTOS[COSTO],0,0,1)</f>
        <v>0</v>
      </c>
      <c r="H215" s="98">
        <f t="shared" si="13"/>
        <v>0</v>
      </c>
    </row>
    <row r="216" spans="1:8" x14ac:dyDescent="0.2">
      <c r="A216" s="6">
        <v>200</v>
      </c>
      <c r="B216" s="582">
        <f>+_xlfn.XLOOKUP("PLASTICOS"&amp;D216,CODIGOS_Y_COSTOS[ID],CODIGOS_Y_COSTOS[CODIGO],0,0,1)</f>
        <v>0</v>
      </c>
      <c r="F216" s="98">
        <f>+_xlfn.XLOOKUP("PLASTICOS"&amp;D216,CODIGOS_Y_COSTOS[ID],CODIGOS_Y_COSTOS[COSTO],0,0,1)</f>
        <v>0</v>
      </c>
      <c r="H216" s="98">
        <f t="shared" si="13"/>
        <v>0</v>
      </c>
    </row>
    <row r="217" spans="1:8" x14ac:dyDescent="0.2">
      <c r="A217" s="6">
        <v>200</v>
      </c>
      <c r="B217" s="582">
        <f>+_xlfn.XLOOKUP("PLASTICOS"&amp;D217,CODIGOS_Y_COSTOS[ID],CODIGOS_Y_COSTOS[CODIGO],0,0,1)</f>
        <v>0</v>
      </c>
      <c r="F217" s="98">
        <f>+_xlfn.XLOOKUP("PLASTICOS"&amp;D217,CODIGOS_Y_COSTOS[ID],CODIGOS_Y_COSTOS[COSTO],0,0,1)</f>
        <v>0</v>
      </c>
      <c r="H217" s="98">
        <f t="shared" si="13"/>
        <v>0</v>
      </c>
    </row>
    <row r="218" spans="1:8" x14ac:dyDescent="0.2">
      <c r="A218" s="6">
        <v>200</v>
      </c>
      <c r="B218" s="582">
        <f>+_xlfn.XLOOKUP("PLASTICOS"&amp;D218,CODIGOS_Y_COSTOS[ID],CODIGOS_Y_COSTOS[CODIGO],0,0,1)</f>
        <v>0</v>
      </c>
      <c r="F218" s="98">
        <f>+_xlfn.XLOOKUP("PLASTICOS"&amp;D218,CODIGOS_Y_COSTOS[ID],CODIGOS_Y_COSTOS[COSTO],0,0,1)</f>
        <v>0</v>
      </c>
      <c r="H218" s="98">
        <f t="shared" si="13"/>
        <v>0</v>
      </c>
    </row>
    <row r="219" spans="1:8" x14ac:dyDescent="0.2">
      <c r="A219" s="6">
        <v>200</v>
      </c>
      <c r="B219" s="582">
        <f>+_xlfn.XLOOKUP("PLASTICOS"&amp;D219,CODIGOS_Y_COSTOS[ID],CODIGOS_Y_COSTOS[CODIGO],0,0,1)</f>
        <v>0</v>
      </c>
      <c r="F219" s="98">
        <f>+_xlfn.XLOOKUP("PLASTICOS"&amp;D219,CODIGOS_Y_COSTOS[ID],CODIGOS_Y_COSTOS[COSTO],0,0,1)</f>
        <v>0</v>
      </c>
      <c r="H219" s="98">
        <f t="shared" si="13"/>
        <v>0</v>
      </c>
    </row>
    <row r="220" spans="1:8" x14ac:dyDescent="0.2">
      <c r="A220" s="6">
        <v>200</v>
      </c>
      <c r="B220" s="582">
        <f>+_xlfn.XLOOKUP("PLASTICOS"&amp;D220,CODIGOS_Y_COSTOS[ID],CODIGOS_Y_COSTOS[CODIGO],0,0,1)</f>
        <v>0</v>
      </c>
      <c r="F220" s="98">
        <f>+_xlfn.XLOOKUP("PLASTICOS"&amp;D220,CODIGOS_Y_COSTOS[ID],CODIGOS_Y_COSTOS[COSTO],0,0,1)</f>
        <v>0</v>
      </c>
      <c r="H220" s="98">
        <f t="shared" si="13"/>
        <v>0</v>
      </c>
    </row>
    <row r="221" spans="1:8" x14ac:dyDescent="0.2">
      <c r="A221" s="6">
        <v>200</v>
      </c>
      <c r="B221" s="582">
        <f>+_xlfn.XLOOKUP("PLASTICOS"&amp;D221,CODIGOS_Y_COSTOS[ID],CODIGOS_Y_COSTOS[CODIGO],0,0,1)</f>
        <v>0</v>
      </c>
      <c r="F221" s="98">
        <f>+_xlfn.XLOOKUP("PLASTICOS"&amp;D221,CODIGOS_Y_COSTOS[ID],CODIGOS_Y_COSTOS[COSTO],0,0,1)</f>
        <v>0</v>
      </c>
      <c r="H221" s="98">
        <f t="shared" si="13"/>
        <v>0</v>
      </c>
    </row>
    <row r="222" spans="1:8" x14ac:dyDescent="0.2">
      <c r="A222" s="6">
        <v>200</v>
      </c>
      <c r="B222" s="582">
        <f>+_xlfn.XLOOKUP("PLASTICOS"&amp;D222,CODIGOS_Y_COSTOS[ID],CODIGOS_Y_COSTOS[CODIGO],0,0,1)</f>
        <v>0</v>
      </c>
      <c r="F222" s="98">
        <f>+_xlfn.XLOOKUP("PLASTICOS"&amp;D222,CODIGOS_Y_COSTOS[ID],CODIGOS_Y_COSTOS[COSTO],0,0,1)</f>
        <v>0</v>
      </c>
      <c r="H222" s="98">
        <f t="shared" si="13"/>
        <v>0</v>
      </c>
    </row>
    <row r="223" spans="1:8" x14ac:dyDescent="0.2">
      <c r="A223" s="6">
        <v>200</v>
      </c>
      <c r="B223" s="582">
        <f>+_xlfn.XLOOKUP("PLASTICOS"&amp;D223,CODIGOS_Y_COSTOS[ID],CODIGOS_Y_COSTOS[CODIGO],0,0,1)</f>
        <v>0</v>
      </c>
      <c r="F223" s="98">
        <f>+_xlfn.XLOOKUP("PLASTICOS"&amp;D223,CODIGOS_Y_COSTOS[ID],CODIGOS_Y_COSTOS[COSTO],0,0,1)</f>
        <v>0</v>
      </c>
      <c r="H223" s="98">
        <f t="shared" si="13"/>
        <v>0</v>
      </c>
    </row>
    <row r="224" spans="1:8" x14ac:dyDescent="0.2">
      <c r="A224" s="6">
        <v>200</v>
      </c>
      <c r="B224" s="582">
        <f>+_xlfn.XLOOKUP("PLASTICOS"&amp;D224,CODIGOS_Y_COSTOS[ID],CODIGOS_Y_COSTOS[CODIGO],0,0,1)</f>
        <v>0</v>
      </c>
      <c r="F224" s="98">
        <f>+_xlfn.XLOOKUP("PLASTICOS"&amp;D224,CODIGOS_Y_COSTOS[ID],CODIGOS_Y_COSTOS[COSTO],0,0,1)</f>
        <v>0</v>
      </c>
      <c r="H224" s="98">
        <f t="shared" si="13"/>
        <v>0</v>
      </c>
    </row>
    <row r="225" spans="1:8" x14ac:dyDescent="0.2">
      <c r="A225" s="6">
        <v>200</v>
      </c>
      <c r="B225" s="582">
        <f>+_xlfn.XLOOKUP("PLASTICOS"&amp;D225,CODIGOS_Y_COSTOS[ID],CODIGOS_Y_COSTOS[CODIGO],0,0,1)</f>
        <v>0</v>
      </c>
      <c r="F225" s="98">
        <f>+_xlfn.XLOOKUP("PLASTICOS"&amp;D225,CODIGOS_Y_COSTOS[ID],CODIGOS_Y_COSTOS[COSTO],0,0,1)</f>
        <v>0</v>
      </c>
      <c r="H225" s="98">
        <f t="shared" si="13"/>
        <v>0</v>
      </c>
    </row>
    <row r="226" spans="1:8" x14ac:dyDescent="0.2">
      <c r="A226" s="6">
        <v>200</v>
      </c>
      <c r="B226" s="582">
        <f>+_xlfn.XLOOKUP("PLASTICOS"&amp;D226,CODIGOS_Y_COSTOS[ID],CODIGOS_Y_COSTOS[CODIGO],0,0,1)</f>
        <v>0</v>
      </c>
      <c r="F226" s="98">
        <f>+_xlfn.XLOOKUP("PLASTICOS"&amp;D226,CODIGOS_Y_COSTOS[ID],CODIGOS_Y_COSTOS[COSTO],0,0,1)</f>
        <v>0</v>
      </c>
      <c r="H226" s="98">
        <f t="shared" si="13"/>
        <v>0</v>
      </c>
    </row>
    <row r="227" spans="1:8" x14ac:dyDescent="0.2">
      <c r="A227" s="6">
        <v>200</v>
      </c>
      <c r="B227" s="582">
        <f>+_xlfn.XLOOKUP("PLASTICOS"&amp;D227,CODIGOS_Y_COSTOS[ID],CODIGOS_Y_COSTOS[CODIGO],0,0,1)</f>
        <v>0</v>
      </c>
      <c r="F227" s="98">
        <f>+_xlfn.XLOOKUP("PLASTICOS"&amp;D227,CODIGOS_Y_COSTOS[ID],CODIGOS_Y_COSTOS[COSTO],0,0,1)</f>
        <v>0</v>
      </c>
      <c r="H227" s="98">
        <f t="shared" si="13"/>
        <v>0</v>
      </c>
    </row>
    <row r="228" spans="1:8" x14ac:dyDescent="0.2">
      <c r="A228" s="6">
        <v>200</v>
      </c>
      <c r="B228" s="582">
        <f>+_xlfn.XLOOKUP("PLASTICOS"&amp;D228,CODIGOS_Y_COSTOS[ID],CODIGOS_Y_COSTOS[CODIGO],0,0,1)</f>
        <v>0</v>
      </c>
      <c r="F228" s="98">
        <f>+_xlfn.XLOOKUP("PLASTICOS"&amp;D228,CODIGOS_Y_COSTOS[ID],CODIGOS_Y_COSTOS[COSTO],0,0,1)</f>
        <v>0</v>
      </c>
      <c r="H228" s="98">
        <f t="shared" si="13"/>
        <v>0</v>
      </c>
    </row>
    <row r="229" spans="1:8" x14ac:dyDescent="0.2">
      <c r="A229" s="6">
        <v>200</v>
      </c>
      <c r="B229" s="582">
        <f>+_xlfn.XLOOKUP("PLASTICOS"&amp;D229,CODIGOS_Y_COSTOS[ID],CODIGOS_Y_COSTOS[CODIGO],0,0,1)</f>
        <v>0</v>
      </c>
      <c r="F229" s="98">
        <f>+_xlfn.XLOOKUP("PLASTICOS"&amp;D229,CODIGOS_Y_COSTOS[ID],CODIGOS_Y_COSTOS[COSTO],0,0,1)</f>
        <v>0</v>
      </c>
      <c r="H229" s="98">
        <f t="shared" si="13"/>
        <v>0</v>
      </c>
    </row>
    <row r="230" spans="1:8" x14ac:dyDescent="0.2">
      <c r="A230" s="6">
        <v>200</v>
      </c>
      <c r="B230" s="582">
        <f>+_xlfn.XLOOKUP("PLASTICOS"&amp;D230,CODIGOS_Y_COSTOS[ID],CODIGOS_Y_COSTOS[CODIGO],0,0,1)</f>
        <v>0</v>
      </c>
      <c r="F230" s="98">
        <f>+_xlfn.XLOOKUP("PLASTICOS"&amp;D230,CODIGOS_Y_COSTOS[ID],CODIGOS_Y_COSTOS[COSTO],0,0,1)</f>
        <v>0</v>
      </c>
      <c r="H230" s="98">
        <f t="shared" si="13"/>
        <v>0</v>
      </c>
    </row>
    <row r="231" spans="1:8" x14ac:dyDescent="0.2">
      <c r="A231" s="6">
        <v>200</v>
      </c>
      <c r="B231" s="582">
        <f>+_xlfn.XLOOKUP("PLASTICOS"&amp;D231,CODIGOS_Y_COSTOS[ID],CODIGOS_Y_COSTOS[CODIGO],0,0,1)</f>
        <v>0</v>
      </c>
      <c r="F231" s="98">
        <f>+_xlfn.XLOOKUP("PLASTICOS"&amp;D231,CODIGOS_Y_COSTOS[ID],CODIGOS_Y_COSTOS[COSTO],0,0,1)</f>
        <v>0</v>
      </c>
      <c r="H231" s="98">
        <f t="shared" si="13"/>
        <v>0</v>
      </c>
    </row>
    <row r="232" spans="1:8" x14ac:dyDescent="0.2">
      <c r="A232" s="6">
        <v>200</v>
      </c>
      <c r="B232" s="582">
        <f>+_xlfn.XLOOKUP("PLASTICOS"&amp;D232,CODIGOS_Y_COSTOS[ID],CODIGOS_Y_COSTOS[CODIGO],0,0,1)</f>
        <v>0</v>
      </c>
      <c r="F232" s="98">
        <f>+_xlfn.XLOOKUP("PLASTICOS"&amp;D232,CODIGOS_Y_COSTOS[ID],CODIGOS_Y_COSTOS[COSTO],0,0,1)</f>
        <v>0</v>
      </c>
      <c r="H232" s="98">
        <f t="shared" si="13"/>
        <v>0</v>
      </c>
    </row>
    <row r="233" spans="1:8" x14ac:dyDescent="0.2">
      <c r="A233" s="6">
        <v>200</v>
      </c>
      <c r="B233" s="582">
        <f>+_xlfn.XLOOKUP("PLASTICOS"&amp;D233,CODIGOS_Y_COSTOS[ID],CODIGOS_Y_COSTOS[CODIGO],0,0,1)</f>
        <v>0</v>
      </c>
      <c r="F233" s="98">
        <f>+_xlfn.XLOOKUP("PLASTICOS"&amp;D233,CODIGOS_Y_COSTOS[ID],CODIGOS_Y_COSTOS[COSTO],0,0,1)</f>
        <v>0</v>
      </c>
      <c r="H233" s="98">
        <f t="shared" si="13"/>
        <v>0</v>
      </c>
    </row>
    <row r="234" spans="1:8" x14ac:dyDescent="0.2">
      <c r="A234" s="6">
        <v>200</v>
      </c>
      <c r="B234" s="582">
        <f>+_xlfn.XLOOKUP("PLASTICOS"&amp;D234,CODIGOS_Y_COSTOS[ID],CODIGOS_Y_COSTOS[CODIGO],0,0,1)</f>
        <v>0</v>
      </c>
      <c r="F234" s="98">
        <f>+_xlfn.XLOOKUP("PLASTICOS"&amp;D234,CODIGOS_Y_COSTOS[ID],CODIGOS_Y_COSTOS[COSTO],0,0,1)</f>
        <v>0</v>
      </c>
      <c r="H234" s="98">
        <f t="shared" si="13"/>
        <v>0</v>
      </c>
    </row>
    <row r="235" spans="1:8" x14ac:dyDescent="0.2">
      <c r="A235" s="6">
        <v>200</v>
      </c>
      <c r="B235" s="582">
        <f>+_xlfn.XLOOKUP("PLASTICOS"&amp;D235,CODIGOS_Y_COSTOS[ID],CODIGOS_Y_COSTOS[CODIGO],0,0,1)</f>
        <v>0</v>
      </c>
      <c r="F235" s="98">
        <f>+_xlfn.XLOOKUP("PLASTICOS"&amp;D235,CODIGOS_Y_COSTOS[ID],CODIGOS_Y_COSTOS[COSTO],0,0,1)</f>
        <v>0</v>
      </c>
      <c r="H235" s="98">
        <f t="shared" si="13"/>
        <v>0</v>
      </c>
    </row>
    <row r="236" spans="1:8" x14ac:dyDescent="0.2">
      <c r="A236" s="6">
        <v>200</v>
      </c>
      <c r="B236" s="582">
        <f>+_xlfn.XLOOKUP("PLASTICOS"&amp;D236,CODIGOS_Y_COSTOS[ID],CODIGOS_Y_COSTOS[CODIGO],0,0,1)</f>
        <v>0</v>
      </c>
      <c r="F236" s="98">
        <f>+_xlfn.XLOOKUP("PLASTICOS"&amp;D236,CODIGOS_Y_COSTOS[ID],CODIGOS_Y_COSTOS[COSTO],0,0,1)</f>
        <v>0</v>
      </c>
      <c r="H236" s="98">
        <f t="shared" si="13"/>
        <v>0</v>
      </c>
    </row>
    <row r="237" spans="1:8" x14ac:dyDescent="0.2">
      <c r="A237" s="6">
        <v>200</v>
      </c>
      <c r="B237" s="582">
        <f>+_xlfn.XLOOKUP("PLASTICOS"&amp;D237,CODIGOS_Y_COSTOS[ID],CODIGOS_Y_COSTOS[CODIGO],0,0,1)</f>
        <v>0</v>
      </c>
      <c r="F237" s="98">
        <f>+_xlfn.XLOOKUP("PLASTICOS"&amp;D237,CODIGOS_Y_COSTOS[ID],CODIGOS_Y_COSTOS[COSTO],0,0,1)</f>
        <v>0</v>
      </c>
      <c r="H237" s="98">
        <f t="shared" si="13"/>
        <v>0</v>
      </c>
    </row>
    <row r="238" spans="1:8" x14ac:dyDescent="0.2">
      <c r="A238" s="6">
        <v>200</v>
      </c>
      <c r="B238" s="582">
        <f>+_xlfn.XLOOKUP("PLASTICOS"&amp;D238,CODIGOS_Y_COSTOS[ID],CODIGOS_Y_COSTOS[CODIGO],0,0,1)</f>
        <v>0</v>
      </c>
      <c r="F238" s="98">
        <f>+_xlfn.XLOOKUP("PLASTICOS"&amp;D238,CODIGOS_Y_COSTOS[ID],CODIGOS_Y_COSTOS[COSTO],0,0,1)</f>
        <v>0</v>
      </c>
      <c r="H238" s="98">
        <f t="shared" si="13"/>
        <v>0</v>
      </c>
    </row>
    <row r="239" spans="1:8" x14ac:dyDescent="0.2">
      <c r="A239" s="6">
        <v>200</v>
      </c>
      <c r="B239" s="582">
        <f>+_xlfn.XLOOKUP("PLASTICOS"&amp;D239,CODIGOS_Y_COSTOS[ID],CODIGOS_Y_COSTOS[CODIGO],0,0,1)</f>
        <v>0</v>
      </c>
      <c r="F239" s="98">
        <f>+_xlfn.XLOOKUP("PLASTICOS"&amp;D239,CODIGOS_Y_COSTOS[ID],CODIGOS_Y_COSTOS[COSTO],0,0,1)</f>
        <v>0</v>
      </c>
      <c r="H239" s="98">
        <f t="shared" si="13"/>
        <v>0</v>
      </c>
    </row>
    <row r="240" spans="1:8" x14ac:dyDescent="0.2">
      <c r="A240" s="6">
        <v>200</v>
      </c>
      <c r="B240" s="582">
        <f>+_xlfn.XLOOKUP("PLASTICOS"&amp;D240,CODIGOS_Y_COSTOS[ID],CODIGOS_Y_COSTOS[CODIGO],0,0,1)</f>
        <v>0</v>
      </c>
      <c r="F240" s="98">
        <f>+_xlfn.XLOOKUP("PLASTICOS"&amp;D240,CODIGOS_Y_COSTOS[ID],CODIGOS_Y_COSTOS[COSTO],0,0,1)</f>
        <v>0</v>
      </c>
      <c r="H240" s="98">
        <f t="shared" si="13"/>
        <v>0</v>
      </c>
    </row>
    <row r="241" spans="1:8" x14ac:dyDescent="0.2">
      <c r="A241" s="6">
        <v>200</v>
      </c>
      <c r="B241" s="582">
        <f>+_xlfn.XLOOKUP("PLASTICOS"&amp;D241,CODIGOS_Y_COSTOS[ID],CODIGOS_Y_COSTOS[CODIGO],0,0,1)</f>
        <v>0</v>
      </c>
      <c r="F241" s="98">
        <f>+_xlfn.XLOOKUP("PLASTICOS"&amp;D241,CODIGOS_Y_COSTOS[ID],CODIGOS_Y_COSTOS[COSTO],0,0,1)</f>
        <v>0</v>
      </c>
      <c r="H241" s="98">
        <f t="shared" si="13"/>
        <v>0</v>
      </c>
    </row>
    <row r="242" spans="1:8" x14ac:dyDescent="0.2">
      <c r="A242" s="6">
        <v>200</v>
      </c>
      <c r="B242" s="582">
        <f>+_xlfn.XLOOKUP("PLASTICOS"&amp;D242,CODIGOS_Y_COSTOS[ID],CODIGOS_Y_COSTOS[CODIGO],0,0,1)</f>
        <v>0</v>
      </c>
      <c r="F242" s="98">
        <f>+_xlfn.XLOOKUP("PLASTICOS"&amp;D242,CODIGOS_Y_COSTOS[ID],CODIGOS_Y_COSTOS[COSTO],0,0,1)</f>
        <v>0</v>
      </c>
      <c r="H242" s="98">
        <f t="shared" si="13"/>
        <v>0</v>
      </c>
    </row>
    <row r="243" spans="1:8" x14ac:dyDescent="0.2">
      <c r="A243" s="6">
        <v>200</v>
      </c>
      <c r="B243" s="582">
        <f>+_xlfn.XLOOKUP("PLASTICOS"&amp;D243,CODIGOS_Y_COSTOS[ID],CODIGOS_Y_COSTOS[CODIGO],0,0,1)</f>
        <v>0</v>
      </c>
      <c r="F243" s="98">
        <f>+_xlfn.XLOOKUP("PLASTICOS"&amp;D243,CODIGOS_Y_COSTOS[ID],CODIGOS_Y_COSTOS[COSTO],0,0,1)</f>
        <v>0</v>
      </c>
      <c r="H243" s="98">
        <f t="shared" si="13"/>
        <v>0</v>
      </c>
    </row>
    <row r="244" spans="1:8" x14ac:dyDescent="0.2">
      <c r="A244" s="6">
        <v>200</v>
      </c>
      <c r="B244" s="582">
        <f>+_xlfn.XLOOKUP("PLASTICOS"&amp;D244,CODIGOS_Y_COSTOS[ID],CODIGOS_Y_COSTOS[CODIGO],0,0,1)</f>
        <v>0</v>
      </c>
      <c r="F244" s="98">
        <f>+_xlfn.XLOOKUP("PLASTICOS"&amp;D244,CODIGOS_Y_COSTOS[ID],CODIGOS_Y_COSTOS[COSTO],0,0,1)</f>
        <v>0</v>
      </c>
      <c r="H244" s="98">
        <f t="shared" si="13"/>
        <v>0</v>
      </c>
    </row>
    <row r="245" spans="1:8" x14ac:dyDescent="0.2">
      <c r="A245" s="6">
        <v>200</v>
      </c>
      <c r="B245" s="582">
        <f>+_xlfn.XLOOKUP("PLASTICOS"&amp;D245,CODIGOS_Y_COSTOS[ID],CODIGOS_Y_COSTOS[CODIGO],0,0,1)</f>
        <v>0</v>
      </c>
      <c r="F245" s="98">
        <f>+_xlfn.XLOOKUP("PLASTICOS"&amp;D245,CODIGOS_Y_COSTOS[ID],CODIGOS_Y_COSTOS[COSTO],0,0,1)</f>
        <v>0</v>
      </c>
      <c r="H245" s="98">
        <f t="shared" si="13"/>
        <v>0</v>
      </c>
    </row>
    <row r="246" spans="1:8" x14ac:dyDescent="0.2">
      <c r="A246" s="6">
        <v>200</v>
      </c>
      <c r="B246" s="582">
        <f>+_xlfn.XLOOKUP("PLASTICOS"&amp;D246,CODIGOS_Y_COSTOS[ID],CODIGOS_Y_COSTOS[CODIGO],0,0,1)</f>
        <v>0</v>
      </c>
      <c r="F246" s="98">
        <f>+_xlfn.XLOOKUP("PLASTICOS"&amp;D246,CODIGOS_Y_COSTOS[ID],CODIGOS_Y_COSTOS[COSTO],0,0,1)</f>
        <v>0</v>
      </c>
      <c r="H246" s="98">
        <f t="shared" si="13"/>
        <v>0</v>
      </c>
    </row>
    <row r="247" spans="1:8" x14ac:dyDescent="0.2">
      <c r="A247" s="6">
        <v>200</v>
      </c>
      <c r="B247" s="582">
        <f>+_xlfn.XLOOKUP("PLASTICOS"&amp;D247,CODIGOS_Y_COSTOS[ID],CODIGOS_Y_COSTOS[CODIGO],0,0,1)</f>
        <v>0</v>
      </c>
      <c r="F247" s="98">
        <f>+_xlfn.XLOOKUP("PLASTICOS"&amp;D247,CODIGOS_Y_COSTOS[ID],CODIGOS_Y_COSTOS[COSTO],0,0,1)</f>
        <v>0</v>
      </c>
      <c r="H247" s="98">
        <f t="shared" si="13"/>
        <v>0</v>
      </c>
    </row>
    <row r="248" spans="1:8" x14ac:dyDescent="0.2">
      <c r="A248" s="6">
        <v>200</v>
      </c>
      <c r="B248" s="582">
        <f>+_xlfn.XLOOKUP("PLASTICOS"&amp;D248,CODIGOS_Y_COSTOS[ID],CODIGOS_Y_COSTOS[CODIGO],0,0,1)</f>
        <v>0</v>
      </c>
      <c r="F248" s="98">
        <f>+_xlfn.XLOOKUP("PLASTICOS"&amp;D248,CODIGOS_Y_COSTOS[ID],CODIGOS_Y_COSTOS[COSTO],0,0,1)</f>
        <v>0</v>
      </c>
      <c r="H248" s="98">
        <f t="shared" si="13"/>
        <v>0</v>
      </c>
    </row>
    <row r="249" spans="1:8" x14ac:dyDescent="0.2">
      <c r="A249" s="6">
        <v>200</v>
      </c>
      <c r="B249" s="582">
        <f>+_xlfn.XLOOKUP("PLASTICOS"&amp;D249,CODIGOS_Y_COSTOS[ID],CODIGOS_Y_COSTOS[CODIGO],0,0,1)</f>
        <v>0</v>
      </c>
      <c r="F249" s="98">
        <f>+_xlfn.XLOOKUP("PLASTICOS"&amp;D249,CODIGOS_Y_COSTOS[ID],CODIGOS_Y_COSTOS[COSTO],0,0,1)</f>
        <v>0</v>
      </c>
      <c r="H249" s="98">
        <f t="shared" si="13"/>
        <v>0</v>
      </c>
    </row>
    <row r="250" spans="1:8" x14ac:dyDescent="0.2">
      <c r="A250" s="6">
        <v>200</v>
      </c>
      <c r="B250" s="582">
        <f>+_xlfn.XLOOKUP("PLASTICOS"&amp;D250,CODIGOS_Y_COSTOS[ID],CODIGOS_Y_COSTOS[CODIGO],0,0,1)</f>
        <v>0</v>
      </c>
      <c r="F250" s="98">
        <f>+_xlfn.XLOOKUP("PLASTICOS"&amp;D250,CODIGOS_Y_COSTOS[ID],CODIGOS_Y_COSTOS[COSTO],0,0,1)</f>
        <v>0</v>
      </c>
      <c r="H250" s="98">
        <f t="shared" si="13"/>
        <v>0</v>
      </c>
    </row>
    <row r="251" spans="1:8" x14ac:dyDescent="0.2">
      <c r="A251" s="6">
        <v>200</v>
      </c>
      <c r="B251" s="582">
        <f>+_xlfn.XLOOKUP("PLASTICOS"&amp;D251,CODIGOS_Y_COSTOS[ID],CODIGOS_Y_COSTOS[CODIGO],0,0,1)</f>
        <v>0</v>
      </c>
      <c r="F251" s="98">
        <f>+_xlfn.XLOOKUP("PLASTICOS"&amp;D251,CODIGOS_Y_COSTOS[ID],CODIGOS_Y_COSTOS[COSTO],0,0,1)</f>
        <v>0</v>
      </c>
      <c r="H251" s="98">
        <f t="shared" si="13"/>
        <v>0</v>
      </c>
    </row>
    <row r="252" spans="1:8" x14ac:dyDescent="0.2">
      <c r="A252" s="6">
        <v>200</v>
      </c>
      <c r="B252" s="582">
        <f>+_xlfn.XLOOKUP("PLASTICOS"&amp;D252,CODIGOS_Y_COSTOS[ID],CODIGOS_Y_COSTOS[CODIGO],0,0,1)</f>
        <v>0</v>
      </c>
      <c r="F252" s="98">
        <f>+_xlfn.XLOOKUP("PLASTICOS"&amp;D252,CODIGOS_Y_COSTOS[ID],CODIGOS_Y_COSTOS[COSTO],0,0,1)</f>
        <v>0</v>
      </c>
      <c r="H252" s="98">
        <f t="shared" si="13"/>
        <v>0</v>
      </c>
    </row>
    <row r="253" spans="1:8" x14ac:dyDescent="0.2">
      <c r="A253" s="6">
        <v>200</v>
      </c>
      <c r="B253" s="582">
        <f>+_xlfn.XLOOKUP("PLASTICOS"&amp;D253,CODIGOS_Y_COSTOS[ID],CODIGOS_Y_COSTOS[CODIGO],0,0,1)</f>
        <v>0</v>
      </c>
      <c r="F253" s="98">
        <f>+_xlfn.XLOOKUP("PLASTICOS"&amp;D253,CODIGOS_Y_COSTOS[ID],CODIGOS_Y_COSTOS[COSTO],0,0,1)</f>
        <v>0</v>
      </c>
      <c r="H253" s="98">
        <f t="shared" si="13"/>
        <v>0</v>
      </c>
    </row>
    <row r="254" spans="1:8" x14ac:dyDescent="0.2">
      <c r="A254" s="6">
        <v>200</v>
      </c>
      <c r="B254" s="582">
        <f>+_xlfn.XLOOKUP("PLASTICOS"&amp;D254,CODIGOS_Y_COSTOS[ID],CODIGOS_Y_COSTOS[CODIGO],0,0,1)</f>
        <v>0</v>
      </c>
      <c r="F254" s="98">
        <f>+_xlfn.XLOOKUP("PLASTICOS"&amp;D254,CODIGOS_Y_COSTOS[ID],CODIGOS_Y_COSTOS[COSTO],0,0,1)</f>
        <v>0</v>
      </c>
      <c r="H254" s="98">
        <f t="shared" si="13"/>
        <v>0</v>
      </c>
    </row>
    <row r="255" spans="1:8" x14ac:dyDescent="0.2">
      <c r="A255" s="6">
        <v>200</v>
      </c>
      <c r="B255" s="582">
        <f>+_xlfn.XLOOKUP("PLASTICOS"&amp;D255,CODIGOS_Y_COSTOS[ID],CODIGOS_Y_COSTOS[CODIGO],0,0,1)</f>
        <v>0</v>
      </c>
      <c r="F255" s="98">
        <f>+_xlfn.XLOOKUP("PLASTICOS"&amp;D255,CODIGOS_Y_COSTOS[ID],CODIGOS_Y_COSTOS[COSTO],0,0,1)</f>
        <v>0</v>
      </c>
      <c r="H255" s="98">
        <f t="shared" si="13"/>
        <v>0</v>
      </c>
    </row>
    <row r="256" spans="1:8" x14ac:dyDescent="0.2">
      <c r="A256" s="6">
        <v>200</v>
      </c>
      <c r="B256" s="582">
        <f>+_xlfn.XLOOKUP("PLASTICOS"&amp;D256,CODIGOS_Y_COSTOS[ID],CODIGOS_Y_COSTOS[CODIGO],0,0,1)</f>
        <v>0</v>
      </c>
      <c r="F256" s="98">
        <f>+_xlfn.XLOOKUP("PLASTICOS"&amp;D256,CODIGOS_Y_COSTOS[ID],CODIGOS_Y_COSTOS[COSTO],0,0,1)</f>
        <v>0</v>
      </c>
      <c r="H256" s="98">
        <f t="shared" si="13"/>
        <v>0</v>
      </c>
    </row>
    <row r="257" spans="1:8" x14ac:dyDescent="0.2">
      <c r="A257" s="6">
        <v>200</v>
      </c>
      <c r="B257" s="582">
        <f>+_xlfn.XLOOKUP("PLASTICOS"&amp;D257,CODIGOS_Y_COSTOS[ID],CODIGOS_Y_COSTOS[CODIGO],0,0,1)</f>
        <v>0</v>
      </c>
      <c r="F257" s="98">
        <f>+_xlfn.XLOOKUP("PLASTICOS"&amp;D257,CODIGOS_Y_COSTOS[ID],CODIGOS_Y_COSTOS[COSTO],0,0,1)</f>
        <v>0</v>
      </c>
      <c r="H257" s="98">
        <f t="shared" si="13"/>
        <v>0</v>
      </c>
    </row>
    <row r="258" spans="1:8" x14ac:dyDescent="0.2">
      <c r="A258" s="6">
        <v>200</v>
      </c>
      <c r="B258" s="582">
        <f>+_xlfn.XLOOKUP("PLASTICOS"&amp;D258,CODIGOS_Y_COSTOS[ID],CODIGOS_Y_COSTOS[CODIGO],0,0,1)</f>
        <v>0</v>
      </c>
      <c r="F258" s="98">
        <f>+_xlfn.XLOOKUP("PLASTICOS"&amp;D258,CODIGOS_Y_COSTOS[ID],CODIGOS_Y_COSTOS[COSTO],0,0,1)</f>
        <v>0</v>
      </c>
      <c r="H258" s="98">
        <f t="shared" si="13"/>
        <v>0</v>
      </c>
    </row>
    <row r="259" spans="1:8" x14ac:dyDescent="0.2">
      <c r="A259" s="6">
        <v>200</v>
      </c>
      <c r="B259" s="582">
        <f>+_xlfn.XLOOKUP("PLASTICOS"&amp;D259,CODIGOS_Y_COSTOS[ID],CODIGOS_Y_COSTOS[CODIGO],0,0,1)</f>
        <v>0</v>
      </c>
      <c r="F259" s="98">
        <f>+_xlfn.XLOOKUP("PLASTICOS"&amp;D259,CODIGOS_Y_COSTOS[ID],CODIGOS_Y_COSTOS[COSTO],0,0,1)</f>
        <v>0</v>
      </c>
      <c r="H259" s="98">
        <f t="shared" si="13"/>
        <v>0</v>
      </c>
    </row>
    <row r="260" spans="1:8" x14ac:dyDescent="0.2">
      <c r="A260" s="6">
        <v>200</v>
      </c>
      <c r="B260" s="582">
        <f>+_xlfn.XLOOKUP("PLASTICOS"&amp;D260,CODIGOS_Y_COSTOS[ID],CODIGOS_Y_COSTOS[CODIGO],0,0,1)</f>
        <v>0</v>
      </c>
      <c r="F260" s="98">
        <f>+_xlfn.XLOOKUP("PLASTICOS"&amp;D260,CODIGOS_Y_COSTOS[ID],CODIGOS_Y_COSTOS[COSTO],0,0,1)</f>
        <v>0</v>
      </c>
      <c r="H260" s="98">
        <f t="shared" si="13"/>
        <v>0</v>
      </c>
    </row>
    <row r="261" spans="1:8" x14ac:dyDescent="0.2">
      <c r="A261" s="6">
        <v>200</v>
      </c>
      <c r="B261" s="582">
        <f>+_xlfn.XLOOKUP("PLASTICOS"&amp;D261,CODIGOS_Y_COSTOS[ID],CODIGOS_Y_COSTOS[CODIGO],0,0,1)</f>
        <v>0</v>
      </c>
      <c r="F261" s="98">
        <f>+_xlfn.XLOOKUP("PLASTICOS"&amp;D261,CODIGOS_Y_COSTOS[ID],CODIGOS_Y_COSTOS[COSTO],0,0,1)</f>
        <v>0</v>
      </c>
      <c r="H261" s="98">
        <f t="shared" si="13"/>
        <v>0</v>
      </c>
    </row>
    <row r="262" spans="1:8" x14ac:dyDescent="0.2">
      <c r="A262" s="6">
        <v>200</v>
      </c>
      <c r="B262" s="582">
        <f>+_xlfn.XLOOKUP("PLASTICOS"&amp;D262,CODIGOS_Y_COSTOS[ID],CODIGOS_Y_COSTOS[CODIGO],0,0,1)</f>
        <v>0</v>
      </c>
      <c r="F262" s="98">
        <f>+_xlfn.XLOOKUP("PLASTICOS"&amp;D262,CODIGOS_Y_COSTOS[ID],CODIGOS_Y_COSTOS[COSTO],0,0,1)</f>
        <v>0</v>
      </c>
      <c r="H262" s="98">
        <f t="shared" si="13"/>
        <v>0</v>
      </c>
    </row>
    <row r="263" spans="1:8" x14ac:dyDescent="0.2">
      <c r="A263" s="6">
        <v>200</v>
      </c>
      <c r="B263" s="582">
        <f>+_xlfn.XLOOKUP("PLASTICOS"&amp;D263,CODIGOS_Y_COSTOS[ID],CODIGOS_Y_COSTOS[CODIGO],0,0,1)</f>
        <v>0</v>
      </c>
      <c r="F263" s="98">
        <f>+_xlfn.XLOOKUP("PLASTICOS"&amp;D263,CODIGOS_Y_COSTOS[ID],CODIGOS_Y_COSTOS[COSTO],0,0,1)</f>
        <v>0</v>
      </c>
      <c r="H263" s="98">
        <f t="shared" si="13"/>
        <v>0</v>
      </c>
    </row>
    <row r="264" spans="1:8" x14ac:dyDescent="0.2">
      <c r="A264" s="6">
        <v>200</v>
      </c>
      <c r="B264" s="582">
        <f>+_xlfn.XLOOKUP("PLASTICOS"&amp;D264,CODIGOS_Y_COSTOS[ID],CODIGOS_Y_COSTOS[CODIGO],0,0,1)</f>
        <v>0</v>
      </c>
      <c r="F264" s="98">
        <f>+_xlfn.XLOOKUP("PLASTICOS"&amp;D264,CODIGOS_Y_COSTOS[ID],CODIGOS_Y_COSTOS[COSTO],0,0,1)</f>
        <v>0</v>
      </c>
      <c r="H264" s="98">
        <f t="shared" si="13"/>
        <v>0</v>
      </c>
    </row>
    <row r="265" spans="1:8" x14ac:dyDescent="0.2">
      <c r="A265" s="6">
        <v>200</v>
      </c>
      <c r="B265" s="582">
        <f>+_xlfn.XLOOKUP("PLASTICOS"&amp;D265,CODIGOS_Y_COSTOS[ID],CODIGOS_Y_COSTOS[CODIGO],0,0,1)</f>
        <v>0</v>
      </c>
      <c r="F265" s="98">
        <f>+_xlfn.XLOOKUP("PLASTICOS"&amp;D265,CODIGOS_Y_COSTOS[ID],CODIGOS_Y_COSTOS[COSTO],0,0,1)</f>
        <v>0</v>
      </c>
      <c r="H265" s="98">
        <f t="shared" si="13"/>
        <v>0</v>
      </c>
    </row>
    <row r="266" spans="1:8" x14ac:dyDescent="0.2">
      <c r="A266" s="6">
        <v>200</v>
      </c>
      <c r="B266" s="582">
        <f>+_xlfn.XLOOKUP("PLASTICOS"&amp;D266,CODIGOS_Y_COSTOS[ID],CODIGOS_Y_COSTOS[CODIGO],0,0,1)</f>
        <v>0</v>
      </c>
      <c r="F266" s="98">
        <f>+_xlfn.XLOOKUP("PLASTICOS"&amp;D266,CODIGOS_Y_COSTOS[ID],CODIGOS_Y_COSTOS[COSTO],0,0,1)</f>
        <v>0</v>
      </c>
      <c r="H266" s="98">
        <f t="shared" si="13"/>
        <v>0</v>
      </c>
    </row>
    <row r="267" spans="1:8" x14ac:dyDescent="0.2">
      <c r="A267" s="6">
        <v>200</v>
      </c>
      <c r="B267" s="582">
        <f>+_xlfn.XLOOKUP("PLASTICOS"&amp;D267,CODIGOS_Y_COSTOS[ID],CODIGOS_Y_COSTOS[CODIGO],0,0,1)</f>
        <v>0</v>
      </c>
      <c r="F267" s="98">
        <f>+_xlfn.XLOOKUP("PLASTICOS"&amp;D267,CODIGOS_Y_COSTOS[ID],CODIGOS_Y_COSTOS[COSTO],0,0,1)</f>
        <v>0</v>
      </c>
      <c r="H267" s="98">
        <f t="shared" si="13"/>
        <v>0</v>
      </c>
    </row>
    <row r="268" spans="1:8" x14ac:dyDescent="0.2">
      <c r="A268" s="6">
        <v>200</v>
      </c>
      <c r="B268" s="582">
        <f>+_xlfn.XLOOKUP("PLASTICOS"&amp;D268,CODIGOS_Y_COSTOS[ID],CODIGOS_Y_COSTOS[CODIGO],0,0,1)</f>
        <v>0</v>
      </c>
      <c r="F268" s="98">
        <f>+_xlfn.XLOOKUP("PLASTICOS"&amp;D268,CODIGOS_Y_COSTOS[ID],CODIGOS_Y_COSTOS[COSTO],0,0,1)</f>
        <v>0</v>
      </c>
      <c r="H268" s="98">
        <f t="shared" si="13"/>
        <v>0</v>
      </c>
    </row>
    <row r="269" spans="1:8" x14ac:dyDescent="0.2">
      <c r="A269" s="6">
        <v>200</v>
      </c>
      <c r="B269" s="582">
        <f>+_xlfn.XLOOKUP("PLASTICOS"&amp;D269,CODIGOS_Y_COSTOS[ID],CODIGOS_Y_COSTOS[CODIGO],0,0,1)</f>
        <v>0</v>
      </c>
      <c r="F269" s="98">
        <f>+_xlfn.XLOOKUP("PLASTICOS"&amp;D269,CODIGOS_Y_COSTOS[ID],CODIGOS_Y_COSTOS[COSTO],0,0,1)</f>
        <v>0</v>
      </c>
      <c r="H269" s="98">
        <f t="shared" si="13"/>
        <v>0</v>
      </c>
    </row>
    <row r="270" spans="1:8" x14ac:dyDescent="0.2">
      <c r="A270" s="6">
        <v>200</v>
      </c>
      <c r="B270" s="582">
        <f>+_xlfn.XLOOKUP("PLASTICOS"&amp;D270,CODIGOS_Y_COSTOS[ID],CODIGOS_Y_COSTOS[CODIGO],0,0,1)</f>
        <v>0</v>
      </c>
      <c r="F270" s="98">
        <f>+_xlfn.XLOOKUP("PLASTICOS"&amp;D270,CODIGOS_Y_COSTOS[ID],CODIGOS_Y_COSTOS[COSTO],0,0,1)</f>
        <v>0</v>
      </c>
      <c r="H270" s="98">
        <f t="shared" si="13"/>
        <v>0</v>
      </c>
    </row>
    <row r="271" spans="1:8" x14ac:dyDescent="0.2">
      <c r="A271" s="6">
        <v>200</v>
      </c>
      <c r="B271" s="582">
        <f>+_xlfn.XLOOKUP("PLASTICOS"&amp;D271,CODIGOS_Y_COSTOS[ID],CODIGOS_Y_COSTOS[CODIGO],0,0,1)</f>
        <v>0</v>
      </c>
      <c r="F271" s="98">
        <f>+_xlfn.XLOOKUP("PLASTICOS"&amp;D271,CODIGOS_Y_COSTOS[ID],CODIGOS_Y_COSTOS[COSTO],0,0,1)</f>
        <v>0</v>
      </c>
      <c r="H271" s="98">
        <f t="shared" ref="H271:H334" si="14">+F271*A271</f>
        <v>0</v>
      </c>
    </row>
    <row r="272" spans="1:8" x14ac:dyDescent="0.2">
      <c r="A272" s="6">
        <v>200</v>
      </c>
      <c r="B272" s="582">
        <f>+_xlfn.XLOOKUP("PLASTICOS"&amp;D272,CODIGOS_Y_COSTOS[ID],CODIGOS_Y_COSTOS[CODIGO],0,0,1)</f>
        <v>0</v>
      </c>
      <c r="F272" s="98">
        <f>+_xlfn.XLOOKUP("PLASTICOS"&amp;D272,CODIGOS_Y_COSTOS[ID],CODIGOS_Y_COSTOS[COSTO],0,0,1)</f>
        <v>0</v>
      </c>
      <c r="H272" s="98">
        <f t="shared" si="14"/>
        <v>0</v>
      </c>
    </row>
    <row r="273" spans="1:8" x14ac:dyDescent="0.2">
      <c r="A273" s="6">
        <v>200</v>
      </c>
      <c r="B273" s="582">
        <f>+_xlfn.XLOOKUP("PLASTICOS"&amp;D273,CODIGOS_Y_COSTOS[ID],CODIGOS_Y_COSTOS[CODIGO],0,0,1)</f>
        <v>0</v>
      </c>
      <c r="F273" s="98">
        <f>+_xlfn.XLOOKUP("PLASTICOS"&amp;D273,CODIGOS_Y_COSTOS[ID],CODIGOS_Y_COSTOS[COSTO],0,0,1)</f>
        <v>0</v>
      </c>
      <c r="H273" s="98">
        <f t="shared" si="14"/>
        <v>0</v>
      </c>
    </row>
    <row r="274" spans="1:8" x14ac:dyDescent="0.2">
      <c r="A274" s="6">
        <v>200</v>
      </c>
      <c r="B274" s="582">
        <f>+_xlfn.XLOOKUP("PLASTICOS"&amp;D274,CODIGOS_Y_COSTOS[ID],CODIGOS_Y_COSTOS[CODIGO],0,0,1)</f>
        <v>0</v>
      </c>
      <c r="F274" s="98">
        <f>+_xlfn.XLOOKUP("PLASTICOS"&amp;D274,CODIGOS_Y_COSTOS[ID],CODIGOS_Y_COSTOS[COSTO],0,0,1)</f>
        <v>0</v>
      </c>
      <c r="H274" s="98">
        <f t="shared" si="14"/>
        <v>0</v>
      </c>
    </row>
    <row r="275" spans="1:8" x14ac:dyDescent="0.2">
      <c r="A275" s="6">
        <v>200</v>
      </c>
      <c r="B275" s="582">
        <f>+_xlfn.XLOOKUP("PLASTICOS"&amp;D275,CODIGOS_Y_COSTOS[ID],CODIGOS_Y_COSTOS[CODIGO],0,0,1)</f>
        <v>0</v>
      </c>
      <c r="F275" s="98">
        <f>+_xlfn.XLOOKUP("PLASTICOS"&amp;D275,CODIGOS_Y_COSTOS[ID],CODIGOS_Y_COSTOS[COSTO],0,0,1)</f>
        <v>0</v>
      </c>
      <c r="H275" s="98">
        <f t="shared" si="14"/>
        <v>0</v>
      </c>
    </row>
    <row r="276" spans="1:8" x14ac:dyDescent="0.2">
      <c r="A276" s="6">
        <v>200</v>
      </c>
      <c r="B276" s="582">
        <f>+_xlfn.XLOOKUP("PLASTICOS"&amp;D276,CODIGOS_Y_COSTOS[ID],CODIGOS_Y_COSTOS[CODIGO],0,0,1)</f>
        <v>0</v>
      </c>
      <c r="F276" s="98">
        <f>+_xlfn.XLOOKUP("PLASTICOS"&amp;D276,CODIGOS_Y_COSTOS[ID],CODIGOS_Y_COSTOS[COSTO],0,0,1)</f>
        <v>0</v>
      </c>
      <c r="H276" s="98">
        <f t="shared" si="14"/>
        <v>0</v>
      </c>
    </row>
    <row r="277" spans="1:8" x14ac:dyDescent="0.2">
      <c r="A277" s="6">
        <v>200</v>
      </c>
      <c r="B277" s="582">
        <f>+_xlfn.XLOOKUP("PLASTICOS"&amp;D277,CODIGOS_Y_COSTOS[ID],CODIGOS_Y_COSTOS[CODIGO],0,0,1)</f>
        <v>0</v>
      </c>
      <c r="F277" s="98">
        <f>+_xlfn.XLOOKUP("PLASTICOS"&amp;D277,CODIGOS_Y_COSTOS[ID],CODIGOS_Y_COSTOS[COSTO],0,0,1)</f>
        <v>0</v>
      </c>
      <c r="H277" s="98">
        <f t="shared" si="14"/>
        <v>0</v>
      </c>
    </row>
    <row r="278" spans="1:8" x14ac:dyDescent="0.2">
      <c r="A278" s="6">
        <v>200</v>
      </c>
      <c r="B278" s="582">
        <f>+_xlfn.XLOOKUP("PLASTICOS"&amp;D278,CODIGOS_Y_COSTOS[ID],CODIGOS_Y_COSTOS[CODIGO],0,0,1)</f>
        <v>0</v>
      </c>
      <c r="F278" s="98">
        <f>+_xlfn.XLOOKUP("PLASTICOS"&amp;D278,CODIGOS_Y_COSTOS[ID],CODIGOS_Y_COSTOS[COSTO],0,0,1)</f>
        <v>0</v>
      </c>
      <c r="H278" s="98">
        <f t="shared" si="14"/>
        <v>0</v>
      </c>
    </row>
    <row r="279" spans="1:8" x14ac:dyDescent="0.2">
      <c r="A279" s="6">
        <v>200</v>
      </c>
      <c r="B279" s="582">
        <f>+_xlfn.XLOOKUP("PLASTICOS"&amp;D279,CODIGOS_Y_COSTOS[ID],CODIGOS_Y_COSTOS[CODIGO],0,0,1)</f>
        <v>0</v>
      </c>
      <c r="F279" s="98">
        <f>+_xlfn.XLOOKUP("PLASTICOS"&amp;D279,CODIGOS_Y_COSTOS[ID],CODIGOS_Y_COSTOS[COSTO],0,0,1)</f>
        <v>0</v>
      </c>
      <c r="H279" s="98">
        <f t="shared" si="14"/>
        <v>0</v>
      </c>
    </row>
    <row r="280" spans="1:8" x14ac:dyDescent="0.2">
      <c r="A280" s="6">
        <v>200</v>
      </c>
      <c r="B280" s="582">
        <f>+_xlfn.XLOOKUP("PLASTICOS"&amp;D280,CODIGOS_Y_COSTOS[ID],CODIGOS_Y_COSTOS[CODIGO],0,0,1)</f>
        <v>0</v>
      </c>
      <c r="F280" s="98">
        <f>+_xlfn.XLOOKUP("PLASTICOS"&amp;D280,CODIGOS_Y_COSTOS[ID],CODIGOS_Y_COSTOS[COSTO],0,0,1)</f>
        <v>0</v>
      </c>
      <c r="H280" s="98">
        <f t="shared" si="14"/>
        <v>0</v>
      </c>
    </row>
    <row r="281" spans="1:8" x14ac:dyDescent="0.2">
      <c r="A281" s="6">
        <v>200</v>
      </c>
      <c r="B281" s="582">
        <f>+_xlfn.XLOOKUP("PLASTICOS"&amp;D281,CODIGOS_Y_COSTOS[ID],CODIGOS_Y_COSTOS[CODIGO],0,0,1)</f>
        <v>0</v>
      </c>
      <c r="F281" s="98">
        <f>+_xlfn.XLOOKUP("PLASTICOS"&amp;D281,CODIGOS_Y_COSTOS[ID],CODIGOS_Y_COSTOS[COSTO],0,0,1)</f>
        <v>0</v>
      </c>
      <c r="H281" s="98">
        <f t="shared" si="14"/>
        <v>0</v>
      </c>
    </row>
    <row r="282" spans="1:8" x14ac:dyDescent="0.2">
      <c r="A282" s="6">
        <v>200</v>
      </c>
      <c r="B282" s="582">
        <f>+_xlfn.XLOOKUP("PLASTICOS"&amp;D282,CODIGOS_Y_COSTOS[ID],CODIGOS_Y_COSTOS[CODIGO],0,0,1)</f>
        <v>0</v>
      </c>
      <c r="F282" s="98">
        <f>+_xlfn.XLOOKUP("PLASTICOS"&amp;D282,CODIGOS_Y_COSTOS[ID],CODIGOS_Y_COSTOS[COSTO],0,0,1)</f>
        <v>0</v>
      </c>
      <c r="H282" s="98">
        <f t="shared" si="14"/>
        <v>0</v>
      </c>
    </row>
    <row r="283" spans="1:8" x14ac:dyDescent="0.2">
      <c r="A283" s="6">
        <v>200</v>
      </c>
      <c r="B283" s="582">
        <f>+_xlfn.XLOOKUP("PLASTICOS"&amp;D283,CODIGOS_Y_COSTOS[ID],CODIGOS_Y_COSTOS[CODIGO],0,0,1)</f>
        <v>0</v>
      </c>
      <c r="F283" s="98">
        <f>+_xlfn.XLOOKUP("PLASTICOS"&amp;D283,CODIGOS_Y_COSTOS[ID],CODIGOS_Y_COSTOS[COSTO],0,0,1)</f>
        <v>0</v>
      </c>
      <c r="H283" s="98">
        <f t="shared" si="14"/>
        <v>0</v>
      </c>
    </row>
    <row r="284" spans="1:8" x14ac:dyDescent="0.2">
      <c r="A284" s="6">
        <v>200</v>
      </c>
      <c r="B284" s="582">
        <f>+_xlfn.XLOOKUP("PLASTICOS"&amp;D284,CODIGOS_Y_COSTOS[ID],CODIGOS_Y_COSTOS[CODIGO],0,0,1)</f>
        <v>0</v>
      </c>
      <c r="F284" s="98">
        <f>+_xlfn.XLOOKUP("PLASTICOS"&amp;D284,CODIGOS_Y_COSTOS[ID],CODIGOS_Y_COSTOS[COSTO],0,0,1)</f>
        <v>0</v>
      </c>
      <c r="H284" s="98">
        <f t="shared" si="14"/>
        <v>0</v>
      </c>
    </row>
    <row r="285" spans="1:8" x14ac:dyDescent="0.2">
      <c r="A285" s="6">
        <v>200</v>
      </c>
      <c r="B285" s="582">
        <f>+_xlfn.XLOOKUP("PLASTICOS"&amp;D285,CODIGOS_Y_COSTOS[ID],CODIGOS_Y_COSTOS[CODIGO],0,0,1)</f>
        <v>0</v>
      </c>
      <c r="F285" s="98">
        <f>+_xlfn.XLOOKUP("PLASTICOS"&amp;D285,CODIGOS_Y_COSTOS[ID],CODIGOS_Y_COSTOS[COSTO],0,0,1)</f>
        <v>0</v>
      </c>
      <c r="H285" s="98">
        <f t="shared" si="14"/>
        <v>0</v>
      </c>
    </row>
    <row r="286" spans="1:8" x14ac:dyDescent="0.2">
      <c r="A286" s="6">
        <v>200</v>
      </c>
      <c r="B286" s="582">
        <f>+_xlfn.XLOOKUP("PLASTICOS"&amp;D286,CODIGOS_Y_COSTOS[ID],CODIGOS_Y_COSTOS[CODIGO],0,0,1)</f>
        <v>0</v>
      </c>
      <c r="F286" s="98">
        <f>+_xlfn.XLOOKUP("PLASTICOS"&amp;D286,CODIGOS_Y_COSTOS[ID],CODIGOS_Y_COSTOS[COSTO],0,0,1)</f>
        <v>0</v>
      </c>
      <c r="H286" s="98">
        <f t="shared" si="14"/>
        <v>0</v>
      </c>
    </row>
    <row r="287" spans="1:8" x14ac:dyDescent="0.2">
      <c r="A287" s="6">
        <v>200</v>
      </c>
      <c r="B287" s="582">
        <f>+_xlfn.XLOOKUP("PLASTICOS"&amp;D287,CODIGOS_Y_COSTOS[ID],CODIGOS_Y_COSTOS[CODIGO],0,0,1)</f>
        <v>0</v>
      </c>
      <c r="F287" s="98">
        <f>+_xlfn.XLOOKUP("PLASTICOS"&amp;D287,CODIGOS_Y_COSTOS[ID],CODIGOS_Y_COSTOS[COSTO],0,0,1)</f>
        <v>0</v>
      </c>
      <c r="H287" s="98">
        <f t="shared" si="14"/>
        <v>0</v>
      </c>
    </row>
    <row r="288" spans="1:8" x14ac:dyDescent="0.2">
      <c r="A288" s="6">
        <v>200</v>
      </c>
      <c r="B288" s="582">
        <f>+_xlfn.XLOOKUP("PLASTICOS"&amp;D288,CODIGOS_Y_COSTOS[ID],CODIGOS_Y_COSTOS[CODIGO],0,0,1)</f>
        <v>0</v>
      </c>
      <c r="F288" s="98">
        <f>+_xlfn.XLOOKUP("PLASTICOS"&amp;D288,CODIGOS_Y_COSTOS[ID],CODIGOS_Y_COSTOS[COSTO],0,0,1)</f>
        <v>0</v>
      </c>
      <c r="H288" s="98">
        <f t="shared" si="14"/>
        <v>0</v>
      </c>
    </row>
    <row r="289" spans="1:8" x14ac:dyDescent="0.2">
      <c r="A289" s="6">
        <v>200</v>
      </c>
      <c r="B289" s="582">
        <f>+_xlfn.XLOOKUP("PLASTICOS"&amp;D289,CODIGOS_Y_COSTOS[ID],CODIGOS_Y_COSTOS[CODIGO],0,0,1)</f>
        <v>0</v>
      </c>
      <c r="F289" s="98">
        <f>+_xlfn.XLOOKUP("PLASTICOS"&amp;D289,CODIGOS_Y_COSTOS[ID],CODIGOS_Y_COSTOS[COSTO],0,0,1)</f>
        <v>0</v>
      </c>
      <c r="H289" s="98">
        <f t="shared" si="14"/>
        <v>0</v>
      </c>
    </row>
    <row r="290" spans="1:8" x14ac:dyDescent="0.2">
      <c r="A290" s="6">
        <v>200</v>
      </c>
      <c r="B290" s="582">
        <f>+_xlfn.XLOOKUP("PLASTICOS"&amp;D290,CODIGOS_Y_COSTOS[ID],CODIGOS_Y_COSTOS[CODIGO],0,0,1)</f>
        <v>0</v>
      </c>
      <c r="F290" s="98">
        <f>+_xlfn.XLOOKUP("PLASTICOS"&amp;D290,CODIGOS_Y_COSTOS[ID],CODIGOS_Y_COSTOS[COSTO],0,0,1)</f>
        <v>0</v>
      </c>
      <c r="H290" s="98">
        <f t="shared" si="14"/>
        <v>0</v>
      </c>
    </row>
    <row r="291" spans="1:8" x14ac:dyDescent="0.2">
      <c r="A291" s="6">
        <v>200</v>
      </c>
      <c r="B291" s="582">
        <f>+_xlfn.XLOOKUP("PLASTICOS"&amp;D291,CODIGOS_Y_COSTOS[ID],CODIGOS_Y_COSTOS[CODIGO],0,0,1)</f>
        <v>0</v>
      </c>
      <c r="F291" s="98">
        <f>+_xlfn.XLOOKUP("PLASTICOS"&amp;D291,CODIGOS_Y_COSTOS[ID],CODIGOS_Y_COSTOS[COSTO],0,0,1)</f>
        <v>0</v>
      </c>
      <c r="H291" s="98">
        <f t="shared" si="14"/>
        <v>0</v>
      </c>
    </row>
    <row r="292" spans="1:8" x14ac:dyDescent="0.2">
      <c r="A292" s="6">
        <v>200</v>
      </c>
      <c r="B292" s="582">
        <f>+_xlfn.XLOOKUP("PLASTICOS"&amp;D292,CODIGOS_Y_COSTOS[ID],CODIGOS_Y_COSTOS[CODIGO],0,0,1)</f>
        <v>0</v>
      </c>
      <c r="F292" s="98">
        <f>+_xlfn.XLOOKUP("PLASTICOS"&amp;D292,CODIGOS_Y_COSTOS[ID],CODIGOS_Y_COSTOS[COSTO],0,0,1)</f>
        <v>0</v>
      </c>
      <c r="H292" s="98">
        <f t="shared" si="14"/>
        <v>0</v>
      </c>
    </row>
    <row r="293" spans="1:8" x14ac:dyDescent="0.2">
      <c r="A293" s="6">
        <v>200</v>
      </c>
      <c r="B293" s="582">
        <f>+_xlfn.XLOOKUP("PLASTICOS"&amp;D293,CODIGOS_Y_COSTOS[ID],CODIGOS_Y_COSTOS[CODIGO],0,0,1)</f>
        <v>0</v>
      </c>
      <c r="F293" s="98">
        <f>+_xlfn.XLOOKUP("PLASTICOS"&amp;D293,CODIGOS_Y_COSTOS[ID],CODIGOS_Y_COSTOS[COSTO],0,0,1)</f>
        <v>0</v>
      </c>
      <c r="H293" s="98">
        <f t="shared" si="14"/>
        <v>0</v>
      </c>
    </row>
    <row r="294" spans="1:8" x14ac:dyDescent="0.2">
      <c r="A294" s="6">
        <v>200</v>
      </c>
      <c r="B294" s="582">
        <f>+_xlfn.XLOOKUP("PLASTICOS"&amp;D294,CODIGOS_Y_COSTOS[ID],CODIGOS_Y_COSTOS[CODIGO],0,0,1)</f>
        <v>0</v>
      </c>
      <c r="F294" s="98">
        <f>+_xlfn.XLOOKUP("PLASTICOS"&amp;D294,CODIGOS_Y_COSTOS[ID],CODIGOS_Y_COSTOS[COSTO],0,0,1)</f>
        <v>0</v>
      </c>
      <c r="H294" s="98">
        <f t="shared" si="14"/>
        <v>0</v>
      </c>
    </row>
    <row r="295" spans="1:8" x14ac:dyDescent="0.2">
      <c r="A295" s="6">
        <v>200</v>
      </c>
      <c r="B295" s="582">
        <f>+_xlfn.XLOOKUP("PLASTICOS"&amp;D295,CODIGOS_Y_COSTOS[ID],CODIGOS_Y_COSTOS[CODIGO],0,0,1)</f>
        <v>0</v>
      </c>
      <c r="F295" s="98">
        <f>+_xlfn.XLOOKUP("PLASTICOS"&amp;D295,CODIGOS_Y_COSTOS[ID],CODIGOS_Y_COSTOS[COSTO],0,0,1)</f>
        <v>0</v>
      </c>
      <c r="H295" s="98">
        <f t="shared" si="14"/>
        <v>0</v>
      </c>
    </row>
    <row r="296" spans="1:8" x14ac:dyDescent="0.2">
      <c r="A296" s="6">
        <v>200</v>
      </c>
      <c r="B296" s="582">
        <f>+_xlfn.XLOOKUP("PLASTICOS"&amp;D296,CODIGOS_Y_COSTOS[ID],CODIGOS_Y_COSTOS[CODIGO],0,0,1)</f>
        <v>0</v>
      </c>
      <c r="F296" s="98">
        <f>+_xlfn.XLOOKUP("PLASTICOS"&amp;D296,CODIGOS_Y_COSTOS[ID],CODIGOS_Y_COSTOS[COSTO],0,0,1)</f>
        <v>0</v>
      </c>
      <c r="H296" s="98">
        <f t="shared" si="14"/>
        <v>0</v>
      </c>
    </row>
    <row r="297" spans="1:8" x14ac:dyDescent="0.2">
      <c r="A297" s="6">
        <v>200</v>
      </c>
      <c r="B297" s="582">
        <f>+_xlfn.XLOOKUP("PLASTICOS"&amp;D297,CODIGOS_Y_COSTOS[ID],CODIGOS_Y_COSTOS[CODIGO],0,0,1)</f>
        <v>0</v>
      </c>
      <c r="F297" s="98">
        <f>+_xlfn.XLOOKUP("PLASTICOS"&amp;D297,CODIGOS_Y_COSTOS[ID],CODIGOS_Y_COSTOS[COSTO],0,0,1)</f>
        <v>0</v>
      </c>
      <c r="H297" s="98">
        <f t="shared" si="14"/>
        <v>0</v>
      </c>
    </row>
    <row r="298" spans="1:8" x14ac:dyDescent="0.2">
      <c r="A298" s="6">
        <v>200</v>
      </c>
      <c r="B298" s="582">
        <f>+_xlfn.XLOOKUP("PLASTICOS"&amp;D298,CODIGOS_Y_COSTOS[ID],CODIGOS_Y_COSTOS[CODIGO],0,0,1)</f>
        <v>0</v>
      </c>
      <c r="F298" s="98">
        <f>+_xlfn.XLOOKUP("PLASTICOS"&amp;D298,CODIGOS_Y_COSTOS[ID],CODIGOS_Y_COSTOS[COSTO],0,0,1)</f>
        <v>0</v>
      </c>
      <c r="H298" s="98">
        <f t="shared" si="14"/>
        <v>0</v>
      </c>
    </row>
    <row r="299" spans="1:8" x14ac:dyDescent="0.2">
      <c r="A299" s="6">
        <v>200</v>
      </c>
      <c r="B299" s="582">
        <f>+_xlfn.XLOOKUP("PLASTICOS"&amp;D299,CODIGOS_Y_COSTOS[ID],CODIGOS_Y_COSTOS[CODIGO],0,0,1)</f>
        <v>0</v>
      </c>
      <c r="F299" s="98">
        <f>+_xlfn.XLOOKUP("PLASTICOS"&amp;D299,CODIGOS_Y_COSTOS[ID],CODIGOS_Y_COSTOS[COSTO],0,0,1)</f>
        <v>0</v>
      </c>
      <c r="H299" s="98">
        <f t="shared" si="14"/>
        <v>0</v>
      </c>
    </row>
    <row r="300" spans="1:8" x14ac:dyDescent="0.2">
      <c r="A300" s="6">
        <v>200</v>
      </c>
      <c r="B300" s="582">
        <f>+_xlfn.XLOOKUP("PLASTICOS"&amp;D300,CODIGOS_Y_COSTOS[ID],CODIGOS_Y_COSTOS[CODIGO],0,0,1)</f>
        <v>0</v>
      </c>
      <c r="F300" s="98">
        <f>+_xlfn.XLOOKUP("PLASTICOS"&amp;D300,CODIGOS_Y_COSTOS[ID],CODIGOS_Y_COSTOS[COSTO],0,0,1)</f>
        <v>0</v>
      </c>
      <c r="H300" s="98">
        <f t="shared" si="14"/>
        <v>0</v>
      </c>
    </row>
    <row r="301" spans="1:8" x14ac:dyDescent="0.2">
      <c r="A301" s="6">
        <v>200</v>
      </c>
      <c r="B301" s="582">
        <f>+_xlfn.XLOOKUP("PLASTICOS"&amp;D301,CODIGOS_Y_COSTOS[ID],CODIGOS_Y_COSTOS[CODIGO],0,0,1)</f>
        <v>0</v>
      </c>
      <c r="F301" s="98">
        <f>+_xlfn.XLOOKUP("PLASTICOS"&amp;D301,CODIGOS_Y_COSTOS[ID],CODIGOS_Y_COSTOS[COSTO],0,0,1)</f>
        <v>0</v>
      </c>
      <c r="H301" s="98">
        <f t="shared" si="14"/>
        <v>0</v>
      </c>
    </row>
    <row r="302" spans="1:8" x14ac:dyDescent="0.2">
      <c r="A302" s="6">
        <v>200</v>
      </c>
      <c r="B302" s="582">
        <f>+_xlfn.XLOOKUP("PLASTICOS"&amp;D302,CODIGOS_Y_COSTOS[ID],CODIGOS_Y_COSTOS[CODIGO],0,0,1)</f>
        <v>0</v>
      </c>
      <c r="F302" s="98">
        <f>+_xlfn.XLOOKUP("PLASTICOS"&amp;D302,CODIGOS_Y_COSTOS[ID],CODIGOS_Y_COSTOS[COSTO],0,0,1)</f>
        <v>0</v>
      </c>
      <c r="H302" s="98">
        <f t="shared" si="14"/>
        <v>0</v>
      </c>
    </row>
    <row r="303" spans="1:8" x14ac:dyDescent="0.2">
      <c r="A303" s="6">
        <v>200</v>
      </c>
      <c r="B303" s="582">
        <f>+_xlfn.XLOOKUP("PLASTICOS"&amp;D303,CODIGOS_Y_COSTOS[ID],CODIGOS_Y_COSTOS[CODIGO],0,0,1)</f>
        <v>0</v>
      </c>
      <c r="F303" s="98">
        <f>+_xlfn.XLOOKUP("PLASTICOS"&amp;D303,CODIGOS_Y_COSTOS[ID],CODIGOS_Y_COSTOS[COSTO],0,0,1)</f>
        <v>0</v>
      </c>
      <c r="H303" s="98">
        <f t="shared" si="14"/>
        <v>0</v>
      </c>
    </row>
    <row r="304" spans="1:8" x14ac:dyDescent="0.2">
      <c r="A304" s="6">
        <v>200</v>
      </c>
      <c r="B304" s="582">
        <f>+_xlfn.XLOOKUP("PLASTICOS"&amp;D304,CODIGOS_Y_COSTOS[ID],CODIGOS_Y_COSTOS[CODIGO],0,0,1)</f>
        <v>0</v>
      </c>
      <c r="F304" s="98">
        <f>+_xlfn.XLOOKUP("PLASTICOS"&amp;D304,CODIGOS_Y_COSTOS[ID],CODIGOS_Y_COSTOS[COSTO],0,0,1)</f>
        <v>0</v>
      </c>
      <c r="H304" s="98">
        <f t="shared" si="14"/>
        <v>0</v>
      </c>
    </row>
    <row r="305" spans="1:8" x14ac:dyDescent="0.2">
      <c r="A305" s="6">
        <v>200</v>
      </c>
      <c r="B305" s="582">
        <f>+_xlfn.XLOOKUP("PLASTICOS"&amp;D305,CODIGOS_Y_COSTOS[ID],CODIGOS_Y_COSTOS[CODIGO],0,0,1)</f>
        <v>0</v>
      </c>
      <c r="F305" s="98">
        <f>+_xlfn.XLOOKUP("PLASTICOS"&amp;D305,CODIGOS_Y_COSTOS[ID],CODIGOS_Y_COSTOS[COSTO],0,0,1)</f>
        <v>0</v>
      </c>
      <c r="H305" s="98">
        <f t="shared" si="14"/>
        <v>0</v>
      </c>
    </row>
    <row r="306" spans="1:8" x14ac:dyDescent="0.2">
      <c r="A306" s="6">
        <v>200</v>
      </c>
      <c r="B306" s="582">
        <f>+_xlfn.XLOOKUP("PLASTICOS"&amp;D306,CODIGOS_Y_COSTOS[ID],CODIGOS_Y_COSTOS[CODIGO],0,0,1)</f>
        <v>0</v>
      </c>
      <c r="F306" s="98">
        <f>+_xlfn.XLOOKUP("PLASTICOS"&amp;D306,CODIGOS_Y_COSTOS[ID],CODIGOS_Y_COSTOS[COSTO],0,0,1)</f>
        <v>0</v>
      </c>
      <c r="H306" s="98">
        <f t="shared" si="14"/>
        <v>0</v>
      </c>
    </row>
    <row r="307" spans="1:8" x14ac:dyDescent="0.2">
      <c r="A307" s="6">
        <v>200</v>
      </c>
      <c r="B307" s="582">
        <f>+_xlfn.XLOOKUP("PLASTICOS"&amp;D307,CODIGOS_Y_COSTOS[ID],CODIGOS_Y_COSTOS[CODIGO],0,0,1)</f>
        <v>0</v>
      </c>
      <c r="F307" s="98">
        <f>+_xlfn.XLOOKUP("PLASTICOS"&amp;D307,CODIGOS_Y_COSTOS[ID],CODIGOS_Y_COSTOS[COSTO],0,0,1)</f>
        <v>0</v>
      </c>
      <c r="H307" s="98">
        <f t="shared" si="14"/>
        <v>0</v>
      </c>
    </row>
    <row r="308" spans="1:8" x14ac:dyDescent="0.2">
      <c r="A308" s="6">
        <v>200</v>
      </c>
      <c r="B308" s="582">
        <f>+_xlfn.XLOOKUP("PLASTICOS"&amp;D308,CODIGOS_Y_COSTOS[ID],CODIGOS_Y_COSTOS[CODIGO],0,0,1)</f>
        <v>0</v>
      </c>
      <c r="F308" s="98">
        <f>+_xlfn.XLOOKUP("PLASTICOS"&amp;D308,CODIGOS_Y_COSTOS[ID],CODIGOS_Y_COSTOS[COSTO],0,0,1)</f>
        <v>0</v>
      </c>
      <c r="H308" s="98">
        <f t="shared" si="14"/>
        <v>0</v>
      </c>
    </row>
    <row r="309" spans="1:8" x14ac:dyDescent="0.2">
      <c r="A309" s="6">
        <v>200</v>
      </c>
      <c r="B309" s="582">
        <f>+_xlfn.XLOOKUP("PLASTICOS"&amp;D309,CODIGOS_Y_COSTOS[ID],CODIGOS_Y_COSTOS[CODIGO],0,0,1)</f>
        <v>0</v>
      </c>
      <c r="F309" s="98">
        <f>+_xlfn.XLOOKUP("PLASTICOS"&amp;D309,CODIGOS_Y_COSTOS[ID],CODIGOS_Y_COSTOS[COSTO],0,0,1)</f>
        <v>0</v>
      </c>
      <c r="H309" s="98">
        <f t="shared" si="14"/>
        <v>0</v>
      </c>
    </row>
    <row r="310" spans="1:8" x14ac:dyDescent="0.2">
      <c r="A310" s="6">
        <v>200</v>
      </c>
      <c r="B310" s="582">
        <f>+_xlfn.XLOOKUP("PLASTICOS"&amp;D310,CODIGOS_Y_COSTOS[ID],CODIGOS_Y_COSTOS[CODIGO],0,0,1)</f>
        <v>0</v>
      </c>
      <c r="F310" s="98">
        <f>+_xlfn.XLOOKUP("PLASTICOS"&amp;D310,CODIGOS_Y_COSTOS[ID],CODIGOS_Y_COSTOS[COSTO],0,0,1)</f>
        <v>0</v>
      </c>
      <c r="H310" s="98">
        <f t="shared" si="14"/>
        <v>0</v>
      </c>
    </row>
    <row r="311" spans="1:8" x14ac:dyDescent="0.2">
      <c r="A311" s="6">
        <v>200</v>
      </c>
      <c r="B311" s="582">
        <f>+_xlfn.XLOOKUP("PLASTICOS"&amp;D311,CODIGOS_Y_COSTOS[ID],CODIGOS_Y_COSTOS[CODIGO],0,0,1)</f>
        <v>0</v>
      </c>
      <c r="F311" s="98">
        <f>+_xlfn.XLOOKUP("PLASTICOS"&amp;D311,CODIGOS_Y_COSTOS[ID],CODIGOS_Y_COSTOS[COSTO],0,0,1)</f>
        <v>0</v>
      </c>
      <c r="H311" s="98">
        <f t="shared" si="14"/>
        <v>0</v>
      </c>
    </row>
    <row r="312" spans="1:8" x14ac:dyDescent="0.2">
      <c r="A312" s="6">
        <v>200</v>
      </c>
      <c r="B312" s="582">
        <f>+_xlfn.XLOOKUP("PLASTICOS"&amp;D312,CODIGOS_Y_COSTOS[ID],CODIGOS_Y_COSTOS[CODIGO],0,0,1)</f>
        <v>0</v>
      </c>
      <c r="F312" s="98">
        <f>+_xlfn.XLOOKUP("PLASTICOS"&amp;D312,CODIGOS_Y_COSTOS[ID],CODIGOS_Y_COSTOS[COSTO],0,0,1)</f>
        <v>0</v>
      </c>
      <c r="H312" s="98">
        <f t="shared" si="14"/>
        <v>0</v>
      </c>
    </row>
    <row r="313" spans="1:8" x14ac:dyDescent="0.2">
      <c r="A313" s="6">
        <v>200</v>
      </c>
      <c r="B313" s="582">
        <f>+_xlfn.XLOOKUP("PLASTICOS"&amp;D313,CODIGOS_Y_COSTOS[ID],CODIGOS_Y_COSTOS[CODIGO],0,0,1)</f>
        <v>0</v>
      </c>
      <c r="F313" s="98">
        <f>+_xlfn.XLOOKUP("PLASTICOS"&amp;D313,CODIGOS_Y_COSTOS[ID],CODIGOS_Y_COSTOS[COSTO],0,0,1)</f>
        <v>0</v>
      </c>
      <c r="H313" s="98">
        <f t="shared" si="14"/>
        <v>0</v>
      </c>
    </row>
    <row r="314" spans="1:8" x14ac:dyDescent="0.2">
      <c r="A314" s="6">
        <v>200</v>
      </c>
      <c r="B314" s="582">
        <f>+_xlfn.XLOOKUP("PLASTICOS"&amp;D314,CODIGOS_Y_COSTOS[ID],CODIGOS_Y_COSTOS[CODIGO],0,0,1)</f>
        <v>0</v>
      </c>
      <c r="F314" s="98">
        <f>+_xlfn.XLOOKUP("PLASTICOS"&amp;D314,CODIGOS_Y_COSTOS[ID],CODIGOS_Y_COSTOS[COSTO],0,0,1)</f>
        <v>0</v>
      </c>
      <c r="H314" s="98">
        <f t="shared" si="14"/>
        <v>0</v>
      </c>
    </row>
    <row r="315" spans="1:8" x14ac:dyDescent="0.2">
      <c r="A315" s="6">
        <v>200</v>
      </c>
      <c r="B315" s="582">
        <f>+_xlfn.XLOOKUP("PLASTICOS"&amp;D315,CODIGOS_Y_COSTOS[ID],CODIGOS_Y_COSTOS[CODIGO],0,0,1)</f>
        <v>0</v>
      </c>
      <c r="F315" s="98">
        <f>+_xlfn.XLOOKUP("PLASTICOS"&amp;D315,CODIGOS_Y_COSTOS[ID],CODIGOS_Y_COSTOS[COSTO],0,0,1)</f>
        <v>0</v>
      </c>
      <c r="H315" s="98">
        <f t="shared" si="14"/>
        <v>0</v>
      </c>
    </row>
    <row r="316" spans="1:8" x14ac:dyDescent="0.2">
      <c r="A316" s="6">
        <v>200</v>
      </c>
      <c r="B316" s="582">
        <f>+_xlfn.XLOOKUP("PLASTICOS"&amp;D316,CODIGOS_Y_COSTOS[ID],CODIGOS_Y_COSTOS[CODIGO],0,0,1)</f>
        <v>0</v>
      </c>
      <c r="F316" s="98">
        <f>+_xlfn.XLOOKUP("PLASTICOS"&amp;D316,CODIGOS_Y_COSTOS[ID],CODIGOS_Y_COSTOS[COSTO],0,0,1)</f>
        <v>0</v>
      </c>
      <c r="H316" s="98">
        <f t="shared" si="14"/>
        <v>0</v>
      </c>
    </row>
    <row r="317" spans="1:8" x14ac:dyDescent="0.2">
      <c r="A317" s="6">
        <v>200</v>
      </c>
      <c r="B317" s="582">
        <f>+_xlfn.XLOOKUP("PLASTICOS"&amp;D317,CODIGOS_Y_COSTOS[ID],CODIGOS_Y_COSTOS[CODIGO],0,0,1)</f>
        <v>0</v>
      </c>
      <c r="F317" s="98">
        <f>+_xlfn.XLOOKUP("PLASTICOS"&amp;D317,CODIGOS_Y_COSTOS[ID],CODIGOS_Y_COSTOS[COSTO],0,0,1)</f>
        <v>0</v>
      </c>
      <c r="H317" s="98">
        <f t="shared" si="14"/>
        <v>0</v>
      </c>
    </row>
    <row r="318" spans="1:8" x14ac:dyDescent="0.2">
      <c r="A318" s="6">
        <v>200</v>
      </c>
      <c r="B318" s="582">
        <f>+_xlfn.XLOOKUP("PLASTICOS"&amp;D318,CODIGOS_Y_COSTOS[ID],CODIGOS_Y_COSTOS[CODIGO],0,0,1)</f>
        <v>0</v>
      </c>
      <c r="F318" s="98">
        <f>+_xlfn.XLOOKUP("PLASTICOS"&amp;D318,CODIGOS_Y_COSTOS[ID],CODIGOS_Y_COSTOS[COSTO],0,0,1)</f>
        <v>0</v>
      </c>
      <c r="H318" s="98">
        <f t="shared" si="14"/>
        <v>0</v>
      </c>
    </row>
    <row r="319" spans="1:8" x14ac:dyDescent="0.2">
      <c r="A319" s="6">
        <v>200</v>
      </c>
      <c r="B319" s="582">
        <f>+_xlfn.XLOOKUP("PLASTICOS"&amp;D319,CODIGOS_Y_COSTOS[ID],CODIGOS_Y_COSTOS[CODIGO],0,0,1)</f>
        <v>0</v>
      </c>
      <c r="F319" s="98">
        <f>+_xlfn.XLOOKUP("PLASTICOS"&amp;D319,CODIGOS_Y_COSTOS[ID],CODIGOS_Y_COSTOS[COSTO],0,0,1)</f>
        <v>0</v>
      </c>
      <c r="H319" s="98">
        <f t="shared" si="14"/>
        <v>0</v>
      </c>
    </row>
    <row r="320" spans="1:8" x14ac:dyDescent="0.2">
      <c r="A320" s="6">
        <v>200</v>
      </c>
      <c r="B320" s="582">
        <f>+_xlfn.XLOOKUP("PLASTICOS"&amp;D320,CODIGOS_Y_COSTOS[ID],CODIGOS_Y_COSTOS[CODIGO],0,0,1)</f>
        <v>0</v>
      </c>
      <c r="F320" s="98">
        <f>+_xlfn.XLOOKUP("PLASTICOS"&amp;D320,CODIGOS_Y_COSTOS[ID],CODIGOS_Y_COSTOS[COSTO],0,0,1)</f>
        <v>0</v>
      </c>
      <c r="H320" s="98">
        <f t="shared" si="14"/>
        <v>0</v>
      </c>
    </row>
    <row r="321" spans="1:8" x14ac:dyDescent="0.2">
      <c r="A321" s="6">
        <v>200</v>
      </c>
      <c r="B321" s="582">
        <f>+_xlfn.XLOOKUP("PLASTICOS"&amp;D321,CODIGOS_Y_COSTOS[ID],CODIGOS_Y_COSTOS[CODIGO],0,0,1)</f>
        <v>0</v>
      </c>
      <c r="F321" s="98">
        <f>+_xlfn.XLOOKUP("PLASTICOS"&amp;D321,CODIGOS_Y_COSTOS[ID],CODIGOS_Y_COSTOS[COSTO],0,0,1)</f>
        <v>0</v>
      </c>
      <c r="H321" s="98">
        <f t="shared" si="14"/>
        <v>0</v>
      </c>
    </row>
    <row r="322" spans="1:8" x14ac:dyDescent="0.2">
      <c r="A322" s="6">
        <v>200</v>
      </c>
      <c r="B322" s="582">
        <f>+_xlfn.XLOOKUP("PLASTICOS"&amp;D322,CODIGOS_Y_COSTOS[ID],CODIGOS_Y_COSTOS[CODIGO],0,0,1)</f>
        <v>0</v>
      </c>
      <c r="F322" s="98">
        <f>+_xlfn.XLOOKUP("PLASTICOS"&amp;D322,CODIGOS_Y_COSTOS[ID],CODIGOS_Y_COSTOS[COSTO],0,0,1)</f>
        <v>0</v>
      </c>
      <c r="H322" s="98">
        <f t="shared" si="14"/>
        <v>0</v>
      </c>
    </row>
    <row r="323" spans="1:8" x14ac:dyDescent="0.2">
      <c r="A323" s="6">
        <v>200</v>
      </c>
      <c r="B323" s="582">
        <f>+_xlfn.XLOOKUP("PLASTICOS"&amp;D323,CODIGOS_Y_COSTOS[ID],CODIGOS_Y_COSTOS[CODIGO],0,0,1)</f>
        <v>0</v>
      </c>
      <c r="F323" s="98">
        <f>+_xlfn.XLOOKUP("PLASTICOS"&amp;D323,CODIGOS_Y_COSTOS[ID],CODIGOS_Y_COSTOS[COSTO],0,0,1)</f>
        <v>0</v>
      </c>
      <c r="H323" s="98">
        <f t="shared" si="14"/>
        <v>0</v>
      </c>
    </row>
    <row r="324" spans="1:8" x14ac:dyDescent="0.2">
      <c r="A324" s="6">
        <v>200</v>
      </c>
      <c r="B324" s="582">
        <f>+_xlfn.XLOOKUP("PLASTICOS"&amp;D324,CODIGOS_Y_COSTOS[ID],CODIGOS_Y_COSTOS[CODIGO],0,0,1)</f>
        <v>0</v>
      </c>
      <c r="F324" s="98">
        <f>+_xlfn.XLOOKUP("PLASTICOS"&amp;D324,CODIGOS_Y_COSTOS[ID],CODIGOS_Y_COSTOS[COSTO],0,0,1)</f>
        <v>0</v>
      </c>
      <c r="H324" s="98">
        <f t="shared" si="14"/>
        <v>0</v>
      </c>
    </row>
    <row r="325" spans="1:8" x14ac:dyDescent="0.2">
      <c r="A325" s="6">
        <v>200</v>
      </c>
      <c r="B325" s="582">
        <f>+_xlfn.XLOOKUP("PLASTICOS"&amp;D325,CODIGOS_Y_COSTOS[ID],CODIGOS_Y_COSTOS[CODIGO],0,0,1)</f>
        <v>0</v>
      </c>
      <c r="F325" s="98">
        <f>+_xlfn.XLOOKUP("PLASTICOS"&amp;D325,CODIGOS_Y_COSTOS[ID],CODIGOS_Y_COSTOS[COSTO],0,0,1)</f>
        <v>0</v>
      </c>
      <c r="H325" s="98">
        <f t="shared" si="14"/>
        <v>0</v>
      </c>
    </row>
    <row r="326" spans="1:8" x14ac:dyDescent="0.2">
      <c r="A326" s="6">
        <v>200</v>
      </c>
      <c r="B326" s="582">
        <f>+_xlfn.XLOOKUP("PLASTICOS"&amp;D326,CODIGOS_Y_COSTOS[ID],CODIGOS_Y_COSTOS[CODIGO],0,0,1)</f>
        <v>0</v>
      </c>
      <c r="F326" s="98">
        <f>+_xlfn.XLOOKUP("PLASTICOS"&amp;D326,CODIGOS_Y_COSTOS[ID],CODIGOS_Y_COSTOS[COSTO],0,0,1)</f>
        <v>0</v>
      </c>
      <c r="H326" s="98">
        <f t="shared" si="14"/>
        <v>0</v>
      </c>
    </row>
    <row r="327" spans="1:8" x14ac:dyDescent="0.2">
      <c r="A327" s="6">
        <v>200</v>
      </c>
      <c r="B327" s="582">
        <f>+_xlfn.XLOOKUP("PLASTICOS"&amp;D327,CODIGOS_Y_COSTOS[ID],CODIGOS_Y_COSTOS[CODIGO],0,0,1)</f>
        <v>0</v>
      </c>
      <c r="F327" s="98">
        <f>+_xlfn.XLOOKUP("PLASTICOS"&amp;D327,CODIGOS_Y_COSTOS[ID],CODIGOS_Y_COSTOS[COSTO],0,0,1)</f>
        <v>0</v>
      </c>
      <c r="H327" s="98">
        <f t="shared" si="14"/>
        <v>0</v>
      </c>
    </row>
    <row r="328" spans="1:8" x14ac:dyDescent="0.2">
      <c r="A328" s="6">
        <v>200</v>
      </c>
      <c r="B328" s="582">
        <f>+_xlfn.XLOOKUP("PLASTICOS"&amp;D328,CODIGOS_Y_COSTOS[ID],CODIGOS_Y_COSTOS[CODIGO],0,0,1)</f>
        <v>0</v>
      </c>
      <c r="F328" s="98">
        <f>+_xlfn.XLOOKUP("PLASTICOS"&amp;D328,CODIGOS_Y_COSTOS[ID],CODIGOS_Y_COSTOS[COSTO],0,0,1)</f>
        <v>0</v>
      </c>
      <c r="H328" s="98">
        <f t="shared" si="14"/>
        <v>0</v>
      </c>
    </row>
    <row r="329" spans="1:8" x14ac:dyDescent="0.2">
      <c r="A329" s="6">
        <v>200</v>
      </c>
      <c r="B329" s="582">
        <f>+_xlfn.XLOOKUP("PLASTICOS"&amp;D329,CODIGOS_Y_COSTOS[ID],CODIGOS_Y_COSTOS[CODIGO],0,0,1)</f>
        <v>0</v>
      </c>
      <c r="F329" s="98">
        <f>+_xlfn.XLOOKUP("PLASTICOS"&amp;D329,CODIGOS_Y_COSTOS[ID],CODIGOS_Y_COSTOS[COSTO],0,0,1)</f>
        <v>0</v>
      </c>
      <c r="H329" s="98">
        <f t="shared" si="14"/>
        <v>0</v>
      </c>
    </row>
    <row r="330" spans="1:8" x14ac:dyDescent="0.2">
      <c r="A330" s="6">
        <v>200</v>
      </c>
      <c r="B330" s="582">
        <f>+_xlfn.XLOOKUP("PLASTICOS"&amp;D330,CODIGOS_Y_COSTOS[ID],CODIGOS_Y_COSTOS[CODIGO],0,0,1)</f>
        <v>0</v>
      </c>
      <c r="F330" s="98">
        <f>+_xlfn.XLOOKUP("PLASTICOS"&amp;D330,CODIGOS_Y_COSTOS[ID],CODIGOS_Y_COSTOS[COSTO],0,0,1)</f>
        <v>0</v>
      </c>
      <c r="H330" s="98">
        <f t="shared" si="14"/>
        <v>0</v>
      </c>
    </row>
    <row r="331" spans="1:8" x14ac:dyDescent="0.2">
      <c r="A331" s="6">
        <v>200</v>
      </c>
      <c r="B331" s="582">
        <f>+_xlfn.XLOOKUP("PLASTICOS"&amp;D331,CODIGOS_Y_COSTOS[ID],CODIGOS_Y_COSTOS[CODIGO],0,0,1)</f>
        <v>0</v>
      </c>
      <c r="F331" s="98">
        <f>+_xlfn.XLOOKUP("PLASTICOS"&amp;D331,CODIGOS_Y_COSTOS[ID],CODIGOS_Y_COSTOS[COSTO],0,0,1)</f>
        <v>0</v>
      </c>
      <c r="H331" s="98">
        <f t="shared" si="14"/>
        <v>0</v>
      </c>
    </row>
    <row r="332" spans="1:8" x14ac:dyDescent="0.2">
      <c r="A332" s="6">
        <v>200</v>
      </c>
      <c r="B332" s="582">
        <f>+_xlfn.XLOOKUP("PLASTICOS"&amp;D332,CODIGOS_Y_COSTOS[ID],CODIGOS_Y_COSTOS[CODIGO],0,0,1)</f>
        <v>0</v>
      </c>
      <c r="F332" s="98">
        <f>+_xlfn.XLOOKUP("PLASTICOS"&amp;D332,CODIGOS_Y_COSTOS[ID],CODIGOS_Y_COSTOS[COSTO],0,0,1)</f>
        <v>0</v>
      </c>
      <c r="H332" s="98">
        <f t="shared" si="14"/>
        <v>0</v>
      </c>
    </row>
    <row r="333" spans="1:8" x14ac:dyDescent="0.2">
      <c r="A333" s="6">
        <v>200</v>
      </c>
      <c r="B333" s="582">
        <f>+_xlfn.XLOOKUP("PLASTICOS"&amp;D333,CODIGOS_Y_COSTOS[ID],CODIGOS_Y_COSTOS[CODIGO],0,0,1)</f>
        <v>0</v>
      </c>
      <c r="F333" s="98">
        <f>+_xlfn.XLOOKUP("PLASTICOS"&amp;D333,CODIGOS_Y_COSTOS[ID],CODIGOS_Y_COSTOS[COSTO],0,0,1)</f>
        <v>0</v>
      </c>
      <c r="H333" s="98">
        <f t="shared" si="14"/>
        <v>0</v>
      </c>
    </row>
    <row r="334" spans="1:8" x14ac:dyDescent="0.2">
      <c r="A334" s="6">
        <v>200</v>
      </c>
      <c r="B334" s="582">
        <f>+_xlfn.XLOOKUP("PLASTICOS"&amp;D334,CODIGOS_Y_COSTOS[ID],CODIGOS_Y_COSTOS[CODIGO],0,0,1)</f>
        <v>0</v>
      </c>
      <c r="F334" s="98">
        <f>+_xlfn.XLOOKUP("PLASTICOS"&amp;D334,CODIGOS_Y_COSTOS[ID],CODIGOS_Y_COSTOS[COSTO],0,0,1)</f>
        <v>0</v>
      </c>
      <c r="H334" s="98">
        <f t="shared" si="14"/>
        <v>0</v>
      </c>
    </row>
    <row r="335" spans="1:8" x14ac:dyDescent="0.2">
      <c r="A335" s="6">
        <v>200</v>
      </c>
      <c r="B335" s="582">
        <f>+_xlfn.XLOOKUP("PLASTICOS"&amp;D335,CODIGOS_Y_COSTOS[ID],CODIGOS_Y_COSTOS[CODIGO],0,0,1)</f>
        <v>0</v>
      </c>
      <c r="F335" s="98">
        <f>+_xlfn.XLOOKUP("PLASTICOS"&amp;D335,CODIGOS_Y_COSTOS[ID],CODIGOS_Y_COSTOS[COSTO],0,0,1)</f>
        <v>0</v>
      </c>
      <c r="H335" s="98">
        <f t="shared" ref="H335:H356" si="15">+F335*A335</f>
        <v>0</v>
      </c>
    </row>
    <row r="336" spans="1:8" x14ac:dyDescent="0.2">
      <c r="A336" s="6">
        <v>200</v>
      </c>
      <c r="B336" s="582">
        <f>+_xlfn.XLOOKUP("PLASTICOS"&amp;D336,CODIGOS_Y_COSTOS[ID],CODIGOS_Y_COSTOS[CODIGO],0,0,1)</f>
        <v>0</v>
      </c>
      <c r="F336" s="98">
        <f>+_xlfn.XLOOKUP("PLASTICOS"&amp;D336,CODIGOS_Y_COSTOS[ID],CODIGOS_Y_COSTOS[COSTO],0,0,1)</f>
        <v>0</v>
      </c>
      <c r="H336" s="98">
        <f t="shared" si="15"/>
        <v>0</v>
      </c>
    </row>
    <row r="337" spans="1:8" x14ac:dyDescent="0.2">
      <c r="A337" s="6">
        <v>200</v>
      </c>
      <c r="B337" s="582">
        <f>+_xlfn.XLOOKUP("PLASTICOS"&amp;D337,CODIGOS_Y_COSTOS[ID],CODIGOS_Y_COSTOS[CODIGO],0,0,1)</f>
        <v>0</v>
      </c>
      <c r="F337" s="98">
        <f>+_xlfn.XLOOKUP("PLASTICOS"&amp;D337,CODIGOS_Y_COSTOS[ID],CODIGOS_Y_COSTOS[COSTO],0,0,1)</f>
        <v>0</v>
      </c>
      <c r="H337" s="98">
        <f t="shared" si="15"/>
        <v>0</v>
      </c>
    </row>
    <row r="338" spans="1:8" x14ac:dyDescent="0.2">
      <c r="A338" s="6">
        <v>200</v>
      </c>
      <c r="B338" s="582">
        <f>+_xlfn.XLOOKUP("PLASTICOS"&amp;D338,CODIGOS_Y_COSTOS[ID],CODIGOS_Y_COSTOS[CODIGO],0,0,1)</f>
        <v>0</v>
      </c>
      <c r="F338" s="98">
        <f>+_xlfn.XLOOKUP("PLASTICOS"&amp;D338,CODIGOS_Y_COSTOS[ID],CODIGOS_Y_COSTOS[COSTO],0,0,1)</f>
        <v>0</v>
      </c>
      <c r="H338" s="98">
        <f t="shared" si="15"/>
        <v>0</v>
      </c>
    </row>
    <row r="339" spans="1:8" x14ac:dyDescent="0.2">
      <c r="A339" s="6">
        <v>200</v>
      </c>
      <c r="B339" s="582">
        <f>+_xlfn.XLOOKUP("PLASTICOS"&amp;D339,CODIGOS_Y_COSTOS[ID],CODIGOS_Y_COSTOS[CODIGO],0,0,1)</f>
        <v>0</v>
      </c>
      <c r="F339" s="98">
        <f>+_xlfn.XLOOKUP("PLASTICOS"&amp;D339,CODIGOS_Y_COSTOS[ID],CODIGOS_Y_COSTOS[COSTO],0,0,1)</f>
        <v>0</v>
      </c>
      <c r="H339" s="98">
        <f t="shared" si="15"/>
        <v>0</v>
      </c>
    </row>
    <row r="340" spans="1:8" x14ac:dyDescent="0.2">
      <c r="A340" s="6">
        <v>200</v>
      </c>
      <c r="B340" s="582">
        <f>+_xlfn.XLOOKUP("PLASTICOS"&amp;D340,CODIGOS_Y_COSTOS[ID],CODIGOS_Y_COSTOS[CODIGO],0,0,1)</f>
        <v>0</v>
      </c>
      <c r="F340" s="98">
        <f>+_xlfn.XLOOKUP("PLASTICOS"&amp;D340,CODIGOS_Y_COSTOS[ID],CODIGOS_Y_COSTOS[COSTO],0,0,1)</f>
        <v>0</v>
      </c>
      <c r="H340" s="98">
        <f t="shared" si="15"/>
        <v>0</v>
      </c>
    </row>
    <row r="341" spans="1:8" x14ac:dyDescent="0.2">
      <c r="A341" s="6">
        <v>200</v>
      </c>
      <c r="B341" s="582">
        <f>+_xlfn.XLOOKUP("PLASTICOS"&amp;D341,CODIGOS_Y_COSTOS[ID],CODIGOS_Y_COSTOS[CODIGO],0,0,1)</f>
        <v>0</v>
      </c>
      <c r="F341" s="98">
        <f>+_xlfn.XLOOKUP("PLASTICOS"&amp;D341,CODIGOS_Y_COSTOS[ID],CODIGOS_Y_COSTOS[COSTO],0,0,1)</f>
        <v>0</v>
      </c>
      <c r="H341" s="98">
        <f t="shared" si="15"/>
        <v>0</v>
      </c>
    </row>
    <row r="342" spans="1:8" x14ac:dyDescent="0.2">
      <c r="A342" s="6">
        <v>200</v>
      </c>
      <c r="B342" s="582">
        <f>+_xlfn.XLOOKUP("PLASTICOS"&amp;D342,CODIGOS_Y_COSTOS[ID],CODIGOS_Y_COSTOS[CODIGO],0,0,1)</f>
        <v>0</v>
      </c>
      <c r="F342" s="98">
        <f>+_xlfn.XLOOKUP("PLASTICOS"&amp;D342,CODIGOS_Y_COSTOS[ID],CODIGOS_Y_COSTOS[COSTO],0,0,1)</f>
        <v>0</v>
      </c>
      <c r="H342" s="98">
        <f t="shared" si="15"/>
        <v>0</v>
      </c>
    </row>
    <row r="343" spans="1:8" x14ac:dyDescent="0.2">
      <c r="A343" s="6">
        <v>200</v>
      </c>
      <c r="B343" s="582">
        <f>+_xlfn.XLOOKUP("PLASTICOS"&amp;D343,CODIGOS_Y_COSTOS[ID],CODIGOS_Y_COSTOS[CODIGO],0,0,1)</f>
        <v>0</v>
      </c>
      <c r="F343" s="98">
        <f>+_xlfn.XLOOKUP("PLASTICOS"&amp;D343,CODIGOS_Y_COSTOS[ID],CODIGOS_Y_COSTOS[COSTO],0,0,1)</f>
        <v>0</v>
      </c>
      <c r="H343" s="98">
        <f t="shared" si="15"/>
        <v>0</v>
      </c>
    </row>
    <row r="344" spans="1:8" x14ac:dyDescent="0.2">
      <c r="A344" s="6">
        <v>200</v>
      </c>
      <c r="B344" s="582">
        <f>+_xlfn.XLOOKUP("PLASTICOS"&amp;D344,CODIGOS_Y_COSTOS[ID],CODIGOS_Y_COSTOS[CODIGO],0,0,1)</f>
        <v>0</v>
      </c>
      <c r="F344" s="98">
        <f>+_xlfn.XLOOKUP("PLASTICOS"&amp;D344,CODIGOS_Y_COSTOS[ID],CODIGOS_Y_COSTOS[COSTO],0,0,1)</f>
        <v>0</v>
      </c>
      <c r="H344" s="98">
        <f t="shared" si="15"/>
        <v>0</v>
      </c>
    </row>
    <row r="345" spans="1:8" x14ac:dyDescent="0.2">
      <c r="A345" s="6">
        <v>200</v>
      </c>
      <c r="B345" s="582">
        <f>+_xlfn.XLOOKUP("PLASTICOS"&amp;D345,CODIGOS_Y_COSTOS[ID],CODIGOS_Y_COSTOS[CODIGO],0,0,1)</f>
        <v>0</v>
      </c>
      <c r="F345" s="98">
        <f>+_xlfn.XLOOKUP("PLASTICOS"&amp;D345,CODIGOS_Y_COSTOS[ID],CODIGOS_Y_COSTOS[COSTO],0,0,1)</f>
        <v>0</v>
      </c>
      <c r="H345" s="98">
        <f t="shared" si="15"/>
        <v>0</v>
      </c>
    </row>
    <row r="346" spans="1:8" x14ac:dyDescent="0.2">
      <c r="A346" s="6">
        <v>200</v>
      </c>
      <c r="B346" s="582">
        <f>+_xlfn.XLOOKUP("PLASTICOS"&amp;D346,CODIGOS_Y_COSTOS[ID],CODIGOS_Y_COSTOS[CODIGO],0,0,1)</f>
        <v>0</v>
      </c>
      <c r="F346" s="98">
        <f>+_xlfn.XLOOKUP("PLASTICOS"&amp;D346,CODIGOS_Y_COSTOS[ID],CODIGOS_Y_COSTOS[COSTO],0,0,1)</f>
        <v>0</v>
      </c>
      <c r="H346" s="98">
        <f t="shared" si="15"/>
        <v>0</v>
      </c>
    </row>
    <row r="347" spans="1:8" x14ac:dyDescent="0.2">
      <c r="A347" s="6">
        <v>200</v>
      </c>
      <c r="B347" s="582">
        <f>+_xlfn.XLOOKUP("PLASTICOS"&amp;D347,CODIGOS_Y_COSTOS[ID],CODIGOS_Y_COSTOS[CODIGO],0,0,1)</f>
        <v>0</v>
      </c>
      <c r="F347" s="98">
        <f>+_xlfn.XLOOKUP("PLASTICOS"&amp;D347,CODIGOS_Y_COSTOS[ID],CODIGOS_Y_COSTOS[COSTO],0,0,1)</f>
        <v>0</v>
      </c>
      <c r="H347" s="98">
        <f t="shared" si="15"/>
        <v>0</v>
      </c>
    </row>
    <row r="348" spans="1:8" x14ac:dyDescent="0.2">
      <c r="A348" s="6">
        <v>200</v>
      </c>
      <c r="B348" s="582">
        <f>+_xlfn.XLOOKUP("PLASTICOS"&amp;D348,CODIGOS_Y_COSTOS[ID],CODIGOS_Y_COSTOS[CODIGO],0,0,1)</f>
        <v>0</v>
      </c>
      <c r="F348" s="98">
        <f>+_xlfn.XLOOKUP("PLASTICOS"&amp;D348,CODIGOS_Y_COSTOS[ID],CODIGOS_Y_COSTOS[COSTO],0,0,1)</f>
        <v>0</v>
      </c>
      <c r="H348" s="98">
        <f t="shared" si="15"/>
        <v>0</v>
      </c>
    </row>
    <row r="349" spans="1:8" x14ac:dyDescent="0.2">
      <c r="A349" s="6">
        <v>200</v>
      </c>
      <c r="B349" s="582">
        <f>+_xlfn.XLOOKUP("PLASTICOS"&amp;D349,CODIGOS_Y_COSTOS[ID],CODIGOS_Y_COSTOS[CODIGO],0,0,1)</f>
        <v>0</v>
      </c>
      <c r="F349" s="98">
        <f>+_xlfn.XLOOKUP("PLASTICOS"&amp;D349,CODIGOS_Y_COSTOS[ID],CODIGOS_Y_COSTOS[COSTO],0,0,1)</f>
        <v>0</v>
      </c>
      <c r="H349" s="98">
        <f t="shared" si="15"/>
        <v>0</v>
      </c>
    </row>
    <row r="350" spans="1:8" x14ac:dyDescent="0.2">
      <c r="A350" s="6">
        <v>200</v>
      </c>
      <c r="B350" s="582">
        <f>+_xlfn.XLOOKUP("PLASTICOS"&amp;D350,CODIGOS_Y_COSTOS[ID],CODIGOS_Y_COSTOS[CODIGO],0,0,1)</f>
        <v>0</v>
      </c>
      <c r="F350" s="98">
        <f>+_xlfn.XLOOKUP("PLASTICOS"&amp;D350,CODIGOS_Y_COSTOS[ID],CODIGOS_Y_COSTOS[COSTO],0,0,1)</f>
        <v>0</v>
      </c>
      <c r="H350" s="98">
        <f t="shared" si="15"/>
        <v>0</v>
      </c>
    </row>
    <row r="351" spans="1:8" x14ac:dyDescent="0.2">
      <c r="A351" s="6">
        <v>200</v>
      </c>
      <c r="B351" s="582">
        <f>+_xlfn.XLOOKUP("PLASTICOS"&amp;D351,CODIGOS_Y_COSTOS[ID],CODIGOS_Y_COSTOS[CODIGO],0,0,1)</f>
        <v>0</v>
      </c>
      <c r="F351" s="98">
        <f>+_xlfn.XLOOKUP("PLASTICOS"&amp;D351,CODIGOS_Y_COSTOS[ID],CODIGOS_Y_COSTOS[COSTO],0,0,1)</f>
        <v>0</v>
      </c>
      <c r="H351" s="98">
        <f t="shared" si="15"/>
        <v>0</v>
      </c>
    </row>
    <row r="352" spans="1:8" x14ac:dyDescent="0.2">
      <c r="A352" s="6">
        <v>200</v>
      </c>
      <c r="B352" s="582">
        <f>+_xlfn.XLOOKUP("PLASTICOS"&amp;D352,CODIGOS_Y_COSTOS[ID],CODIGOS_Y_COSTOS[CODIGO],0,0,1)</f>
        <v>0</v>
      </c>
      <c r="F352" s="98">
        <f>+_xlfn.XLOOKUP("PLASTICOS"&amp;D352,CODIGOS_Y_COSTOS[ID],CODIGOS_Y_COSTOS[COSTO],0,0,1)</f>
        <v>0</v>
      </c>
      <c r="H352" s="98">
        <f t="shared" si="15"/>
        <v>0</v>
      </c>
    </row>
    <row r="353" spans="1:8" x14ac:dyDescent="0.2">
      <c r="A353" s="6">
        <v>200</v>
      </c>
      <c r="B353" s="582">
        <f>+_xlfn.XLOOKUP("PLASTICOS"&amp;D353,CODIGOS_Y_COSTOS[ID],CODIGOS_Y_COSTOS[CODIGO],0,0,1)</f>
        <v>0</v>
      </c>
      <c r="F353" s="98">
        <f>+_xlfn.XLOOKUP("PLASTICOS"&amp;D353,CODIGOS_Y_COSTOS[ID],CODIGOS_Y_COSTOS[COSTO],0,0,1)</f>
        <v>0</v>
      </c>
      <c r="H353" s="98">
        <f t="shared" si="15"/>
        <v>0</v>
      </c>
    </row>
    <row r="354" spans="1:8" x14ac:dyDescent="0.2">
      <c r="A354" s="6">
        <v>200</v>
      </c>
      <c r="B354" s="582">
        <f>+_xlfn.XLOOKUP("PLASTICOS"&amp;D354,CODIGOS_Y_COSTOS[ID],CODIGOS_Y_COSTOS[CODIGO],0,0,1)</f>
        <v>0</v>
      </c>
      <c r="F354" s="98">
        <f>+_xlfn.XLOOKUP("PLASTICOS"&amp;D354,CODIGOS_Y_COSTOS[ID],CODIGOS_Y_COSTOS[COSTO],0,0,1)</f>
        <v>0</v>
      </c>
      <c r="H354" s="98">
        <f t="shared" si="15"/>
        <v>0</v>
      </c>
    </row>
    <row r="355" spans="1:8" x14ac:dyDescent="0.2">
      <c r="A355" s="6">
        <v>200</v>
      </c>
      <c r="B355" s="582">
        <f>+_xlfn.XLOOKUP("PLASTICOS"&amp;D355,CODIGOS_Y_COSTOS[ID],CODIGOS_Y_COSTOS[CODIGO],0,0,1)</f>
        <v>0</v>
      </c>
      <c r="F355" s="98">
        <f>+_xlfn.XLOOKUP("PLASTICOS"&amp;D355,CODIGOS_Y_COSTOS[ID],CODIGOS_Y_COSTOS[COSTO],0,0,1)</f>
        <v>0</v>
      </c>
      <c r="H355" s="98">
        <f t="shared" si="15"/>
        <v>0</v>
      </c>
    </row>
    <row r="356" spans="1:8" x14ac:dyDescent="0.2">
      <c r="A356" s="6">
        <v>200</v>
      </c>
      <c r="B356" s="582">
        <f>+_xlfn.XLOOKUP("PLASTICOS"&amp;D356,CODIGOS_Y_COSTOS[ID],CODIGOS_Y_COSTOS[CODIGO],0,0,1)</f>
        <v>0</v>
      </c>
      <c r="F356" s="98">
        <f>+_xlfn.XLOOKUP("PLASTICOS"&amp;D356,CODIGOS_Y_COSTOS[ID],CODIGOS_Y_COSTOS[COSTO],0,0,1)</f>
        <v>0</v>
      </c>
      <c r="H356" s="98">
        <f t="shared" si="15"/>
        <v>0</v>
      </c>
    </row>
  </sheetData>
  <autoFilter ref="A2:H356" xr:uid="{6EB74638-272D-4FCC-9679-07B51688030B}"/>
  <sortState xmlns:xlrd2="http://schemas.microsoft.com/office/spreadsheetml/2017/richdata2" ref="D3:D22">
    <sortCondition ref="D3:D22"/>
  </sortState>
  <mergeCells count="4">
    <mergeCell ref="A1:B1"/>
    <mergeCell ref="J1:N1"/>
    <mergeCell ref="C1:C2"/>
    <mergeCell ref="T6:W6"/>
  </mergeCells>
  <conditionalFormatting sqref="A3:A356">
    <cfRule type="cellIs" dxfId="140" priority="2" operator="lessThan">
      <formula>200</formula>
    </cfRule>
    <cfRule type="cellIs" dxfId="139" priority="3" operator="greaterThan">
      <formula>200</formula>
    </cfRule>
  </conditionalFormatting>
  <conditionalFormatting sqref="E1:E123">
    <cfRule type="expression" dxfId="138" priority="5">
      <formula>IF(E1&lt;&gt;"OK",TRUE,FALSE)</formula>
    </cfRule>
  </conditionalFormatting>
  <conditionalFormatting sqref="H3:H356">
    <cfRule type="cellIs" dxfId="137" priority="4" operator="greaterThan">
      <formula>50459.25</formula>
    </cfRule>
  </conditionalFormatting>
  <pageMargins left="0.7" right="0.7" top="0.75" bottom="0.75" header="0.3" footer="0.3"/>
  <pageSetup orientation="portrait" r:id="rId1"/>
  <ignoredErrors>
    <ignoredError sqref="R3:R4"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A1319-C580-4007-AD6F-BEFC99E9BDA4}">
  <sheetPr codeName="Hoja4"/>
  <dimension ref="A1:S110"/>
  <sheetViews>
    <sheetView showGridLines="0" view="pageBreakPreview" zoomScale="190" zoomScaleNormal="55" zoomScaleSheetLayoutView="190" workbookViewId="0">
      <selection activeCell="B1" sqref="B1:D4"/>
    </sheetView>
  </sheetViews>
  <sheetFormatPr baseColWidth="10" defaultColWidth="11.42578125" defaultRowHeight="12.75" x14ac:dyDescent="0.2"/>
  <cols>
    <col min="1" max="2" width="10.85546875" style="13"/>
    <col min="5" max="5" width="20.5703125" style="13" bestFit="1" customWidth="1"/>
    <col min="6" max="6" width="11.28515625" style="13" bestFit="1" customWidth="1"/>
    <col min="7" max="8" width="14.140625" customWidth="1"/>
    <col min="9" max="9" width="14.5703125" customWidth="1"/>
    <col min="13" max="13" width="20" customWidth="1"/>
    <col min="14" max="14" width="11.5703125" bestFit="1" customWidth="1"/>
    <col min="15" max="15" width="22.85546875" bestFit="1" customWidth="1"/>
    <col min="16" max="16" width="12.28515625" customWidth="1"/>
    <col min="17" max="17" width="3.28515625" customWidth="1"/>
  </cols>
  <sheetData>
    <row r="1" spans="1:19" ht="13.5" thickBot="1" x14ac:dyDescent="0.25">
      <c r="C1" s="1469" t="s">
        <v>8320</v>
      </c>
      <c r="D1" s="1470"/>
    </row>
    <row r="2" spans="1:19" ht="15" x14ac:dyDescent="0.25">
      <c r="A2" s="13" t="s">
        <v>8321</v>
      </c>
      <c r="B2" s="13" t="s">
        <v>8322</v>
      </c>
      <c r="C2" s="729" t="s">
        <v>8323</v>
      </c>
      <c r="D2" s="730" t="s">
        <v>8324</v>
      </c>
      <c r="E2" s="13" t="s">
        <v>8325</v>
      </c>
      <c r="F2" s="13" t="s">
        <v>8164</v>
      </c>
      <c r="G2" s="13" t="s">
        <v>8326</v>
      </c>
      <c r="H2" s="13" t="s">
        <v>8327</v>
      </c>
      <c r="I2" s="728">
        <f>+SUM(CECATTO_1[P. Final])</f>
        <v>240000</v>
      </c>
      <c r="J2" s="31" t="s">
        <v>8164</v>
      </c>
      <c r="M2" s="172">
        <v>40000</v>
      </c>
      <c r="R2" t="s">
        <v>8323</v>
      </c>
      <c r="S2" t="s">
        <v>8324</v>
      </c>
    </row>
    <row r="3" spans="1:19" hidden="1" x14ac:dyDescent="0.2">
      <c r="A3" s="13">
        <f>+ROW()-2</f>
        <v>1</v>
      </c>
      <c r="C3" s="731">
        <v>0.61</v>
      </c>
      <c r="D3" s="732">
        <v>0.25</v>
      </c>
      <c r="E3" s="13">
        <v>22</v>
      </c>
      <c r="F3" s="13">
        <f>+CECATTO_1[[#This Row],[Cant. Cortes p/plancha]]*CECATTO_1[[#This Row],[Cantidad]]</f>
        <v>0</v>
      </c>
      <c r="G3" s="1">
        <f t="shared" ref="G3:G9" si="0">+$M$2</f>
        <v>40000</v>
      </c>
      <c r="H3" s="1">
        <f t="shared" ref="H3:H8" si="1">+G3*B3</f>
        <v>0</v>
      </c>
      <c r="I3" t="s">
        <v>8328</v>
      </c>
      <c r="J3" s="13" t="str">
        <f>+CECATTO_1[[#This Row],[Largo]]&amp;" x "&amp;CECATTO_1[[#This Row],[Ancho]]</f>
        <v>0,61 x 0,25</v>
      </c>
    </row>
    <row r="4" spans="1:19" x14ac:dyDescent="0.2">
      <c r="A4" s="13">
        <f t="shared" ref="A4:A9" si="2">+ROW()-2</f>
        <v>2</v>
      </c>
      <c r="B4" s="13">
        <v>1</v>
      </c>
      <c r="C4" s="731">
        <v>0.61</v>
      </c>
      <c r="D4" s="732">
        <v>0.35</v>
      </c>
      <c r="E4" s="13">
        <v>16</v>
      </c>
      <c r="F4" s="13">
        <f>+CECATTO_1[[#This Row],[Cant. Cortes p/plancha]]*CECATTO_1[[#This Row],[Cantidad]]</f>
        <v>16</v>
      </c>
      <c r="G4" s="1">
        <f t="shared" si="0"/>
        <v>40000</v>
      </c>
      <c r="H4" s="1">
        <f t="shared" si="1"/>
        <v>40000</v>
      </c>
      <c r="I4" t="s">
        <v>8329</v>
      </c>
      <c r="J4" s="13" t="str">
        <f>+CECATTO_1[[#This Row],[Largo]]&amp;" x "&amp;CECATTO_1[[#This Row],[Ancho]]</f>
        <v>0,61 x 0,35</v>
      </c>
    </row>
    <row r="5" spans="1:19" x14ac:dyDescent="0.2">
      <c r="A5" s="1450">
        <f t="shared" si="2"/>
        <v>3</v>
      </c>
      <c r="B5" s="13">
        <v>2</v>
      </c>
      <c r="C5" s="731">
        <v>0.61</v>
      </c>
      <c r="D5" s="732">
        <v>0.6</v>
      </c>
      <c r="E5" s="13">
        <v>8</v>
      </c>
      <c r="F5" s="13">
        <f>+CECATTO_1[[#This Row],[Cant. Cortes p/plancha]]*CECATTO_1[[#This Row],[Cantidad]]</f>
        <v>16</v>
      </c>
      <c r="G5" s="1">
        <f t="shared" si="0"/>
        <v>40000</v>
      </c>
      <c r="H5" s="1">
        <f t="shared" si="1"/>
        <v>80000</v>
      </c>
      <c r="I5" t="s">
        <v>8330</v>
      </c>
      <c r="J5" s="13" t="str">
        <f>+CECATTO_1[[#This Row],[Largo]]&amp;" x "&amp;CECATTO_1[[#This Row],[Ancho]]</f>
        <v>0,61 x 0,6</v>
      </c>
    </row>
    <row r="6" spans="1:19" x14ac:dyDescent="0.2">
      <c r="A6" s="1450">
        <f t="shared" si="2"/>
        <v>4</v>
      </c>
      <c r="B6" s="13">
        <v>1</v>
      </c>
      <c r="C6" s="731">
        <v>0.61</v>
      </c>
      <c r="D6" s="732">
        <v>0.7</v>
      </c>
      <c r="E6" s="13">
        <v>8</v>
      </c>
      <c r="F6" s="13">
        <f>+CECATTO_1[[#This Row],[Cant. Cortes p/plancha]]*CECATTO_1[[#This Row],[Cantidad]]</f>
        <v>8</v>
      </c>
      <c r="G6" s="1">
        <f t="shared" si="0"/>
        <v>40000</v>
      </c>
      <c r="H6" s="1">
        <f t="shared" si="1"/>
        <v>40000</v>
      </c>
      <c r="I6" t="s">
        <v>8331</v>
      </c>
      <c r="J6" s="13" t="str">
        <f>+CECATTO_1[[#This Row],[Largo]]&amp;" x "&amp;CECATTO_1[[#This Row],[Ancho]]</f>
        <v>0,61 x 0,7</v>
      </c>
    </row>
    <row r="7" spans="1:19" hidden="1" x14ac:dyDescent="0.2">
      <c r="A7" s="13">
        <f t="shared" si="2"/>
        <v>5</v>
      </c>
      <c r="C7" s="731">
        <v>0.61</v>
      </c>
      <c r="D7" s="732">
        <v>1</v>
      </c>
      <c r="E7" s="13">
        <v>4</v>
      </c>
      <c r="F7" s="13">
        <f>+CECATTO_1[[#This Row],[Cant. Cortes p/plancha]]*CECATTO_1[[#This Row],[Cantidad]]</f>
        <v>0</v>
      </c>
      <c r="G7" s="1">
        <f t="shared" si="0"/>
        <v>40000</v>
      </c>
      <c r="H7" s="1">
        <f t="shared" si="1"/>
        <v>0</v>
      </c>
      <c r="I7" t="s">
        <v>8332</v>
      </c>
      <c r="J7" s="13" t="str">
        <f>+CECATTO_1[[#This Row],[Largo]]&amp;" x "&amp;CECATTO_1[[#This Row],[Ancho]]</f>
        <v>0,61 x 1</v>
      </c>
    </row>
    <row r="8" spans="1:19" x14ac:dyDescent="0.2">
      <c r="A8" s="1450">
        <f t="shared" si="2"/>
        <v>6</v>
      </c>
      <c r="B8" s="13">
        <v>2</v>
      </c>
      <c r="C8" s="731">
        <v>0.61</v>
      </c>
      <c r="D8" s="732">
        <v>0.8</v>
      </c>
      <c r="E8" s="13">
        <v>6</v>
      </c>
      <c r="F8" s="13">
        <f>+CECATTO_1[[#This Row],[Cant. Cortes p/plancha]]*CECATTO_1[[#This Row],[Cantidad]]</f>
        <v>12</v>
      </c>
      <c r="G8" s="1">
        <f t="shared" si="0"/>
        <v>40000</v>
      </c>
      <c r="H8" s="1">
        <f t="shared" si="1"/>
        <v>80000</v>
      </c>
      <c r="I8" t="s">
        <v>8333</v>
      </c>
      <c r="J8" s="13" t="str">
        <f>+CECATTO_1[[#This Row],[Largo]]&amp;" x "&amp;CECATTO_1[[#This Row],[Ancho]]</f>
        <v>0,61 x 0,8</v>
      </c>
      <c r="O8" s="31" t="s">
        <v>8334</v>
      </c>
    </row>
    <row r="9" spans="1:19" hidden="1" x14ac:dyDescent="0.2">
      <c r="A9" s="13">
        <f t="shared" si="2"/>
        <v>7</v>
      </c>
      <c r="C9" s="1317">
        <v>0.40500000000000003</v>
      </c>
      <c r="D9" s="732">
        <v>0.25</v>
      </c>
      <c r="F9" s="13">
        <f>+CECATTO_1[[#This Row],[Cant. Cortes p/plancha]]*CECATTO_1[[#This Row],[Cantidad]]</f>
        <v>0</v>
      </c>
      <c r="G9" s="1">
        <f t="shared" si="0"/>
        <v>40000</v>
      </c>
      <c r="H9" s="1">
        <f>+G9*B9</f>
        <v>0</v>
      </c>
      <c r="I9" t="s">
        <v>8335</v>
      </c>
      <c r="J9" s="13" t="str">
        <f>+CECATTO_1[[#This Row],[Largo]]&amp;" x "&amp;CECATTO_1[[#This Row],[Ancho]]</f>
        <v>0,405 x 0,25</v>
      </c>
    </row>
    <row r="10" spans="1:19" ht="13.5" hidden="1" thickBot="1" x14ac:dyDescent="0.25">
      <c r="A10" s="13">
        <f>+ROW()-2</f>
        <v>8</v>
      </c>
      <c r="C10" s="733">
        <v>0.42</v>
      </c>
      <c r="D10" s="734">
        <v>0.6</v>
      </c>
      <c r="E10" s="13">
        <v>12</v>
      </c>
      <c r="F10" s="13">
        <f>+CECATTO_1[[#This Row],[Cant. Cortes p/plancha]]*CECATTO_1[[#This Row],[Cantidad]]</f>
        <v>0</v>
      </c>
      <c r="G10" s="1">
        <f>+$M$2</f>
        <v>40000</v>
      </c>
      <c r="H10" s="1">
        <f>+G10*B10</f>
        <v>0</v>
      </c>
      <c r="I10" t="s">
        <v>8336</v>
      </c>
      <c r="J10" s="13" t="str">
        <f>+CECATTO_1[[#This Row],[Largo]]&amp;" x "&amp;CECATTO_1[[#This Row],[Ancho]]</f>
        <v>0,42 x 0,6</v>
      </c>
    </row>
    <row r="11" spans="1:19" ht="13.5" thickBot="1" x14ac:dyDescent="0.25">
      <c r="A11" s="13" t="s">
        <v>8162</v>
      </c>
      <c r="B11" s="13">
        <f>SUBTOTAL(109,CECATTO_1[Cantidad])</f>
        <v>6</v>
      </c>
      <c r="C11" s="13" t="s">
        <v>8337</v>
      </c>
      <c r="D11" s="13"/>
      <c r="F11" s="13">
        <f>+SUM(CECATTO_1[TOTAL])</f>
        <v>52</v>
      </c>
      <c r="H11" s="2">
        <f>SUBTOTAL(109,CECATTO_1[P. Final])</f>
        <v>240000</v>
      </c>
    </row>
    <row r="12" spans="1:19" ht="21" thickBot="1" x14ac:dyDescent="0.35">
      <c r="G12" s="1"/>
      <c r="H12" s="1"/>
      <c r="N12" s="173">
        <v>3</v>
      </c>
    </row>
    <row r="13" spans="1:19" x14ac:dyDescent="0.2">
      <c r="G13" s="1"/>
      <c r="H13" s="1"/>
    </row>
    <row r="15" spans="1:19" ht="23.25" x14ac:dyDescent="0.35">
      <c r="G15" s="2"/>
      <c r="O15" s="59">
        <f>+M2*N12</f>
        <v>120000</v>
      </c>
    </row>
    <row r="16" spans="1:19" x14ac:dyDescent="0.2">
      <c r="M16">
        <v>22900</v>
      </c>
    </row>
    <row r="17" spans="5:14" x14ac:dyDescent="0.2">
      <c r="M17" s="1">
        <f>+M16*7</f>
        <v>160300</v>
      </c>
    </row>
    <row r="19" spans="5:14" x14ac:dyDescent="0.2">
      <c r="M19">
        <f>2.75*1.22</f>
        <v>3.355</v>
      </c>
      <c r="N19" s="1">
        <f>+G6/M19</f>
        <v>11922.503725782415</v>
      </c>
    </row>
    <row r="20" spans="5:14" x14ac:dyDescent="0.2">
      <c r="M20">
        <f>1.2*0.6</f>
        <v>0.72</v>
      </c>
      <c r="N20" s="1">
        <f>22900/M20</f>
        <v>31805.555555555558</v>
      </c>
    </row>
    <row r="21" spans="5:14" x14ac:dyDescent="0.2">
      <c r="E21" s="180"/>
    </row>
    <row r="23" spans="5:14" ht="27.75" x14ac:dyDescent="0.4">
      <c r="M23" s="170" t="s">
        <v>8338</v>
      </c>
    </row>
    <row r="24" spans="5:14" ht="27" x14ac:dyDescent="0.35">
      <c r="M24" s="171" t="s">
        <v>8339</v>
      </c>
    </row>
    <row r="26" spans="5:14" x14ac:dyDescent="0.2">
      <c r="M26">
        <f>2.75/2</f>
        <v>1.375</v>
      </c>
    </row>
    <row r="33" spans="13:13" x14ac:dyDescent="0.2">
      <c r="M33" s="169">
        <f>2.75/2</f>
        <v>1.375</v>
      </c>
    </row>
    <row r="76" spans="8:9" x14ac:dyDescent="0.2">
      <c r="I76">
        <v>850</v>
      </c>
    </row>
    <row r="77" spans="8:9" x14ac:dyDescent="0.2">
      <c r="H77">
        <f>+I76*4*10</f>
        <v>34000</v>
      </c>
    </row>
    <row r="89" spans="9:15" x14ac:dyDescent="0.2">
      <c r="O89" t="s">
        <v>8340</v>
      </c>
    </row>
    <row r="90" spans="9:15" x14ac:dyDescent="0.2">
      <c r="O90" t="s">
        <v>8341</v>
      </c>
    </row>
    <row r="91" spans="9:15" x14ac:dyDescent="0.2">
      <c r="O91" t="s">
        <v>8331</v>
      </c>
    </row>
    <row r="95" spans="9:15" x14ac:dyDescent="0.2">
      <c r="I95" s="58"/>
    </row>
    <row r="96" spans="9:15" x14ac:dyDescent="0.2">
      <c r="I96" s="58"/>
    </row>
    <row r="97" spans="1:9" x14ac:dyDescent="0.2">
      <c r="A97" s="727"/>
      <c r="B97" s="727"/>
      <c r="C97" s="58"/>
      <c r="D97" s="58"/>
      <c r="E97" s="727"/>
      <c r="F97" s="727"/>
      <c r="G97" s="58"/>
      <c r="H97" s="58"/>
      <c r="I97" s="58"/>
    </row>
    <row r="98" spans="1:9" x14ac:dyDescent="0.2">
      <c r="A98" s="727"/>
      <c r="B98" s="727"/>
      <c r="C98" s="58"/>
      <c r="D98" s="58"/>
      <c r="E98" s="727"/>
      <c r="F98" s="727"/>
      <c r="G98" s="58"/>
      <c r="H98" s="58"/>
      <c r="I98" s="58"/>
    </row>
    <row r="99" spans="1:9" ht="6" customHeight="1" x14ac:dyDescent="0.2">
      <c r="A99" s="727"/>
      <c r="B99" s="727"/>
      <c r="C99" s="58"/>
      <c r="D99" s="58"/>
      <c r="E99" s="727"/>
      <c r="F99" s="727"/>
      <c r="G99" s="58"/>
      <c r="H99" s="58"/>
      <c r="I99" s="58"/>
    </row>
    <row r="100" spans="1:9" x14ac:dyDescent="0.2">
      <c r="A100" s="727"/>
      <c r="B100" s="727"/>
      <c r="C100" s="58"/>
      <c r="D100" s="58"/>
      <c r="E100" s="727"/>
      <c r="F100" s="727"/>
      <c r="G100" s="58"/>
      <c r="H100" s="58"/>
      <c r="I100" s="58"/>
    </row>
    <row r="101" spans="1:9" x14ac:dyDescent="0.2">
      <c r="A101" s="727"/>
      <c r="B101" s="727"/>
      <c r="C101" s="58"/>
      <c r="D101" s="58"/>
      <c r="E101" s="727"/>
      <c r="F101" s="727"/>
      <c r="G101" s="58"/>
      <c r="H101" s="58"/>
      <c r="I101" s="58"/>
    </row>
    <row r="102" spans="1:9" x14ac:dyDescent="0.2">
      <c r="A102" s="727"/>
      <c r="B102" s="727"/>
      <c r="C102" s="58"/>
      <c r="D102" s="58"/>
      <c r="E102" s="727"/>
      <c r="F102" s="727"/>
      <c r="G102" s="58"/>
      <c r="H102" s="58"/>
      <c r="I102" s="58"/>
    </row>
    <row r="103" spans="1:9" x14ac:dyDescent="0.2">
      <c r="A103" s="727"/>
      <c r="B103" s="727"/>
      <c r="C103" s="58"/>
      <c r="D103" s="58"/>
      <c r="E103" s="727"/>
      <c r="F103" s="727"/>
      <c r="G103" s="58"/>
      <c r="H103" s="58"/>
      <c r="I103" s="58"/>
    </row>
    <row r="104" spans="1:9" x14ac:dyDescent="0.2">
      <c r="A104" s="727"/>
      <c r="B104" s="727"/>
      <c r="C104" s="58"/>
      <c r="D104" s="58"/>
      <c r="E104" s="727"/>
      <c r="F104" s="727"/>
      <c r="G104" s="58"/>
      <c r="H104" s="58"/>
      <c r="I104" s="58"/>
    </row>
    <row r="105" spans="1:9" x14ac:dyDescent="0.2">
      <c r="A105" s="727"/>
      <c r="B105" s="727"/>
      <c r="C105" s="58"/>
      <c r="D105" s="58"/>
      <c r="E105" s="727"/>
      <c r="F105" s="727"/>
      <c r="G105" s="58"/>
      <c r="H105" s="58"/>
      <c r="I105" s="58"/>
    </row>
    <row r="106" spans="1:9" x14ac:dyDescent="0.2">
      <c r="A106" s="727"/>
      <c r="B106" s="727"/>
      <c r="C106" s="58"/>
      <c r="D106" s="58"/>
      <c r="E106" s="727"/>
      <c r="F106" s="727"/>
      <c r="G106" s="58"/>
      <c r="H106" s="58"/>
      <c r="I106" s="58"/>
    </row>
    <row r="107" spans="1:9" x14ac:dyDescent="0.2">
      <c r="A107" s="727"/>
      <c r="B107" s="727"/>
      <c r="C107" s="58"/>
      <c r="D107" s="58"/>
      <c r="E107" s="727"/>
      <c r="F107" s="727"/>
      <c r="G107" s="58"/>
      <c r="H107" s="58"/>
      <c r="I107" s="58"/>
    </row>
    <row r="108" spans="1:9" x14ac:dyDescent="0.2">
      <c r="A108" s="727"/>
      <c r="B108" s="727"/>
      <c r="C108" s="58"/>
      <c r="D108" s="58"/>
      <c r="E108" s="727"/>
      <c r="F108" s="727"/>
      <c r="G108" s="58"/>
      <c r="H108" s="58"/>
      <c r="I108" s="58"/>
    </row>
    <row r="109" spans="1:9" x14ac:dyDescent="0.2">
      <c r="A109" s="727"/>
      <c r="B109" s="727"/>
      <c r="C109" s="58"/>
      <c r="D109" s="58"/>
      <c r="E109" s="727"/>
      <c r="F109" s="727"/>
      <c r="G109" s="58"/>
      <c r="H109" s="58"/>
    </row>
    <row r="110" spans="1:9" x14ac:dyDescent="0.2">
      <c r="A110" s="727"/>
      <c r="B110" s="727"/>
      <c r="C110" s="58"/>
      <c r="D110" s="58"/>
      <c r="E110" s="727"/>
      <c r="F110" s="727"/>
      <c r="G110" s="58"/>
      <c r="H110" s="58"/>
    </row>
  </sheetData>
  <mergeCells count="1">
    <mergeCell ref="C1:D1"/>
  </mergeCells>
  <pageMargins left="0.4" right="0.24" top="0.39" bottom="0.35" header="0.3" footer="0.3"/>
  <pageSetup scale="60"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EF7A-6D90-47A6-A704-6611EE0D68E7}">
  <sheetPr codeName="Hoja5">
    <tabColor theme="9"/>
  </sheetPr>
  <dimension ref="A1:BG485"/>
  <sheetViews>
    <sheetView showGridLines="0" topLeftCell="C1" zoomScale="115" zoomScaleNormal="115" workbookViewId="0">
      <pane ySplit="2" topLeftCell="A17" activePane="bottomLeft" state="frozen"/>
      <selection activeCell="A3" sqref="A3:A12"/>
      <selection pane="bottomLeft" activeCell="G38" sqref="F38:G41"/>
    </sheetView>
  </sheetViews>
  <sheetFormatPr baseColWidth="10" defaultColWidth="11.42578125" defaultRowHeight="12.75" x14ac:dyDescent="0.2"/>
  <cols>
    <col min="1" max="2" width="17" style="1123" customWidth="1"/>
    <col min="3" max="3" width="29" style="1123" customWidth="1"/>
    <col min="4" max="4" width="24" style="1123" customWidth="1"/>
    <col min="5" max="5" width="8" style="1123"/>
    <col min="6" max="6" width="8.140625" style="1123" bestFit="1" customWidth="1"/>
    <col min="7" max="7" width="10" style="1123" customWidth="1"/>
    <col min="8" max="8" width="2.28515625" style="1123" customWidth="1"/>
    <col min="9" max="9" width="10.85546875" style="1123" customWidth="1"/>
    <col min="10" max="10" width="2.28515625" style="1123" customWidth="1"/>
    <col min="11" max="11" width="9.42578125" style="1123" customWidth="1"/>
    <col min="12" max="12" width="6.140625" style="1123" bestFit="1" customWidth="1"/>
    <col min="13" max="13" width="14.5703125" style="1123" bestFit="1" customWidth="1"/>
    <col min="14" max="14" width="9.42578125" style="1123" bestFit="1" customWidth="1"/>
    <col min="15" max="15" width="5.140625" style="1123" bestFit="1" customWidth="1"/>
    <col min="16" max="16" width="12.85546875" style="1123" bestFit="1" customWidth="1"/>
    <col min="17" max="17" width="2.42578125" style="1123" customWidth="1"/>
    <col min="18" max="18" width="9.140625" style="1" bestFit="1" customWidth="1"/>
    <col min="19" max="19" width="11.7109375" style="1154" bestFit="1" customWidth="1"/>
    <col min="20" max="21" width="11.42578125" style="1"/>
    <col min="22" max="22" width="13.5703125" style="1" bestFit="1" customWidth="1"/>
    <col min="23" max="23" width="10.7109375" style="1" bestFit="1" customWidth="1"/>
    <col min="24" max="24" width="2" customWidth="1"/>
    <col min="28" max="28" width="13.140625" customWidth="1"/>
    <col min="29" max="29" width="12.5703125" customWidth="1"/>
    <col min="30" max="30" width="1.42578125" customWidth="1"/>
    <col min="31" max="31" width="11.42578125" customWidth="1"/>
    <col min="32" max="32" width="1.7109375" customWidth="1"/>
    <col min="33" max="33" width="12.85546875" bestFit="1" customWidth="1"/>
    <col min="34" max="34" width="17.5703125" bestFit="1" customWidth="1"/>
    <col min="35" max="35" width="12.28515625" bestFit="1" customWidth="1"/>
    <col min="36" max="36" width="16.42578125" bestFit="1" customWidth="1"/>
    <col min="37" max="37" width="1.28515625" customWidth="1"/>
    <col min="40" max="40" width="13.140625" customWidth="1"/>
    <col min="41" max="41" width="11.85546875" customWidth="1"/>
    <col min="42" max="42" width="10.7109375" customWidth="1"/>
    <col min="43" max="43" width="8.140625" customWidth="1"/>
    <col min="44" max="44" width="17" bestFit="1" customWidth="1"/>
    <col min="45" max="45" width="2.7109375" customWidth="1"/>
    <col min="46" max="46" width="8.140625" customWidth="1"/>
    <col min="57" max="57" width="14.85546875" customWidth="1"/>
    <col min="58" max="58" width="16.140625" customWidth="1"/>
    <col min="59" max="59" width="14.85546875" customWidth="1"/>
  </cols>
  <sheetData>
    <row r="1" spans="1:59" ht="13.5" thickBot="1" x14ac:dyDescent="0.25">
      <c r="A1" s="1122"/>
      <c r="B1" s="1122"/>
      <c r="C1" s="1122"/>
      <c r="D1" s="1122"/>
      <c r="AG1" s="1154"/>
      <c r="AH1" s="1154"/>
      <c r="AI1" s="1154"/>
      <c r="AJ1" s="1154"/>
      <c r="AK1" s="1154"/>
      <c r="AL1" s="1154"/>
      <c r="AM1" s="1154"/>
      <c r="AN1" s="1154"/>
      <c r="AO1" s="1154"/>
      <c r="AP1" s="1154"/>
      <c r="AQ1" s="1154"/>
      <c r="AR1" s="1154"/>
      <c r="AS1" s="1154"/>
      <c r="AT1" s="1154"/>
      <c r="AU1" s="1154"/>
    </row>
    <row r="2" spans="1:59" ht="26.25" thickBot="1" x14ac:dyDescent="0.25">
      <c r="A2" s="1471" t="s">
        <v>8342</v>
      </c>
      <c r="B2" s="1472"/>
      <c r="C2" s="1472"/>
      <c r="D2" s="1473"/>
      <c r="F2" s="1123" t="str">
        <f>+_xlfn.TEXTJOIN("
",TRUE,F5:F57)</f>
        <v>10
11
20
32
35
36
39
41
45
109
111
114
116
127
128
130
132
136
138
201
220
222
225
227
234
240
312
316
317
318
327
330</v>
      </c>
      <c r="G2" s="1122"/>
      <c r="AA2" s="1329" t="s">
        <v>8189</v>
      </c>
      <c r="AB2" s="1330" t="s">
        <v>8343</v>
      </c>
      <c r="AC2" s="1330" t="s">
        <v>4624</v>
      </c>
      <c r="AD2" s="1330"/>
      <c r="AE2" s="1331" t="s">
        <v>8344</v>
      </c>
      <c r="AG2" s="1154"/>
      <c r="AH2" s="1154"/>
      <c r="AI2" s="1154"/>
      <c r="AJ2" s="1154"/>
      <c r="AK2" s="1154"/>
      <c r="AL2" s="1438" t="s">
        <v>8189</v>
      </c>
      <c r="AM2" s="1438" t="s">
        <v>8143</v>
      </c>
      <c r="AN2" s="1438" t="s">
        <v>8322</v>
      </c>
      <c r="AO2" s="1438" t="s">
        <v>21562</v>
      </c>
      <c r="AP2" s="1438" t="s">
        <v>8164</v>
      </c>
      <c r="AQ2" s="1154"/>
      <c r="AR2" s="1438" t="s">
        <v>21563</v>
      </c>
      <c r="AS2" s="1154"/>
      <c r="AT2" s="62">
        <f>+AR3/AP3-1</f>
        <v>0.87750695065941575</v>
      </c>
      <c r="AU2" s="1154"/>
    </row>
    <row r="3" spans="1:59" x14ac:dyDescent="0.2">
      <c r="A3" s="1124"/>
      <c r="B3" s="1124"/>
      <c r="C3" s="1125" t="s">
        <v>8345</v>
      </c>
      <c r="D3" s="1125" t="s">
        <v>8346</v>
      </c>
      <c r="K3" s="1126">
        <v>0.7</v>
      </c>
      <c r="L3" s="1127"/>
      <c r="M3" s="1128"/>
      <c r="N3" s="1126">
        <v>0.5</v>
      </c>
      <c r="O3" s="1129"/>
      <c r="P3" s="1130"/>
      <c r="AA3" s="1318" cm="1">
        <f t="array" ref="AA3:AE204">+_xlfn._xlws.SORT(_xlfn._xlws.FILTER(U5:Y318,V5:V318&lt;&gt;""),1,1)</f>
        <v>1</v>
      </c>
      <c r="AB3" s="1319">
        <v>16.5</v>
      </c>
      <c r="AC3" s="1319">
        <v>12.468000000000002</v>
      </c>
      <c r="AD3" s="520">
        <v>0</v>
      </c>
      <c r="AE3" s="1320">
        <v>0.32338787295476412</v>
      </c>
      <c r="AF3" s="240"/>
      <c r="AG3" s="1154"/>
      <c r="AH3" s="1154"/>
      <c r="AI3" s="1154"/>
      <c r="AJ3" s="1154"/>
      <c r="AK3" s="1154"/>
      <c r="AL3" s="1154"/>
      <c r="AM3" s="1154"/>
      <c r="AN3" s="1154"/>
      <c r="AO3" s="1154"/>
      <c r="AP3" s="1437">
        <f>+SUM(AP5:AP256)</f>
        <v>334162.89899999992</v>
      </c>
      <c r="AQ3" s="1154"/>
      <c r="AR3" s="1437">
        <f>+SUM(AR5:AR256)</f>
        <v>627393.16552500019</v>
      </c>
      <c r="AS3" s="1154"/>
      <c r="AT3" s="1154"/>
      <c r="AU3" s="1154"/>
    </row>
    <row r="4" spans="1:59" x14ac:dyDescent="0.2">
      <c r="A4" s="1131" t="s">
        <v>5</v>
      </c>
      <c r="B4" s="1132" t="s">
        <v>8347</v>
      </c>
      <c r="C4" s="1133" t="s">
        <v>8348</v>
      </c>
      <c r="D4" s="1134" t="s">
        <v>8349</v>
      </c>
      <c r="F4" s="1135" t="s">
        <v>8189</v>
      </c>
      <c r="G4" s="1135" t="s">
        <v>8322</v>
      </c>
      <c r="I4" s="1135" t="s">
        <v>3</v>
      </c>
      <c r="J4" s="1135"/>
      <c r="K4" s="1136" t="s">
        <v>8350</v>
      </c>
      <c r="L4" s="1137" t="s">
        <v>8160</v>
      </c>
      <c r="M4" s="1138" t="s">
        <v>8162</v>
      </c>
      <c r="N4" s="1136" t="s">
        <v>8350</v>
      </c>
      <c r="O4" s="1137" t="s">
        <v>8160</v>
      </c>
      <c r="P4" s="1138" t="s">
        <v>8162</v>
      </c>
      <c r="V4" s="102" t="s">
        <v>8343</v>
      </c>
      <c r="W4" s="102" t="s">
        <v>8143</v>
      </c>
      <c r="AA4" s="1321">
        <v>3</v>
      </c>
      <c r="AB4" s="1322">
        <v>15</v>
      </c>
      <c r="AC4" s="1322">
        <v>12.468000000000002</v>
      </c>
      <c r="AD4" s="1323">
        <v>0</v>
      </c>
      <c r="AE4" s="1324">
        <v>0.2030798845043309</v>
      </c>
      <c r="AG4" s="1154"/>
      <c r="AH4" s="1154" cm="1">
        <f t="array" ref="AH4:AH6">+_xlfn.UNIQUE(AJ:AJ)</f>
        <v>0</v>
      </c>
      <c r="AI4" s="1154"/>
      <c r="AJ4" s="1154"/>
      <c r="AK4" s="1154"/>
      <c r="AL4" s="1438" t="s">
        <v>8189</v>
      </c>
      <c r="AM4" s="1438" t="s">
        <v>8143</v>
      </c>
      <c r="AN4" s="1438" t="s">
        <v>8322</v>
      </c>
      <c r="AO4" s="1438" t="s">
        <v>21562</v>
      </c>
      <c r="AP4" s="1438" t="s">
        <v>8164</v>
      </c>
      <c r="AQ4" s="1154"/>
      <c r="AR4" s="1438" t="s">
        <v>21563</v>
      </c>
      <c r="AS4" s="1154"/>
      <c r="AT4" s="240">
        <v>0.65</v>
      </c>
      <c r="AU4" s="1154"/>
      <c r="BD4" s="1438" t="s">
        <v>8189</v>
      </c>
      <c r="BE4" s="1438" t="s">
        <v>8322</v>
      </c>
      <c r="BF4" s="1438" t="s">
        <v>8326</v>
      </c>
      <c r="BG4" s="1438" t="s">
        <v>8164</v>
      </c>
    </row>
    <row r="5" spans="1:59" x14ac:dyDescent="0.2">
      <c r="A5" s="1139" t="s">
        <v>8351</v>
      </c>
      <c r="B5" s="1140">
        <v>83.12</v>
      </c>
      <c r="C5" s="1141">
        <v>2500</v>
      </c>
      <c r="D5" s="1141">
        <v>50</v>
      </c>
      <c r="F5" s="13">
        <v>10</v>
      </c>
      <c r="G5" s="1219"/>
      <c r="I5" s="1143">
        <f>IF(F5="",0,VLOOKUP("*"&amp;F5,$A$5:$D$414,2,0))*1.05</f>
        <v>77.174999999999997</v>
      </c>
      <c r="J5" s="1143"/>
      <c r="K5" s="1144">
        <f t="shared" ref="K5:K49" si="0">+I5*(1-0.5)*(1-$K$3)</f>
        <v>11.576250000000002</v>
      </c>
      <c r="L5" s="1145">
        <f>+VLOOKUP("*"&amp;F5,$A$5:$D$414,3,0)</f>
        <v>2500</v>
      </c>
      <c r="M5" s="1146">
        <f t="shared" ref="M5:M49" si="1">IF(G5="",L5*K5,K5*G5)</f>
        <v>28940.625000000004</v>
      </c>
      <c r="N5" s="1144">
        <f>+I5*(1-0.5)*(1-$N$3)</f>
        <v>19.293749999999999</v>
      </c>
      <c r="O5" s="1145">
        <f>+VLOOKUP("*"&amp;F5,$A$5:$D$414,4,0)</f>
        <v>50</v>
      </c>
      <c r="P5" s="1146">
        <f>+O5*N5</f>
        <v>964.6875</v>
      </c>
      <c r="S5" s="1">
        <f>+RIGHT(A5,3)+0</f>
        <v>1</v>
      </c>
      <c r="T5" s="1">
        <f>+B5</f>
        <v>83.12</v>
      </c>
      <c r="U5" s="726">
        <v>1</v>
      </c>
      <c r="V5" s="1">
        <v>16.5</v>
      </c>
      <c r="W5" s="1">
        <f t="shared" ref="W5:W68" si="2">+IF(U5="",0,VLOOKUP("*"&amp;U5,$A$5:$D$414,2,0))*(1-0.5)*(1-$K$3)</f>
        <v>12.468000000000002</v>
      </c>
      <c r="Y5" s="240">
        <f>IFERROR(V5/W5-1,"")</f>
        <v>0.32338787295476412</v>
      </c>
      <c r="AA5" s="1321">
        <v>4</v>
      </c>
      <c r="AB5" s="1322">
        <v>16.5</v>
      </c>
      <c r="AC5" s="1322">
        <v>12.468000000000002</v>
      </c>
      <c r="AD5" s="1323">
        <v>0</v>
      </c>
      <c r="AE5" s="1324">
        <v>0.32338787295476412</v>
      </c>
      <c r="AG5" s="1154"/>
      <c r="AH5" s="1154" t="str">
        <v>MAXIFER</v>
      </c>
      <c r="AI5" s="1439">
        <f>+COUNTIF(AJ:AJ,AH5)</f>
        <v>101</v>
      </c>
      <c r="AJ5" t="s">
        <v>4624</v>
      </c>
      <c r="AK5" s="1154"/>
      <c r="AL5" s="726">
        <v>205</v>
      </c>
      <c r="AM5" s="1">
        <f t="shared" ref="AM5:AM69" si="3">+(IF(AL5="",0,VLOOKUP("*"&amp;AL5,$A$5:$D$414,2,0))*1.05)*(1-0.5)*(1-$K$3)</f>
        <v>32.441850000000002</v>
      </c>
      <c r="AN5" s="13">
        <v>50</v>
      </c>
      <c r="AO5" s="1">
        <f>+AU5*(1-$AT$4)</f>
        <v>16.8735</v>
      </c>
      <c r="AP5" s="1154">
        <f>+AO5*AN5</f>
        <v>843.67499999999995</v>
      </c>
      <c r="AQ5" s="1154"/>
      <c r="AR5" s="1154">
        <f>+AM5*AN5</f>
        <v>1622.0925000000002</v>
      </c>
      <c r="AS5" s="1154"/>
      <c r="AT5" s="1154"/>
      <c r="AU5" s="1">
        <v>48.21</v>
      </c>
      <c r="AV5" s="240">
        <f t="shared" ref="AV5:AV36" si="4">IFERROR(AO5/AM5-1,"")</f>
        <v>-0.47988477845745547</v>
      </c>
      <c r="BD5" s="726">
        <v>44</v>
      </c>
      <c r="BE5" s="13">
        <v>20</v>
      </c>
      <c r="BF5" s="1">
        <v>113.82</v>
      </c>
      <c r="BG5" s="1154">
        <v>2276.3999999999996</v>
      </c>
    </row>
    <row r="6" spans="1:59" x14ac:dyDescent="0.2">
      <c r="A6" s="1139" t="s">
        <v>8352</v>
      </c>
      <c r="B6" s="1140">
        <v>83.12</v>
      </c>
      <c r="C6" s="1141">
        <v>2500</v>
      </c>
      <c r="D6" s="1141">
        <v>50</v>
      </c>
      <c r="F6" s="13">
        <v>11</v>
      </c>
      <c r="G6" s="1219"/>
      <c r="I6" s="1143">
        <f t="shared" ref="I6:I49" si="5">IF(F6="",0,VLOOKUP("*"&amp;F6,$A$5:$D$414,2,0))*1.05</f>
        <v>79.02300000000001</v>
      </c>
      <c r="J6" s="1143"/>
      <c r="K6" s="1144">
        <f t="shared" si="0"/>
        <v>11.853450000000004</v>
      </c>
      <c r="L6" s="1145">
        <f t="shared" ref="L6:L49" si="6">+VLOOKUP("*"&amp;F6,$A$5:$D$414,3,0)</f>
        <v>2500</v>
      </c>
      <c r="M6" s="1146">
        <f t="shared" si="1"/>
        <v>29633.625000000011</v>
      </c>
      <c r="N6" s="1144">
        <f t="shared" ref="N6:N49" si="7">+I6*(1-0.5)*(1-$N$3)</f>
        <v>19.755750000000003</v>
      </c>
      <c r="O6" s="1145">
        <f t="shared" ref="O6:O49" si="8">+VLOOKUP("*"&amp;F6,$A$5:$D$414,4,0)</f>
        <v>50</v>
      </c>
      <c r="P6" s="1146">
        <f t="shared" ref="P6:P49" si="9">+O6*N6</f>
        <v>987.78750000000014</v>
      </c>
      <c r="S6" s="1">
        <f t="shared" ref="S6:S69" si="10">+RIGHT(A6,3)+0</f>
        <v>2</v>
      </c>
      <c r="T6" s="1">
        <f t="shared" ref="T6:T69" si="11">+B6</f>
        <v>83.12</v>
      </c>
      <c r="U6" s="726">
        <v>2</v>
      </c>
      <c r="V6" s="1" t="s">
        <v>8353</v>
      </c>
      <c r="W6" s="1">
        <f t="shared" si="2"/>
        <v>12.468000000000002</v>
      </c>
      <c r="Y6" s="240" t="str">
        <f t="shared" ref="Y6:Y69" si="12">IFERROR(V6/W6-1,"")</f>
        <v/>
      </c>
      <c r="AA6" s="1321">
        <v>5</v>
      </c>
      <c r="AB6" s="1322">
        <v>15</v>
      </c>
      <c r="AC6" s="1322">
        <v>12.468000000000002</v>
      </c>
      <c r="AD6" s="1323">
        <v>0</v>
      </c>
      <c r="AE6" s="1324">
        <v>0.2030798845043309</v>
      </c>
      <c r="AG6" s="1154"/>
      <c r="AH6" s="1154" t="str">
        <v>FUERA DE LINEA</v>
      </c>
      <c r="AI6" s="1439">
        <f>+COUNTIF(AJ:AJ,AH6)</f>
        <v>93</v>
      </c>
      <c r="AJ6" t="s">
        <v>4624</v>
      </c>
      <c r="AL6" s="726">
        <v>206</v>
      </c>
      <c r="AM6" s="1">
        <f t="shared" si="3"/>
        <v>35.446950000000008</v>
      </c>
      <c r="AN6" s="13">
        <v>50</v>
      </c>
      <c r="AO6" s="1">
        <f t="shared" ref="AO6:AO69" si="13">+AU6*(1-$AT$4)</f>
        <v>18.4345</v>
      </c>
      <c r="AP6" s="1154">
        <f t="shared" ref="AP6:AP69" si="14">+AO6*AN6</f>
        <v>921.72500000000002</v>
      </c>
      <c r="AR6" s="1154">
        <f t="shared" ref="AR6:AR69" si="15">+AM6*AN6</f>
        <v>1772.3475000000003</v>
      </c>
      <c r="AU6" s="1">
        <v>52.67</v>
      </c>
      <c r="AV6" s="240">
        <f t="shared" si="4"/>
        <v>-0.47994115149540384</v>
      </c>
      <c r="BD6" s="726">
        <v>46</v>
      </c>
      <c r="BE6" s="13">
        <v>20</v>
      </c>
      <c r="BF6" s="1">
        <v>129.85</v>
      </c>
      <c r="BG6" s="1154">
        <v>2597</v>
      </c>
    </row>
    <row r="7" spans="1:59" x14ac:dyDescent="0.2">
      <c r="A7" s="1139" t="s">
        <v>8354</v>
      </c>
      <c r="B7" s="1140">
        <v>83.12</v>
      </c>
      <c r="C7" s="1141">
        <v>2500</v>
      </c>
      <c r="D7" s="1141">
        <v>50</v>
      </c>
      <c r="F7" s="13">
        <v>20</v>
      </c>
      <c r="G7" s="1219"/>
      <c r="I7" s="1143">
        <f t="shared" si="5"/>
        <v>167.10750000000002</v>
      </c>
      <c r="J7" s="1143"/>
      <c r="K7" s="1144">
        <f t="shared" si="0"/>
        <v>25.066125000000007</v>
      </c>
      <c r="L7" s="1145">
        <f t="shared" si="6"/>
        <v>1000</v>
      </c>
      <c r="M7" s="1146">
        <f t="shared" si="1"/>
        <v>25066.125000000007</v>
      </c>
      <c r="N7" s="1144">
        <f t="shared" si="7"/>
        <v>41.776875000000004</v>
      </c>
      <c r="O7" s="1145">
        <f t="shared" si="8"/>
        <v>30</v>
      </c>
      <c r="P7" s="1146">
        <f t="shared" si="9"/>
        <v>1253.3062500000001</v>
      </c>
      <c r="S7" s="1">
        <f t="shared" si="10"/>
        <v>3</v>
      </c>
      <c r="T7" s="1">
        <f t="shared" si="11"/>
        <v>83.12</v>
      </c>
      <c r="U7" s="726">
        <v>3</v>
      </c>
      <c r="V7" s="1">
        <v>15</v>
      </c>
      <c r="W7" s="1">
        <f t="shared" si="2"/>
        <v>12.468000000000002</v>
      </c>
      <c r="Y7" s="240">
        <f t="shared" si="12"/>
        <v>0.2030798845043309</v>
      </c>
      <c r="AA7" s="1321">
        <v>6</v>
      </c>
      <c r="AB7" s="1322">
        <v>15</v>
      </c>
      <c r="AC7" s="1322">
        <v>11.025000000000002</v>
      </c>
      <c r="AD7" s="1323">
        <v>0</v>
      </c>
      <c r="AE7" s="1324">
        <v>0.36054421768707456</v>
      </c>
      <c r="AG7" s="1154"/>
      <c r="AH7" s="1154"/>
      <c r="AI7" s="1440">
        <f>+AI6+AI5</f>
        <v>194</v>
      </c>
      <c r="AJ7" t="s">
        <v>4624</v>
      </c>
      <c r="AL7" s="726">
        <v>207</v>
      </c>
      <c r="AM7" s="1">
        <f t="shared" si="3"/>
        <v>39.680550000000011</v>
      </c>
      <c r="AN7" s="13">
        <v>50</v>
      </c>
      <c r="AO7" s="1">
        <f t="shared" si="13"/>
        <v>20.425999999999998</v>
      </c>
      <c r="AP7" s="1154">
        <f t="shared" si="14"/>
        <v>1021.3</v>
      </c>
      <c r="AR7" s="1154">
        <f t="shared" si="15"/>
        <v>1984.0275000000006</v>
      </c>
      <c r="AU7" s="1">
        <v>58.36</v>
      </c>
      <c r="AV7" s="240">
        <f t="shared" si="4"/>
        <v>-0.48523898988295289</v>
      </c>
      <c r="BD7" s="726">
        <v>47</v>
      </c>
      <c r="BE7" s="13">
        <v>20</v>
      </c>
      <c r="BF7" s="1">
        <v>142.1</v>
      </c>
      <c r="BG7" s="1154">
        <v>2842</v>
      </c>
    </row>
    <row r="8" spans="1:59" x14ac:dyDescent="0.2">
      <c r="A8" s="1139" t="s">
        <v>8355</v>
      </c>
      <c r="B8" s="1140">
        <v>83.12</v>
      </c>
      <c r="C8" s="1141">
        <v>2500</v>
      </c>
      <c r="D8" s="1141">
        <v>50</v>
      </c>
      <c r="F8" s="13">
        <v>32</v>
      </c>
      <c r="G8" s="1219"/>
      <c r="I8" s="1143">
        <f t="shared" si="5"/>
        <v>522.75300000000004</v>
      </c>
      <c r="J8" s="1143"/>
      <c r="K8" s="1144">
        <f t="shared" si="0"/>
        <v>78.412950000000023</v>
      </c>
      <c r="L8" s="1145">
        <f t="shared" si="6"/>
        <v>400</v>
      </c>
      <c r="M8" s="1146">
        <f t="shared" si="1"/>
        <v>31365.180000000008</v>
      </c>
      <c r="N8" s="1144">
        <f t="shared" si="7"/>
        <v>130.68825000000001</v>
      </c>
      <c r="O8" s="1145">
        <f t="shared" si="8"/>
        <v>30</v>
      </c>
      <c r="P8" s="1146">
        <f t="shared" si="9"/>
        <v>3920.6475000000005</v>
      </c>
      <c r="S8" s="1">
        <f t="shared" si="10"/>
        <v>4</v>
      </c>
      <c r="T8" s="1">
        <f t="shared" si="11"/>
        <v>83.12</v>
      </c>
      <c r="U8" s="726">
        <v>4</v>
      </c>
      <c r="V8" s="1">
        <v>16.5</v>
      </c>
      <c r="W8" s="1">
        <f t="shared" si="2"/>
        <v>12.468000000000002</v>
      </c>
      <c r="Y8" s="240">
        <f t="shared" si="12"/>
        <v>0.32338787295476412</v>
      </c>
      <c r="AA8" s="1321">
        <v>7</v>
      </c>
      <c r="AB8" s="1322">
        <v>13.499999999999998</v>
      </c>
      <c r="AC8" s="1322">
        <v>11.025000000000002</v>
      </c>
      <c r="AD8" s="1323">
        <v>0</v>
      </c>
      <c r="AE8" s="1324">
        <v>0.22448979591836693</v>
      </c>
      <c r="AG8" s="1154"/>
      <c r="AH8" s="1154"/>
      <c r="AJ8" t="s">
        <v>4624</v>
      </c>
      <c r="AL8" s="726">
        <v>208</v>
      </c>
      <c r="AM8" s="1">
        <f t="shared" si="3"/>
        <v>42.986475000000006</v>
      </c>
      <c r="AN8" s="13">
        <v>50</v>
      </c>
      <c r="AO8" s="1">
        <f t="shared" si="13"/>
        <v>22.358000000000001</v>
      </c>
      <c r="AP8" s="1154">
        <f t="shared" si="14"/>
        <v>1117.9000000000001</v>
      </c>
      <c r="AR8" s="1154">
        <f t="shared" si="15"/>
        <v>2149.3237500000005</v>
      </c>
      <c r="AU8" s="1">
        <v>63.88</v>
      </c>
      <c r="AV8" s="240">
        <f t="shared" si="4"/>
        <v>-0.4798829166615779</v>
      </c>
      <c r="BD8" s="726">
        <v>48</v>
      </c>
      <c r="BE8" s="13">
        <v>20</v>
      </c>
      <c r="BF8" s="1">
        <v>149.1</v>
      </c>
      <c r="BG8" s="1154">
        <v>2982</v>
      </c>
    </row>
    <row r="9" spans="1:59" x14ac:dyDescent="0.2">
      <c r="A9" s="1139" t="s">
        <v>8356</v>
      </c>
      <c r="B9" s="1140">
        <v>83.12</v>
      </c>
      <c r="C9" s="1141">
        <v>2500</v>
      </c>
      <c r="D9" s="1141">
        <v>50</v>
      </c>
      <c r="F9" s="13">
        <v>35</v>
      </c>
      <c r="G9" s="1219"/>
      <c r="I9" s="1143">
        <f t="shared" si="5"/>
        <v>624.33000000000004</v>
      </c>
      <c r="J9" s="1143"/>
      <c r="K9" s="1144">
        <f t="shared" si="0"/>
        <v>93.649500000000018</v>
      </c>
      <c r="L9" s="1145">
        <f t="shared" si="6"/>
        <v>250</v>
      </c>
      <c r="M9" s="1146">
        <f t="shared" si="1"/>
        <v>23412.375000000004</v>
      </c>
      <c r="N9" s="1144">
        <f t="shared" si="7"/>
        <v>156.08250000000001</v>
      </c>
      <c r="O9" s="1145">
        <f t="shared" si="8"/>
        <v>30</v>
      </c>
      <c r="P9" s="1146">
        <f t="shared" si="9"/>
        <v>4682.4750000000004</v>
      </c>
      <c r="S9" s="1">
        <f t="shared" si="10"/>
        <v>5</v>
      </c>
      <c r="T9" s="1">
        <f t="shared" si="11"/>
        <v>83.12</v>
      </c>
      <c r="U9" s="726">
        <v>5</v>
      </c>
      <c r="V9" s="1">
        <v>15</v>
      </c>
      <c r="W9" s="1">
        <f t="shared" si="2"/>
        <v>12.468000000000002</v>
      </c>
      <c r="Y9" s="240">
        <f t="shared" si="12"/>
        <v>0.2030798845043309</v>
      </c>
      <c r="AA9" s="1321">
        <v>8</v>
      </c>
      <c r="AB9" s="1322">
        <v>15</v>
      </c>
      <c r="AC9" s="1322">
        <v>11.025000000000002</v>
      </c>
      <c r="AD9" s="1323">
        <v>0</v>
      </c>
      <c r="AE9" s="1324">
        <v>0.36054421768707456</v>
      </c>
      <c r="AG9" s="1154"/>
      <c r="AH9" s="1154"/>
      <c r="AJ9" t="s">
        <v>4624</v>
      </c>
      <c r="AL9" s="726">
        <v>209</v>
      </c>
      <c r="AM9" s="1">
        <f t="shared" si="3"/>
        <v>47.725650000000009</v>
      </c>
      <c r="AN9" s="13">
        <v>50</v>
      </c>
      <c r="AO9" s="1">
        <f t="shared" si="13"/>
        <v>24.821999999999999</v>
      </c>
      <c r="AP9" s="1154">
        <f t="shared" si="14"/>
        <v>1241.0999999999999</v>
      </c>
      <c r="AR9" s="1154">
        <f t="shared" si="15"/>
        <v>2386.2825000000003</v>
      </c>
      <c r="AU9" s="1">
        <v>70.92</v>
      </c>
      <c r="AV9" s="240">
        <f t="shared" si="4"/>
        <v>-0.47990231667876715</v>
      </c>
      <c r="BD9" s="726">
        <v>50</v>
      </c>
      <c r="BE9" s="13">
        <v>20</v>
      </c>
      <c r="BF9" s="1">
        <v>185.85</v>
      </c>
      <c r="BG9" s="1154">
        <v>3717</v>
      </c>
    </row>
    <row r="10" spans="1:59" x14ac:dyDescent="0.2">
      <c r="A10" s="1139" t="s">
        <v>8357</v>
      </c>
      <c r="B10" s="1140">
        <v>73.5</v>
      </c>
      <c r="C10" s="1141">
        <v>2500</v>
      </c>
      <c r="D10" s="1141">
        <v>50</v>
      </c>
      <c r="F10" s="13">
        <v>36</v>
      </c>
      <c r="G10" s="1219"/>
      <c r="I10" s="1143">
        <f t="shared" si="5"/>
        <v>745.20600000000002</v>
      </c>
      <c r="J10" s="1143"/>
      <c r="K10" s="1144">
        <f t="shared" si="0"/>
        <v>111.78090000000002</v>
      </c>
      <c r="L10" s="1145">
        <f t="shared" si="6"/>
        <v>250</v>
      </c>
      <c r="M10" s="1146">
        <f t="shared" si="1"/>
        <v>27945.225000000006</v>
      </c>
      <c r="N10" s="1144">
        <f t="shared" si="7"/>
        <v>186.3015</v>
      </c>
      <c r="O10" s="1145">
        <f t="shared" si="8"/>
        <v>30</v>
      </c>
      <c r="P10" s="1146">
        <f t="shared" si="9"/>
        <v>5589.0450000000001</v>
      </c>
      <c r="S10" s="1">
        <f t="shared" si="10"/>
        <v>6</v>
      </c>
      <c r="T10" s="1">
        <f t="shared" si="11"/>
        <v>73.5</v>
      </c>
      <c r="U10" s="726">
        <v>6</v>
      </c>
      <c r="V10" s="1">
        <v>15</v>
      </c>
      <c r="W10" s="1">
        <f t="shared" si="2"/>
        <v>11.025000000000002</v>
      </c>
      <c r="Y10" s="240">
        <f t="shared" si="12"/>
        <v>0.36054421768707456</v>
      </c>
      <c r="AA10" s="1321">
        <v>9</v>
      </c>
      <c r="AB10" s="1322">
        <v>15</v>
      </c>
      <c r="AC10" s="1322">
        <v>11.025000000000002</v>
      </c>
      <c r="AD10" s="1323">
        <v>0</v>
      </c>
      <c r="AE10" s="1324">
        <v>0.36054421768707456</v>
      </c>
      <c r="AG10" s="1154"/>
      <c r="AH10" s="1154"/>
      <c r="AJ10" t="s">
        <v>4624</v>
      </c>
      <c r="AL10" s="726">
        <v>210</v>
      </c>
      <c r="AM10" s="1">
        <f t="shared" si="3"/>
        <v>49.176225000000017</v>
      </c>
      <c r="AN10" s="13">
        <v>33</v>
      </c>
      <c r="AO10" s="1">
        <f t="shared" si="13"/>
        <v>25.577999999999999</v>
      </c>
      <c r="AP10" s="1154">
        <f t="shared" si="14"/>
        <v>844.07399999999996</v>
      </c>
      <c r="AR10" s="1154">
        <f t="shared" si="15"/>
        <v>1622.8154250000005</v>
      </c>
      <c r="AU10" s="1">
        <v>73.08</v>
      </c>
      <c r="AV10" s="240">
        <f t="shared" si="4"/>
        <v>-0.47987060820548977</v>
      </c>
      <c r="BD10" s="726">
        <v>105</v>
      </c>
      <c r="BE10" s="13">
        <v>50</v>
      </c>
      <c r="BF10" s="1">
        <v>7.35</v>
      </c>
      <c r="BG10" s="1154">
        <v>367.5</v>
      </c>
    </row>
    <row r="11" spans="1:59" x14ac:dyDescent="0.2">
      <c r="A11" s="1139" t="s">
        <v>8358</v>
      </c>
      <c r="B11" s="1140">
        <v>73.5</v>
      </c>
      <c r="C11" s="1141">
        <v>2500</v>
      </c>
      <c r="D11" s="1141">
        <v>50</v>
      </c>
      <c r="F11" s="13">
        <v>39</v>
      </c>
      <c r="G11" s="1219"/>
      <c r="I11" s="1143">
        <f t="shared" si="5"/>
        <v>842.67750000000001</v>
      </c>
      <c r="J11" s="1143"/>
      <c r="K11" s="1144">
        <f t="shared" si="0"/>
        <v>126.40162500000002</v>
      </c>
      <c r="L11" s="1145">
        <f t="shared" si="6"/>
        <v>250</v>
      </c>
      <c r="M11" s="1146">
        <f t="shared" si="1"/>
        <v>31600.406250000007</v>
      </c>
      <c r="N11" s="1144">
        <f t="shared" si="7"/>
        <v>210.669375</v>
      </c>
      <c r="O11" s="1145">
        <f t="shared" si="8"/>
        <v>30</v>
      </c>
      <c r="P11" s="1146">
        <f t="shared" si="9"/>
        <v>6320.0812500000002</v>
      </c>
      <c r="S11" s="1">
        <f t="shared" si="10"/>
        <v>7</v>
      </c>
      <c r="T11" s="1">
        <f t="shared" si="11"/>
        <v>73.5</v>
      </c>
      <c r="U11" s="726">
        <v>7</v>
      </c>
      <c r="V11" s="1">
        <v>13.499999999999998</v>
      </c>
      <c r="W11" s="1">
        <f t="shared" si="2"/>
        <v>11.025000000000002</v>
      </c>
      <c r="Y11" s="240">
        <f t="shared" si="12"/>
        <v>0.22448979591836693</v>
      </c>
      <c r="AA11" s="1321">
        <v>10</v>
      </c>
      <c r="AB11" s="1322">
        <v>15</v>
      </c>
      <c r="AC11" s="1322">
        <v>11.025000000000002</v>
      </c>
      <c r="AD11" s="1323">
        <v>0</v>
      </c>
      <c r="AE11" s="1324">
        <v>0.36054421768707456</v>
      </c>
      <c r="AG11" s="1154"/>
      <c r="AH11" s="1154" t="s">
        <v>4624</v>
      </c>
      <c r="AI11" s="1154">
        <f>+SUMIFS(AP:AP,AJ:AJ,AH11)</f>
        <v>128665.99899999997</v>
      </c>
      <c r="AJ11" t="s">
        <v>4624</v>
      </c>
      <c r="AL11" s="726">
        <v>211</v>
      </c>
      <c r="AM11" s="1">
        <f t="shared" si="3"/>
        <v>52.060050000000018</v>
      </c>
      <c r="AN11" s="13">
        <v>50</v>
      </c>
      <c r="AO11" s="1">
        <f t="shared" si="13"/>
        <v>27.075999999999997</v>
      </c>
      <c r="AP11" s="1154">
        <f t="shared" si="14"/>
        <v>1353.8</v>
      </c>
      <c r="AR11" s="1154">
        <f t="shared" si="15"/>
        <v>2603.002500000001</v>
      </c>
      <c r="AU11" s="1">
        <v>77.36</v>
      </c>
      <c r="AV11" s="240">
        <f t="shared" si="4"/>
        <v>-0.47990829820563008</v>
      </c>
      <c r="BD11" s="726">
        <v>106</v>
      </c>
      <c r="BE11" s="13">
        <v>50</v>
      </c>
      <c r="BF11" s="1">
        <v>7.4339999999999993</v>
      </c>
      <c r="BG11" s="1154">
        <v>371.7</v>
      </c>
    </row>
    <row r="12" spans="1:59" x14ac:dyDescent="0.2">
      <c r="A12" s="1139" t="s">
        <v>8359</v>
      </c>
      <c r="B12" s="1140">
        <v>73.5</v>
      </c>
      <c r="C12" s="1141">
        <v>2500</v>
      </c>
      <c r="D12" s="1141">
        <v>50</v>
      </c>
      <c r="F12" s="13">
        <v>41</v>
      </c>
      <c r="G12" s="1219"/>
      <c r="I12" s="1143">
        <f t="shared" si="5"/>
        <v>1015.2555</v>
      </c>
      <c r="J12" s="1143"/>
      <c r="K12" s="1144">
        <f t="shared" si="0"/>
        <v>152.28832500000001</v>
      </c>
      <c r="L12" s="1145">
        <f t="shared" si="6"/>
        <v>200</v>
      </c>
      <c r="M12" s="1146">
        <f t="shared" si="1"/>
        <v>30457.665000000005</v>
      </c>
      <c r="N12" s="1144">
        <f t="shared" si="7"/>
        <v>253.813875</v>
      </c>
      <c r="O12" s="1145">
        <f t="shared" si="8"/>
        <v>30</v>
      </c>
      <c r="P12" s="1146">
        <f t="shared" si="9"/>
        <v>7614.4162500000002</v>
      </c>
      <c r="S12" s="1">
        <f t="shared" si="10"/>
        <v>8</v>
      </c>
      <c r="T12" s="1">
        <f t="shared" si="11"/>
        <v>73.5</v>
      </c>
      <c r="U12" s="726">
        <v>8</v>
      </c>
      <c r="V12" s="1">
        <v>15</v>
      </c>
      <c r="W12" s="1">
        <f t="shared" si="2"/>
        <v>11.025000000000002</v>
      </c>
      <c r="Y12" s="240">
        <f t="shared" si="12"/>
        <v>0.36054421768707456</v>
      </c>
      <c r="AA12" s="1321">
        <v>11</v>
      </c>
      <c r="AB12" s="1322">
        <v>15</v>
      </c>
      <c r="AC12" s="1322">
        <v>11.289000000000003</v>
      </c>
      <c r="AD12" s="1323">
        <v>0</v>
      </c>
      <c r="AE12" s="1324">
        <v>0.32872707945787893</v>
      </c>
      <c r="AG12" s="1154"/>
      <c r="AH12" s="1154" t="s">
        <v>21564</v>
      </c>
      <c r="AI12" s="1154">
        <f>+SUMIFS(AP:AP,AJ:AJ,AH12)</f>
        <v>205496.9</v>
      </c>
      <c r="AJ12" t="s">
        <v>4624</v>
      </c>
      <c r="AL12" s="726">
        <v>212</v>
      </c>
      <c r="AM12" s="1">
        <f t="shared" si="3"/>
        <v>55.365975000000006</v>
      </c>
      <c r="AN12" s="13">
        <v>50</v>
      </c>
      <c r="AO12" s="1">
        <f t="shared" si="13"/>
        <v>28.794499999999996</v>
      </c>
      <c r="AP12" s="1154">
        <f t="shared" si="14"/>
        <v>1439.7249999999997</v>
      </c>
      <c r="AR12" s="1154">
        <f t="shared" si="15"/>
        <v>2768.2987500000004</v>
      </c>
      <c r="AU12" s="1">
        <v>82.27</v>
      </c>
      <c r="AV12" s="240">
        <f t="shared" si="4"/>
        <v>-0.47992426756685869</v>
      </c>
      <c r="BD12" s="726">
        <v>107</v>
      </c>
      <c r="BE12" s="13">
        <v>50</v>
      </c>
      <c r="BF12" s="1">
        <v>7.9449999999999994</v>
      </c>
      <c r="BG12" s="1154">
        <v>397.24999999999994</v>
      </c>
    </row>
    <row r="13" spans="1:59" x14ac:dyDescent="0.2">
      <c r="A13" s="1139" t="s">
        <v>8360</v>
      </c>
      <c r="B13" s="1140">
        <v>73.5</v>
      </c>
      <c r="C13" s="1141">
        <v>2500</v>
      </c>
      <c r="D13" s="1141">
        <v>50</v>
      </c>
      <c r="F13" s="13">
        <v>45</v>
      </c>
      <c r="G13" s="1219"/>
      <c r="I13" s="1143">
        <f t="shared" si="5"/>
        <v>1666.2660000000001</v>
      </c>
      <c r="J13" s="1143"/>
      <c r="K13" s="1144">
        <f t="shared" si="0"/>
        <v>249.93990000000005</v>
      </c>
      <c r="L13" s="1145">
        <f t="shared" si="6"/>
        <v>150</v>
      </c>
      <c r="M13" s="1146">
        <f t="shared" si="1"/>
        <v>37490.985000000008</v>
      </c>
      <c r="N13" s="1144">
        <f t="shared" si="7"/>
        <v>416.56650000000002</v>
      </c>
      <c r="O13" s="1145">
        <f t="shared" si="8"/>
        <v>20</v>
      </c>
      <c r="P13" s="1146">
        <f t="shared" si="9"/>
        <v>8331.33</v>
      </c>
      <c r="S13" s="1">
        <f t="shared" si="10"/>
        <v>9</v>
      </c>
      <c r="T13" s="1">
        <f t="shared" si="11"/>
        <v>73.5</v>
      </c>
      <c r="U13" s="726">
        <v>9</v>
      </c>
      <c r="V13" s="1">
        <v>15</v>
      </c>
      <c r="W13" s="1">
        <f t="shared" si="2"/>
        <v>11.025000000000002</v>
      </c>
      <c r="Y13" s="240">
        <f t="shared" si="12"/>
        <v>0.36054421768707456</v>
      </c>
      <c r="AA13" s="1321">
        <v>12</v>
      </c>
      <c r="AB13" s="1322">
        <v>15</v>
      </c>
      <c r="AC13" s="1322">
        <v>11.9565</v>
      </c>
      <c r="AD13" s="1323">
        <v>0</v>
      </c>
      <c r="AE13" s="1324">
        <v>0.25454773554133725</v>
      </c>
      <c r="AG13" s="1154"/>
      <c r="AH13" s="1154"/>
      <c r="AI13" s="1154"/>
      <c r="AJ13" t="s">
        <v>4624</v>
      </c>
      <c r="AL13" s="726">
        <v>213</v>
      </c>
      <c r="AM13" s="1">
        <f t="shared" si="3"/>
        <v>59.720850000000013</v>
      </c>
      <c r="AN13" s="13">
        <v>50</v>
      </c>
      <c r="AO13" s="1">
        <f t="shared" si="13"/>
        <v>31.062499999999996</v>
      </c>
      <c r="AP13" s="1154">
        <f t="shared" si="14"/>
        <v>1553.1249999999998</v>
      </c>
      <c r="AR13" s="1154">
        <f t="shared" si="15"/>
        <v>2986.0425000000005</v>
      </c>
      <c r="AU13" s="1">
        <v>88.75</v>
      </c>
      <c r="AV13" s="240">
        <f t="shared" si="4"/>
        <v>-0.47987177007694981</v>
      </c>
      <c r="BD13" s="726">
        <v>108</v>
      </c>
      <c r="BE13" s="13">
        <v>50</v>
      </c>
      <c r="BF13" s="1">
        <v>7.9449999999999994</v>
      </c>
      <c r="BG13" s="1154">
        <v>397.24999999999994</v>
      </c>
    </row>
    <row r="14" spans="1:59" ht="13.5" thickBot="1" x14ac:dyDescent="0.25">
      <c r="A14" s="1139" t="s">
        <v>8361</v>
      </c>
      <c r="B14" s="1140">
        <v>73.5</v>
      </c>
      <c r="C14" s="1141">
        <v>2500</v>
      </c>
      <c r="D14" s="1141">
        <v>50</v>
      </c>
      <c r="F14" s="13">
        <v>109</v>
      </c>
      <c r="G14" s="1219"/>
      <c r="I14" s="1143">
        <f t="shared" si="5"/>
        <v>107.40450000000001</v>
      </c>
      <c r="J14" s="1143"/>
      <c r="K14" s="1144">
        <f t="shared" si="0"/>
        <v>16.110675000000004</v>
      </c>
      <c r="L14" s="1145">
        <f t="shared" si="6"/>
        <v>2000</v>
      </c>
      <c r="M14" s="1146">
        <f t="shared" si="1"/>
        <v>32221.350000000009</v>
      </c>
      <c r="N14" s="1144">
        <f t="shared" si="7"/>
        <v>26.851125000000003</v>
      </c>
      <c r="O14" s="1145">
        <f t="shared" si="8"/>
        <v>50</v>
      </c>
      <c r="P14" s="1146">
        <f t="shared" si="9"/>
        <v>1342.5562500000001</v>
      </c>
      <c r="S14" s="1">
        <f t="shared" si="10"/>
        <v>10</v>
      </c>
      <c r="T14" s="1">
        <f t="shared" si="11"/>
        <v>73.5</v>
      </c>
      <c r="U14" s="726">
        <v>10</v>
      </c>
      <c r="V14" s="1">
        <v>15</v>
      </c>
      <c r="W14" s="1">
        <f t="shared" si="2"/>
        <v>11.025000000000002</v>
      </c>
      <c r="Y14" s="240">
        <f t="shared" si="12"/>
        <v>0.36054421768707456</v>
      </c>
      <c r="AA14" s="1321">
        <v>13</v>
      </c>
      <c r="AB14" s="1322">
        <v>16.5</v>
      </c>
      <c r="AC14" s="1322">
        <v>14.212500000000002</v>
      </c>
      <c r="AD14" s="1323">
        <v>0</v>
      </c>
      <c r="AE14" s="1324">
        <v>0.16094986807387834</v>
      </c>
      <c r="AG14" s="1154"/>
      <c r="AH14" s="1154"/>
      <c r="AI14" s="1437">
        <f>+AI12+AI11</f>
        <v>334162.89899999998</v>
      </c>
      <c r="AJ14" t="s">
        <v>4624</v>
      </c>
      <c r="AL14" s="726">
        <v>214</v>
      </c>
      <c r="AM14" s="1">
        <f t="shared" si="3"/>
        <v>62.201475000000016</v>
      </c>
      <c r="AN14" s="13">
        <v>50</v>
      </c>
      <c r="AO14" s="1">
        <f t="shared" si="13"/>
        <v>32.350500000000004</v>
      </c>
      <c r="AP14" s="1154">
        <f t="shared" si="14"/>
        <v>1617.5250000000001</v>
      </c>
      <c r="AR14" s="1154">
        <f t="shared" si="15"/>
        <v>3110.0737500000009</v>
      </c>
      <c r="AU14" s="1">
        <v>92.43</v>
      </c>
      <c r="AV14" s="240">
        <f t="shared" si="4"/>
        <v>-0.47990783176765506</v>
      </c>
      <c r="BD14" s="726">
        <v>109</v>
      </c>
      <c r="BE14" s="13">
        <v>50</v>
      </c>
      <c r="BF14" s="1">
        <v>8.3789999999999996</v>
      </c>
      <c r="BG14" s="1154">
        <v>418.95</v>
      </c>
    </row>
    <row r="15" spans="1:59" x14ac:dyDescent="0.2">
      <c r="A15" s="1139" t="s">
        <v>8362</v>
      </c>
      <c r="B15" s="1140">
        <v>75.260000000000005</v>
      </c>
      <c r="C15" s="1141">
        <v>2500</v>
      </c>
      <c r="D15" s="1141">
        <v>50</v>
      </c>
      <c r="F15" s="13">
        <v>111</v>
      </c>
      <c r="G15" s="1219"/>
      <c r="I15" s="1143">
        <f t="shared" si="5"/>
        <v>135.6285</v>
      </c>
      <c r="J15" s="1143"/>
      <c r="K15" s="1208">
        <f t="shared" si="0"/>
        <v>20.344275000000003</v>
      </c>
      <c r="L15" s="1209">
        <f t="shared" si="6"/>
        <v>1500</v>
      </c>
      <c r="M15" s="1210">
        <f t="shared" si="1"/>
        <v>30516.412500000006</v>
      </c>
      <c r="N15" s="1144">
        <f t="shared" si="7"/>
        <v>33.907125000000001</v>
      </c>
      <c r="O15" s="1145">
        <f t="shared" si="8"/>
        <v>50</v>
      </c>
      <c r="P15" s="1146">
        <f t="shared" si="9"/>
        <v>1695.35625</v>
      </c>
      <c r="S15" s="1">
        <f t="shared" si="10"/>
        <v>11</v>
      </c>
      <c r="T15" s="1">
        <f t="shared" si="11"/>
        <v>75.260000000000005</v>
      </c>
      <c r="U15" s="726">
        <v>11</v>
      </c>
      <c r="V15" s="1">
        <v>15</v>
      </c>
      <c r="W15" s="1">
        <f t="shared" si="2"/>
        <v>11.289000000000003</v>
      </c>
      <c r="Y15" s="240">
        <f t="shared" si="12"/>
        <v>0.32872707945787893</v>
      </c>
      <c r="AA15" s="1321">
        <v>14</v>
      </c>
      <c r="AB15" s="1322">
        <v>19.5</v>
      </c>
      <c r="AC15" s="1322">
        <v>15.564000000000004</v>
      </c>
      <c r="AD15" s="1323">
        <v>0</v>
      </c>
      <c r="AE15" s="1324">
        <v>0.2528912875867384</v>
      </c>
      <c r="AG15" s="1154"/>
      <c r="AH15" s="1154"/>
      <c r="AJ15" t="s">
        <v>4624</v>
      </c>
      <c r="AL15" s="726">
        <v>215</v>
      </c>
      <c r="AM15" s="1">
        <f t="shared" si="3"/>
        <v>66.213000000000008</v>
      </c>
      <c r="AN15" s="13">
        <v>50</v>
      </c>
      <c r="AO15" s="1">
        <f t="shared" si="13"/>
        <v>34.436499999999995</v>
      </c>
      <c r="AP15" s="1154">
        <f t="shared" si="14"/>
        <v>1721.8249999999998</v>
      </c>
      <c r="AR15" s="1154">
        <f t="shared" si="15"/>
        <v>3310.6500000000005</v>
      </c>
      <c r="AU15" s="1">
        <v>98.39</v>
      </c>
      <c r="AV15" s="240">
        <f t="shared" si="4"/>
        <v>-0.47991331007506088</v>
      </c>
      <c r="BD15" s="726">
        <v>111</v>
      </c>
      <c r="BE15" s="13">
        <v>50</v>
      </c>
      <c r="BF15" s="1">
        <v>10.576999999999998</v>
      </c>
      <c r="BG15" s="1154">
        <v>528.84999999999991</v>
      </c>
    </row>
    <row r="16" spans="1:59" x14ac:dyDescent="0.2">
      <c r="A16" s="1139" t="s">
        <v>8363</v>
      </c>
      <c r="B16" s="1140">
        <v>79.709999999999994</v>
      </c>
      <c r="C16" s="1141">
        <v>2500</v>
      </c>
      <c r="D16" s="1141">
        <v>50</v>
      </c>
      <c r="F16" s="13">
        <v>114</v>
      </c>
      <c r="G16" s="1219"/>
      <c r="I16" s="1143">
        <f t="shared" si="5"/>
        <v>181.1985</v>
      </c>
      <c r="J16" s="1143"/>
      <c r="K16" s="1144">
        <f t="shared" si="0"/>
        <v>27.179775000000003</v>
      </c>
      <c r="L16" s="1145">
        <f t="shared" si="6"/>
        <v>1000</v>
      </c>
      <c r="M16" s="1146">
        <f t="shared" si="1"/>
        <v>27179.775000000001</v>
      </c>
      <c r="N16" s="1144">
        <f t="shared" si="7"/>
        <v>45.299624999999999</v>
      </c>
      <c r="O16" s="1145">
        <f t="shared" si="8"/>
        <v>50</v>
      </c>
      <c r="P16" s="1146">
        <f t="shared" si="9"/>
        <v>2264.9812499999998</v>
      </c>
      <c r="S16" s="1">
        <f t="shared" si="10"/>
        <v>12</v>
      </c>
      <c r="T16" s="1">
        <f t="shared" si="11"/>
        <v>79.709999999999994</v>
      </c>
      <c r="U16" s="726">
        <v>12</v>
      </c>
      <c r="V16" s="1">
        <v>15</v>
      </c>
      <c r="W16" s="1">
        <f t="shared" si="2"/>
        <v>11.9565</v>
      </c>
      <c r="Y16" s="240">
        <f t="shared" si="12"/>
        <v>0.25454773554133725</v>
      </c>
      <c r="AA16" s="1321">
        <v>15</v>
      </c>
      <c r="AB16" s="1322">
        <v>22.5</v>
      </c>
      <c r="AC16" s="1322">
        <v>17.191500000000001</v>
      </c>
      <c r="AD16" s="1323">
        <v>0</v>
      </c>
      <c r="AE16" s="1324">
        <v>0.30878631882034724</v>
      </c>
      <c r="AG16" s="1154"/>
      <c r="AH16" s="1154"/>
      <c r="AJ16" t="s">
        <v>4624</v>
      </c>
      <c r="AL16" s="726">
        <v>216</v>
      </c>
      <c r="AM16" s="1">
        <f t="shared" si="3"/>
        <v>70.347375000000014</v>
      </c>
      <c r="AN16" s="13">
        <v>50</v>
      </c>
      <c r="AO16" s="1">
        <f t="shared" si="13"/>
        <v>36.588999999999999</v>
      </c>
      <c r="AP16" s="1154">
        <f t="shared" si="14"/>
        <v>1829.4499999999998</v>
      </c>
      <c r="AR16" s="1154">
        <f t="shared" si="15"/>
        <v>3517.3687500000005</v>
      </c>
      <c r="AU16" s="1">
        <v>104.54</v>
      </c>
      <c r="AV16" s="240">
        <f t="shared" si="4"/>
        <v>-0.47988109009042634</v>
      </c>
      <c r="BD16" s="726">
        <v>112</v>
      </c>
      <c r="BE16" s="13">
        <v>50</v>
      </c>
      <c r="BF16" s="1">
        <v>11.654999999999998</v>
      </c>
      <c r="BG16" s="1154">
        <v>582.74999999999989</v>
      </c>
    </row>
    <row r="17" spans="1:59" x14ac:dyDescent="0.2">
      <c r="A17" s="1139" t="s">
        <v>8364</v>
      </c>
      <c r="B17" s="1140">
        <v>94.75</v>
      </c>
      <c r="C17" s="1141">
        <v>2000</v>
      </c>
      <c r="D17" s="1141">
        <v>50</v>
      </c>
      <c r="F17" s="13">
        <v>116</v>
      </c>
      <c r="G17" s="1219"/>
      <c r="I17" s="1143">
        <f t="shared" si="5"/>
        <v>220.43700000000001</v>
      </c>
      <c r="J17" s="1143"/>
      <c r="K17" s="1144">
        <f t="shared" si="0"/>
        <v>33.065550000000009</v>
      </c>
      <c r="L17" s="1145">
        <f t="shared" si="6"/>
        <v>1000</v>
      </c>
      <c r="M17" s="1146">
        <f t="shared" si="1"/>
        <v>33065.55000000001</v>
      </c>
      <c r="N17" s="1144">
        <f t="shared" si="7"/>
        <v>55.109250000000003</v>
      </c>
      <c r="O17" s="1145">
        <f t="shared" si="8"/>
        <v>50</v>
      </c>
      <c r="P17" s="1146">
        <f t="shared" si="9"/>
        <v>2755.4625000000001</v>
      </c>
      <c r="S17" s="1">
        <f t="shared" si="10"/>
        <v>13</v>
      </c>
      <c r="T17" s="1">
        <f t="shared" si="11"/>
        <v>94.75</v>
      </c>
      <c r="U17" s="726">
        <v>13</v>
      </c>
      <c r="V17" s="1">
        <v>16.5</v>
      </c>
      <c r="W17" s="1">
        <f t="shared" si="2"/>
        <v>14.212500000000002</v>
      </c>
      <c r="Y17" s="240">
        <f t="shared" si="12"/>
        <v>0.16094986807387834</v>
      </c>
      <c r="AA17" s="1321">
        <v>16</v>
      </c>
      <c r="AB17" s="1322">
        <v>24</v>
      </c>
      <c r="AC17" s="1322">
        <v>18.127500000000001</v>
      </c>
      <c r="AD17" s="1323">
        <v>0</v>
      </c>
      <c r="AE17" s="1324">
        <v>0.32395531650806775</v>
      </c>
      <c r="AG17" s="1154"/>
      <c r="AH17" s="1154"/>
      <c r="AJ17" t="s">
        <v>4624</v>
      </c>
      <c r="AL17" s="726">
        <v>217</v>
      </c>
      <c r="AM17" s="1">
        <f t="shared" si="3"/>
        <v>73.87537500000002</v>
      </c>
      <c r="AN17" s="13">
        <v>50</v>
      </c>
      <c r="AO17" s="1">
        <f t="shared" si="13"/>
        <v>38.422999999999995</v>
      </c>
      <c r="AP17" s="1154">
        <f t="shared" si="14"/>
        <v>1921.1499999999996</v>
      </c>
      <c r="AR17" s="1154">
        <f t="shared" si="15"/>
        <v>3693.7687500000011</v>
      </c>
      <c r="AU17" s="1">
        <v>109.78</v>
      </c>
      <c r="AV17" s="240">
        <f t="shared" si="4"/>
        <v>-0.47989434909805895</v>
      </c>
      <c r="BD17" s="726">
        <v>113</v>
      </c>
      <c r="BE17" s="13">
        <v>50</v>
      </c>
      <c r="BF17" s="1">
        <v>13.649999999999999</v>
      </c>
      <c r="BG17" s="1154">
        <v>682.49999999999989</v>
      </c>
    </row>
    <row r="18" spans="1:59" x14ac:dyDescent="0.2">
      <c r="A18" s="1139" t="s">
        <v>8365</v>
      </c>
      <c r="B18" s="1140">
        <v>103.76</v>
      </c>
      <c r="C18" s="1141">
        <v>2000</v>
      </c>
      <c r="D18" s="1141">
        <v>50</v>
      </c>
      <c r="F18" s="13">
        <v>127</v>
      </c>
      <c r="G18" s="1219"/>
      <c r="I18" s="1143">
        <f t="shared" si="5"/>
        <v>513.75450000000001</v>
      </c>
      <c r="J18" s="1143"/>
      <c r="K18" s="1144">
        <f t="shared" si="0"/>
        <v>77.063175000000015</v>
      </c>
      <c r="L18" s="1145">
        <f t="shared" si="6"/>
        <v>300</v>
      </c>
      <c r="M18" s="1146">
        <f t="shared" si="1"/>
        <v>23118.952500000003</v>
      </c>
      <c r="N18" s="1144">
        <f t="shared" si="7"/>
        <v>128.438625</v>
      </c>
      <c r="O18" s="1145">
        <f t="shared" si="8"/>
        <v>30</v>
      </c>
      <c r="P18" s="1146">
        <f t="shared" si="9"/>
        <v>3853.1587500000001</v>
      </c>
      <c r="S18" s="1">
        <f t="shared" si="10"/>
        <v>14</v>
      </c>
      <c r="T18" s="1">
        <f t="shared" si="11"/>
        <v>103.76</v>
      </c>
      <c r="U18" s="726">
        <v>14</v>
      </c>
      <c r="V18" s="1">
        <v>19.5</v>
      </c>
      <c r="W18" s="1">
        <f t="shared" si="2"/>
        <v>15.564000000000004</v>
      </c>
      <c r="Y18" s="240">
        <f t="shared" si="12"/>
        <v>0.2528912875867384</v>
      </c>
      <c r="AA18" s="1321">
        <v>17</v>
      </c>
      <c r="AB18" s="1322">
        <v>26.999999999999996</v>
      </c>
      <c r="AC18" s="1322">
        <v>19.957500000000003</v>
      </c>
      <c r="AD18" s="1323">
        <v>0</v>
      </c>
      <c r="AE18" s="1324">
        <v>0.35287485907553506</v>
      </c>
      <c r="AG18" s="1154"/>
      <c r="AH18" s="1154"/>
      <c r="AJ18" t="s">
        <v>4624</v>
      </c>
      <c r="AL18" s="726">
        <v>218</v>
      </c>
      <c r="AM18" s="1">
        <f t="shared" si="3"/>
        <v>78.009750000000025</v>
      </c>
      <c r="AN18" s="13">
        <v>50</v>
      </c>
      <c r="AO18" s="1">
        <f t="shared" si="13"/>
        <v>40.361999999999995</v>
      </c>
      <c r="AP18" s="1154">
        <f t="shared" si="14"/>
        <v>2018.0999999999997</v>
      </c>
      <c r="AR18" s="1154">
        <f t="shared" si="15"/>
        <v>3900.4875000000011</v>
      </c>
      <c r="AU18" s="1">
        <v>115.32</v>
      </c>
      <c r="AV18" s="240">
        <f t="shared" si="4"/>
        <v>-0.48260313614644346</v>
      </c>
      <c r="BD18" s="726">
        <v>114</v>
      </c>
      <c r="BE18" s="13">
        <v>50</v>
      </c>
      <c r="BF18" s="1">
        <v>14.132999999999999</v>
      </c>
      <c r="BG18" s="1154">
        <v>706.65</v>
      </c>
    </row>
    <row r="19" spans="1:59" x14ac:dyDescent="0.2">
      <c r="A19" s="1139" t="s">
        <v>8366</v>
      </c>
      <c r="B19" s="1140">
        <v>114.61</v>
      </c>
      <c r="C19" s="1141">
        <v>2000</v>
      </c>
      <c r="D19" s="1141">
        <v>50</v>
      </c>
      <c r="F19" s="13">
        <v>128</v>
      </c>
      <c r="G19" s="1219"/>
      <c r="I19" s="1143">
        <f t="shared" si="5"/>
        <v>511.05600000000004</v>
      </c>
      <c r="J19" s="1143"/>
      <c r="K19" s="1144">
        <f t="shared" si="0"/>
        <v>76.658400000000015</v>
      </c>
      <c r="L19" s="1145">
        <f t="shared" si="6"/>
        <v>300</v>
      </c>
      <c r="M19" s="1146">
        <f t="shared" si="1"/>
        <v>22997.520000000004</v>
      </c>
      <c r="N19" s="1144">
        <f t="shared" si="7"/>
        <v>127.76400000000001</v>
      </c>
      <c r="O19" s="1145">
        <f t="shared" si="8"/>
        <v>30</v>
      </c>
      <c r="P19" s="1146">
        <f t="shared" si="9"/>
        <v>3832.92</v>
      </c>
      <c r="S19" s="1">
        <f t="shared" si="10"/>
        <v>15</v>
      </c>
      <c r="T19" s="1">
        <f t="shared" si="11"/>
        <v>114.61</v>
      </c>
      <c r="U19" s="726">
        <v>15</v>
      </c>
      <c r="V19" s="1">
        <v>22.5</v>
      </c>
      <c r="W19" s="1">
        <f t="shared" si="2"/>
        <v>17.191500000000001</v>
      </c>
      <c r="Y19" s="240">
        <f t="shared" si="12"/>
        <v>0.30878631882034724</v>
      </c>
      <c r="AA19" s="1321">
        <v>18</v>
      </c>
      <c r="AB19" s="1322">
        <v>28.5</v>
      </c>
      <c r="AC19" s="1322">
        <v>20.808000000000003</v>
      </c>
      <c r="AD19" s="1323">
        <v>0</v>
      </c>
      <c r="AE19" s="1324">
        <v>0.36966551326412889</v>
      </c>
      <c r="AG19" s="1154"/>
      <c r="AH19" s="1154"/>
      <c r="AJ19" t="s">
        <v>4624</v>
      </c>
      <c r="AL19" s="726">
        <v>219</v>
      </c>
      <c r="AM19" s="1">
        <f t="shared" si="3"/>
        <v>88.231500000000025</v>
      </c>
      <c r="AN19" s="13">
        <v>50</v>
      </c>
      <c r="AO19" s="1">
        <f t="shared" si="13"/>
        <v>45.891999999999996</v>
      </c>
      <c r="AP19" s="1154">
        <f t="shared" si="14"/>
        <v>2294.6</v>
      </c>
      <c r="AR19" s="1154">
        <f t="shared" si="15"/>
        <v>4411.5750000000016</v>
      </c>
      <c r="AU19" s="1">
        <v>131.12</v>
      </c>
      <c r="AV19" s="240">
        <f t="shared" si="4"/>
        <v>-0.47986830100361</v>
      </c>
      <c r="BD19" s="726">
        <v>115</v>
      </c>
      <c r="BE19" s="13">
        <v>50</v>
      </c>
      <c r="BF19" s="1">
        <v>15.399999999999999</v>
      </c>
      <c r="BG19" s="1154">
        <v>769.99999999999989</v>
      </c>
    </row>
    <row r="20" spans="1:59" x14ac:dyDescent="0.2">
      <c r="A20" s="1139" t="s">
        <v>8367</v>
      </c>
      <c r="B20" s="1140">
        <v>120.85</v>
      </c>
      <c r="C20" s="1141">
        <v>1500</v>
      </c>
      <c r="D20" s="1141">
        <v>50</v>
      </c>
      <c r="F20" s="13">
        <v>130</v>
      </c>
      <c r="G20" s="1219"/>
      <c r="I20" s="1143">
        <f t="shared" si="5"/>
        <v>548.96100000000013</v>
      </c>
      <c r="J20" s="1143"/>
      <c r="K20" s="1144">
        <f t="shared" si="0"/>
        <v>82.344150000000027</v>
      </c>
      <c r="L20" s="1145">
        <f t="shared" si="6"/>
        <v>300</v>
      </c>
      <c r="M20" s="1146">
        <f t="shared" si="1"/>
        <v>24703.24500000001</v>
      </c>
      <c r="N20" s="1144">
        <f t="shared" si="7"/>
        <v>137.24025000000003</v>
      </c>
      <c r="O20" s="1145">
        <f t="shared" si="8"/>
        <v>30</v>
      </c>
      <c r="P20" s="1146">
        <f t="shared" si="9"/>
        <v>4117.2075000000013</v>
      </c>
      <c r="S20" s="1">
        <f t="shared" si="10"/>
        <v>16</v>
      </c>
      <c r="T20" s="1">
        <f t="shared" si="11"/>
        <v>120.85</v>
      </c>
      <c r="U20" s="726">
        <v>16</v>
      </c>
      <c r="V20" s="1">
        <v>24</v>
      </c>
      <c r="W20" s="1">
        <f t="shared" si="2"/>
        <v>18.127500000000001</v>
      </c>
      <c r="Y20" s="240">
        <f t="shared" si="12"/>
        <v>0.32395531650806775</v>
      </c>
      <c r="AA20" s="1321">
        <v>19</v>
      </c>
      <c r="AB20" s="1322">
        <v>31.500000000000004</v>
      </c>
      <c r="AC20" s="1322">
        <v>22.341000000000005</v>
      </c>
      <c r="AD20" s="1323">
        <v>0</v>
      </c>
      <c r="AE20" s="1324">
        <v>0.40996374378944522</v>
      </c>
      <c r="AG20" s="1154"/>
      <c r="AH20" s="1154"/>
      <c r="AJ20" t="s">
        <v>4624</v>
      </c>
      <c r="AL20" s="726">
        <v>220</v>
      </c>
      <c r="AM20" s="1">
        <f t="shared" si="3"/>
        <v>91.940625000000011</v>
      </c>
      <c r="AN20" s="13">
        <v>20</v>
      </c>
      <c r="AO20" s="1">
        <f t="shared" si="13"/>
        <v>47.820499999999996</v>
      </c>
      <c r="AP20" s="1154">
        <f t="shared" si="14"/>
        <v>956.40999999999985</v>
      </c>
      <c r="AR20" s="1154">
        <f t="shared" si="15"/>
        <v>1838.8125000000002</v>
      </c>
      <c r="AU20" s="1">
        <v>136.63</v>
      </c>
      <c r="AV20" s="240">
        <f t="shared" si="4"/>
        <v>-0.47987627884844175</v>
      </c>
      <c r="BD20" s="726">
        <v>115</v>
      </c>
      <c r="BE20" s="13">
        <v>50</v>
      </c>
      <c r="BF20" s="1">
        <v>15.399999999999999</v>
      </c>
      <c r="BG20" s="1154">
        <v>769.99999999999989</v>
      </c>
    </row>
    <row r="21" spans="1:59" x14ac:dyDescent="0.2">
      <c r="A21" s="1139" t="s">
        <v>8368</v>
      </c>
      <c r="B21" s="1140">
        <v>133.05000000000001</v>
      </c>
      <c r="C21" s="1141">
        <v>1500</v>
      </c>
      <c r="D21" s="1141">
        <v>30</v>
      </c>
      <c r="F21" s="13">
        <v>132</v>
      </c>
      <c r="G21" s="1219"/>
      <c r="I21" s="1143">
        <f t="shared" si="5"/>
        <v>601.25099999999998</v>
      </c>
      <c r="J21" s="1143"/>
      <c r="K21" s="1144">
        <f t="shared" si="0"/>
        <v>90.187650000000005</v>
      </c>
      <c r="L21" s="1145">
        <f t="shared" si="6"/>
        <v>300</v>
      </c>
      <c r="M21" s="1146">
        <f t="shared" si="1"/>
        <v>27056.295000000002</v>
      </c>
      <c r="N21" s="1144">
        <f t="shared" si="7"/>
        <v>150.31274999999999</v>
      </c>
      <c r="O21" s="1145">
        <f t="shared" si="8"/>
        <v>30</v>
      </c>
      <c r="P21" s="1146">
        <f t="shared" si="9"/>
        <v>4509.3824999999997</v>
      </c>
      <c r="S21" s="1">
        <f t="shared" si="10"/>
        <v>17</v>
      </c>
      <c r="T21" s="1">
        <f t="shared" si="11"/>
        <v>133.05000000000001</v>
      </c>
      <c r="U21" s="726">
        <v>17</v>
      </c>
      <c r="V21" s="1">
        <v>26.999999999999996</v>
      </c>
      <c r="W21" s="1">
        <f t="shared" si="2"/>
        <v>19.957500000000003</v>
      </c>
      <c r="Y21" s="240">
        <f t="shared" si="12"/>
        <v>0.35287485907553506</v>
      </c>
      <c r="AA21" s="1321">
        <v>20</v>
      </c>
      <c r="AB21" s="1322">
        <v>37.5</v>
      </c>
      <c r="AC21" s="1322">
        <v>23.872500000000006</v>
      </c>
      <c r="AD21" s="1323">
        <v>0</v>
      </c>
      <c r="AE21" s="1324">
        <v>0.57084511467169308</v>
      </c>
      <c r="AG21" s="1154"/>
      <c r="AH21" s="1154"/>
      <c r="AJ21" t="s">
        <v>4624</v>
      </c>
      <c r="AL21" s="726">
        <v>221</v>
      </c>
      <c r="AM21" s="1">
        <f t="shared" si="3"/>
        <v>94.320450000000008</v>
      </c>
      <c r="AN21" s="13">
        <v>20</v>
      </c>
      <c r="AO21" s="1">
        <f t="shared" si="13"/>
        <v>49.055999999999997</v>
      </c>
      <c r="AP21" s="1154">
        <f t="shared" si="14"/>
        <v>981.11999999999989</v>
      </c>
      <c r="AR21" s="1154">
        <f t="shared" si="15"/>
        <v>1886.4090000000001</v>
      </c>
      <c r="AU21" s="1">
        <v>140.16</v>
      </c>
      <c r="AV21" s="240">
        <f t="shared" si="4"/>
        <v>-0.47990070021930564</v>
      </c>
      <c r="BD21" s="726">
        <v>116</v>
      </c>
      <c r="BE21" s="13">
        <v>50</v>
      </c>
      <c r="BF21" s="1">
        <v>17.149999999999999</v>
      </c>
      <c r="BG21" s="1154">
        <v>857.49999999999989</v>
      </c>
    </row>
    <row r="22" spans="1:59" x14ac:dyDescent="0.2">
      <c r="A22" s="1139" t="s">
        <v>8369</v>
      </c>
      <c r="B22" s="1140">
        <v>138.72</v>
      </c>
      <c r="C22" s="1141">
        <v>1500</v>
      </c>
      <c r="D22" s="1141">
        <v>30</v>
      </c>
      <c r="F22" s="13">
        <v>136</v>
      </c>
      <c r="G22" s="1219"/>
      <c r="I22" s="1143">
        <f t="shared" si="5"/>
        <v>744.072</v>
      </c>
      <c r="J22" s="1143"/>
      <c r="K22" s="1144">
        <f t="shared" si="0"/>
        <v>111.61080000000001</v>
      </c>
      <c r="L22" s="1145">
        <f t="shared" si="6"/>
        <v>300</v>
      </c>
      <c r="M22" s="1146">
        <f t="shared" si="1"/>
        <v>33483.240000000005</v>
      </c>
      <c r="N22" s="1144">
        <f t="shared" si="7"/>
        <v>186.018</v>
      </c>
      <c r="O22" s="1145">
        <f t="shared" si="8"/>
        <v>30</v>
      </c>
      <c r="P22" s="1146">
        <f t="shared" si="9"/>
        <v>5580.54</v>
      </c>
      <c r="S22" s="1">
        <f t="shared" si="10"/>
        <v>18</v>
      </c>
      <c r="T22" s="1">
        <f t="shared" si="11"/>
        <v>138.72</v>
      </c>
      <c r="U22" s="726">
        <v>18</v>
      </c>
      <c r="V22" s="1">
        <v>28.5</v>
      </c>
      <c r="W22" s="1">
        <f t="shared" si="2"/>
        <v>20.808000000000003</v>
      </c>
      <c r="Y22" s="240">
        <f t="shared" si="12"/>
        <v>0.36966551326412889</v>
      </c>
      <c r="AA22" s="1321">
        <v>21</v>
      </c>
      <c r="AB22" s="1322">
        <v>34.5</v>
      </c>
      <c r="AC22" s="1322">
        <v>26.893500000000003</v>
      </c>
      <c r="AD22" s="1323">
        <v>0</v>
      </c>
      <c r="AE22" s="1324">
        <v>0.28283786044955095</v>
      </c>
      <c r="AG22" s="1154"/>
      <c r="AH22" s="1154"/>
      <c r="AJ22" t="s">
        <v>4624</v>
      </c>
      <c r="AL22" s="726">
        <v>222</v>
      </c>
      <c r="AM22" s="1">
        <f t="shared" si="3"/>
        <v>97.949250000000021</v>
      </c>
      <c r="AN22" s="13">
        <v>20</v>
      </c>
      <c r="AO22" s="1">
        <f t="shared" si="13"/>
        <v>50.945999999999998</v>
      </c>
      <c r="AP22" s="1154">
        <f t="shared" si="14"/>
        <v>1018.92</v>
      </c>
      <c r="AR22" s="1154">
        <f t="shared" si="15"/>
        <v>1958.9850000000004</v>
      </c>
      <c r="AU22" s="1">
        <v>145.56</v>
      </c>
      <c r="AV22" s="240">
        <f t="shared" si="4"/>
        <v>-0.47987350592271005</v>
      </c>
      <c r="BD22" s="726">
        <v>117</v>
      </c>
      <c r="BE22" s="13">
        <v>50</v>
      </c>
      <c r="BF22" s="1">
        <v>18.864999999999998</v>
      </c>
      <c r="BG22" s="1154">
        <v>943.24999999999989</v>
      </c>
    </row>
    <row r="23" spans="1:59" x14ac:dyDescent="0.2">
      <c r="A23" s="1139" t="s">
        <v>8370</v>
      </c>
      <c r="B23" s="1140">
        <v>148.94</v>
      </c>
      <c r="C23" s="1141">
        <v>1000</v>
      </c>
      <c r="D23" s="1141">
        <v>30</v>
      </c>
      <c r="F23" s="13">
        <v>138</v>
      </c>
      <c r="G23" s="1219"/>
      <c r="I23" s="1143">
        <f t="shared" si="5"/>
        <v>808.12200000000007</v>
      </c>
      <c r="J23" s="1143"/>
      <c r="K23" s="1144">
        <f t="shared" si="0"/>
        <v>121.21830000000003</v>
      </c>
      <c r="L23" s="1145">
        <f t="shared" si="6"/>
        <v>300</v>
      </c>
      <c r="M23" s="1146">
        <f t="shared" si="1"/>
        <v>36365.490000000005</v>
      </c>
      <c r="N23" s="1144">
        <f t="shared" si="7"/>
        <v>202.03050000000002</v>
      </c>
      <c r="O23" s="1145">
        <f t="shared" si="8"/>
        <v>30</v>
      </c>
      <c r="P23" s="1146">
        <f t="shared" si="9"/>
        <v>6060.9150000000009</v>
      </c>
      <c r="S23" s="1">
        <f t="shared" si="10"/>
        <v>19</v>
      </c>
      <c r="T23" s="1">
        <f t="shared" si="11"/>
        <v>148.94</v>
      </c>
      <c r="U23" s="726">
        <v>19</v>
      </c>
      <c r="V23" s="1">
        <v>31.500000000000004</v>
      </c>
      <c r="W23" s="1">
        <f t="shared" si="2"/>
        <v>22.341000000000005</v>
      </c>
      <c r="Y23" s="240">
        <f t="shared" si="12"/>
        <v>0.40996374378944522</v>
      </c>
      <c r="AA23" s="1321">
        <v>23</v>
      </c>
      <c r="AB23" s="1322">
        <v>40.5</v>
      </c>
      <c r="AC23" s="1322">
        <v>31.915500000000005</v>
      </c>
      <c r="AD23" s="1323">
        <v>0</v>
      </c>
      <c r="AE23" s="1324">
        <v>0.26897588945810003</v>
      </c>
      <c r="AG23" s="1154"/>
      <c r="AH23" s="1154"/>
      <c r="AJ23" t="s">
        <v>4624</v>
      </c>
      <c r="AL23" s="726">
        <v>223</v>
      </c>
      <c r="AM23" s="1">
        <f t="shared" si="3"/>
        <v>109.10025000000002</v>
      </c>
      <c r="AN23" s="13">
        <v>20</v>
      </c>
      <c r="AO23" s="1">
        <f t="shared" si="13"/>
        <v>56.745499999999993</v>
      </c>
      <c r="AP23" s="1154">
        <f t="shared" si="14"/>
        <v>1134.9099999999999</v>
      </c>
      <c r="AR23" s="1154">
        <f t="shared" si="15"/>
        <v>2182.0050000000001</v>
      </c>
      <c r="AU23" s="1">
        <v>162.13</v>
      </c>
      <c r="AV23" s="240">
        <f t="shared" si="4"/>
        <v>-0.47987745215982558</v>
      </c>
      <c r="BD23" s="726">
        <v>118</v>
      </c>
      <c r="BE23" s="13">
        <v>50</v>
      </c>
      <c r="BF23" s="1">
        <v>20.467999999999996</v>
      </c>
      <c r="BG23" s="1154">
        <v>1023.3999999999999</v>
      </c>
    </row>
    <row r="24" spans="1:59" x14ac:dyDescent="0.2">
      <c r="A24" s="1139" t="s">
        <v>8371</v>
      </c>
      <c r="B24" s="1140">
        <v>159.15</v>
      </c>
      <c r="C24" s="1141">
        <v>1000</v>
      </c>
      <c r="D24" s="1141">
        <v>30</v>
      </c>
      <c r="F24" s="13">
        <v>201</v>
      </c>
      <c r="G24" s="1219"/>
      <c r="I24" s="1143">
        <f t="shared" si="5"/>
        <v>157.26900000000001</v>
      </c>
      <c r="J24" s="1143"/>
      <c r="K24" s="1144">
        <f t="shared" si="0"/>
        <v>23.590350000000004</v>
      </c>
      <c r="L24" s="1145">
        <f t="shared" si="6"/>
        <v>1000</v>
      </c>
      <c r="M24" s="1146">
        <f t="shared" si="1"/>
        <v>23590.350000000006</v>
      </c>
      <c r="N24" s="1144">
        <f t="shared" si="7"/>
        <v>39.317250000000001</v>
      </c>
      <c r="O24" s="1145">
        <f t="shared" si="8"/>
        <v>30</v>
      </c>
      <c r="P24" s="1146">
        <f t="shared" si="9"/>
        <v>1179.5174999999999</v>
      </c>
      <c r="S24" s="1">
        <f t="shared" si="10"/>
        <v>20</v>
      </c>
      <c r="T24" s="1">
        <f t="shared" si="11"/>
        <v>159.15</v>
      </c>
      <c r="U24" s="726">
        <v>20</v>
      </c>
      <c r="V24" s="1">
        <v>37.5</v>
      </c>
      <c r="W24" s="1">
        <f t="shared" si="2"/>
        <v>23.872500000000006</v>
      </c>
      <c r="Y24" s="240">
        <f t="shared" si="12"/>
        <v>0.57084511467169308</v>
      </c>
      <c r="AA24" s="1321">
        <v>24</v>
      </c>
      <c r="AB24" s="1322">
        <v>39</v>
      </c>
      <c r="AC24" s="1322">
        <v>33.355500000000006</v>
      </c>
      <c r="AD24" s="1323">
        <v>0</v>
      </c>
      <c r="AE24" s="1324">
        <v>0.16922246705940536</v>
      </c>
      <c r="AG24" s="1154"/>
      <c r="AH24" s="1154"/>
      <c r="AJ24" t="s">
        <v>4624</v>
      </c>
      <c r="AL24" s="726">
        <v>137</v>
      </c>
      <c r="AM24" s="1">
        <f t="shared" si="3"/>
        <v>115.72155000000004</v>
      </c>
      <c r="AN24" s="13">
        <v>10</v>
      </c>
      <c r="AO24" s="1">
        <f t="shared" si="13"/>
        <v>60.17199999999999</v>
      </c>
      <c r="AP24" s="1154">
        <f t="shared" si="14"/>
        <v>601.71999999999991</v>
      </c>
      <c r="AR24" s="1154">
        <f t="shared" si="15"/>
        <v>1157.2155000000002</v>
      </c>
      <c r="AU24" s="1">
        <v>171.92</v>
      </c>
      <c r="AV24" s="240">
        <f t="shared" si="4"/>
        <v>-0.48002770443361698</v>
      </c>
      <c r="BD24" s="726">
        <v>120</v>
      </c>
      <c r="BE24" s="13">
        <v>42</v>
      </c>
      <c r="BF24" s="1">
        <v>23.208333333333332</v>
      </c>
      <c r="BG24" s="1154">
        <v>974.75</v>
      </c>
    </row>
    <row r="25" spans="1:59" x14ac:dyDescent="0.2">
      <c r="A25" s="1139" t="s">
        <v>8372</v>
      </c>
      <c r="B25" s="1140">
        <v>179.29</v>
      </c>
      <c r="C25" s="1141">
        <v>1000</v>
      </c>
      <c r="D25" s="1141">
        <v>30</v>
      </c>
      <c r="F25" s="13">
        <v>220</v>
      </c>
      <c r="G25" s="1219"/>
      <c r="I25" s="1143">
        <f t="shared" si="5"/>
        <v>612.9375</v>
      </c>
      <c r="J25" s="1143"/>
      <c r="K25" s="1144">
        <f t="shared" si="0"/>
        <v>91.940625000000011</v>
      </c>
      <c r="L25" s="1145">
        <f t="shared" si="6"/>
        <v>400</v>
      </c>
      <c r="M25" s="1146">
        <f t="shared" si="1"/>
        <v>36776.250000000007</v>
      </c>
      <c r="N25" s="1144">
        <f t="shared" si="7"/>
        <v>153.234375</v>
      </c>
      <c r="O25" s="1145">
        <f t="shared" si="8"/>
        <v>30</v>
      </c>
      <c r="P25" s="1146">
        <f t="shared" si="9"/>
        <v>4597.03125</v>
      </c>
      <c r="S25" s="1">
        <f t="shared" si="10"/>
        <v>21</v>
      </c>
      <c r="T25" s="1">
        <f t="shared" si="11"/>
        <v>179.29</v>
      </c>
      <c r="U25" s="726">
        <v>21</v>
      </c>
      <c r="V25" s="1">
        <v>34.5</v>
      </c>
      <c r="W25" s="1">
        <f t="shared" si="2"/>
        <v>26.893500000000003</v>
      </c>
      <c r="Y25" s="240">
        <f t="shared" si="12"/>
        <v>0.28283786044955095</v>
      </c>
      <c r="AA25" s="1321">
        <v>25</v>
      </c>
      <c r="AB25" s="1322">
        <v>40.5</v>
      </c>
      <c r="AC25" s="1322">
        <v>34.833000000000006</v>
      </c>
      <c r="AD25" s="1323">
        <v>0</v>
      </c>
      <c r="AE25" s="1324">
        <v>0.16269055206269889</v>
      </c>
      <c r="AG25" s="1154"/>
      <c r="AH25" s="1154"/>
      <c r="AJ25" t="s">
        <v>4624</v>
      </c>
      <c r="AL25" s="726">
        <v>138</v>
      </c>
      <c r="AM25" s="1">
        <f t="shared" si="3"/>
        <v>121.21830000000003</v>
      </c>
      <c r="AN25" s="13">
        <v>10</v>
      </c>
      <c r="AO25" s="1">
        <f t="shared" si="13"/>
        <v>63.045499999999997</v>
      </c>
      <c r="AP25" s="1154">
        <f t="shared" si="14"/>
        <v>630.45499999999993</v>
      </c>
      <c r="AR25" s="1154">
        <f t="shared" si="15"/>
        <v>1212.1830000000002</v>
      </c>
      <c r="AU25" s="1">
        <v>180.13</v>
      </c>
      <c r="AV25" s="240">
        <f t="shared" si="4"/>
        <v>-0.47990113703953952</v>
      </c>
      <c r="BD25" s="726">
        <v>121</v>
      </c>
      <c r="BE25" s="13">
        <v>20</v>
      </c>
      <c r="BF25" s="1">
        <v>22.939</v>
      </c>
      <c r="BG25" s="1154">
        <v>458.78</v>
      </c>
    </row>
    <row r="26" spans="1:59" x14ac:dyDescent="0.2">
      <c r="A26" s="1139" t="s">
        <v>8373</v>
      </c>
      <c r="B26" s="1140">
        <v>200.09</v>
      </c>
      <c r="C26" s="1141">
        <v>1000</v>
      </c>
      <c r="D26" s="1141">
        <v>30</v>
      </c>
      <c r="F26" s="13">
        <v>222</v>
      </c>
      <c r="G26" s="1219"/>
      <c r="I26" s="1143">
        <f t="shared" si="5"/>
        <v>652.995</v>
      </c>
      <c r="J26" s="1143"/>
      <c r="K26" s="1144">
        <f t="shared" si="0"/>
        <v>97.949250000000021</v>
      </c>
      <c r="L26" s="1145">
        <f t="shared" si="6"/>
        <v>300</v>
      </c>
      <c r="M26" s="1146">
        <f t="shared" si="1"/>
        <v>29384.775000000005</v>
      </c>
      <c r="N26" s="1144">
        <f t="shared" si="7"/>
        <v>163.24875</v>
      </c>
      <c r="O26" s="1145">
        <f t="shared" si="8"/>
        <v>30</v>
      </c>
      <c r="P26" s="1146">
        <f t="shared" si="9"/>
        <v>4897.4624999999996</v>
      </c>
      <c r="S26" s="1">
        <f t="shared" si="10"/>
        <v>22</v>
      </c>
      <c r="T26" s="1">
        <f t="shared" si="11"/>
        <v>200.09</v>
      </c>
      <c r="U26" s="726">
        <v>22</v>
      </c>
      <c r="V26" s="1" t="s">
        <v>8353</v>
      </c>
      <c r="W26" s="1">
        <f t="shared" si="2"/>
        <v>30.013500000000004</v>
      </c>
      <c r="Y26" s="240" t="str">
        <f t="shared" si="12"/>
        <v/>
      </c>
      <c r="AA26" s="1321">
        <v>26</v>
      </c>
      <c r="AB26" s="1322">
        <v>49.5</v>
      </c>
      <c r="AC26" s="1322">
        <v>38.424000000000007</v>
      </c>
      <c r="AD26" s="1323">
        <v>0</v>
      </c>
      <c r="AE26" s="1324">
        <v>0.28825733916302299</v>
      </c>
      <c r="AJ26" t="s">
        <v>4624</v>
      </c>
      <c r="AL26" s="726">
        <v>139</v>
      </c>
      <c r="AM26" s="1">
        <f t="shared" si="3"/>
        <v>123.55717500000003</v>
      </c>
      <c r="AN26" s="13">
        <v>10</v>
      </c>
      <c r="AO26" s="1">
        <f t="shared" si="13"/>
        <v>64.263500000000008</v>
      </c>
      <c r="AP26" s="1154">
        <f t="shared" si="14"/>
        <v>642.6350000000001</v>
      </c>
      <c r="AR26" s="1154">
        <f t="shared" si="15"/>
        <v>1235.5717500000003</v>
      </c>
      <c r="AU26" s="1">
        <v>183.61</v>
      </c>
      <c r="AV26" s="240">
        <f t="shared" si="4"/>
        <v>-0.47988856171242189</v>
      </c>
      <c r="BD26" s="726">
        <v>122</v>
      </c>
      <c r="BE26" s="13">
        <v>20</v>
      </c>
      <c r="BF26" s="1">
        <v>27.824999999999999</v>
      </c>
      <c r="BG26" s="1154">
        <v>556.5</v>
      </c>
    </row>
    <row r="27" spans="1:59" x14ac:dyDescent="0.2">
      <c r="A27" s="1139" t="s">
        <v>8374</v>
      </c>
      <c r="B27" s="1140">
        <v>212.77</v>
      </c>
      <c r="C27" s="1141">
        <v>1000</v>
      </c>
      <c r="D27" s="1141">
        <v>30</v>
      </c>
      <c r="F27" s="13">
        <v>225</v>
      </c>
      <c r="G27" s="1219"/>
      <c r="I27" s="1143">
        <f t="shared" si="5"/>
        <v>883.17600000000004</v>
      </c>
      <c r="J27" s="1143"/>
      <c r="K27" s="1144">
        <f t="shared" si="0"/>
        <v>132.47640000000001</v>
      </c>
      <c r="L27" s="1145">
        <f t="shared" si="6"/>
        <v>200</v>
      </c>
      <c r="M27" s="1146">
        <f t="shared" si="1"/>
        <v>26495.280000000002</v>
      </c>
      <c r="N27" s="1144">
        <f t="shared" si="7"/>
        <v>220.79400000000001</v>
      </c>
      <c r="O27" s="1145">
        <f t="shared" si="8"/>
        <v>30</v>
      </c>
      <c r="P27" s="1146">
        <f t="shared" si="9"/>
        <v>6623.8200000000006</v>
      </c>
      <c r="S27" s="1">
        <f t="shared" si="10"/>
        <v>23</v>
      </c>
      <c r="T27" s="1">
        <f t="shared" si="11"/>
        <v>212.77</v>
      </c>
      <c r="U27" s="726">
        <v>23</v>
      </c>
      <c r="V27" s="1">
        <v>40.5</v>
      </c>
      <c r="W27" s="1">
        <f t="shared" si="2"/>
        <v>31.915500000000005</v>
      </c>
      <c r="Y27" s="240">
        <f t="shared" si="12"/>
        <v>0.26897588945810003</v>
      </c>
      <c r="AA27" s="1321">
        <v>27</v>
      </c>
      <c r="AB27" s="1322">
        <v>49.5</v>
      </c>
      <c r="AC27" s="1322">
        <v>40.594500000000004</v>
      </c>
      <c r="AD27" s="1323">
        <v>0</v>
      </c>
      <c r="AE27" s="1324">
        <v>0.21937700920075365</v>
      </c>
      <c r="AJ27" t="s">
        <v>4624</v>
      </c>
      <c r="AL27" s="726">
        <v>140</v>
      </c>
      <c r="AM27" s="1">
        <f t="shared" si="3"/>
        <v>125.00932500000003</v>
      </c>
      <c r="AN27" s="13">
        <v>10</v>
      </c>
      <c r="AO27" s="1">
        <f t="shared" si="13"/>
        <v>64.963499999999996</v>
      </c>
      <c r="AP27" s="1154">
        <f t="shared" si="14"/>
        <v>649.63499999999999</v>
      </c>
      <c r="AR27" s="1154">
        <f t="shared" si="15"/>
        <v>1250.0932500000004</v>
      </c>
      <c r="AU27" s="1">
        <v>185.61</v>
      </c>
      <c r="AV27" s="240">
        <f t="shared" si="4"/>
        <v>-0.48033076732475777</v>
      </c>
      <c r="BD27" s="726">
        <v>123</v>
      </c>
      <c r="BE27" s="13">
        <v>20</v>
      </c>
      <c r="BF27" s="1">
        <v>29.340499999999999</v>
      </c>
      <c r="BG27" s="1154">
        <v>586.80999999999995</v>
      </c>
    </row>
    <row r="28" spans="1:59" x14ac:dyDescent="0.2">
      <c r="A28" s="1139" t="s">
        <v>8375</v>
      </c>
      <c r="B28" s="1140">
        <v>222.37</v>
      </c>
      <c r="C28" s="1141">
        <v>1000</v>
      </c>
      <c r="D28" s="1141">
        <v>30</v>
      </c>
      <c r="F28" s="13">
        <v>227</v>
      </c>
      <c r="G28" s="1219"/>
      <c r="I28" s="1143">
        <f t="shared" si="5"/>
        <v>946.30200000000002</v>
      </c>
      <c r="J28" s="1143"/>
      <c r="K28" s="1144">
        <f t="shared" si="0"/>
        <v>141.94530000000003</v>
      </c>
      <c r="L28" s="1145">
        <f t="shared" si="6"/>
        <v>200</v>
      </c>
      <c r="M28" s="1146">
        <f t="shared" si="1"/>
        <v>28389.060000000005</v>
      </c>
      <c r="N28" s="1144">
        <f t="shared" si="7"/>
        <v>236.57550000000001</v>
      </c>
      <c r="O28" s="1145">
        <f t="shared" si="8"/>
        <v>30</v>
      </c>
      <c r="P28" s="1146">
        <f t="shared" si="9"/>
        <v>7097.2650000000003</v>
      </c>
      <c r="S28" s="1">
        <f t="shared" si="10"/>
        <v>24</v>
      </c>
      <c r="T28" s="1">
        <f t="shared" si="11"/>
        <v>222.37</v>
      </c>
      <c r="U28" s="726">
        <v>24</v>
      </c>
      <c r="V28" s="1">
        <v>39</v>
      </c>
      <c r="W28" s="1">
        <f t="shared" si="2"/>
        <v>33.355500000000006</v>
      </c>
      <c r="Y28" s="240">
        <f t="shared" si="12"/>
        <v>0.16922246705940536</v>
      </c>
      <c r="AA28" s="1321">
        <v>28</v>
      </c>
      <c r="AB28" s="1322">
        <v>46.5</v>
      </c>
      <c r="AC28" s="1322">
        <v>45.318000000000005</v>
      </c>
      <c r="AD28" s="1323">
        <v>0</v>
      </c>
      <c r="AE28" s="1324">
        <v>2.608235138355619E-2</v>
      </c>
      <c r="AJ28" t="s">
        <v>4624</v>
      </c>
      <c r="AL28" s="726">
        <v>141</v>
      </c>
      <c r="AM28" s="1">
        <f t="shared" si="3"/>
        <v>125.11012500000004</v>
      </c>
      <c r="AN28" s="13">
        <v>10</v>
      </c>
      <c r="AO28" s="1">
        <f t="shared" si="13"/>
        <v>65.071999999999989</v>
      </c>
      <c r="AP28" s="1154">
        <f t="shared" si="14"/>
        <v>650.71999999999991</v>
      </c>
      <c r="AR28" s="1154">
        <f t="shared" si="15"/>
        <v>1251.1012500000004</v>
      </c>
      <c r="AU28" s="1">
        <v>185.92</v>
      </c>
      <c r="AV28" s="240">
        <f t="shared" si="4"/>
        <v>-0.47988222376086698</v>
      </c>
      <c r="BD28" s="726">
        <v>124</v>
      </c>
      <c r="BE28" s="13">
        <v>20</v>
      </c>
      <c r="BF28" s="1">
        <v>31.849999999999998</v>
      </c>
      <c r="BG28" s="1154">
        <v>637</v>
      </c>
    </row>
    <row r="29" spans="1:59" x14ac:dyDescent="0.2">
      <c r="A29" s="1139" t="s">
        <v>8376</v>
      </c>
      <c r="B29" s="1140">
        <v>232.22</v>
      </c>
      <c r="C29" s="1141">
        <v>700</v>
      </c>
      <c r="D29" s="1141">
        <v>30</v>
      </c>
      <c r="F29" s="13">
        <v>234</v>
      </c>
      <c r="G29" s="1219"/>
      <c r="I29" s="1143">
        <f t="shared" si="5"/>
        <v>1583.7570000000001</v>
      </c>
      <c r="J29" s="1143"/>
      <c r="K29" s="1144">
        <f t="shared" si="0"/>
        <v>237.56355000000005</v>
      </c>
      <c r="L29" s="1145">
        <f t="shared" si="6"/>
        <v>150</v>
      </c>
      <c r="M29" s="1146">
        <f t="shared" si="1"/>
        <v>35634.532500000008</v>
      </c>
      <c r="N29" s="1144">
        <f t="shared" si="7"/>
        <v>395.93925000000002</v>
      </c>
      <c r="O29" s="1145">
        <f t="shared" si="8"/>
        <v>30</v>
      </c>
      <c r="P29" s="1146">
        <f t="shared" si="9"/>
        <v>11878.1775</v>
      </c>
      <c r="S29" s="1">
        <f t="shared" si="10"/>
        <v>25</v>
      </c>
      <c r="T29" s="1">
        <f t="shared" si="11"/>
        <v>232.22</v>
      </c>
      <c r="U29" s="726">
        <v>25</v>
      </c>
      <c r="V29" s="1">
        <v>40.5</v>
      </c>
      <c r="W29" s="1">
        <f t="shared" si="2"/>
        <v>34.833000000000006</v>
      </c>
      <c r="Y29" s="240">
        <f t="shared" si="12"/>
        <v>0.16269055206269889</v>
      </c>
      <c r="AA29" s="1321">
        <v>29</v>
      </c>
      <c r="AB29" s="1322">
        <v>63.000000000000007</v>
      </c>
      <c r="AC29" s="1322">
        <v>55.105500000000006</v>
      </c>
      <c r="AD29" s="1323">
        <v>0</v>
      </c>
      <c r="AE29" s="1324">
        <v>0.14326156191305772</v>
      </c>
      <c r="AJ29" t="s">
        <v>4624</v>
      </c>
      <c r="AL29" s="726">
        <v>142</v>
      </c>
      <c r="AM29" s="1">
        <f t="shared" si="3"/>
        <v>136.31940000000003</v>
      </c>
      <c r="AN29" s="13">
        <v>10</v>
      </c>
      <c r="AO29" s="1">
        <f t="shared" si="13"/>
        <v>70.903000000000006</v>
      </c>
      <c r="AP29" s="1154">
        <f t="shared" si="14"/>
        <v>709.03000000000009</v>
      </c>
      <c r="AR29" s="1154">
        <f t="shared" si="15"/>
        <v>1363.1940000000004</v>
      </c>
      <c r="AU29" s="1">
        <v>202.58</v>
      </c>
      <c r="AV29" s="240">
        <f t="shared" si="4"/>
        <v>-0.47987593842109055</v>
      </c>
      <c r="BD29" s="726">
        <v>125</v>
      </c>
      <c r="BE29" s="13">
        <v>16</v>
      </c>
      <c r="BF29" s="1">
        <v>41.3</v>
      </c>
      <c r="BG29" s="1154">
        <v>660.8</v>
      </c>
    </row>
    <row r="30" spans="1:59" x14ac:dyDescent="0.2">
      <c r="A30" s="1139" t="s">
        <v>8377</v>
      </c>
      <c r="B30" s="1140">
        <v>256.16000000000003</v>
      </c>
      <c r="C30" s="1141">
        <v>700</v>
      </c>
      <c r="D30" s="1141">
        <v>30</v>
      </c>
      <c r="F30" s="13">
        <v>240</v>
      </c>
      <c r="G30" s="1219"/>
      <c r="I30" s="1143">
        <f t="shared" si="5"/>
        <v>2055.8789999999999</v>
      </c>
      <c r="J30" s="1143"/>
      <c r="K30" s="1144">
        <f t="shared" si="0"/>
        <v>308.38185000000004</v>
      </c>
      <c r="L30" s="1145">
        <f t="shared" si="6"/>
        <v>100</v>
      </c>
      <c r="M30" s="1146">
        <f t="shared" si="1"/>
        <v>30838.185000000005</v>
      </c>
      <c r="N30" s="1144">
        <f t="shared" si="7"/>
        <v>513.96974999999998</v>
      </c>
      <c r="O30" s="1145">
        <f t="shared" si="8"/>
        <v>30</v>
      </c>
      <c r="P30" s="1146">
        <f t="shared" si="9"/>
        <v>15419.092499999999</v>
      </c>
      <c r="S30" s="1">
        <f t="shared" si="10"/>
        <v>26</v>
      </c>
      <c r="T30" s="1">
        <f t="shared" si="11"/>
        <v>256.16000000000003</v>
      </c>
      <c r="U30" s="726">
        <v>26</v>
      </c>
      <c r="V30" s="1">
        <v>49.5</v>
      </c>
      <c r="W30" s="1">
        <f t="shared" si="2"/>
        <v>38.424000000000007</v>
      </c>
      <c r="Y30" s="240">
        <f t="shared" si="12"/>
        <v>0.28825733916302299</v>
      </c>
      <c r="AA30" s="1321">
        <v>30</v>
      </c>
      <c r="AB30" s="1322">
        <v>70.5</v>
      </c>
      <c r="AC30" s="1322">
        <v>64.168500000000009</v>
      </c>
      <c r="AD30" s="1323">
        <v>0</v>
      </c>
      <c r="AE30" s="1324">
        <v>9.8669908132494877E-2</v>
      </c>
      <c r="AJ30" t="s">
        <v>4624</v>
      </c>
      <c r="AL30" s="726">
        <v>143</v>
      </c>
      <c r="AM30" s="1">
        <f t="shared" si="3"/>
        <v>141.63502500000004</v>
      </c>
      <c r="AN30" s="13">
        <v>10</v>
      </c>
      <c r="AO30" s="1">
        <f t="shared" si="13"/>
        <v>73.703000000000003</v>
      </c>
      <c r="AP30" s="1154">
        <f t="shared" si="14"/>
        <v>737.03</v>
      </c>
      <c r="AR30" s="1154">
        <f t="shared" si="15"/>
        <v>1416.3502500000004</v>
      </c>
      <c r="AU30" s="1">
        <v>210.58</v>
      </c>
      <c r="AV30" s="240">
        <f t="shared" si="4"/>
        <v>-0.47962730263930142</v>
      </c>
      <c r="BD30" s="726">
        <v>126</v>
      </c>
      <c r="BE30" s="13">
        <v>20</v>
      </c>
      <c r="BF30" s="1">
        <v>35.892499999999998</v>
      </c>
      <c r="BG30" s="1154">
        <v>717.84999999999991</v>
      </c>
    </row>
    <row r="31" spans="1:59" x14ac:dyDescent="0.2">
      <c r="A31" s="1139" t="s">
        <v>8378</v>
      </c>
      <c r="B31" s="1140">
        <v>270.63</v>
      </c>
      <c r="C31" s="1141">
        <v>700</v>
      </c>
      <c r="D31" s="1141">
        <v>30</v>
      </c>
      <c r="F31" s="13">
        <v>312</v>
      </c>
      <c r="G31" s="1219"/>
      <c r="I31" s="1143">
        <f t="shared" si="5"/>
        <v>553.12950000000001</v>
      </c>
      <c r="J31" s="1143"/>
      <c r="K31" s="1144">
        <f t="shared" si="0"/>
        <v>82.969425000000015</v>
      </c>
      <c r="L31" s="1145">
        <f t="shared" si="6"/>
        <v>400</v>
      </c>
      <c r="M31" s="1146">
        <f t="shared" si="1"/>
        <v>33187.770000000004</v>
      </c>
      <c r="N31" s="1144">
        <f t="shared" si="7"/>
        <v>138.282375</v>
      </c>
      <c r="O31" s="1145">
        <f t="shared" si="8"/>
        <v>30</v>
      </c>
      <c r="P31" s="1146">
        <f t="shared" si="9"/>
        <v>4148.4712500000005</v>
      </c>
      <c r="S31" s="1">
        <f t="shared" si="10"/>
        <v>27</v>
      </c>
      <c r="T31" s="1">
        <f t="shared" si="11"/>
        <v>270.63</v>
      </c>
      <c r="U31" s="726">
        <v>27</v>
      </c>
      <c r="V31" s="1">
        <v>49.5</v>
      </c>
      <c r="W31" s="1">
        <f t="shared" si="2"/>
        <v>40.594500000000004</v>
      </c>
      <c r="Y31" s="240">
        <f t="shared" si="12"/>
        <v>0.21937700920075365</v>
      </c>
      <c r="AA31" s="1321">
        <v>31</v>
      </c>
      <c r="AB31" s="1322">
        <v>85.5</v>
      </c>
      <c r="AC31" s="1322">
        <v>69.571500000000015</v>
      </c>
      <c r="AD31" s="1323">
        <v>0</v>
      </c>
      <c r="AE31" s="1324">
        <v>0.22895151031672434</v>
      </c>
      <c r="AJ31" t="s">
        <v>4624</v>
      </c>
      <c r="AL31" s="726">
        <v>144</v>
      </c>
      <c r="AM31" s="1">
        <f t="shared" si="3"/>
        <v>142.16580000000002</v>
      </c>
      <c r="AN31" s="13">
        <v>10</v>
      </c>
      <c r="AO31" s="1">
        <f t="shared" si="13"/>
        <v>73.909499999999994</v>
      </c>
      <c r="AP31" s="1154">
        <f t="shared" si="14"/>
        <v>739.09499999999991</v>
      </c>
      <c r="AR31" s="1154">
        <f t="shared" si="15"/>
        <v>1421.6580000000001</v>
      </c>
      <c r="AU31" s="1">
        <v>211.17</v>
      </c>
      <c r="AV31" s="240">
        <f t="shared" si="4"/>
        <v>-0.48011758102159607</v>
      </c>
      <c r="BD31" s="726">
        <v>127</v>
      </c>
      <c r="BE31" s="13">
        <v>20</v>
      </c>
      <c r="BF31" s="1">
        <v>40.074999999999996</v>
      </c>
      <c r="BG31" s="1154">
        <v>801.49999999999989</v>
      </c>
    </row>
    <row r="32" spans="1:59" x14ac:dyDescent="0.2">
      <c r="A32" s="1139" t="s">
        <v>8379</v>
      </c>
      <c r="B32" s="1140">
        <v>302.12</v>
      </c>
      <c r="C32" s="1141">
        <v>700</v>
      </c>
      <c r="D32" s="1141">
        <v>30</v>
      </c>
      <c r="F32" s="13">
        <v>316</v>
      </c>
      <c r="G32" s="1219"/>
      <c r="I32" s="1143">
        <f t="shared" si="5"/>
        <v>743.86200000000008</v>
      </c>
      <c r="J32" s="1143"/>
      <c r="K32" s="1144">
        <f t="shared" si="0"/>
        <v>111.57930000000003</v>
      </c>
      <c r="L32" s="1145">
        <f t="shared" si="6"/>
        <v>250</v>
      </c>
      <c r="M32" s="1146">
        <f t="shared" si="1"/>
        <v>27894.825000000008</v>
      </c>
      <c r="N32" s="1396">
        <f t="shared" si="7"/>
        <v>185.96550000000002</v>
      </c>
      <c r="O32" s="1397">
        <f t="shared" si="8"/>
        <v>30</v>
      </c>
      <c r="P32" s="1398">
        <f t="shared" si="9"/>
        <v>5578.9650000000001</v>
      </c>
      <c r="S32" s="1">
        <f t="shared" si="10"/>
        <v>28</v>
      </c>
      <c r="T32" s="1">
        <f t="shared" si="11"/>
        <v>302.12</v>
      </c>
      <c r="U32" s="726">
        <v>28</v>
      </c>
      <c r="V32" s="1">
        <v>46.5</v>
      </c>
      <c r="W32" s="1">
        <f t="shared" si="2"/>
        <v>45.318000000000005</v>
      </c>
      <c r="Y32" s="240">
        <f t="shared" si="12"/>
        <v>2.608235138355619E-2</v>
      </c>
      <c r="AA32" s="1321">
        <v>32</v>
      </c>
      <c r="AB32" s="1322">
        <v>84</v>
      </c>
      <c r="AC32" s="1322">
        <v>74.679000000000016</v>
      </c>
      <c r="AD32" s="1323">
        <v>0</v>
      </c>
      <c r="AE32" s="1324">
        <v>0.12481420479652883</v>
      </c>
      <c r="AJ32" t="s">
        <v>4624</v>
      </c>
      <c r="AL32" s="726">
        <v>145</v>
      </c>
      <c r="AM32" s="1">
        <f t="shared" si="3"/>
        <v>142.99267500000002</v>
      </c>
      <c r="AN32" s="13">
        <v>10</v>
      </c>
      <c r="AO32" s="1">
        <f t="shared" si="13"/>
        <v>74.371499999999997</v>
      </c>
      <c r="AP32" s="1154">
        <f t="shared" si="14"/>
        <v>743.71499999999992</v>
      </c>
      <c r="AR32" s="1154">
        <f t="shared" si="15"/>
        <v>1429.9267500000001</v>
      </c>
      <c r="AU32" s="1">
        <v>212.49</v>
      </c>
      <c r="AV32" s="240">
        <f t="shared" si="4"/>
        <v>-0.47989293857185356</v>
      </c>
      <c r="AW32">
        <f>+AU32*AN32</f>
        <v>2124.9</v>
      </c>
      <c r="AY32">
        <f>+AW32/AN32</f>
        <v>212.49</v>
      </c>
      <c r="BD32" s="726">
        <v>128</v>
      </c>
      <c r="BE32" s="13">
        <v>20</v>
      </c>
      <c r="BF32" s="1">
        <v>39.8825</v>
      </c>
      <c r="BG32" s="1154">
        <v>797.65</v>
      </c>
    </row>
    <row r="33" spans="1:59" x14ac:dyDescent="0.2">
      <c r="A33" s="1139" t="s">
        <v>8380</v>
      </c>
      <c r="B33" s="1140">
        <v>367.37</v>
      </c>
      <c r="C33" s="1141">
        <v>500</v>
      </c>
      <c r="D33" s="1141">
        <v>30</v>
      </c>
      <c r="F33" s="13">
        <v>317</v>
      </c>
      <c r="G33" s="1219"/>
      <c r="I33" s="1143">
        <f t="shared" si="5"/>
        <v>797.64300000000003</v>
      </c>
      <c r="J33" s="1143"/>
      <c r="K33" s="1144">
        <f t="shared" si="0"/>
        <v>119.64645000000002</v>
      </c>
      <c r="L33" s="1145">
        <f t="shared" si="6"/>
        <v>250</v>
      </c>
      <c r="M33" s="1146">
        <f t="shared" si="1"/>
        <v>29911.612500000003</v>
      </c>
      <c r="N33" s="1396">
        <f t="shared" si="7"/>
        <v>199.41075000000001</v>
      </c>
      <c r="O33" s="1397">
        <f t="shared" si="8"/>
        <v>30</v>
      </c>
      <c r="P33" s="1398">
        <f t="shared" si="9"/>
        <v>5982.3225000000002</v>
      </c>
      <c r="S33" s="1">
        <f t="shared" si="10"/>
        <v>29</v>
      </c>
      <c r="T33" s="1">
        <f t="shared" si="11"/>
        <v>367.37</v>
      </c>
      <c r="U33" s="726">
        <v>29</v>
      </c>
      <c r="V33" s="1">
        <v>63.000000000000007</v>
      </c>
      <c r="W33" s="1">
        <f t="shared" si="2"/>
        <v>55.105500000000006</v>
      </c>
      <c r="Y33" s="240">
        <f t="shared" si="12"/>
        <v>0.14326156191305772</v>
      </c>
      <c r="AA33" s="1321">
        <v>33</v>
      </c>
      <c r="AB33" s="1322">
        <v>87</v>
      </c>
      <c r="AC33" s="1322">
        <v>79.785000000000011</v>
      </c>
      <c r="AD33" s="1323">
        <v>0</v>
      </c>
      <c r="AE33" s="1324">
        <v>9.0430532054897483E-2</v>
      </c>
      <c r="AJ33" t="s">
        <v>4624</v>
      </c>
      <c r="AL33" s="726">
        <v>146</v>
      </c>
      <c r="AM33" s="1">
        <f t="shared" si="3"/>
        <v>146.70337500000002</v>
      </c>
      <c r="AN33" s="13">
        <v>5</v>
      </c>
      <c r="AO33" s="1">
        <f t="shared" si="13"/>
        <v>75.599999999999994</v>
      </c>
      <c r="AP33" s="1154">
        <f t="shared" si="14"/>
        <v>378</v>
      </c>
      <c r="AR33" s="1154">
        <f t="shared" si="15"/>
        <v>733.51687500000014</v>
      </c>
      <c r="AU33" s="1">
        <f>+AW33/AN33</f>
        <v>216</v>
      </c>
      <c r="AV33" s="240">
        <f t="shared" si="4"/>
        <v>-0.48467443233667951</v>
      </c>
      <c r="AW33">
        <v>1080</v>
      </c>
      <c r="AY33">
        <f t="shared" ref="AY33:AY41" si="16">+AW33/AN33</f>
        <v>216</v>
      </c>
      <c r="BD33" s="726">
        <v>129</v>
      </c>
      <c r="BE33" s="13">
        <v>20</v>
      </c>
      <c r="BF33" s="1">
        <v>40.879999999999995</v>
      </c>
      <c r="BG33" s="1154">
        <v>817.59999999999991</v>
      </c>
    </row>
    <row r="34" spans="1:59" x14ac:dyDescent="0.2">
      <c r="A34" s="1139" t="s">
        <v>8381</v>
      </c>
      <c r="B34" s="1140">
        <v>427.79</v>
      </c>
      <c r="C34" s="1141">
        <v>500</v>
      </c>
      <c r="D34" s="1141">
        <v>30</v>
      </c>
      <c r="F34" s="13">
        <v>318</v>
      </c>
      <c r="G34" s="1219"/>
      <c r="I34" s="1143">
        <f t="shared" si="5"/>
        <v>876.13049999999998</v>
      </c>
      <c r="J34" s="1143"/>
      <c r="K34" s="1144">
        <f t="shared" si="0"/>
        <v>131.41957500000001</v>
      </c>
      <c r="L34" s="1145">
        <f t="shared" si="6"/>
        <v>250</v>
      </c>
      <c r="M34" s="1146">
        <f t="shared" si="1"/>
        <v>32854.893750000003</v>
      </c>
      <c r="N34" s="1144">
        <f t="shared" si="7"/>
        <v>219.032625</v>
      </c>
      <c r="O34" s="1145">
        <f t="shared" si="8"/>
        <v>30</v>
      </c>
      <c r="P34" s="1146">
        <f t="shared" si="9"/>
        <v>6570.9787500000002</v>
      </c>
      <c r="S34" s="1">
        <f t="shared" si="10"/>
        <v>30</v>
      </c>
      <c r="T34" s="1">
        <f t="shared" si="11"/>
        <v>427.79</v>
      </c>
      <c r="U34" s="726">
        <v>30</v>
      </c>
      <c r="V34" s="1">
        <v>70.5</v>
      </c>
      <c r="W34" s="1">
        <f t="shared" si="2"/>
        <v>64.168500000000009</v>
      </c>
      <c r="Y34" s="240">
        <f t="shared" si="12"/>
        <v>9.8669908132494877E-2</v>
      </c>
      <c r="AA34" s="1321">
        <v>34</v>
      </c>
      <c r="AB34" s="1322">
        <v>107.99999999999999</v>
      </c>
      <c r="AC34" s="1322">
        <v>84.850500000000011</v>
      </c>
      <c r="AD34" s="1323">
        <v>0</v>
      </c>
      <c r="AE34" s="1324">
        <v>0.27282691321795349</v>
      </c>
      <c r="AJ34" t="s">
        <v>4624</v>
      </c>
      <c r="AL34" s="726">
        <v>147</v>
      </c>
      <c r="AM34" s="1">
        <f t="shared" si="3"/>
        <v>163.760625</v>
      </c>
      <c r="AN34" s="13">
        <v>5</v>
      </c>
      <c r="AO34" s="1">
        <f t="shared" si="13"/>
        <v>85.11999999999999</v>
      </c>
      <c r="AP34" s="1154">
        <f t="shared" si="14"/>
        <v>425.59999999999997</v>
      </c>
      <c r="AR34" s="1154">
        <f t="shared" si="15"/>
        <v>818.80312500000002</v>
      </c>
      <c r="AU34" s="1">
        <f t="shared" ref="AU34:AU41" si="17">+AW34/AN34</f>
        <v>243.2</v>
      </c>
      <c r="AV34" s="240">
        <f t="shared" si="4"/>
        <v>-0.48021693248911335</v>
      </c>
      <c r="AW34">
        <v>1216</v>
      </c>
      <c r="AY34">
        <f t="shared" si="16"/>
        <v>243.2</v>
      </c>
      <c r="BD34" s="726">
        <v>130</v>
      </c>
      <c r="BE34" s="13">
        <v>20</v>
      </c>
      <c r="BF34" s="1">
        <v>43.697499999999998</v>
      </c>
      <c r="BG34" s="1154">
        <v>873.94999999999993</v>
      </c>
    </row>
    <row r="35" spans="1:59" x14ac:dyDescent="0.2">
      <c r="A35" s="1139" t="s">
        <v>8382</v>
      </c>
      <c r="B35" s="1140">
        <v>463.81</v>
      </c>
      <c r="C35" s="1141">
        <v>500</v>
      </c>
      <c r="D35" s="1141">
        <v>30</v>
      </c>
      <c r="F35" s="13">
        <v>327</v>
      </c>
      <c r="G35" s="1219"/>
      <c r="I35" s="1143">
        <f t="shared" si="5"/>
        <v>1446.3330000000001</v>
      </c>
      <c r="J35" s="1143"/>
      <c r="K35" s="1144">
        <f t="shared" si="0"/>
        <v>216.94995000000006</v>
      </c>
      <c r="L35" s="1145">
        <f t="shared" si="6"/>
        <v>150</v>
      </c>
      <c r="M35" s="1146">
        <f t="shared" si="1"/>
        <v>32542.492500000008</v>
      </c>
      <c r="N35" s="1144">
        <f t="shared" si="7"/>
        <v>361.58325000000002</v>
      </c>
      <c r="O35" s="1145">
        <f t="shared" si="8"/>
        <v>30</v>
      </c>
      <c r="P35" s="1146">
        <f t="shared" si="9"/>
        <v>10847.497500000001</v>
      </c>
      <c r="S35" s="1">
        <f t="shared" si="10"/>
        <v>31</v>
      </c>
      <c r="T35" s="1">
        <f t="shared" si="11"/>
        <v>463.81</v>
      </c>
      <c r="U35" s="726">
        <v>31</v>
      </c>
      <c r="V35" s="1">
        <v>85.5</v>
      </c>
      <c r="W35" s="1">
        <f t="shared" si="2"/>
        <v>69.571500000000015</v>
      </c>
      <c r="Y35" s="240">
        <f t="shared" si="12"/>
        <v>0.22895151031672434</v>
      </c>
      <c r="AA35" s="1321">
        <v>35</v>
      </c>
      <c r="AB35" s="1322">
        <v>112.5</v>
      </c>
      <c r="AC35" s="1322">
        <v>89.190000000000012</v>
      </c>
      <c r="AD35" s="1323">
        <v>0</v>
      </c>
      <c r="AE35" s="1324">
        <v>0.26135216952573148</v>
      </c>
      <c r="AJ35" t="s">
        <v>21564</v>
      </c>
      <c r="AL35" s="726">
        <v>148</v>
      </c>
      <c r="AM35" s="1">
        <f t="shared" si="3"/>
        <v>168.70140000000001</v>
      </c>
      <c r="AN35" s="13">
        <v>5</v>
      </c>
      <c r="AO35" s="1">
        <f t="shared" si="13"/>
        <v>87.71</v>
      </c>
      <c r="AP35" s="1154">
        <f t="shared" si="14"/>
        <v>438.54999999999995</v>
      </c>
      <c r="AR35" s="1154">
        <f t="shared" si="15"/>
        <v>843.50700000000006</v>
      </c>
      <c r="AU35" s="1">
        <f t="shared" si="17"/>
        <v>250.6</v>
      </c>
      <c r="AV35" s="240">
        <f t="shared" si="4"/>
        <v>-0.4800873021800649</v>
      </c>
      <c r="AW35">
        <v>1253</v>
      </c>
      <c r="AY35">
        <f t="shared" si="16"/>
        <v>250.6</v>
      </c>
      <c r="BD35" s="726">
        <v>131</v>
      </c>
      <c r="BE35" s="13">
        <v>20</v>
      </c>
      <c r="BF35" s="1">
        <v>45.132499999999993</v>
      </c>
      <c r="BG35" s="1154">
        <v>902.64999999999986</v>
      </c>
    </row>
    <row r="36" spans="1:59" x14ac:dyDescent="0.2">
      <c r="A36" s="1139" t="s">
        <v>8383</v>
      </c>
      <c r="B36" s="1140">
        <v>497.86</v>
      </c>
      <c r="C36" s="1141">
        <v>400</v>
      </c>
      <c r="D36" s="1141">
        <v>30</v>
      </c>
      <c r="F36" s="13">
        <v>330</v>
      </c>
      <c r="G36" s="1219"/>
      <c r="I36" s="1143">
        <f t="shared" si="5"/>
        <v>1813.4235000000001</v>
      </c>
      <c r="J36" s="1143"/>
      <c r="K36" s="1144">
        <f t="shared" si="0"/>
        <v>272.01352500000007</v>
      </c>
      <c r="L36" s="1145">
        <f t="shared" si="6"/>
        <v>120</v>
      </c>
      <c r="M36" s="1146">
        <f t="shared" si="1"/>
        <v>32641.623000000007</v>
      </c>
      <c r="N36" s="1144">
        <f t="shared" si="7"/>
        <v>453.35587500000003</v>
      </c>
      <c r="O36" s="1145">
        <f t="shared" si="8"/>
        <v>30</v>
      </c>
      <c r="P36" s="1146">
        <f t="shared" si="9"/>
        <v>13600.67625</v>
      </c>
      <c r="S36" s="1">
        <f t="shared" si="10"/>
        <v>32</v>
      </c>
      <c r="T36" s="1">
        <f t="shared" si="11"/>
        <v>497.86</v>
      </c>
      <c r="U36" s="726">
        <v>32</v>
      </c>
      <c r="V36" s="1">
        <v>84</v>
      </c>
      <c r="W36" s="1">
        <f t="shared" si="2"/>
        <v>74.679000000000016</v>
      </c>
      <c r="Y36" s="240">
        <f t="shared" si="12"/>
        <v>0.12481420479652883</v>
      </c>
      <c r="AA36" s="1321">
        <v>36</v>
      </c>
      <c r="AB36" s="1322">
        <v>124.5</v>
      </c>
      <c r="AC36" s="1322">
        <v>106.45800000000003</v>
      </c>
      <c r="AD36" s="1323">
        <v>0</v>
      </c>
      <c r="AE36" s="1324">
        <v>0.16947528602829265</v>
      </c>
      <c r="AJ36" t="s">
        <v>21564</v>
      </c>
      <c r="AL36" s="726">
        <v>149</v>
      </c>
      <c r="AM36" s="1">
        <f t="shared" si="3"/>
        <v>177.18907500000003</v>
      </c>
      <c r="AN36" s="13">
        <v>5</v>
      </c>
      <c r="AO36" s="1">
        <f t="shared" si="13"/>
        <v>92.11999999999999</v>
      </c>
      <c r="AP36" s="1154">
        <f t="shared" si="14"/>
        <v>460.59999999999997</v>
      </c>
      <c r="AR36" s="1154">
        <f t="shared" si="15"/>
        <v>885.94537500000013</v>
      </c>
      <c r="AU36" s="1">
        <f t="shared" si="17"/>
        <v>263.2</v>
      </c>
      <c r="AV36" s="240">
        <f t="shared" si="4"/>
        <v>-0.48010338673532793</v>
      </c>
      <c r="AW36">
        <v>1316</v>
      </c>
      <c r="AY36">
        <f t="shared" si="16"/>
        <v>263.2</v>
      </c>
      <c r="BD36" s="726">
        <v>132</v>
      </c>
      <c r="BE36" s="13">
        <v>20</v>
      </c>
      <c r="BF36" s="1">
        <v>46.9</v>
      </c>
      <c r="BG36" s="1154">
        <v>938</v>
      </c>
    </row>
    <row r="37" spans="1:59" x14ac:dyDescent="0.2">
      <c r="A37" s="1139" t="s">
        <v>8384</v>
      </c>
      <c r="B37" s="1140">
        <v>531.9</v>
      </c>
      <c r="C37" s="1141">
        <v>400</v>
      </c>
      <c r="D37" s="1141">
        <v>30</v>
      </c>
      <c r="F37" s="13"/>
      <c r="G37" s="1219"/>
      <c r="I37" s="1143">
        <f t="shared" si="5"/>
        <v>0</v>
      </c>
      <c r="J37" s="1143"/>
      <c r="K37" s="1144">
        <f t="shared" si="0"/>
        <v>0</v>
      </c>
      <c r="L37" s="1145">
        <f t="shared" si="6"/>
        <v>2500</v>
      </c>
      <c r="M37" s="1146">
        <f t="shared" si="1"/>
        <v>0</v>
      </c>
      <c r="N37" s="1144">
        <f t="shared" si="7"/>
        <v>0</v>
      </c>
      <c r="O37" s="1145">
        <f t="shared" si="8"/>
        <v>50</v>
      </c>
      <c r="P37" s="1146">
        <f t="shared" si="9"/>
        <v>0</v>
      </c>
      <c r="S37" s="1">
        <f t="shared" si="10"/>
        <v>33</v>
      </c>
      <c r="T37" s="1">
        <f t="shared" si="11"/>
        <v>531.9</v>
      </c>
      <c r="U37" s="726">
        <v>33</v>
      </c>
      <c r="V37" s="1">
        <v>87</v>
      </c>
      <c r="W37" s="1">
        <f t="shared" si="2"/>
        <v>79.785000000000011</v>
      </c>
      <c r="Y37" s="240">
        <f t="shared" si="12"/>
        <v>9.0430532054897483E-2</v>
      </c>
      <c r="AA37" s="1321">
        <v>37</v>
      </c>
      <c r="AB37" s="1322">
        <v>127.50000000000001</v>
      </c>
      <c r="AC37" s="1322">
        <v>113.10450000000002</v>
      </c>
      <c r="AD37" s="1323">
        <v>0</v>
      </c>
      <c r="AE37" s="1324">
        <v>0.127276103072822</v>
      </c>
      <c r="AJ37" t="s">
        <v>21564</v>
      </c>
      <c r="AL37" s="726">
        <v>150</v>
      </c>
      <c r="AM37" s="1">
        <f t="shared" si="3"/>
        <v>190.19385000000003</v>
      </c>
      <c r="AN37" s="13">
        <v>5</v>
      </c>
      <c r="AO37" s="1">
        <f t="shared" si="13"/>
        <v>98.91</v>
      </c>
      <c r="AP37" s="1154">
        <f t="shared" si="14"/>
        <v>494.54999999999995</v>
      </c>
      <c r="AR37" s="1154">
        <f t="shared" si="15"/>
        <v>950.9692500000001</v>
      </c>
      <c r="AU37" s="1">
        <f t="shared" si="17"/>
        <v>282.60000000000002</v>
      </c>
      <c r="AV37" s="240">
        <f t="shared" ref="AV37:AV68" si="18">IFERROR(AO37/AM37-1,"")</f>
        <v>-0.47995163881481984</v>
      </c>
      <c r="AW37">
        <v>1413</v>
      </c>
      <c r="AY37">
        <f t="shared" si="16"/>
        <v>282.60000000000002</v>
      </c>
      <c r="BD37" s="726">
        <v>133</v>
      </c>
      <c r="BE37" s="13">
        <v>20</v>
      </c>
      <c r="BF37" s="1">
        <v>47.599999999999994</v>
      </c>
      <c r="BG37" s="1154">
        <v>951.99999999999989</v>
      </c>
    </row>
    <row r="38" spans="1:59" x14ac:dyDescent="0.2">
      <c r="A38" s="1139" t="s">
        <v>8385</v>
      </c>
      <c r="B38" s="1140">
        <v>565.66999999999996</v>
      </c>
      <c r="C38" s="1141">
        <v>250</v>
      </c>
      <c r="D38" s="1141">
        <v>30</v>
      </c>
      <c r="F38" s="13"/>
      <c r="G38" s="1219"/>
      <c r="I38" s="1143">
        <f t="shared" si="5"/>
        <v>0</v>
      </c>
      <c r="J38" s="1143"/>
      <c r="K38" s="1144">
        <f t="shared" si="0"/>
        <v>0</v>
      </c>
      <c r="L38" s="1145">
        <f t="shared" si="6"/>
        <v>2500</v>
      </c>
      <c r="M38" s="1146">
        <f t="shared" si="1"/>
        <v>0</v>
      </c>
      <c r="N38" s="1144">
        <f t="shared" si="7"/>
        <v>0</v>
      </c>
      <c r="O38" s="1145">
        <f t="shared" si="8"/>
        <v>50</v>
      </c>
      <c r="P38" s="1146">
        <f t="shared" si="9"/>
        <v>0</v>
      </c>
      <c r="S38" s="1">
        <f t="shared" si="10"/>
        <v>34</v>
      </c>
      <c r="T38" s="1">
        <f t="shared" si="11"/>
        <v>565.66999999999996</v>
      </c>
      <c r="U38" s="726">
        <v>34</v>
      </c>
      <c r="V38" s="1">
        <v>107.99999999999999</v>
      </c>
      <c r="W38" s="1">
        <f t="shared" si="2"/>
        <v>84.850500000000011</v>
      </c>
      <c r="Y38" s="240">
        <f t="shared" si="12"/>
        <v>0.27282691321795349</v>
      </c>
      <c r="AA38" s="1321">
        <v>38</v>
      </c>
      <c r="AB38" s="1322">
        <v>120</v>
      </c>
      <c r="AC38" s="1322">
        <v>117.48750000000001</v>
      </c>
      <c r="AD38" s="1323">
        <v>0</v>
      </c>
      <c r="AE38" s="1324">
        <v>2.1385253750398903E-2</v>
      </c>
      <c r="AJ38" t="s">
        <v>21564</v>
      </c>
      <c r="AL38" s="726">
        <v>151</v>
      </c>
      <c r="AM38" s="1">
        <f t="shared" si="3"/>
        <v>205.61782500000001</v>
      </c>
      <c r="AN38" s="13">
        <v>5</v>
      </c>
      <c r="AO38" s="1">
        <f t="shared" si="13"/>
        <v>106.18999999999998</v>
      </c>
      <c r="AP38" s="1154">
        <f t="shared" si="14"/>
        <v>530.94999999999993</v>
      </c>
      <c r="AR38" s="1154">
        <f t="shared" si="15"/>
        <v>1028.089125</v>
      </c>
      <c r="AU38" s="1">
        <f t="shared" si="17"/>
        <v>303.39999999999998</v>
      </c>
      <c r="AV38" s="240">
        <f t="shared" si="18"/>
        <v>-0.48355644750157245</v>
      </c>
      <c r="AW38">
        <v>1517</v>
      </c>
      <c r="AY38">
        <f t="shared" si="16"/>
        <v>303.39999999999998</v>
      </c>
      <c r="BD38" s="726">
        <v>134</v>
      </c>
      <c r="BE38" s="13">
        <v>20</v>
      </c>
      <c r="BF38" s="1">
        <v>45.762499999999996</v>
      </c>
      <c r="BG38" s="1154">
        <v>915.24999999999989</v>
      </c>
    </row>
    <row r="39" spans="1:59" x14ac:dyDescent="0.2">
      <c r="A39" s="1139" t="s">
        <v>8386</v>
      </c>
      <c r="B39" s="1140">
        <v>594.6</v>
      </c>
      <c r="C39" s="1141">
        <v>250</v>
      </c>
      <c r="D39" s="1141">
        <v>30</v>
      </c>
      <c r="F39" s="13"/>
      <c r="G39" s="1219"/>
      <c r="I39" s="1143">
        <f t="shared" si="5"/>
        <v>0</v>
      </c>
      <c r="J39" s="1143"/>
      <c r="K39" s="1144">
        <f t="shared" si="0"/>
        <v>0</v>
      </c>
      <c r="L39" s="1145">
        <f t="shared" si="6"/>
        <v>2500</v>
      </c>
      <c r="M39" s="1146">
        <f t="shared" si="1"/>
        <v>0</v>
      </c>
      <c r="N39" s="1144">
        <f t="shared" si="7"/>
        <v>0</v>
      </c>
      <c r="O39" s="1145">
        <f t="shared" si="8"/>
        <v>50</v>
      </c>
      <c r="P39" s="1146">
        <f t="shared" si="9"/>
        <v>0</v>
      </c>
      <c r="S39" s="1">
        <f t="shared" si="10"/>
        <v>35</v>
      </c>
      <c r="T39" s="1">
        <f t="shared" si="11"/>
        <v>594.6</v>
      </c>
      <c r="U39" s="726">
        <v>35</v>
      </c>
      <c r="V39" s="1">
        <v>112.5</v>
      </c>
      <c r="W39" s="1">
        <f t="shared" si="2"/>
        <v>89.190000000000012</v>
      </c>
      <c r="Y39" s="240">
        <f t="shared" si="12"/>
        <v>0.26135216952573148</v>
      </c>
      <c r="AA39" s="1321">
        <v>39</v>
      </c>
      <c r="AB39" s="1322">
        <v>112.5</v>
      </c>
      <c r="AC39" s="1322">
        <v>120.38250000000001</v>
      </c>
      <c r="AD39" s="1323">
        <v>0</v>
      </c>
      <c r="AE39" s="1324">
        <v>-6.5478786368450614E-2</v>
      </c>
      <c r="AJ39" t="s">
        <v>21564</v>
      </c>
      <c r="AL39" s="726">
        <v>152</v>
      </c>
      <c r="AM39" s="1">
        <f t="shared" si="3"/>
        <v>230.59890000000004</v>
      </c>
      <c r="AN39" s="13">
        <v>5</v>
      </c>
      <c r="AO39" s="1">
        <f t="shared" si="13"/>
        <v>119.91</v>
      </c>
      <c r="AP39" s="1154">
        <f t="shared" si="14"/>
        <v>599.54999999999995</v>
      </c>
      <c r="AR39" s="1154">
        <f t="shared" si="15"/>
        <v>1152.9945000000002</v>
      </c>
      <c r="AU39" s="1">
        <f t="shared" si="17"/>
        <v>342.6</v>
      </c>
      <c r="AV39" s="240">
        <f t="shared" si="18"/>
        <v>-0.48000619257073662</v>
      </c>
      <c r="AW39">
        <v>1713</v>
      </c>
      <c r="AY39">
        <f t="shared" si="16"/>
        <v>342.6</v>
      </c>
      <c r="BD39" s="726">
        <v>135</v>
      </c>
      <c r="BE39" s="13">
        <v>20</v>
      </c>
      <c r="BF39" s="1">
        <v>52.0625</v>
      </c>
      <c r="BG39" s="1154">
        <v>1041.25</v>
      </c>
    </row>
    <row r="40" spans="1:59" x14ac:dyDescent="0.2">
      <c r="A40" s="1139" t="s">
        <v>8387</v>
      </c>
      <c r="B40" s="1140">
        <v>709.72</v>
      </c>
      <c r="C40" s="1141">
        <v>250</v>
      </c>
      <c r="D40" s="1141">
        <v>30</v>
      </c>
      <c r="F40" s="13"/>
      <c r="G40" s="1219"/>
      <c r="I40" s="1143">
        <f t="shared" si="5"/>
        <v>0</v>
      </c>
      <c r="J40" s="1143"/>
      <c r="K40" s="1144">
        <f t="shared" si="0"/>
        <v>0</v>
      </c>
      <c r="L40" s="1145">
        <f t="shared" si="6"/>
        <v>2500</v>
      </c>
      <c r="M40" s="1146">
        <f t="shared" si="1"/>
        <v>0</v>
      </c>
      <c r="N40" s="1144">
        <f t="shared" si="7"/>
        <v>0</v>
      </c>
      <c r="O40" s="1145">
        <f t="shared" si="8"/>
        <v>50</v>
      </c>
      <c r="P40" s="1146">
        <f t="shared" si="9"/>
        <v>0</v>
      </c>
      <c r="S40" s="1">
        <f t="shared" si="10"/>
        <v>36</v>
      </c>
      <c r="T40" s="1">
        <f t="shared" si="11"/>
        <v>709.72</v>
      </c>
      <c r="U40" s="726">
        <v>36</v>
      </c>
      <c r="V40" s="1">
        <v>124.5</v>
      </c>
      <c r="W40" s="1">
        <f t="shared" si="2"/>
        <v>106.45800000000003</v>
      </c>
      <c r="Y40" s="240">
        <f t="shared" si="12"/>
        <v>0.16947528602829265</v>
      </c>
      <c r="AA40" s="1321">
        <v>40</v>
      </c>
      <c r="AB40" s="1322">
        <v>150</v>
      </c>
      <c r="AC40" s="1322">
        <v>131.99700000000001</v>
      </c>
      <c r="AD40" s="1323">
        <v>0</v>
      </c>
      <c r="AE40" s="1324">
        <v>0.13638946339689517</v>
      </c>
      <c r="AJ40" t="s">
        <v>21564</v>
      </c>
      <c r="AL40" s="726">
        <v>153</v>
      </c>
      <c r="AM40" s="1">
        <f t="shared" si="3"/>
        <v>239.99535000000003</v>
      </c>
      <c r="AN40" s="13">
        <v>5</v>
      </c>
      <c r="AO40" s="1">
        <f t="shared" si="13"/>
        <v>124.81</v>
      </c>
      <c r="AP40" s="1154">
        <f t="shared" si="14"/>
        <v>624.04999999999995</v>
      </c>
      <c r="AR40" s="1154">
        <f t="shared" si="15"/>
        <v>1199.9767500000003</v>
      </c>
      <c r="AU40" s="1">
        <f t="shared" si="17"/>
        <v>356.6</v>
      </c>
      <c r="AV40" s="240">
        <f t="shared" si="18"/>
        <v>-0.47994825733081914</v>
      </c>
      <c r="AW40">
        <v>1783</v>
      </c>
      <c r="AY40">
        <f t="shared" si="16"/>
        <v>356.6</v>
      </c>
      <c r="BD40" s="726">
        <v>136</v>
      </c>
      <c r="BE40" s="13">
        <v>20</v>
      </c>
      <c r="BF40" s="1">
        <v>58.047499999999992</v>
      </c>
      <c r="BG40" s="1154">
        <v>1160.9499999999998</v>
      </c>
    </row>
    <row r="41" spans="1:59" x14ac:dyDescent="0.2">
      <c r="A41" s="1139" t="s">
        <v>8388</v>
      </c>
      <c r="B41" s="1140">
        <v>754.03</v>
      </c>
      <c r="C41" s="1141">
        <v>250</v>
      </c>
      <c r="D41" s="1141">
        <v>30</v>
      </c>
      <c r="F41" s="13"/>
      <c r="G41" s="1219"/>
      <c r="I41" s="1143">
        <f t="shared" si="5"/>
        <v>0</v>
      </c>
      <c r="J41" s="1143"/>
      <c r="K41" s="1144">
        <f t="shared" si="0"/>
        <v>0</v>
      </c>
      <c r="L41" s="1145">
        <f t="shared" si="6"/>
        <v>2500</v>
      </c>
      <c r="M41" s="1146">
        <f t="shared" si="1"/>
        <v>0</v>
      </c>
      <c r="N41" s="1144">
        <f t="shared" si="7"/>
        <v>0</v>
      </c>
      <c r="O41" s="1145">
        <f t="shared" si="8"/>
        <v>50</v>
      </c>
      <c r="P41" s="1146">
        <f t="shared" si="9"/>
        <v>0</v>
      </c>
      <c r="S41" s="1">
        <f t="shared" si="10"/>
        <v>37</v>
      </c>
      <c r="T41" s="1">
        <f t="shared" si="11"/>
        <v>754.03</v>
      </c>
      <c r="U41" s="726">
        <v>37</v>
      </c>
      <c r="V41" s="1">
        <v>127.50000000000001</v>
      </c>
      <c r="W41" s="1">
        <f t="shared" si="2"/>
        <v>113.10450000000002</v>
      </c>
      <c r="Y41" s="240">
        <f t="shared" si="12"/>
        <v>0.127276103072822</v>
      </c>
      <c r="AA41" s="1321">
        <v>41</v>
      </c>
      <c r="AB41" s="1322">
        <v>180</v>
      </c>
      <c r="AC41" s="1322">
        <v>145.03650000000002</v>
      </c>
      <c r="AD41" s="1323">
        <v>0</v>
      </c>
      <c r="AE41" s="1324">
        <v>0.24106690384834151</v>
      </c>
      <c r="AJ41" t="s">
        <v>21564</v>
      </c>
      <c r="AL41" s="726">
        <v>154</v>
      </c>
      <c r="AM41" s="1">
        <f t="shared" si="3"/>
        <v>253.55925000000008</v>
      </c>
      <c r="AN41" s="13">
        <v>5</v>
      </c>
      <c r="AO41" s="1">
        <f t="shared" si="13"/>
        <v>131.88</v>
      </c>
      <c r="AP41" s="1154">
        <f t="shared" si="14"/>
        <v>659.4</v>
      </c>
      <c r="AR41" s="1154">
        <f t="shared" si="15"/>
        <v>1267.7962500000003</v>
      </c>
      <c r="AU41" s="1">
        <f t="shared" si="17"/>
        <v>376.8</v>
      </c>
      <c r="AV41" s="240">
        <f t="shared" si="18"/>
        <v>-0.47988487897799048</v>
      </c>
      <c r="AW41">
        <v>1884</v>
      </c>
      <c r="AY41">
        <f t="shared" si="16"/>
        <v>376.8</v>
      </c>
      <c r="BD41" s="726">
        <v>137</v>
      </c>
      <c r="BE41" s="13">
        <v>10</v>
      </c>
      <c r="BF41" s="1">
        <v>60.17199999999999</v>
      </c>
      <c r="BG41" s="1154">
        <v>601.71999999999991</v>
      </c>
    </row>
    <row r="42" spans="1:59" x14ac:dyDescent="0.2">
      <c r="A42" s="1139" t="s">
        <v>8389</v>
      </c>
      <c r="B42" s="1140">
        <v>783.25</v>
      </c>
      <c r="C42" s="1141">
        <v>250</v>
      </c>
      <c r="D42" s="1141">
        <v>30</v>
      </c>
      <c r="F42" s="13"/>
      <c r="G42" s="1142"/>
      <c r="I42" s="1143">
        <f t="shared" si="5"/>
        <v>0</v>
      </c>
      <c r="J42" s="1143"/>
      <c r="K42" s="1144">
        <f t="shared" si="0"/>
        <v>0</v>
      </c>
      <c r="L42" s="1145">
        <f t="shared" si="6"/>
        <v>2500</v>
      </c>
      <c r="M42" s="1146">
        <f t="shared" si="1"/>
        <v>0</v>
      </c>
      <c r="N42" s="1144">
        <f t="shared" si="7"/>
        <v>0</v>
      </c>
      <c r="O42" s="1145">
        <f t="shared" si="8"/>
        <v>50</v>
      </c>
      <c r="P42" s="1146">
        <f t="shared" si="9"/>
        <v>0</v>
      </c>
      <c r="S42" s="1">
        <f t="shared" si="10"/>
        <v>38</v>
      </c>
      <c r="T42" s="1">
        <f t="shared" si="11"/>
        <v>783.25</v>
      </c>
      <c r="U42" s="726">
        <v>38</v>
      </c>
      <c r="V42" s="1">
        <v>120</v>
      </c>
      <c r="W42" s="1">
        <f t="shared" si="2"/>
        <v>117.48750000000001</v>
      </c>
      <c r="Y42" s="240">
        <f t="shared" si="12"/>
        <v>2.1385253750398903E-2</v>
      </c>
      <c r="AA42" s="1321">
        <v>42</v>
      </c>
      <c r="AB42" s="1322">
        <v>202.5</v>
      </c>
      <c r="AC42" s="1322">
        <v>191.82750000000001</v>
      </c>
      <c r="AD42" s="1323">
        <v>0</v>
      </c>
      <c r="AE42" s="1324">
        <v>5.5635922899479828E-2</v>
      </c>
      <c r="AJ42" t="s">
        <v>4624</v>
      </c>
      <c r="AL42" s="726">
        <v>224</v>
      </c>
      <c r="AM42" s="1">
        <f t="shared" si="3"/>
        <v>115.51207500000002</v>
      </c>
      <c r="AN42" s="13">
        <v>20</v>
      </c>
      <c r="AO42" s="1">
        <f t="shared" si="13"/>
        <v>60.080999999999996</v>
      </c>
      <c r="AP42" s="1154">
        <f t="shared" si="14"/>
        <v>1201.6199999999999</v>
      </c>
      <c r="AR42" s="1154">
        <f t="shared" si="15"/>
        <v>2310.2415000000005</v>
      </c>
      <c r="AU42" s="1">
        <v>171.66</v>
      </c>
      <c r="AV42" s="240">
        <f t="shared" si="18"/>
        <v>-0.4798725587779461</v>
      </c>
      <c r="BD42" s="726">
        <v>138</v>
      </c>
      <c r="BE42" s="13">
        <v>10</v>
      </c>
      <c r="BF42" s="1">
        <v>63.045499999999997</v>
      </c>
      <c r="BG42" s="1154">
        <v>630.45499999999993</v>
      </c>
    </row>
    <row r="43" spans="1:59" x14ac:dyDescent="0.2">
      <c r="A43" s="1139" t="s">
        <v>8390</v>
      </c>
      <c r="B43" s="1140">
        <v>802.55</v>
      </c>
      <c r="C43" s="1141">
        <v>250</v>
      </c>
      <c r="D43" s="1141">
        <v>30</v>
      </c>
      <c r="F43" s="13"/>
      <c r="G43" s="1219"/>
      <c r="I43" s="1143">
        <f t="shared" si="5"/>
        <v>0</v>
      </c>
      <c r="J43" s="1143"/>
      <c r="K43" s="1144">
        <f t="shared" si="0"/>
        <v>0</v>
      </c>
      <c r="L43" s="1145">
        <f t="shared" si="6"/>
        <v>2500</v>
      </c>
      <c r="M43" s="1146">
        <f t="shared" si="1"/>
        <v>0</v>
      </c>
      <c r="N43" s="1144">
        <f t="shared" si="7"/>
        <v>0</v>
      </c>
      <c r="O43" s="1145">
        <f t="shared" si="8"/>
        <v>50</v>
      </c>
      <c r="P43" s="1146">
        <f t="shared" si="9"/>
        <v>0</v>
      </c>
      <c r="S43" s="1">
        <f t="shared" si="10"/>
        <v>39</v>
      </c>
      <c r="T43" s="1">
        <f t="shared" si="11"/>
        <v>802.55</v>
      </c>
      <c r="U43" s="726">
        <v>39</v>
      </c>
      <c r="V43" s="1">
        <v>112.5</v>
      </c>
      <c r="W43" s="1">
        <f t="shared" si="2"/>
        <v>120.38250000000001</v>
      </c>
      <c r="Y43" s="240">
        <f t="shared" si="12"/>
        <v>-6.5478786368450614E-2</v>
      </c>
      <c r="AA43" s="1321">
        <v>43</v>
      </c>
      <c r="AB43" s="1322">
        <v>232.5</v>
      </c>
      <c r="AC43" s="1322">
        <v>201.41550000000004</v>
      </c>
      <c r="AD43" s="1323">
        <v>0</v>
      </c>
      <c r="AE43" s="1324">
        <v>0.15433022781265571</v>
      </c>
      <c r="AJ43" t="s">
        <v>4624</v>
      </c>
      <c r="AL43" s="726">
        <v>225</v>
      </c>
      <c r="AM43" s="1">
        <f t="shared" si="3"/>
        <v>132.47640000000001</v>
      </c>
      <c r="AN43" s="13">
        <v>20</v>
      </c>
      <c r="AO43" s="1">
        <f t="shared" si="13"/>
        <v>67.55</v>
      </c>
      <c r="AP43" s="1154">
        <f t="shared" si="14"/>
        <v>1351</v>
      </c>
      <c r="AR43" s="1154">
        <f t="shared" si="15"/>
        <v>2649.5280000000002</v>
      </c>
      <c r="AU43" s="1">
        <v>193</v>
      </c>
      <c r="AV43" s="240">
        <f t="shared" si="18"/>
        <v>-0.49009785893940361</v>
      </c>
      <c r="BD43" s="726">
        <v>139</v>
      </c>
      <c r="BE43" s="13">
        <v>10</v>
      </c>
      <c r="BF43" s="1">
        <v>64.263500000000008</v>
      </c>
      <c r="BG43" s="1154">
        <v>642.6350000000001</v>
      </c>
    </row>
    <row r="44" spans="1:59" x14ac:dyDescent="0.2">
      <c r="A44" s="1139" t="s">
        <v>8391</v>
      </c>
      <c r="B44" s="1140">
        <v>879.98</v>
      </c>
      <c r="C44" s="1141">
        <v>250</v>
      </c>
      <c r="D44" s="1141">
        <v>30</v>
      </c>
      <c r="F44" s="13"/>
      <c r="G44" s="1219"/>
      <c r="I44" s="1143">
        <f t="shared" si="5"/>
        <v>0</v>
      </c>
      <c r="J44" s="1143"/>
      <c r="K44" s="1144">
        <f t="shared" si="0"/>
        <v>0</v>
      </c>
      <c r="L44" s="1145">
        <f t="shared" si="6"/>
        <v>2500</v>
      </c>
      <c r="M44" s="1146">
        <f t="shared" si="1"/>
        <v>0</v>
      </c>
      <c r="N44" s="1144">
        <f t="shared" si="7"/>
        <v>0</v>
      </c>
      <c r="O44" s="1145">
        <f t="shared" si="8"/>
        <v>50</v>
      </c>
      <c r="P44" s="1146">
        <f t="shared" si="9"/>
        <v>0</v>
      </c>
      <c r="S44" s="1">
        <f t="shared" si="10"/>
        <v>40</v>
      </c>
      <c r="T44" s="1">
        <f t="shared" si="11"/>
        <v>879.98</v>
      </c>
      <c r="U44" s="726">
        <v>40</v>
      </c>
      <c r="V44" s="1">
        <v>150</v>
      </c>
      <c r="W44" s="1">
        <f t="shared" si="2"/>
        <v>131.99700000000001</v>
      </c>
      <c r="Y44" s="240">
        <f t="shared" si="12"/>
        <v>0.13638946339689517</v>
      </c>
      <c r="AA44" s="1321">
        <v>44</v>
      </c>
      <c r="AB44" s="1322">
        <v>234</v>
      </c>
      <c r="AC44" s="1322">
        <v>208.28850000000003</v>
      </c>
      <c r="AD44" s="1323">
        <v>0</v>
      </c>
      <c r="AE44" s="1324">
        <v>0.12344176466775636</v>
      </c>
      <c r="AJ44" t="s">
        <v>4624</v>
      </c>
      <c r="AL44" s="726">
        <v>226</v>
      </c>
      <c r="AM44" s="1">
        <f t="shared" si="3"/>
        <v>138.19680000000005</v>
      </c>
      <c r="AN44" s="13">
        <v>20</v>
      </c>
      <c r="AO44" s="1">
        <f t="shared" si="13"/>
        <v>71.879499999999993</v>
      </c>
      <c r="AP44" s="1154">
        <f t="shared" si="14"/>
        <v>1437.59</v>
      </c>
      <c r="AR44" s="1154">
        <f t="shared" si="15"/>
        <v>2763.9360000000011</v>
      </c>
      <c r="AU44" s="1">
        <v>205.37</v>
      </c>
      <c r="AV44" s="240">
        <f t="shared" si="18"/>
        <v>-0.47987580030796684</v>
      </c>
      <c r="BD44" s="726">
        <v>140</v>
      </c>
      <c r="BE44" s="13">
        <v>10</v>
      </c>
      <c r="BF44" s="1">
        <v>64.963499999999996</v>
      </c>
      <c r="BG44" s="1154">
        <v>649.63499999999999</v>
      </c>
    </row>
    <row r="45" spans="1:59" x14ac:dyDescent="0.2">
      <c r="A45" s="1139" t="s">
        <v>8392</v>
      </c>
      <c r="B45" s="1140">
        <v>966.91</v>
      </c>
      <c r="C45" s="1141">
        <v>200</v>
      </c>
      <c r="D45" s="1141">
        <v>30</v>
      </c>
      <c r="F45" s="13"/>
      <c r="G45" s="1219"/>
      <c r="I45" s="1143">
        <f t="shared" si="5"/>
        <v>0</v>
      </c>
      <c r="J45" s="1143"/>
      <c r="K45" s="1144">
        <f t="shared" si="0"/>
        <v>0</v>
      </c>
      <c r="L45" s="1145">
        <f t="shared" si="6"/>
        <v>2500</v>
      </c>
      <c r="M45" s="1146">
        <f t="shared" si="1"/>
        <v>0</v>
      </c>
      <c r="N45" s="1144">
        <f t="shared" si="7"/>
        <v>0</v>
      </c>
      <c r="O45" s="1145">
        <f t="shared" si="8"/>
        <v>50</v>
      </c>
      <c r="P45" s="1146">
        <f t="shared" si="9"/>
        <v>0</v>
      </c>
      <c r="S45" s="1">
        <f t="shared" si="10"/>
        <v>41</v>
      </c>
      <c r="T45" s="1">
        <f t="shared" si="11"/>
        <v>966.91</v>
      </c>
      <c r="U45" s="726">
        <v>41</v>
      </c>
      <c r="V45" s="1">
        <v>180</v>
      </c>
      <c r="W45" s="1">
        <f t="shared" si="2"/>
        <v>145.03650000000002</v>
      </c>
      <c r="Y45" s="240">
        <f t="shared" si="12"/>
        <v>0.24106690384834151</v>
      </c>
      <c r="AA45" s="1321">
        <v>45</v>
      </c>
      <c r="AB45" s="1322">
        <v>259.5</v>
      </c>
      <c r="AC45" s="1322">
        <v>238.03800000000004</v>
      </c>
      <c r="AD45" s="1323">
        <v>0</v>
      </c>
      <c r="AE45" s="1324">
        <v>9.0162074962820915E-2</v>
      </c>
      <c r="AJ45" t="s">
        <v>4624</v>
      </c>
      <c r="AL45" s="726">
        <v>227</v>
      </c>
      <c r="AM45" s="1">
        <f t="shared" si="3"/>
        <v>141.94530000000003</v>
      </c>
      <c r="AN45" s="13">
        <v>20</v>
      </c>
      <c r="AO45" s="1">
        <f t="shared" si="13"/>
        <v>73.5</v>
      </c>
      <c r="AP45" s="1154">
        <f t="shared" si="14"/>
        <v>1470</v>
      </c>
      <c r="AR45" s="1154">
        <f t="shared" si="15"/>
        <v>2838.9060000000009</v>
      </c>
      <c r="AU45" s="1">
        <v>210</v>
      </c>
      <c r="AV45" s="240">
        <f t="shared" si="18"/>
        <v>-0.48219490183894798</v>
      </c>
      <c r="BD45" s="726">
        <v>141</v>
      </c>
      <c r="BE45" s="13">
        <v>10</v>
      </c>
      <c r="BF45" s="1">
        <v>65.071999999999989</v>
      </c>
      <c r="BG45" s="1154">
        <v>650.71999999999991</v>
      </c>
    </row>
    <row r="46" spans="1:59" x14ac:dyDescent="0.2">
      <c r="A46" s="1139" t="s">
        <v>8393</v>
      </c>
      <c r="B46" s="1140">
        <v>1278.8499999999999</v>
      </c>
      <c r="C46" s="1141">
        <v>150</v>
      </c>
      <c r="D46" s="1141">
        <v>30</v>
      </c>
      <c r="F46" s="13"/>
      <c r="G46" s="1219"/>
      <c r="I46" s="1143">
        <f t="shared" si="5"/>
        <v>0</v>
      </c>
      <c r="J46" s="1143"/>
      <c r="K46" s="1144">
        <f t="shared" si="0"/>
        <v>0</v>
      </c>
      <c r="L46" s="1145">
        <f t="shared" si="6"/>
        <v>2500</v>
      </c>
      <c r="M46" s="1146">
        <f t="shared" si="1"/>
        <v>0</v>
      </c>
      <c r="N46" s="1144">
        <f t="shared" si="7"/>
        <v>0</v>
      </c>
      <c r="O46" s="1145">
        <f t="shared" si="8"/>
        <v>50</v>
      </c>
      <c r="P46" s="1146">
        <f t="shared" si="9"/>
        <v>0</v>
      </c>
      <c r="S46" s="1">
        <f t="shared" si="10"/>
        <v>42</v>
      </c>
      <c r="T46" s="1">
        <f t="shared" si="11"/>
        <v>1278.8499999999999</v>
      </c>
      <c r="U46" s="726">
        <v>42</v>
      </c>
      <c r="V46" s="1">
        <v>202.5</v>
      </c>
      <c r="W46" s="1">
        <f t="shared" si="2"/>
        <v>191.82750000000001</v>
      </c>
      <c r="Y46" s="240">
        <f t="shared" si="12"/>
        <v>5.5635922899479828E-2</v>
      </c>
      <c r="AA46" s="1321">
        <v>46</v>
      </c>
      <c r="AB46" s="1322">
        <v>234</v>
      </c>
      <c r="AC46" s="1322">
        <v>248.89050000000003</v>
      </c>
      <c r="AD46" s="1323">
        <v>0</v>
      </c>
      <c r="AE46" s="1324">
        <v>-5.9827514509392832E-2</v>
      </c>
      <c r="AJ46" t="s">
        <v>4624</v>
      </c>
      <c r="AL46" s="726">
        <v>228</v>
      </c>
      <c r="AM46" s="1">
        <f t="shared" si="3"/>
        <v>158.58045000000001</v>
      </c>
      <c r="AN46" s="13">
        <v>20</v>
      </c>
      <c r="AO46" s="1">
        <f t="shared" si="13"/>
        <v>82.6</v>
      </c>
      <c r="AP46" s="1154">
        <f t="shared" si="14"/>
        <v>1652</v>
      </c>
      <c r="AR46" s="1154">
        <f t="shared" si="15"/>
        <v>3171.6090000000004</v>
      </c>
      <c r="AU46" s="1">
        <v>236</v>
      </c>
      <c r="AV46" s="240">
        <f t="shared" si="18"/>
        <v>-0.47912873245094212</v>
      </c>
      <c r="BD46" s="726">
        <v>142</v>
      </c>
      <c r="BE46" s="13">
        <v>10</v>
      </c>
      <c r="BF46" s="1">
        <v>70.903000000000006</v>
      </c>
      <c r="BG46" s="1154">
        <v>709.03000000000009</v>
      </c>
    </row>
    <row r="47" spans="1:59" x14ac:dyDescent="0.2">
      <c r="A47" s="1139" t="s">
        <v>8394</v>
      </c>
      <c r="B47" s="1140">
        <v>1342.77</v>
      </c>
      <c r="C47" s="1141">
        <v>150</v>
      </c>
      <c r="D47" s="1141">
        <v>30</v>
      </c>
      <c r="F47" s="1142"/>
      <c r="I47" s="1143">
        <f t="shared" si="5"/>
        <v>0</v>
      </c>
      <c r="J47" s="1143"/>
      <c r="K47" s="1144">
        <f t="shared" si="0"/>
        <v>0</v>
      </c>
      <c r="L47" s="1145">
        <f t="shared" si="6"/>
        <v>2500</v>
      </c>
      <c r="M47" s="1146">
        <f t="shared" si="1"/>
        <v>0</v>
      </c>
      <c r="N47" s="1144">
        <f t="shared" si="7"/>
        <v>0</v>
      </c>
      <c r="O47" s="1145">
        <f t="shared" si="8"/>
        <v>50</v>
      </c>
      <c r="P47" s="1146">
        <f t="shared" si="9"/>
        <v>0</v>
      </c>
      <c r="S47" s="1">
        <f t="shared" si="10"/>
        <v>43</v>
      </c>
      <c r="T47" s="1">
        <f t="shared" si="11"/>
        <v>1342.77</v>
      </c>
      <c r="U47" s="726">
        <v>43</v>
      </c>
      <c r="V47" s="1">
        <v>232.5</v>
      </c>
      <c r="W47" s="1">
        <f t="shared" si="2"/>
        <v>201.41550000000004</v>
      </c>
      <c r="Y47" s="240">
        <f t="shared" si="12"/>
        <v>0.15433022781265571</v>
      </c>
      <c r="AA47" s="1321">
        <v>47</v>
      </c>
      <c r="AB47" s="1322">
        <v>244.5</v>
      </c>
      <c r="AC47" s="1322">
        <v>260.34750000000003</v>
      </c>
      <c r="AD47" s="1323">
        <v>0</v>
      </c>
      <c r="AE47" s="1324">
        <v>-6.0870567222654381E-2</v>
      </c>
      <c r="AJ47" t="s">
        <v>4624</v>
      </c>
      <c r="AL47" s="726">
        <v>229</v>
      </c>
      <c r="AM47" s="1">
        <f t="shared" si="3"/>
        <v>163.63935000000004</v>
      </c>
      <c r="AN47" s="13">
        <v>20</v>
      </c>
      <c r="AO47" s="1">
        <f t="shared" si="13"/>
        <v>85.05</v>
      </c>
      <c r="AP47" s="1154">
        <f t="shared" si="14"/>
        <v>1701</v>
      </c>
      <c r="AR47" s="1154">
        <f t="shared" si="15"/>
        <v>3272.7870000000007</v>
      </c>
      <c r="AU47" s="1">
        <v>243</v>
      </c>
      <c r="AV47" s="240">
        <f t="shared" si="18"/>
        <v>-0.4802594852643941</v>
      </c>
      <c r="BD47" s="726">
        <v>143</v>
      </c>
      <c r="BE47" s="13">
        <v>10</v>
      </c>
      <c r="BF47" s="1">
        <v>73.703000000000003</v>
      </c>
      <c r="BG47" s="1154">
        <v>737.03</v>
      </c>
    </row>
    <row r="48" spans="1:59" x14ac:dyDescent="0.2">
      <c r="A48" s="1139" t="s">
        <v>8395</v>
      </c>
      <c r="B48" s="1140">
        <v>1388.59</v>
      </c>
      <c r="C48" s="1141">
        <v>150</v>
      </c>
      <c r="D48" s="1141">
        <v>20</v>
      </c>
      <c r="I48" s="1143">
        <f t="shared" si="5"/>
        <v>0</v>
      </c>
      <c r="J48" s="1143"/>
      <c r="K48" s="1144">
        <f t="shared" si="0"/>
        <v>0</v>
      </c>
      <c r="L48" s="1145">
        <f t="shared" si="6"/>
        <v>2500</v>
      </c>
      <c r="M48" s="1146">
        <f t="shared" si="1"/>
        <v>0</v>
      </c>
      <c r="N48" s="1144">
        <f t="shared" si="7"/>
        <v>0</v>
      </c>
      <c r="O48" s="1145">
        <f t="shared" si="8"/>
        <v>50</v>
      </c>
      <c r="P48" s="1146">
        <f t="shared" si="9"/>
        <v>0</v>
      </c>
      <c r="S48" s="1">
        <f t="shared" si="10"/>
        <v>44</v>
      </c>
      <c r="T48" s="1">
        <f t="shared" si="11"/>
        <v>1388.59</v>
      </c>
      <c r="U48" s="726">
        <v>44</v>
      </c>
      <c r="V48" s="1">
        <v>234</v>
      </c>
      <c r="W48" s="1">
        <f t="shared" si="2"/>
        <v>208.28850000000003</v>
      </c>
      <c r="Y48" s="240">
        <f t="shared" si="12"/>
        <v>0.12344176466775636</v>
      </c>
      <c r="AA48" s="1321">
        <v>48</v>
      </c>
      <c r="AB48" s="1322">
        <v>273</v>
      </c>
      <c r="AC48" s="1322">
        <v>273.63450000000006</v>
      </c>
      <c r="AD48" s="1323">
        <v>0</v>
      </c>
      <c r="AE48" s="1324">
        <v>-2.3187865565199584E-3</v>
      </c>
      <c r="AJ48" t="s">
        <v>4624</v>
      </c>
      <c r="AL48" s="726">
        <v>230</v>
      </c>
      <c r="AM48" s="1">
        <f t="shared" si="3"/>
        <v>174.91162500000004</v>
      </c>
      <c r="AN48" s="13">
        <v>20</v>
      </c>
      <c r="AO48" s="1">
        <f t="shared" si="13"/>
        <v>91</v>
      </c>
      <c r="AP48" s="1154">
        <f t="shared" si="14"/>
        <v>1820</v>
      </c>
      <c r="AR48" s="1154">
        <f t="shared" si="15"/>
        <v>3498.232500000001</v>
      </c>
      <c r="AU48" s="1">
        <v>260</v>
      </c>
      <c r="AV48" s="240">
        <f t="shared" si="18"/>
        <v>-0.47973726731999677</v>
      </c>
      <c r="BD48" s="726">
        <v>144</v>
      </c>
      <c r="BE48" s="13">
        <v>10</v>
      </c>
      <c r="BF48" s="1">
        <v>73.909499999999994</v>
      </c>
      <c r="BG48" s="1154">
        <v>739.09499999999991</v>
      </c>
    </row>
    <row r="49" spans="1:59" ht="13.5" thickBot="1" x14ac:dyDescent="0.25">
      <c r="A49" s="1139" t="s">
        <v>8396</v>
      </c>
      <c r="B49" s="1140">
        <v>1586.92</v>
      </c>
      <c r="C49" s="1141">
        <v>150</v>
      </c>
      <c r="D49" s="1141">
        <v>20</v>
      </c>
      <c r="I49" s="1143">
        <f t="shared" si="5"/>
        <v>0</v>
      </c>
      <c r="J49" s="1143"/>
      <c r="K49" s="1147">
        <f t="shared" si="0"/>
        <v>0</v>
      </c>
      <c r="L49" s="1211">
        <f t="shared" si="6"/>
        <v>2500</v>
      </c>
      <c r="M49" s="1148">
        <f t="shared" si="1"/>
        <v>0</v>
      </c>
      <c r="N49" s="1144">
        <f t="shared" si="7"/>
        <v>0</v>
      </c>
      <c r="O49" s="1145">
        <f t="shared" si="8"/>
        <v>50</v>
      </c>
      <c r="P49" s="1148">
        <f t="shared" si="9"/>
        <v>0</v>
      </c>
      <c r="S49" s="1">
        <f t="shared" si="10"/>
        <v>45</v>
      </c>
      <c r="T49" s="1">
        <f t="shared" si="11"/>
        <v>1586.92</v>
      </c>
      <c r="U49" s="726">
        <v>45</v>
      </c>
      <c r="V49" s="1">
        <v>259.5</v>
      </c>
      <c r="W49" s="1">
        <f t="shared" si="2"/>
        <v>238.03800000000004</v>
      </c>
      <c r="Y49" s="240">
        <f t="shared" si="12"/>
        <v>9.0162074962820915E-2</v>
      </c>
      <c r="AA49" s="1321">
        <v>49</v>
      </c>
      <c r="AB49" s="1322">
        <v>318</v>
      </c>
      <c r="AC49" s="1322">
        <v>311.82450000000006</v>
      </c>
      <c r="AD49" s="1323">
        <v>0</v>
      </c>
      <c r="AE49" s="1324">
        <v>1.9804409210950169E-2</v>
      </c>
      <c r="AJ49" t="s">
        <v>4624</v>
      </c>
      <c r="AL49" s="726">
        <v>231</v>
      </c>
      <c r="AM49" s="1">
        <f t="shared" si="3"/>
        <v>180.49657500000004</v>
      </c>
      <c r="AN49" s="13">
        <v>20</v>
      </c>
      <c r="AO49" s="1">
        <f t="shared" si="13"/>
        <v>93.8</v>
      </c>
      <c r="AP49" s="1154">
        <f t="shared" si="14"/>
        <v>1876</v>
      </c>
      <c r="AR49" s="1154">
        <f t="shared" si="15"/>
        <v>3609.9315000000006</v>
      </c>
      <c r="AU49" s="1">
        <v>268</v>
      </c>
      <c r="AV49" s="240">
        <f t="shared" si="18"/>
        <v>-0.48032254905667893</v>
      </c>
      <c r="BD49" s="726">
        <v>145</v>
      </c>
      <c r="BE49" s="13">
        <v>10</v>
      </c>
      <c r="BF49" s="1">
        <v>74.371499999999997</v>
      </c>
      <c r="BG49" s="1154">
        <v>743.71499999999992</v>
      </c>
    </row>
    <row r="50" spans="1:59" x14ac:dyDescent="0.2">
      <c r="A50" s="1139" t="s">
        <v>8397</v>
      </c>
      <c r="B50" s="1140">
        <v>1659.27</v>
      </c>
      <c r="C50" s="1141">
        <v>150</v>
      </c>
      <c r="D50" s="1141">
        <v>20</v>
      </c>
      <c r="G50" s="1149"/>
      <c r="L50" s="1149">
        <f>+SUM(L5:L49)</f>
        <v>51070</v>
      </c>
      <c r="M50" s="1150">
        <f>+SUM(M5:M49)</f>
        <v>956761.69050000038</v>
      </c>
      <c r="O50" s="1149">
        <f>+SUM(O5:O49)</f>
        <v>1720</v>
      </c>
      <c r="P50" s="1150">
        <f>+SUM(P5:P49)</f>
        <v>174097.53375</v>
      </c>
      <c r="S50" s="1">
        <f t="shared" si="10"/>
        <v>46</v>
      </c>
      <c r="T50" s="1">
        <f t="shared" si="11"/>
        <v>1659.27</v>
      </c>
      <c r="U50" s="726">
        <v>46</v>
      </c>
      <c r="V50" s="1">
        <v>234</v>
      </c>
      <c r="W50" s="1">
        <f t="shared" si="2"/>
        <v>248.89050000000003</v>
      </c>
      <c r="Y50" s="240">
        <f t="shared" si="12"/>
        <v>-5.9827514509392832E-2</v>
      </c>
      <c r="AA50" s="1321">
        <v>50</v>
      </c>
      <c r="AB50" s="1322">
        <v>318</v>
      </c>
      <c r="AC50" s="1322">
        <v>340.84500000000008</v>
      </c>
      <c r="AD50" s="1323">
        <v>0</v>
      </c>
      <c r="AE50" s="1324">
        <v>-6.7024600624917663E-2</v>
      </c>
      <c r="AJ50" t="s">
        <v>4624</v>
      </c>
      <c r="AL50" s="726">
        <v>232</v>
      </c>
      <c r="AM50" s="1">
        <f t="shared" si="3"/>
        <v>186.16185000000004</v>
      </c>
      <c r="AN50" s="13">
        <v>20</v>
      </c>
      <c r="AO50" s="1">
        <f t="shared" si="13"/>
        <v>95.55</v>
      </c>
      <c r="AP50" s="1154">
        <f t="shared" si="14"/>
        <v>1911</v>
      </c>
      <c r="AR50" s="1154">
        <f t="shared" si="15"/>
        <v>3723.237000000001</v>
      </c>
      <c r="AU50" s="1">
        <v>273</v>
      </c>
      <c r="AV50" s="240">
        <f t="shared" si="18"/>
        <v>-0.48673694422353464</v>
      </c>
      <c r="BD50" s="726">
        <v>146</v>
      </c>
      <c r="BE50" s="13">
        <v>5</v>
      </c>
      <c r="BF50" s="1">
        <v>75.599999999999994</v>
      </c>
      <c r="BG50" s="1154">
        <v>378</v>
      </c>
    </row>
    <row r="51" spans="1:59" x14ac:dyDescent="0.2">
      <c r="S51" s="1" t="e">
        <f t="shared" si="10"/>
        <v>#VALUE!</v>
      </c>
      <c r="T51" s="1">
        <f t="shared" si="11"/>
        <v>0</v>
      </c>
      <c r="U51" s="726"/>
      <c r="V51" s="1" t="s">
        <v>8353</v>
      </c>
      <c r="W51" s="1">
        <f t="shared" si="2"/>
        <v>0</v>
      </c>
      <c r="Y51" s="240" t="str">
        <f t="shared" si="12"/>
        <v/>
      </c>
      <c r="AA51" s="1321">
        <v>102</v>
      </c>
      <c r="AB51" s="1322">
        <v>13.499999999999998</v>
      </c>
      <c r="AC51" s="1322">
        <v>13.489500000000003</v>
      </c>
      <c r="AD51" s="1323">
        <v>0</v>
      </c>
      <c r="AE51" s="1324">
        <v>7.7838318692280417E-4</v>
      </c>
      <c r="AJ51" t="s">
        <v>4624</v>
      </c>
      <c r="AL51" s="726">
        <v>233</v>
      </c>
      <c r="AM51" s="1">
        <f t="shared" si="3"/>
        <v>213.21405000000004</v>
      </c>
      <c r="AN51" s="13">
        <v>20</v>
      </c>
      <c r="AO51" s="1">
        <f t="shared" si="13"/>
        <v>110.6</v>
      </c>
      <c r="AP51" s="1154">
        <f t="shared" si="14"/>
        <v>2212</v>
      </c>
      <c r="AR51" s="1154">
        <f t="shared" si="15"/>
        <v>4264.2810000000009</v>
      </c>
      <c r="AU51" s="1">
        <v>316</v>
      </c>
      <c r="AV51" s="240">
        <f t="shared" si="18"/>
        <v>-0.48127245835816179</v>
      </c>
      <c r="BD51" s="726">
        <v>147</v>
      </c>
      <c r="BE51" s="13">
        <v>5</v>
      </c>
      <c r="BF51" s="1">
        <v>85.11999999999999</v>
      </c>
      <c r="BG51" s="1154">
        <v>425.59999999999997</v>
      </c>
    </row>
    <row r="52" spans="1:59" x14ac:dyDescent="0.2">
      <c r="S52" s="1" t="e">
        <f t="shared" si="10"/>
        <v>#VALUE!</v>
      </c>
      <c r="T52" s="1">
        <f t="shared" si="11"/>
        <v>0</v>
      </c>
      <c r="U52" s="726"/>
      <c r="V52" s="1" t="s">
        <v>8353</v>
      </c>
      <c r="W52" s="1">
        <f t="shared" si="2"/>
        <v>0</v>
      </c>
      <c r="Y52" s="240" t="str">
        <f t="shared" si="12"/>
        <v/>
      </c>
      <c r="AA52" s="1321">
        <v>103</v>
      </c>
      <c r="AB52" s="1322">
        <v>16.5</v>
      </c>
      <c r="AC52" s="1322">
        <v>13.489500000000003</v>
      </c>
      <c r="AD52" s="1323">
        <v>0</v>
      </c>
      <c r="AE52" s="1324">
        <v>0.2231735794506835</v>
      </c>
      <c r="AJ52" t="s">
        <v>4624</v>
      </c>
      <c r="AL52" s="726">
        <v>234</v>
      </c>
      <c r="AM52" s="1">
        <f t="shared" si="3"/>
        <v>237.56355000000005</v>
      </c>
      <c r="AN52" s="13">
        <v>20</v>
      </c>
      <c r="AO52" s="1">
        <f t="shared" si="13"/>
        <v>123.55</v>
      </c>
      <c r="AP52" s="1154">
        <f t="shared" si="14"/>
        <v>2471</v>
      </c>
      <c r="AR52" s="1154">
        <f t="shared" si="15"/>
        <v>4751.2710000000006</v>
      </c>
      <c r="AU52" s="1">
        <v>353</v>
      </c>
      <c r="AV52" s="240">
        <f t="shared" si="18"/>
        <v>-0.47992863383292605</v>
      </c>
      <c r="BD52" s="726">
        <v>148</v>
      </c>
      <c r="BE52" s="13">
        <v>5</v>
      </c>
      <c r="BF52" s="1">
        <v>87.71</v>
      </c>
      <c r="BG52" s="1154">
        <v>438.54999999999995</v>
      </c>
    </row>
    <row r="53" spans="1:59" x14ac:dyDescent="0.2">
      <c r="A53" s="1139" t="s">
        <v>8398</v>
      </c>
      <c r="B53" s="1140">
        <v>1735.65</v>
      </c>
      <c r="C53" s="1151">
        <v>100</v>
      </c>
      <c r="D53" s="1141">
        <v>20</v>
      </c>
      <c r="M53" s="1150">
        <f>+M50*1.21</f>
        <v>1157681.6455050004</v>
      </c>
      <c r="P53" s="1150">
        <f>+P50*1.21</f>
        <v>210658.01583749999</v>
      </c>
      <c r="S53" s="1">
        <f t="shared" si="10"/>
        <v>47</v>
      </c>
      <c r="T53" s="1">
        <f t="shared" si="11"/>
        <v>1735.65</v>
      </c>
      <c r="U53" s="726">
        <v>47</v>
      </c>
      <c r="V53" s="1">
        <v>244.5</v>
      </c>
      <c r="W53" s="1">
        <f t="shared" si="2"/>
        <v>260.34750000000003</v>
      </c>
      <c r="Y53" s="240">
        <f t="shared" si="12"/>
        <v>-6.0870567222654381E-2</v>
      </c>
      <c r="AA53" s="1321">
        <v>104</v>
      </c>
      <c r="AB53" s="1322">
        <v>16.5</v>
      </c>
      <c r="AC53" s="1322">
        <v>13.489500000000003</v>
      </c>
      <c r="AD53" s="1323">
        <v>0</v>
      </c>
      <c r="AE53" s="1324">
        <v>0.2231735794506835</v>
      </c>
      <c r="AJ53" t="s">
        <v>4624</v>
      </c>
      <c r="AL53" s="726">
        <v>235</v>
      </c>
      <c r="AM53" s="1">
        <f t="shared" si="3"/>
        <v>254.54205000000005</v>
      </c>
      <c r="AN53" s="13">
        <v>20</v>
      </c>
      <c r="AO53" s="1">
        <f t="shared" si="13"/>
        <v>132.65</v>
      </c>
      <c r="AP53" s="1154">
        <f t="shared" si="14"/>
        <v>2653</v>
      </c>
      <c r="AR53" s="1154">
        <f t="shared" si="15"/>
        <v>5090.8410000000013</v>
      </c>
      <c r="AU53" s="1">
        <v>379</v>
      </c>
      <c r="AV53" s="240">
        <f t="shared" si="18"/>
        <v>-0.4788680298598994</v>
      </c>
      <c r="BD53" s="726">
        <v>149</v>
      </c>
      <c r="BE53" s="13">
        <v>5</v>
      </c>
      <c r="BF53" s="1">
        <v>92.11999999999999</v>
      </c>
      <c r="BG53" s="1154">
        <v>460.59999999999997</v>
      </c>
    </row>
    <row r="54" spans="1:59" x14ac:dyDescent="0.2">
      <c r="A54" s="1139" t="s">
        <v>8399</v>
      </c>
      <c r="B54" s="1140">
        <v>1824.23</v>
      </c>
      <c r="C54" s="1151">
        <v>100</v>
      </c>
      <c r="D54" s="1141">
        <v>20</v>
      </c>
      <c r="S54" s="1">
        <f t="shared" si="10"/>
        <v>48</v>
      </c>
      <c r="T54" s="1">
        <f t="shared" si="11"/>
        <v>1824.23</v>
      </c>
      <c r="U54" s="726">
        <v>48</v>
      </c>
      <c r="V54" s="1">
        <v>273</v>
      </c>
      <c r="W54" s="1">
        <f t="shared" si="2"/>
        <v>273.63450000000006</v>
      </c>
      <c r="Y54" s="240">
        <f t="shared" si="12"/>
        <v>-2.3187865565199584E-3</v>
      </c>
      <c r="AA54" s="1321">
        <v>105</v>
      </c>
      <c r="AB54" s="1322">
        <v>16.5</v>
      </c>
      <c r="AC54" s="1322">
        <v>13.489500000000003</v>
      </c>
      <c r="AD54" s="1323">
        <v>0</v>
      </c>
      <c r="AE54" s="1324">
        <v>0.2231735794506835</v>
      </c>
      <c r="AJ54" t="s">
        <v>4624</v>
      </c>
      <c r="AL54" s="726">
        <v>236</v>
      </c>
      <c r="AM54" s="1">
        <f t="shared" si="3"/>
        <v>260.48452500000002</v>
      </c>
      <c r="AN54" s="13">
        <v>20</v>
      </c>
      <c r="AO54" s="1">
        <f t="shared" si="13"/>
        <v>135.44999999999999</v>
      </c>
      <c r="AP54" s="1154">
        <f t="shared" si="14"/>
        <v>2709</v>
      </c>
      <c r="AR54" s="1154">
        <f t="shared" si="15"/>
        <v>5209.6905000000006</v>
      </c>
      <c r="AU54" s="1">
        <v>387</v>
      </c>
      <c r="AV54" s="240">
        <f t="shared" si="18"/>
        <v>-0.48000749756631422</v>
      </c>
      <c r="BD54" s="726">
        <v>150</v>
      </c>
      <c r="BE54" s="13">
        <v>5</v>
      </c>
      <c r="BF54" s="1">
        <v>98.91</v>
      </c>
      <c r="BG54" s="1154">
        <v>494.54999999999995</v>
      </c>
    </row>
    <row r="55" spans="1:59" x14ac:dyDescent="0.2">
      <c r="A55" s="1139" t="s">
        <v>8400</v>
      </c>
      <c r="B55" s="1140">
        <v>2078.83</v>
      </c>
      <c r="C55" s="1151">
        <v>100</v>
      </c>
      <c r="D55" s="1141">
        <v>20</v>
      </c>
      <c r="S55" s="1">
        <f t="shared" si="10"/>
        <v>49</v>
      </c>
      <c r="T55" s="1">
        <f t="shared" si="11"/>
        <v>2078.83</v>
      </c>
      <c r="U55" s="726">
        <v>49</v>
      </c>
      <c r="V55" s="1">
        <v>318</v>
      </c>
      <c r="W55" s="1">
        <f t="shared" si="2"/>
        <v>311.82450000000006</v>
      </c>
      <c r="Y55" s="240">
        <f t="shared" si="12"/>
        <v>1.9804409210950169E-2</v>
      </c>
      <c r="AA55" s="1321">
        <v>106</v>
      </c>
      <c r="AB55" s="1322">
        <v>16.5</v>
      </c>
      <c r="AC55" s="1322">
        <v>13.615500000000001</v>
      </c>
      <c r="AD55" s="1323">
        <v>0</v>
      </c>
      <c r="AE55" s="1324">
        <v>0.21185413682934873</v>
      </c>
      <c r="AJ55" t="s">
        <v>4624</v>
      </c>
      <c r="AL55" s="726">
        <v>237</v>
      </c>
      <c r="AM55" s="1">
        <f t="shared" si="3"/>
        <v>266.51677500000005</v>
      </c>
      <c r="AN55" s="13">
        <v>20</v>
      </c>
      <c r="AO55" s="1">
        <f t="shared" si="13"/>
        <v>138.6</v>
      </c>
      <c r="AP55" s="1154">
        <f t="shared" si="14"/>
        <v>2772</v>
      </c>
      <c r="AR55" s="1154">
        <f t="shared" si="15"/>
        <v>5330.335500000001</v>
      </c>
      <c r="AU55" s="1">
        <v>396</v>
      </c>
      <c r="AV55" s="240">
        <f t="shared" si="18"/>
        <v>-0.47995768746638945</v>
      </c>
      <c r="BD55" s="726">
        <v>151</v>
      </c>
      <c r="BE55" s="13">
        <v>5</v>
      </c>
      <c r="BF55" s="1">
        <v>106.18999999999998</v>
      </c>
      <c r="BG55" s="1154">
        <v>530.94999999999993</v>
      </c>
    </row>
    <row r="56" spans="1:59" x14ac:dyDescent="0.2">
      <c r="A56" s="1139" t="s">
        <v>8401</v>
      </c>
      <c r="B56" s="1140">
        <v>2272.3000000000002</v>
      </c>
      <c r="C56" s="1151">
        <v>100</v>
      </c>
      <c r="D56" s="1141">
        <v>20</v>
      </c>
      <c r="S56" s="1">
        <f t="shared" si="10"/>
        <v>50</v>
      </c>
      <c r="T56" s="1">
        <f t="shared" si="11"/>
        <v>2272.3000000000002</v>
      </c>
      <c r="U56" s="726">
        <v>50</v>
      </c>
      <c r="V56" s="1">
        <v>318</v>
      </c>
      <c r="W56" s="1">
        <f t="shared" si="2"/>
        <v>340.84500000000008</v>
      </c>
      <c r="Y56" s="240">
        <f t="shared" si="12"/>
        <v>-6.7024600624917663E-2</v>
      </c>
      <c r="AA56" s="1321">
        <v>107</v>
      </c>
      <c r="AB56" s="1322">
        <v>18</v>
      </c>
      <c r="AC56" s="1322">
        <v>14.556000000000003</v>
      </c>
      <c r="AD56" s="1323">
        <v>0</v>
      </c>
      <c r="AE56" s="1324">
        <v>0.23660346248969466</v>
      </c>
      <c r="AJ56" t="s">
        <v>4624</v>
      </c>
      <c r="AL56" s="726">
        <v>238</v>
      </c>
      <c r="AM56" s="1">
        <f t="shared" si="3"/>
        <v>278.84902500000004</v>
      </c>
      <c r="AN56" s="13">
        <v>20</v>
      </c>
      <c r="AO56" s="1">
        <f t="shared" si="13"/>
        <v>144.89999999999998</v>
      </c>
      <c r="AP56" s="1154">
        <f t="shared" si="14"/>
        <v>2897.9999999999995</v>
      </c>
      <c r="AR56" s="1154">
        <f t="shared" si="15"/>
        <v>5576.9805000000006</v>
      </c>
      <c r="AU56" s="1">
        <v>414</v>
      </c>
      <c r="AV56" s="240">
        <f t="shared" si="18"/>
        <v>-0.48036397114890417</v>
      </c>
      <c r="BD56" s="726">
        <v>152</v>
      </c>
      <c r="BE56" s="13">
        <v>5</v>
      </c>
      <c r="BF56" s="1">
        <v>119.91</v>
      </c>
      <c r="BG56" s="1154">
        <v>599.54999999999995</v>
      </c>
    </row>
    <row r="57" spans="1:59" x14ac:dyDescent="0.2">
      <c r="A57" s="1139" t="s">
        <v>8402</v>
      </c>
      <c r="B57" s="1140">
        <v>89.93</v>
      </c>
      <c r="C57" s="1151">
        <v>2000</v>
      </c>
      <c r="D57" s="1141">
        <v>50</v>
      </c>
      <c r="S57" s="1">
        <f t="shared" si="10"/>
        <v>102</v>
      </c>
      <c r="T57" s="1">
        <f t="shared" si="11"/>
        <v>89.93</v>
      </c>
      <c r="U57" s="726">
        <v>102</v>
      </c>
      <c r="V57" s="1">
        <v>13.499999999999998</v>
      </c>
      <c r="W57" s="1">
        <f t="shared" si="2"/>
        <v>13.489500000000003</v>
      </c>
      <c r="Y57" s="240">
        <f t="shared" si="12"/>
        <v>7.7838318692280417E-4</v>
      </c>
      <c r="AA57" s="1321">
        <v>108</v>
      </c>
      <c r="AB57" s="1322">
        <v>18</v>
      </c>
      <c r="AC57" s="1322">
        <v>14.556000000000003</v>
      </c>
      <c r="AD57" s="1323">
        <v>0</v>
      </c>
      <c r="AE57" s="1324">
        <v>0.23660346248969466</v>
      </c>
      <c r="AJ57" t="s">
        <v>4624</v>
      </c>
      <c r="AL57" s="726">
        <v>239</v>
      </c>
      <c r="AM57" s="1">
        <f t="shared" si="3"/>
        <v>290.10870000000006</v>
      </c>
      <c r="AN57" s="13">
        <v>20</v>
      </c>
      <c r="AO57" s="1">
        <f t="shared" si="13"/>
        <v>150.85</v>
      </c>
      <c r="AP57" s="1154">
        <f t="shared" si="14"/>
        <v>3017</v>
      </c>
      <c r="AR57" s="1154">
        <f t="shared" si="15"/>
        <v>5802.1740000000009</v>
      </c>
      <c r="AU57" s="1">
        <v>431</v>
      </c>
      <c r="AV57" s="240">
        <f t="shared" si="18"/>
        <v>-0.48002248812255555</v>
      </c>
      <c r="BD57" s="726">
        <v>153</v>
      </c>
      <c r="BE57" s="13">
        <v>5</v>
      </c>
      <c r="BF57" s="1">
        <v>124.81</v>
      </c>
      <c r="BG57" s="1154">
        <v>624.04999999999995</v>
      </c>
    </row>
    <row r="58" spans="1:59" x14ac:dyDescent="0.2">
      <c r="A58" s="1139" t="s">
        <v>8403</v>
      </c>
      <c r="B58" s="1140">
        <v>89.93</v>
      </c>
      <c r="C58" s="1151">
        <v>2000</v>
      </c>
      <c r="D58" s="1141">
        <v>50</v>
      </c>
      <c r="S58" s="1">
        <f t="shared" si="10"/>
        <v>103</v>
      </c>
      <c r="T58" s="1">
        <f t="shared" si="11"/>
        <v>89.93</v>
      </c>
      <c r="U58" s="726">
        <v>103</v>
      </c>
      <c r="V58" s="1">
        <v>16.5</v>
      </c>
      <c r="W58" s="1">
        <f t="shared" si="2"/>
        <v>13.489500000000003</v>
      </c>
      <c r="Y58" s="240">
        <f t="shared" si="12"/>
        <v>0.2231735794506835</v>
      </c>
      <c r="AA58" s="1321">
        <v>109</v>
      </c>
      <c r="AB58" s="1322">
        <v>19.5</v>
      </c>
      <c r="AC58" s="1322">
        <v>15.343500000000002</v>
      </c>
      <c r="AD58" s="1323">
        <v>0</v>
      </c>
      <c r="AE58" s="1324">
        <v>0.27089647081826151</v>
      </c>
      <c r="AJ58" t="s">
        <v>4624</v>
      </c>
      <c r="AL58" s="726">
        <v>240</v>
      </c>
      <c r="AM58" s="1">
        <f t="shared" si="3"/>
        <v>308.38185000000004</v>
      </c>
      <c r="AN58" s="13">
        <v>10</v>
      </c>
      <c r="AO58" s="1">
        <f t="shared" si="13"/>
        <v>160.29999999999998</v>
      </c>
      <c r="AP58" s="1154">
        <f t="shared" si="14"/>
        <v>1602.9999999999998</v>
      </c>
      <c r="AR58" s="1154">
        <f t="shared" si="15"/>
        <v>3083.8185000000003</v>
      </c>
      <c r="AU58" s="1">
        <v>458</v>
      </c>
      <c r="AV58" s="240">
        <f t="shared" si="18"/>
        <v>-0.48018990092964309</v>
      </c>
      <c r="BD58" s="726">
        <v>154</v>
      </c>
      <c r="BE58" s="13">
        <v>5</v>
      </c>
      <c r="BF58" s="1">
        <v>131.88</v>
      </c>
      <c r="BG58" s="1154">
        <v>659.4</v>
      </c>
    </row>
    <row r="59" spans="1:59" x14ac:dyDescent="0.2">
      <c r="A59" s="1139" t="s">
        <v>8404</v>
      </c>
      <c r="B59" s="1140">
        <v>89.93</v>
      </c>
      <c r="C59" s="1151">
        <v>2000</v>
      </c>
      <c r="D59" s="1141">
        <v>50</v>
      </c>
      <c r="S59" s="1">
        <f t="shared" si="10"/>
        <v>104</v>
      </c>
      <c r="T59" s="1">
        <f t="shared" si="11"/>
        <v>89.93</v>
      </c>
      <c r="U59" s="726">
        <v>104</v>
      </c>
      <c r="V59" s="1">
        <v>16.5</v>
      </c>
      <c r="W59" s="1">
        <f t="shared" si="2"/>
        <v>13.489500000000003</v>
      </c>
      <c r="Y59" s="240">
        <f t="shared" si="12"/>
        <v>0.2231735794506835</v>
      </c>
      <c r="AA59" s="1321">
        <v>110</v>
      </c>
      <c r="AB59" s="1322">
        <v>21</v>
      </c>
      <c r="AC59" s="1322">
        <v>16.918500000000005</v>
      </c>
      <c r="AD59" s="1323">
        <v>0</v>
      </c>
      <c r="AE59" s="1324">
        <v>0.24124479120489362</v>
      </c>
      <c r="AJ59" t="s">
        <v>21564</v>
      </c>
      <c r="AL59" s="726">
        <v>241</v>
      </c>
      <c r="AM59" s="1">
        <f t="shared" si="3"/>
        <v>323.61840000000001</v>
      </c>
      <c r="AN59" s="13">
        <v>10</v>
      </c>
      <c r="AO59" s="1">
        <f t="shared" si="13"/>
        <v>168</v>
      </c>
      <c r="AP59" s="1154">
        <f t="shared" si="14"/>
        <v>1680</v>
      </c>
      <c r="AR59" s="1154">
        <f t="shared" si="15"/>
        <v>3236.1840000000002</v>
      </c>
      <c r="AU59" s="1">
        <v>480</v>
      </c>
      <c r="AV59" s="240">
        <f t="shared" si="18"/>
        <v>-0.48087006177646263</v>
      </c>
      <c r="BD59" s="726">
        <v>155</v>
      </c>
      <c r="BE59" s="13">
        <v>5</v>
      </c>
      <c r="BF59" s="1">
        <v>149.66</v>
      </c>
      <c r="BG59" s="1154">
        <v>748.3</v>
      </c>
    </row>
    <row r="60" spans="1:59" x14ac:dyDescent="0.2">
      <c r="A60" s="1139" t="s">
        <v>8405</v>
      </c>
      <c r="B60" s="1140">
        <v>89.93</v>
      </c>
      <c r="C60" s="1151">
        <v>2000</v>
      </c>
      <c r="D60" s="1141">
        <v>50</v>
      </c>
      <c r="S60" s="1">
        <f t="shared" si="10"/>
        <v>105</v>
      </c>
      <c r="T60" s="1">
        <f t="shared" si="11"/>
        <v>89.93</v>
      </c>
      <c r="U60" s="726">
        <v>105</v>
      </c>
      <c r="V60" s="1">
        <v>16.5</v>
      </c>
      <c r="W60" s="1">
        <f t="shared" si="2"/>
        <v>13.489500000000003</v>
      </c>
      <c r="Y60" s="240">
        <f t="shared" si="12"/>
        <v>0.2231735794506835</v>
      </c>
      <c r="AA60" s="1321">
        <v>111</v>
      </c>
      <c r="AB60" s="1322">
        <v>24</v>
      </c>
      <c r="AC60" s="1322">
        <v>19.375500000000002</v>
      </c>
      <c r="AD60" s="1323">
        <v>0</v>
      </c>
      <c r="AE60" s="1324">
        <v>0.23867771154292772</v>
      </c>
      <c r="AJ60" t="s">
        <v>21564</v>
      </c>
      <c r="AL60" s="726">
        <v>242</v>
      </c>
      <c r="AM60" s="1">
        <f t="shared" si="3"/>
        <v>346.51417500000008</v>
      </c>
      <c r="AN60" s="13">
        <v>10</v>
      </c>
      <c r="AO60" s="1">
        <f t="shared" si="13"/>
        <v>179.89999999999998</v>
      </c>
      <c r="AP60" s="1154">
        <f t="shared" si="14"/>
        <v>1798.9999999999998</v>
      </c>
      <c r="AR60" s="1154">
        <f t="shared" si="15"/>
        <v>3465.1417500000007</v>
      </c>
      <c r="AU60" s="1">
        <v>514</v>
      </c>
      <c r="AV60" s="240">
        <f t="shared" si="18"/>
        <v>-0.4808293196086425</v>
      </c>
      <c r="BD60" s="726">
        <v>156</v>
      </c>
      <c r="BE60" s="13">
        <v>5</v>
      </c>
      <c r="BF60" s="1">
        <v>155.88999999999999</v>
      </c>
      <c r="BG60" s="1154">
        <v>779.44999999999993</v>
      </c>
    </row>
    <row r="61" spans="1:59" x14ac:dyDescent="0.2">
      <c r="A61" s="1139" t="s">
        <v>8406</v>
      </c>
      <c r="B61" s="1140">
        <v>90.77</v>
      </c>
      <c r="C61" s="1151">
        <v>2000</v>
      </c>
      <c r="D61" s="1141">
        <v>50</v>
      </c>
      <c r="S61" s="1">
        <f t="shared" si="10"/>
        <v>106</v>
      </c>
      <c r="T61" s="1">
        <f t="shared" si="11"/>
        <v>90.77</v>
      </c>
      <c r="U61" s="726">
        <v>106</v>
      </c>
      <c r="V61" s="1">
        <v>16.5</v>
      </c>
      <c r="W61" s="1">
        <f t="shared" si="2"/>
        <v>13.615500000000001</v>
      </c>
      <c r="Y61" s="240">
        <f t="shared" si="12"/>
        <v>0.21185413682934873</v>
      </c>
      <c r="AA61" s="1321">
        <v>112</v>
      </c>
      <c r="AB61" s="1322">
        <v>26.999999999999996</v>
      </c>
      <c r="AC61" s="1322">
        <v>21.354000000000006</v>
      </c>
      <c r="AD61" s="1323">
        <v>0</v>
      </c>
      <c r="AE61" s="1324">
        <v>0.2644001123911206</v>
      </c>
      <c r="AJ61" t="s">
        <v>21564</v>
      </c>
      <c r="AL61" s="726">
        <v>174</v>
      </c>
      <c r="AM61" s="1">
        <f t="shared" si="3"/>
        <v>906.15735000000018</v>
      </c>
      <c r="AN61" s="13">
        <v>5</v>
      </c>
      <c r="AO61" s="1">
        <f t="shared" si="13"/>
        <v>471.09999999999997</v>
      </c>
      <c r="AP61" s="1154">
        <f t="shared" si="14"/>
        <v>2355.5</v>
      </c>
      <c r="AR61" s="1154">
        <f t="shared" si="15"/>
        <v>4530.7867500000011</v>
      </c>
      <c r="AU61" s="1">
        <f t="shared" ref="AU61:AU139" si="19">+AW61/AN61</f>
        <v>1346</v>
      </c>
      <c r="AV61" s="240">
        <f t="shared" si="18"/>
        <v>-0.48011236679810643</v>
      </c>
      <c r="AW61">
        <v>6730</v>
      </c>
      <c r="BD61" s="726">
        <v>157</v>
      </c>
      <c r="BE61" s="13">
        <v>5</v>
      </c>
      <c r="BF61" s="1">
        <v>158.47999999999999</v>
      </c>
      <c r="BG61" s="1154">
        <v>792.4</v>
      </c>
    </row>
    <row r="62" spans="1:59" x14ac:dyDescent="0.2">
      <c r="A62" s="1139" t="s">
        <v>8407</v>
      </c>
      <c r="B62" s="1140">
        <v>97.04</v>
      </c>
      <c r="C62" s="1151">
        <v>2000</v>
      </c>
      <c r="D62" s="1141">
        <v>50</v>
      </c>
      <c r="S62" s="1">
        <f t="shared" si="10"/>
        <v>107</v>
      </c>
      <c r="T62" s="1">
        <f t="shared" si="11"/>
        <v>97.04</v>
      </c>
      <c r="U62" s="726">
        <v>107</v>
      </c>
      <c r="V62" s="1">
        <v>18</v>
      </c>
      <c r="W62" s="1">
        <f t="shared" si="2"/>
        <v>14.556000000000003</v>
      </c>
      <c r="Y62" s="240">
        <f t="shared" si="12"/>
        <v>0.23660346248969466</v>
      </c>
      <c r="AA62" s="1321">
        <v>114</v>
      </c>
      <c r="AB62" s="1322">
        <v>33</v>
      </c>
      <c r="AC62" s="1322">
        <v>25.885500000000004</v>
      </c>
      <c r="AD62" s="1323">
        <v>0</v>
      </c>
      <c r="AE62" s="1324">
        <v>0.27484499043866228</v>
      </c>
      <c r="AJ62" t="s">
        <v>21564</v>
      </c>
      <c r="AL62" s="726">
        <v>175</v>
      </c>
      <c r="AM62" s="1">
        <f t="shared" si="3"/>
        <v>959.46007500000019</v>
      </c>
      <c r="AN62" s="13">
        <v>5</v>
      </c>
      <c r="AO62" s="1">
        <f t="shared" si="13"/>
        <v>498.74999999999994</v>
      </c>
      <c r="AP62" s="1154">
        <f t="shared" si="14"/>
        <v>2493.7499999999995</v>
      </c>
      <c r="AR62" s="1154">
        <f t="shared" si="15"/>
        <v>4797.3003750000007</v>
      </c>
      <c r="AU62" s="1">
        <f t="shared" si="19"/>
        <v>1425</v>
      </c>
      <c r="AV62" s="240">
        <f t="shared" si="18"/>
        <v>-0.48017638983049937</v>
      </c>
      <c r="AW62">
        <v>7125</v>
      </c>
      <c r="BD62" s="726">
        <v>158</v>
      </c>
      <c r="BE62" s="13">
        <v>5</v>
      </c>
      <c r="BF62" s="1">
        <v>170.86999999999998</v>
      </c>
      <c r="BG62" s="1154">
        <v>854.34999999999991</v>
      </c>
    </row>
    <row r="63" spans="1:59" x14ac:dyDescent="0.2">
      <c r="A63" s="1139" t="s">
        <v>8408</v>
      </c>
      <c r="B63" s="1140">
        <v>97.04</v>
      </c>
      <c r="C63" s="1151">
        <v>2000</v>
      </c>
      <c r="D63" s="1141">
        <v>50</v>
      </c>
      <c r="S63" s="1">
        <f t="shared" si="10"/>
        <v>108</v>
      </c>
      <c r="T63" s="1">
        <f t="shared" si="11"/>
        <v>97.04</v>
      </c>
      <c r="U63" s="726">
        <v>108</v>
      </c>
      <c r="V63" s="1">
        <v>18</v>
      </c>
      <c r="W63" s="1">
        <f t="shared" si="2"/>
        <v>14.556000000000003</v>
      </c>
      <c r="Y63" s="240">
        <f t="shared" si="12"/>
        <v>0.23660346248969466</v>
      </c>
      <c r="AA63" s="1321">
        <v>115</v>
      </c>
      <c r="AB63" s="1322">
        <v>37.5</v>
      </c>
      <c r="AC63" s="1322">
        <v>28.246500000000005</v>
      </c>
      <c r="AD63" s="1323">
        <v>0</v>
      </c>
      <c r="AE63" s="1324">
        <v>0.32759810950029178</v>
      </c>
      <c r="AJ63" t="s">
        <v>21564</v>
      </c>
      <c r="AL63" s="726">
        <v>176</v>
      </c>
      <c r="AM63" s="1">
        <f t="shared" si="3"/>
        <v>989.88750000000016</v>
      </c>
      <c r="AN63" s="13">
        <v>5</v>
      </c>
      <c r="AO63" s="1">
        <f t="shared" si="13"/>
        <v>514.85</v>
      </c>
      <c r="AP63" s="1154">
        <f t="shared" si="14"/>
        <v>2574.25</v>
      </c>
      <c r="AR63" s="1154">
        <f t="shared" si="15"/>
        <v>4949.4375000000009</v>
      </c>
      <c r="AU63" s="1">
        <f t="shared" si="19"/>
        <v>1471</v>
      </c>
      <c r="AV63" s="240">
        <f t="shared" si="18"/>
        <v>-0.47989039158490243</v>
      </c>
      <c r="AW63">
        <v>7355</v>
      </c>
      <c r="BD63" s="726">
        <v>159</v>
      </c>
      <c r="BE63" s="13">
        <v>5</v>
      </c>
      <c r="BF63" s="1">
        <v>175.98</v>
      </c>
      <c r="BG63" s="1154">
        <v>879.9</v>
      </c>
    </row>
    <row r="64" spans="1:59" x14ac:dyDescent="0.2">
      <c r="A64" s="1139" t="s">
        <v>8409</v>
      </c>
      <c r="B64" s="1140">
        <v>102.29</v>
      </c>
      <c r="C64" s="1151">
        <v>2000</v>
      </c>
      <c r="D64" s="1141">
        <v>50</v>
      </c>
      <c r="S64" s="1">
        <f t="shared" si="10"/>
        <v>109</v>
      </c>
      <c r="T64" s="1">
        <f t="shared" si="11"/>
        <v>102.29</v>
      </c>
      <c r="U64" s="726">
        <v>109</v>
      </c>
      <c r="V64" s="1">
        <v>19.5</v>
      </c>
      <c r="W64" s="1">
        <f t="shared" si="2"/>
        <v>15.343500000000002</v>
      </c>
      <c r="Y64" s="240">
        <f t="shared" si="12"/>
        <v>0.27089647081826151</v>
      </c>
      <c r="AA64" s="1321">
        <v>116</v>
      </c>
      <c r="AB64" s="1322">
        <v>40.5</v>
      </c>
      <c r="AC64" s="1322">
        <v>31.491000000000003</v>
      </c>
      <c r="AD64" s="1323">
        <v>0</v>
      </c>
      <c r="AE64" s="1324">
        <v>0.28608173763932543</v>
      </c>
      <c r="AJ64" t="s">
        <v>21564</v>
      </c>
      <c r="AL64" s="726">
        <v>177</v>
      </c>
      <c r="AM64" s="1">
        <f t="shared" si="3"/>
        <v>1005.1240500000002</v>
      </c>
      <c r="AN64" s="13">
        <v>5</v>
      </c>
      <c r="AO64" s="1">
        <f t="shared" si="13"/>
        <v>522.54999999999995</v>
      </c>
      <c r="AP64" s="1154">
        <f t="shared" si="14"/>
        <v>2612.75</v>
      </c>
      <c r="AR64" s="1154">
        <f t="shared" si="15"/>
        <v>5025.6202500000009</v>
      </c>
      <c r="AU64" s="1">
        <f t="shared" si="19"/>
        <v>1493</v>
      </c>
      <c r="AV64" s="240">
        <f t="shared" si="18"/>
        <v>-0.48011392225666094</v>
      </c>
      <c r="AW64">
        <v>7465</v>
      </c>
      <c r="BD64" s="726">
        <v>160</v>
      </c>
      <c r="BE64" s="13">
        <v>5</v>
      </c>
      <c r="BF64" s="1">
        <v>216.57999999999998</v>
      </c>
      <c r="BG64" s="1154">
        <v>1082.8999999999999</v>
      </c>
    </row>
    <row r="65" spans="1:59" x14ac:dyDescent="0.2">
      <c r="A65" s="1139" t="s">
        <v>8410</v>
      </c>
      <c r="B65" s="1140">
        <v>112.79</v>
      </c>
      <c r="C65" s="1151">
        <v>2000</v>
      </c>
      <c r="D65" s="1141">
        <v>50</v>
      </c>
      <c r="S65" s="1">
        <f t="shared" si="10"/>
        <v>110</v>
      </c>
      <c r="T65" s="1">
        <f t="shared" si="11"/>
        <v>112.79</v>
      </c>
      <c r="U65" s="726">
        <v>110</v>
      </c>
      <c r="V65" s="1">
        <v>21</v>
      </c>
      <c r="W65" s="1">
        <f t="shared" si="2"/>
        <v>16.918500000000005</v>
      </c>
      <c r="Y65" s="240">
        <f t="shared" si="12"/>
        <v>0.24124479120489362</v>
      </c>
      <c r="AA65" s="1321">
        <v>117</v>
      </c>
      <c r="AB65" s="1322">
        <v>43.5</v>
      </c>
      <c r="AC65" s="1322">
        <v>34.545000000000009</v>
      </c>
      <c r="AD65" s="1323">
        <v>0</v>
      </c>
      <c r="AE65" s="1324">
        <v>0.25922709509335617</v>
      </c>
      <c r="AJ65" t="s">
        <v>21564</v>
      </c>
      <c r="AL65" s="726">
        <v>178</v>
      </c>
      <c r="AM65" s="1">
        <f t="shared" si="3"/>
        <v>1020.3590250000002</v>
      </c>
      <c r="AN65" s="13">
        <v>5</v>
      </c>
      <c r="AO65" s="1">
        <f t="shared" si="13"/>
        <v>530.6</v>
      </c>
      <c r="AP65" s="1154">
        <f t="shared" si="14"/>
        <v>2653</v>
      </c>
      <c r="AR65" s="1154">
        <f t="shared" si="15"/>
        <v>5101.7951250000006</v>
      </c>
      <c r="AU65" s="1">
        <f t="shared" si="19"/>
        <v>1516</v>
      </c>
      <c r="AV65" s="240">
        <f t="shared" si="18"/>
        <v>-0.4799869585119807</v>
      </c>
      <c r="AW65">
        <v>7580</v>
      </c>
      <c r="BD65" s="726">
        <v>161</v>
      </c>
      <c r="BE65" s="13">
        <v>5</v>
      </c>
      <c r="BF65" s="1">
        <v>234.42999999999998</v>
      </c>
      <c r="BG65" s="1154">
        <v>1172.1499999999999</v>
      </c>
    </row>
    <row r="66" spans="1:59" x14ac:dyDescent="0.2">
      <c r="A66" s="1139" t="s">
        <v>8411</v>
      </c>
      <c r="B66" s="1140">
        <v>129.16999999999999</v>
      </c>
      <c r="C66" s="1151">
        <v>1500</v>
      </c>
      <c r="D66" s="1141">
        <v>50</v>
      </c>
      <c r="S66" s="1">
        <f t="shared" si="10"/>
        <v>111</v>
      </c>
      <c r="T66" s="1">
        <f t="shared" si="11"/>
        <v>129.16999999999999</v>
      </c>
      <c r="U66" s="726">
        <v>111</v>
      </c>
      <c r="V66" s="1">
        <v>24</v>
      </c>
      <c r="W66" s="1">
        <f t="shared" si="2"/>
        <v>19.375500000000002</v>
      </c>
      <c r="Y66" s="240">
        <f t="shared" si="12"/>
        <v>0.23867771154292772</v>
      </c>
      <c r="AA66" s="1321">
        <v>118</v>
      </c>
      <c r="AB66" s="1322">
        <v>45</v>
      </c>
      <c r="AC66" s="1322">
        <v>37.483500000000006</v>
      </c>
      <c r="AD66" s="1323">
        <v>0</v>
      </c>
      <c r="AE66" s="1324">
        <v>0.2005282324222657</v>
      </c>
      <c r="AJ66" t="s">
        <v>21564</v>
      </c>
      <c r="AL66" s="726">
        <v>155</v>
      </c>
      <c r="AM66" s="1">
        <f t="shared" si="3"/>
        <v>287.82967500000007</v>
      </c>
      <c r="AN66" s="13">
        <v>5</v>
      </c>
      <c r="AO66" s="1">
        <f t="shared" si="13"/>
        <v>149.66</v>
      </c>
      <c r="AP66" s="1154">
        <f t="shared" si="14"/>
        <v>748.3</v>
      </c>
      <c r="AR66" s="1154">
        <f t="shared" si="15"/>
        <v>1439.1483750000002</v>
      </c>
      <c r="AU66" s="1">
        <f t="shared" si="19"/>
        <v>427.6</v>
      </c>
      <c r="AV66" s="240">
        <f t="shared" si="18"/>
        <v>-0.48003971445960203</v>
      </c>
      <c r="AW66">
        <v>2138</v>
      </c>
      <c r="BD66" s="726">
        <v>162</v>
      </c>
      <c r="BE66" s="13">
        <v>5</v>
      </c>
      <c r="BF66" s="1">
        <v>252.62999999999997</v>
      </c>
      <c r="BG66" s="1154">
        <v>1263.1499999999999</v>
      </c>
    </row>
    <row r="67" spans="1:59" x14ac:dyDescent="0.2">
      <c r="A67" s="1139" t="s">
        <v>8412</v>
      </c>
      <c r="B67" s="1140">
        <v>142.36000000000001</v>
      </c>
      <c r="C67" s="1151">
        <v>1500</v>
      </c>
      <c r="D67" s="1141">
        <v>50</v>
      </c>
      <c r="S67" s="1">
        <f t="shared" si="10"/>
        <v>112</v>
      </c>
      <c r="T67" s="1">
        <f t="shared" si="11"/>
        <v>142.36000000000001</v>
      </c>
      <c r="U67" s="726">
        <v>112</v>
      </c>
      <c r="V67" s="1">
        <v>26.999999999999996</v>
      </c>
      <c r="W67" s="1">
        <f t="shared" si="2"/>
        <v>21.354000000000006</v>
      </c>
      <c r="Y67" s="240">
        <f t="shared" si="12"/>
        <v>0.2644001123911206</v>
      </c>
      <c r="AA67" s="1321">
        <v>119</v>
      </c>
      <c r="AB67" s="1322">
        <v>46.5</v>
      </c>
      <c r="AC67" s="1322">
        <v>40.825500000000005</v>
      </c>
      <c r="AD67" s="1323">
        <v>0</v>
      </c>
      <c r="AE67" s="1324">
        <v>0.13899401109600595</v>
      </c>
      <c r="AJ67" t="s">
        <v>21564</v>
      </c>
      <c r="AL67" s="726">
        <v>156</v>
      </c>
      <c r="AM67" s="1">
        <f t="shared" si="3"/>
        <v>299.71777500000007</v>
      </c>
      <c r="AN67" s="13">
        <v>5</v>
      </c>
      <c r="AO67" s="1">
        <f t="shared" si="13"/>
        <v>155.88999999999999</v>
      </c>
      <c r="AP67" s="1154">
        <f t="shared" si="14"/>
        <v>779.44999999999993</v>
      </c>
      <c r="AR67" s="1154">
        <f t="shared" si="15"/>
        <v>1498.5888750000004</v>
      </c>
      <c r="AU67" s="1">
        <f t="shared" si="19"/>
        <v>445.4</v>
      </c>
      <c r="AV67" s="240">
        <f t="shared" si="18"/>
        <v>-0.47987736129430447</v>
      </c>
      <c r="AW67">
        <v>2227</v>
      </c>
      <c r="BD67" s="726">
        <v>163</v>
      </c>
      <c r="BE67" s="13">
        <v>5</v>
      </c>
      <c r="BF67" s="1">
        <v>266</v>
      </c>
      <c r="BG67" s="1154">
        <v>1330</v>
      </c>
    </row>
    <row r="68" spans="1:59" x14ac:dyDescent="0.2">
      <c r="A68" s="1139" t="s">
        <v>8413</v>
      </c>
      <c r="B68" s="1140">
        <v>158.11000000000001</v>
      </c>
      <c r="C68" s="1151">
        <v>1500</v>
      </c>
      <c r="D68" s="1141">
        <v>50</v>
      </c>
      <c r="S68" s="1">
        <f t="shared" si="10"/>
        <v>113</v>
      </c>
      <c r="T68" s="1">
        <f t="shared" si="11"/>
        <v>158.11000000000001</v>
      </c>
      <c r="U68" s="726">
        <v>113</v>
      </c>
      <c r="V68" s="1" t="s">
        <v>8353</v>
      </c>
      <c r="W68" s="1">
        <f t="shared" si="2"/>
        <v>23.716500000000007</v>
      </c>
      <c r="Y68" s="240" t="str">
        <f t="shared" si="12"/>
        <v/>
      </c>
      <c r="AA68" s="1321">
        <v>120</v>
      </c>
      <c r="AB68" s="1322">
        <v>55.5</v>
      </c>
      <c r="AC68" s="1322">
        <v>42.514500000000005</v>
      </c>
      <c r="AD68" s="1323">
        <v>0</v>
      </c>
      <c r="AE68" s="1324">
        <v>0.30543696856366642</v>
      </c>
      <c r="AJ68" t="s">
        <v>21564</v>
      </c>
      <c r="AL68" s="726">
        <v>157</v>
      </c>
      <c r="AM68" s="1">
        <f t="shared" si="3"/>
        <v>304.77825000000007</v>
      </c>
      <c r="AN68" s="13">
        <v>5</v>
      </c>
      <c r="AO68" s="1">
        <f t="shared" si="13"/>
        <v>158.47999999999999</v>
      </c>
      <c r="AP68" s="1154">
        <f t="shared" si="14"/>
        <v>792.4</v>
      </c>
      <c r="AR68" s="1154">
        <f t="shared" si="15"/>
        <v>1523.8912500000004</v>
      </c>
      <c r="AU68" s="1">
        <f t="shared" si="19"/>
        <v>452.8</v>
      </c>
      <c r="AV68" s="240">
        <f t="shared" si="18"/>
        <v>-0.4800153882371857</v>
      </c>
      <c r="AW68">
        <v>2264</v>
      </c>
      <c r="BD68" s="726">
        <v>164</v>
      </c>
      <c r="BE68" s="13">
        <v>5</v>
      </c>
      <c r="BF68" s="1">
        <v>268.72999999999996</v>
      </c>
      <c r="BG68" s="1154">
        <v>1343.6499999999999</v>
      </c>
    </row>
    <row r="69" spans="1:59" x14ac:dyDescent="0.2">
      <c r="A69" s="1139" t="s">
        <v>8414</v>
      </c>
      <c r="B69" s="1140">
        <v>172.57</v>
      </c>
      <c r="C69" s="1151">
        <v>1000</v>
      </c>
      <c r="D69" s="1141">
        <v>50</v>
      </c>
      <c r="S69" s="1">
        <f t="shared" si="10"/>
        <v>114</v>
      </c>
      <c r="T69" s="1">
        <f t="shared" si="11"/>
        <v>172.57</v>
      </c>
      <c r="U69" s="726">
        <v>114</v>
      </c>
      <c r="V69" s="1">
        <v>33</v>
      </c>
      <c r="W69" s="1">
        <f t="shared" ref="W69:W132" si="20">+IF(U69="",0,VLOOKUP("*"&amp;U69,$A$5:$D$414,2,0))*(1-0.5)*(1-$K$3)</f>
        <v>25.885500000000004</v>
      </c>
      <c r="Y69" s="240">
        <f t="shared" si="12"/>
        <v>0.27484499043866228</v>
      </c>
      <c r="AA69" s="1321">
        <v>121</v>
      </c>
      <c r="AB69" s="1322">
        <v>60</v>
      </c>
      <c r="AC69" s="1322">
        <v>44.568000000000005</v>
      </c>
      <c r="AD69" s="1323">
        <v>0</v>
      </c>
      <c r="AE69" s="1324">
        <v>0.34625740441572406</v>
      </c>
      <c r="AJ69" t="s">
        <v>21564</v>
      </c>
      <c r="AL69" s="726">
        <v>158</v>
      </c>
      <c r="AM69" s="1">
        <f t="shared" si="3"/>
        <v>328.95922500000006</v>
      </c>
      <c r="AN69" s="13">
        <v>5</v>
      </c>
      <c r="AO69" s="1">
        <f t="shared" si="13"/>
        <v>170.86999999999998</v>
      </c>
      <c r="AP69" s="1154">
        <f t="shared" si="14"/>
        <v>854.34999999999991</v>
      </c>
      <c r="AR69" s="1154">
        <f t="shared" si="15"/>
        <v>1644.7961250000003</v>
      </c>
      <c r="AU69" s="1">
        <f t="shared" si="19"/>
        <v>488.2</v>
      </c>
      <c r="AV69" s="240">
        <f t="shared" ref="AV69:AV132" si="21">IFERROR(AO69/AM69-1,"")</f>
        <v>-0.48057392219354866</v>
      </c>
      <c r="AW69">
        <v>2441</v>
      </c>
      <c r="BD69" s="726">
        <v>165</v>
      </c>
      <c r="BE69" s="13">
        <v>5</v>
      </c>
      <c r="BF69" s="1">
        <v>286.51</v>
      </c>
      <c r="BG69" s="1154">
        <v>1432.55</v>
      </c>
    </row>
    <row r="70" spans="1:59" x14ac:dyDescent="0.2">
      <c r="A70" s="1139" t="s">
        <v>8415</v>
      </c>
      <c r="B70" s="1140">
        <v>188.31</v>
      </c>
      <c r="C70" s="1151">
        <v>1000</v>
      </c>
      <c r="D70" s="1141">
        <v>50</v>
      </c>
      <c r="S70" s="1">
        <f t="shared" ref="S70:S133" si="22">+RIGHT(A70,3)+0</f>
        <v>115</v>
      </c>
      <c r="T70" s="1">
        <f t="shared" ref="T70:T133" si="23">+B70</f>
        <v>188.31</v>
      </c>
      <c r="U70" s="726">
        <v>115</v>
      </c>
      <c r="V70" s="1">
        <v>37.5</v>
      </c>
      <c r="W70" s="1">
        <f t="shared" si="20"/>
        <v>28.246500000000005</v>
      </c>
      <c r="Y70" s="240">
        <f t="shared" ref="Y70:Y133" si="24">IFERROR(V70/W70-1,"")</f>
        <v>0.32759810950029178</v>
      </c>
      <c r="AA70" s="1321">
        <v>122</v>
      </c>
      <c r="AB70" s="1322">
        <v>66</v>
      </c>
      <c r="AC70" s="1322">
        <v>49.696500000000007</v>
      </c>
      <c r="AD70" s="1323">
        <v>0</v>
      </c>
      <c r="AE70" s="1324">
        <v>0.32806133228698187</v>
      </c>
      <c r="AJ70" t="s">
        <v>21564</v>
      </c>
      <c r="AL70" s="726">
        <v>159</v>
      </c>
      <c r="AM70" s="1">
        <f t="shared" ref="AM70:AM198" si="25">+(IF(AL70="",0,VLOOKUP("*"&amp;AL70,$A$5:$D$414,2,0))*1.05)*(1-0.5)*(1-$K$3)</f>
        <v>338.45017500000006</v>
      </c>
      <c r="AN70" s="13">
        <v>5</v>
      </c>
      <c r="AO70" s="1">
        <f t="shared" ref="AO70:AO120" si="26">+AU70*(1-$AT$4)</f>
        <v>175.98</v>
      </c>
      <c r="AP70" s="1154">
        <f t="shared" ref="AP70:AP120" si="27">+AO70*AN70</f>
        <v>879.9</v>
      </c>
      <c r="AR70" s="1154">
        <f t="shared" ref="AR70:AR120" si="28">+AM70*AN70</f>
        <v>1692.2508750000002</v>
      </c>
      <c r="AU70" s="1">
        <f t="shared" si="19"/>
        <v>502.8</v>
      </c>
      <c r="AV70" s="240">
        <f t="shared" si="21"/>
        <v>-0.48004163389781096</v>
      </c>
      <c r="AW70">
        <v>2514</v>
      </c>
      <c r="BD70" s="726">
        <v>166</v>
      </c>
      <c r="BE70" s="13">
        <v>5</v>
      </c>
      <c r="BF70" s="1">
        <v>292.17999999999995</v>
      </c>
      <c r="BG70" s="1154">
        <v>1460.8999999999996</v>
      </c>
    </row>
    <row r="71" spans="1:59" x14ac:dyDescent="0.2">
      <c r="A71" s="1139" t="s">
        <v>8416</v>
      </c>
      <c r="B71" s="1140">
        <v>209.94</v>
      </c>
      <c r="C71" s="1151">
        <v>1000</v>
      </c>
      <c r="D71" s="1141">
        <v>50</v>
      </c>
      <c r="S71" s="1">
        <f t="shared" si="22"/>
        <v>116</v>
      </c>
      <c r="T71" s="1">
        <f t="shared" si="23"/>
        <v>209.94</v>
      </c>
      <c r="U71" s="726">
        <v>116</v>
      </c>
      <c r="V71" s="1">
        <v>40.5</v>
      </c>
      <c r="W71" s="1">
        <f t="shared" si="20"/>
        <v>31.491000000000003</v>
      </c>
      <c r="Y71" s="240">
        <f t="shared" si="24"/>
        <v>0.28608173763932543</v>
      </c>
      <c r="AA71" s="1321">
        <v>123</v>
      </c>
      <c r="AB71" s="1322">
        <v>73.5</v>
      </c>
      <c r="AC71" s="1322">
        <v>53.728500000000011</v>
      </c>
      <c r="AD71" s="1323">
        <v>0</v>
      </c>
      <c r="AE71" s="1324">
        <v>0.36798905608755095</v>
      </c>
      <c r="AJ71" t="s">
        <v>21564</v>
      </c>
      <c r="AL71" s="726">
        <v>160</v>
      </c>
      <c r="AM71" s="1">
        <f t="shared" si="25"/>
        <v>416.50717500000007</v>
      </c>
      <c r="AN71" s="13">
        <v>5</v>
      </c>
      <c r="AO71" s="1">
        <f t="shared" si="26"/>
        <v>216.57999999999998</v>
      </c>
      <c r="AP71" s="1154">
        <f t="shared" si="27"/>
        <v>1082.8999999999999</v>
      </c>
      <c r="AR71" s="1154">
        <f t="shared" si="28"/>
        <v>2082.5358750000005</v>
      </c>
      <c r="AU71" s="1">
        <f t="shared" si="19"/>
        <v>618.79999999999995</v>
      </c>
      <c r="AV71" s="240">
        <f t="shared" si="21"/>
        <v>-0.48000895782887787</v>
      </c>
      <c r="AW71">
        <v>3094</v>
      </c>
      <c r="BD71" s="726">
        <v>167</v>
      </c>
      <c r="BE71" s="13">
        <v>5</v>
      </c>
      <c r="BF71" s="1">
        <v>332.64</v>
      </c>
      <c r="BG71" s="1154">
        <v>1663.1999999999998</v>
      </c>
    </row>
    <row r="72" spans="1:59" x14ac:dyDescent="0.2">
      <c r="A72" s="1139" t="s">
        <v>8417</v>
      </c>
      <c r="B72" s="1140">
        <v>230.3</v>
      </c>
      <c r="C72" s="1151">
        <v>700</v>
      </c>
      <c r="D72" s="1141">
        <v>50</v>
      </c>
      <c r="S72" s="1">
        <f t="shared" si="22"/>
        <v>117</v>
      </c>
      <c r="T72" s="1">
        <f t="shared" si="23"/>
        <v>230.3</v>
      </c>
      <c r="U72" s="726">
        <v>117</v>
      </c>
      <c r="V72" s="1">
        <v>43.5</v>
      </c>
      <c r="W72" s="1">
        <f t="shared" si="20"/>
        <v>34.545000000000009</v>
      </c>
      <c r="Y72" s="240">
        <f t="shared" si="24"/>
        <v>0.25922709509335617</v>
      </c>
      <c r="AA72" s="1321">
        <v>124</v>
      </c>
      <c r="AB72" s="1322">
        <v>69</v>
      </c>
      <c r="AC72" s="1322">
        <v>58.356000000000009</v>
      </c>
      <c r="AD72" s="1323">
        <v>0</v>
      </c>
      <c r="AE72" s="1324">
        <v>0.18239769689492058</v>
      </c>
      <c r="AJ72" t="s">
        <v>21564</v>
      </c>
      <c r="AL72" s="726">
        <v>161</v>
      </c>
      <c r="AM72" s="1">
        <f t="shared" si="25"/>
        <v>450.77760000000012</v>
      </c>
      <c r="AN72" s="13">
        <v>5</v>
      </c>
      <c r="AO72" s="1">
        <f t="shared" si="26"/>
        <v>234.42999999999998</v>
      </c>
      <c r="AP72" s="1154">
        <f t="shared" si="27"/>
        <v>1172.1499999999999</v>
      </c>
      <c r="AR72" s="1154">
        <f t="shared" si="28"/>
        <v>2253.8880000000008</v>
      </c>
      <c r="AU72" s="1">
        <f t="shared" si="19"/>
        <v>669.8</v>
      </c>
      <c r="AV72" s="240">
        <f t="shared" si="21"/>
        <v>-0.47994310276287044</v>
      </c>
      <c r="AW72">
        <v>3349</v>
      </c>
      <c r="BD72" s="726">
        <v>168</v>
      </c>
      <c r="BE72" s="13">
        <v>5</v>
      </c>
      <c r="BF72" s="1">
        <v>344.53999999999996</v>
      </c>
      <c r="BG72" s="1154">
        <v>1722.6999999999998</v>
      </c>
    </row>
    <row r="73" spans="1:59" x14ac:dyDescent="0.2">
      <c r="A73" s="1139" t="s">
        <v>8418</v>
      </c>
      <c r="B73" s="1140">
        <v>249.89</v>
      </c>
      <c r="C73" s="1151">
        <v>700</v>
      </c>
      <c r="D73" s="1141">
        <v>50</v>
      </c>
      <c r="S73" s="1">
        <f t="shared" si="22"/>
        <v>118</v>
      </c>
      <c r="T73" s="1">
        <f t="shared" si="23"/>
        <v>249.89</v>
      </c>
      <c r="U73" s="726">
        <v>118</v>
      </c>
      <c r="V73" s="1">
        <v>45</v>
      </c>
      <c r="W73" s="1">
        <f t="shared" si="20"/>
        <v>37.483500000000006</v>
      </c>
      <c r="Y73" s="240">
        <f t="shared" si="24"/>
        <v>0.2005282324222657</v>
      </c>
      <c r="AA73" s="1321">
        <v>125</v>
      </c>
      <c r="AB73" s="1322">
        <v>73.5</v>
      </c>
      <c r="AC73" s="1322">
        <v>60.507000000000005</v>
      </c>
      <c r="AD73" s="1323">
        <v>0</v>
      </c>
      <c r="AE73" s="1324">
        <v>0.21473548515047836</v>
      </c>
      <c r="AJ73" t="s">
        <v>21564</v>
      </c>
      <c r="AL73" s="726">
        <v>162</v>
      </c>
      <c r="AM73" s="1">
        <f t="shared" si="25"/>
        <v>485.80717500000009</v>
      </c>
      <c r="AN73" s="13">
        <v>5</v>
      </c>
      <c r="AO73" s="1">
        <f t="shared" si="26"/>
        <v>252.62999999999997</v>
      </c>
      <c r="AP73" s="1154">
        <f t="shared" si="27"/>
        <v>1263.1499999999999</v>
      </c>
      <c r="AR73" s="1154">
        <f t="shared" si="28"/>
        <v>2429.0358750000005</v>
      </c>
      <c r="AU73" s="1">
        <f t="shared" si="19"/>
        <v>721.8</v>
      </c>
      <c r="AV73" s="240">
        <f t="shared" si="21"/>
        <v>-0.47997886198366679</v>
      </c>
      <c r="AW73">
        <v>3609</v>
      </c>
      <c r="BD73" s="726">
        <v>169</v>
      </c>
      <c r="BE73" s="13">
        <v>5</v>
      </c>
      <c r="BF73" s="1">
        <v>415.79999999999995</v>
      </c>
      <c r="BG73" s="1154">
        <v>2079</v>
      </c>
    </row>
    <row r="74" spans="1:59" x14ac:dyDescent="0.2">
      <c r="A74" s="1139" t="s">
        <v>8419</v>
      </c>
      <c r="B74" s="1140">
        <v>272.17</v>
      </c>
      <c r="C74" s="1151">
        <v>700</v>
      </c>
      <c r="D74" s="1141">
        <v>50</v>
      </c>
      <c r="S74" s="1">
        <f t="shared" si="22"/>
        <v>119</v>
      </c>
      <c r="T74" s="1">
        <f t="shared" si="23"/>
        <v>272.17</v>
      </c>
      <c r="U74" s="726">
        <v>119</v>
      </c>
      <c r="V74" s="1">
        <v>46.5</v>
      </c>
      <c r="W74" s="1">
        <f t="shared" si="20"/>
        <v>40.825500000000005</v>
      </c>
      <c r="Y74" s="240">
        <f t="shared" si="24"/>
        <v>0.13899401109600595</v>
      </c>
      <c r="AA74" s="1321">
        <v>126</v>
      </c>
      <c r="AB74" s="1322">
        <v>76.5</v>
      </c>
      <c r="AC74" s="1322">
        <v>65.73</v>
      </c>
      <c r="AD74" s="1323">
        <v>0</v>
      </c>
      <c r="AE74" s="1324">
        <v>0.16385212231857582</v>
      </c>
      <c r="AJ74" t="s">
        <v>21564</v>
      </c>
      <c r="AL74" s="726">
        <v>163</v>
      </c>
      <c r="AM74" s="1">
        <f t="shared" si="25"/>
        <v>511.50487500000014</v>
      </c>
      <c r="AN74" s="13">
        <v>5</v>
      </c>
      <c r="AO74" s="1">
        <f t="shared" si="26"/>
        <v>266</v>
      </c>
      <c r="AP74" s="1154">
        <f t="shared" si="27"/>
        <v>1330</v>
      </c>
      <c r="AR74" s="1154">
        <f t="shared" si="28"/>
        <v>2557.5243750000009</v>
      </c>
      <c r="AU74" s="1">
        <f t="shared" si="19"/>
        <v>760</v>
      </c>
      <c r="AV74" s="240">
        <f t="shared" si="21"/>
        <v>-0.47996585565289107</v>
      </c>
      <c r="AW74">
        <v>3800</v>
      </c>
      <c r="BD74" s="726">
        <v>170</v>
      </c>
      <c r="BE74" s="13">
        <v>5</v>
      </c>
      <c r="BF74" s="1">
        <v>431.54999999999995</v>
      </c>
      <c r="BG74" s="1154">
        <v>2157.75</v>
      </c>
    </row>
    <row r="75" spans="1:59" x14ac:dyDescent="0.2">
      <c r="A75" s="1139" t="s">
        <v>8420</v>
      </c>
      <c r="B75" s="1140">
        <v>283.43</v>
      </c>
      <c r="C75" s="1151">
        <v>700</v>
      </c>
      <c r="D75" s="1141">
        <v>30</v>
      </c>
      <c r="S75" s="1">
        <f t="shared" si="22"/>
        <v>120</v>
      </c>
      <c r="T75" s="1">
        <f t="shared" si="23"/>
        <v>283.43</v>
      </c>
      <c r="U75" s="726">
        <v>120</v>
      </c>
      <c r="V75" s="1">
        <v>55.5</v>
      </c>
      <c r="W75" s="1">
        <f t="shared" si="20"/>
        <v>42.514500000000005</v>
      </c>
      <c r="Y75" s="240">
        <f t="shared" si="24"/>
        <v>0.30543696856366642</v>
      </c>
      <c r="AA75" s="1321">
        <v>127</v>
      </c>
      <c r="AB75" s="1322">
        <v>85.5</v>
      </c>
      <c r="AC75" s="1322">
        <v>73.393500000000017</v>
      </c>
      <c r="AD75" s="1323">
        <v>0</v>
      </c>
      <c r="AE75" s="1324">
        <v>0.16495329967912653</v>
      </c>
      <c r="AJ75" t="s">
        <v>21564</v>
      </c>
      <c r="AL75" s="726">
        <v>164</v>
      </c>
      <c r="AM75" s="1">
        <f t="shared" si="25"/>
        <v>516.66772500000013</v>
      </c>
      <c r="AN75" s="13">
        <v>5</v>
      </c>
      <c r="AO75" s="1">
        <f t="shared" si="26"/>
        <v>268.72999999999996</v>
      </c>
      <c r="AP75" s="1154">
        <f t="shared" si="27"/>
        <v>1343.6499999999999</v>
      </c>
      <c r="AR75" s="1154">
        <f t="shared" si="28"/>
        <v>2583.3386250000008</v>
      </c>
      <c r="AU75" s="1">
        <f t="shared" si="19"/>
        <v>767.8</v>
      </c>
      <c r="AV75" s="240">
        <f t="shared" si="21"/>
        <v>-0.47987848476503947</v>
      </c>
      <c r="AW75">
        <v>3839</v>
      </c>
      <c r="BD75" s="726">
        <v>171</v>
      </c>
      <c r="BE75" s="13">
        <v>5</v>
      </c>
      <c r="BF75" s="1">
        <v>439.59999999999997</v>
      </c>
      <c r="BG75" s="1154">
        <v>2198</v>
      </c>
    </row>
    <row r="76" spans="1:59" x14ac:dyDescent="0.2">
      <c r="A76" s="1139" t="s">
        <v>8421</v>
      </c>
      <c r="B76" s="1140">
        <v>297.12</v>
      </c>
      <c r="C76" s="1151">
        <v>500</v>
      </c>
      <c r="D76" s="1141">
        <v>30</v>
      </c>
      <c r="S76" s="1">
        <f t="shared" si="22"/>
        <v>121</v>
      </c>
      <c r="T76" s="1">
        <f t="shared" si="23"/>
        <v>297.12</v>
      </c>
      <c r="U76" s="726">
        <v>121</v>
      </c>
      <c r="V76" s="1">
        <v>60</v>
      </c>
      <c r="W76" s="1">
        <f t="shared" si="20"/>
        <v>44.568000000000005</v>
      </c>
      <c r="Y76" s="240">
        <f t="shared" si="24"/>
        <v>0.34625740441572406</v>
      </c>
      <c r="AA76" s="1321">
        <v>128</v>
      </c>
      <c r="AB76" s="1322">
        <v>91.5</v>
      </c>
      <c r="AC76" s="1322">
        <v>73.00800000000001</v>
      </c>
      <c r="AD76" s="1323">
        <v>0</v>
      </c>
      <c r="AE76" s="1324">
        <v>0.25328731097961854</v>
      </c>
      <c r="AJ76" t="s">
        <v>21564</v>
      </c>
      <c r="AL76" s="726">
        <v>165</v>
      </c>
      <c r="AM76" s="1">
        <f t="shared" si="25"/>
        <v>550.9633500000001</v>
      </c>
      <c r="AN76" s="13">
        <v>5</v>
      </c>
      <c r="AO76" s="1">
        <f t="shared" si="26"/>
        <v>286.51</v>
      </c>
      <c r="AP76" s="1154">
        <f t="shared" si="27"/>
        <v>1432.55</v>
      </c>
      <c r="AR76" s="1154">
        <f t="shared" si="28"/>
        <v>2754.8167500000004</v>
      </c>
      <c r="AU76" s="1">
        <f t="shared" si="19"/>
        <v>818.6</v>
      </c>
      <c r="AV76" s="240">
        <f t="shared" si="21"/>
        <v>-0.47998355970501494</v>
      </c>
      <c r="AW76">
        <v>4093</v>
      </c>
      <c r="BD76" s="726">
        <v>172</v>
      </c>
      <c r="BE76" s="13">
        <v>5</v>
      </c>
      <c r="BF76" s="1">
        <v>443.45</v>
      </c>
      <c r="BG76" s="1154">
        <v>2217.25</v>
      </c>
    </row>
    <row r="77" spans="1:59" x14ac:dyDescent="0.2">
      <c r="A77" s="1139" t="s">
        <v>8422</v>
      </c>
      <c r="B77" s="1140">
        <v>331.31</v>
      </c>
      <c r="C77" s="1151">
        <v>500</v>
      </c>
      <c r="D77" s="1141">
        <v>30</v>
      </c>
      <c r="S77" s="1">
        <f t="shared" si="22"/>
        <v>122</v>
      </c>
      <c r="T77" s="1">
        <f t="shared" si="23"/>
        <v>331.31</v>
      </c>
      <c r="U77" s="726">
        <v>122</v>
      </c>
      <c r="V77" s="1">
        <v>66</v>
      </c>
      <c r="W77" s="1">
        <f t="shared" si="20"/>
        <v>49.696500000000007</v>
      </c>
      <c r="Y77" s="240">
        <f t="shared" si="24"/>
        <v>0.32806133228698187</v>
      </c>
      <c r="AA77" s="1321">
        <v>129</v>
      </c>
      <c r="AB77" s="1322">
        <v>90</v>
      </c>
      <c r="AC77" s="1322">
        <v>74.871000000000009</v>
      </c>
      <c r="AD77" s="1323">
        <v>0</v>
      </c>
      <c r="AE77" s="1324">
        <v>0.20206755619665806</v>
      </c>
      <c r="AJ77" t="s">
        <v>21564</v>
      </c>
      <c r="AL77" s="726">
        <v>166</v>
      </c>
      <c r="AM77" s="1">
        <f t="shared" si="25"/>
        <v>561.81037500000014</v>
      </c>
      <c r="AN77" s="13">
        <v>5</v>
      </c>
      <c r="AO77" s="1">
        <f t="shared" si="26"/>
        <v>292.17999999999995</v>
      </c>
      <c r="AP77" s="1154">
        <f t="shared" si="27"/>
        <v>1460.8999999999996</v>
      </c>
      <c r="AR77" s="1154">
        <f t="shared" si="28"/>
        <v>2809.0518750000006</v>
      </c>
      <c r="AU77" s="1">
        <f t="shared" si="19"/>
        <v>834.8</v>
      </c>
      <c r="AV77" s="240">
        <f t="shared" si="21"/>
        <v>-0.47993128464386248</v>
      </c>
      <c r="AW77">
        <v>4174</v>
      </c>
      <c r="BD77" s="726">
        <v>173</v>
      </c>
      <c r="BE77" s="13">
        <v>5</v>
      </c>
      <c r="BF77" s="1">
        <v>447.29999999999995</v>
      </c>
      <c r="BG77" s="1154">
        <v>2236.5</v>
      </c>
    </row>
    <row r="78" spans="1:59" x14ac:dyDescent="0.2">
      <c r="A78" s="1139" t="s">
        <v>8423</v>
      </c>
      <c r="B78" s="1140">
        <v>358.19</v>
      </c>
      <c r="C78" s="1151">
        <v>500</v>
      </c>
      <c r="D78" s="1141">
        <v>30</v>
      </c>
      <c r="S78" s="1">
        <f t="shared" si="22"/>
        <v>123</v>
      </c>
      <c r="T78" s="1">
        <f t="shared" si="23"/>
        <v>358.19</v>
      </c>
      <c r="U78" s="726">
        <v>123</v>
      </c>
      <c r="V78" s="1">
        <v>73.5</v>
      </c>
      <c r="W78" s="1">
        <f t="shared" si="20"/>
        <v>53.728500000000011</v>
      </c>
      <c r="Y78" s="240">
        <f t="shared" si="24"/>
        <v>0.36798905608755095</v>
      </c>
      <c r="AA78" s="1321">
        <v>130</v>
      </c>
      <c r="AB78" s="1322">
        <v>91.5</v>
      </c>
      <c r="AC78" s="1322">
        <v>78.423000000000016</v>
      </c>
      <c r="AD78" s="1323">
        <v>0</v>
      </c>
      <c r="AE78" s="1324">
        <v>0.16674955051451712</v>
      </c>
      <c r="AJ78" t="s">
        <v>21564</v>
      </c>
      <c r="AL78" s="726">
        <v>167</v>
      </c>
      <c r="AM78" s="1">
        <f t="shared" si="25"/>
        <v>639.64057500000013</v>
      </c>
      <c r="AN78" s="13">
        <v>5</v>
      </c>
      <c r="AO78" s="1">
        <f t="shared" si="26"/>
        <v>332.64</v>
      </c>
      <c r="AP78" s="1154">
        <f t="shared" si="27"/>
        <v>1663.1999999999998</v>
      </c>
      <c r="AR78" s="1154">
        <f t="shared" si="28"/>
        <v>3198.2028750000009</v>
      </c>
      <c r="AU78" s="1">
        <f t="shared" si="19"/>
        <v>950.4</v>
      </c>
      <c r="AV78" s="240">
        <f t="shared" si="21"/>
        <v>-0.47995794356854249</v>
      </c>
      <c r="AW78">
        <v>4752</v>
      </c>
      <c r="BD78" s="726">
        <v>174</v>
      </c>
      <c r="BE78" s="13">
        <v>5</v>
      </c>
      <c r="BF78" s="1">
        <v>471.09999999999997</v>
      </c>
      <c r="BG78" s="1154">
        <v>2355.5</v>
      </c>
    </row>
    <row r="79" spans="1:59" x14ac:dyDescent="0.2">
      <c r="A79" s="1139" t="s">
        <v>8424</v>
      </c>
      <c r="B79" s="1140">
        <v>389.04</v>
      </c>
      <c r="C79" s="1151">
        <v>500</v>
      </c>
      <c r="D79" s="1141">
        <v>30</v>
      </c>
      <c r="S79" s="1">
        <f t="shared" si="22"/>
        <v>124</v>
      </c>
      <c r="T79" s="1">
        <f t="shared" si="23"/>
        <v>389.04</v>
      </c>
      <c r="U79" s="726">
        <v>124</v>
      </c>
      <c r="V79" s="1">
        <v>69</v>
      </c>
      <c r="W79" s="1">
        <f t="shared" si="20"/>
        <v>58.356000000000009</v>
      </c>
      <c r="Y79" s="240">
        <f t="shared" si="24"/>
        <v>0.18239769689492058</v>
      </c>
      <c r="AA79" s="1321">
        <v>131</v>
      </c>
      <c r="AB79" s="1322">
        <v>88.5</v>
      </c>
      <c r="AC79" s="1322">
        <v>82.648500000000013</v>
      </c>
      <c r="AD79" s="1323">
        <v>0</v>
      </c>
      <c r="AE79" s="1324">
        <v>7.0799833027822556E-2</v>
      </c>
      <c r="AJ79" t="s">
        <v>21564</v>
      </c>
      <c r="AL79" s="726">
        <v>168</v>
      </c>
      <c r="AM79" s="1">
        <f t="shared" si="25"/>
        <v>662.47177500000009</v>
      </c>
      <c r="AN79" s="13">
        <v>5</v>
      </c>
      <c r="AO79" s="1">
        <f t="shared" si="26"/>
        <v>344.53999999999996</v>
      </c>
      <c r="AP79" s="1154">
        <f t="shared" si="27"/>
        <v>1722.6999999999998</v>
      </c>
      <c r="AR79" s="1154">
        <f t="shared" si="28"/>
        <v>3312.3588750000004</v>
      </c>
      <c r="AU79" s="1">
        <f t="shared" si="19"/>
        <v>984.4</v>
      </c>
      <c r="AV79" s="240">
        <f t="shared" si="21"/>
        <v>-0.47991746516294986</v>
      </c>
      <c r="AW79">
        <v>4922</v>
      </c>
      <c r="BD79" s="726">
        <v>175</v>
      </c>
      <c r="BE79" s="13">
        <v>5</v>
      </c>
      <c r="BF79" s="1">
        <v>498.74999999999994</v>
      </c>
      <c r="BG79" s="1154">
        <v>2493.7499999999995</v>
      </c>
    </row>
    <row r="80" spans="1:59" x14ac:dyDescent="0.2">
      <c r="A80" s="1139" t="s">
        <v>8425</v>
      </c>
      <c r="B80" s="1140">
        <v>403.38</v>
      </c>
      <c r="C80" s="1151">
        <v>500</v>
      </c>
      <c r="D80" s="1141">
        <v>30</v>
      </c>
      <c r="S80" s="1">
        <f t="shared" si="22"/>
        <v>125</v>
      </c>
      <c r="T80" s="1">
        <f t="shared" si="23"/>
        <v>403.38</v>
      </c>
      <c r="U80" s="726">
        <v>125</v>
      </c>
      <c r="V80" s="1">
        <v>73.5</v>
      </c>
      <c r="W80" s="1">
        <f t="shared" si="20"/>
        <v>60.507000000000005</v>
      </c>
      <c r="Y80" s="240">
        <f t="shared" si="24"/>
        <v>0.21473548515047836</v>
      </c>
      <c r="AA80" s="1321">
        <v>132</v>
      </c>
      <c r="AB80" s="1322">
        <v>96</v>
      </c>
      <c r="AC80" s="1322">
        <v>85.893000000000015</v>
      </c>
      <c r="AD80" s="1323">
        <v>0</v>
      </c>
      <c r="AE80" s="1324">
        <v>0.11766965876148205</v>
      </c>
      <c r="AJ80" t="s">
        <v>21564</v>
      </c>
      <c r="AL80" s="726">
        <v>169</v>
      </c>
      <c r="AM80" s="1">
        <f t="shared" si="25"/>
        <v>799.55032500000016</v>
      </c>
      <c r="AN80" s="13">
        <v>5</v>
      </c>
      <c r="AO80" s="1">
        <f t="shared" si="26"/>
        <v>415.79999999999995</v>
      </c>
      <c r="AP80" s="1154">
        <f t="shared" si="27"/>
        <v>2079</v>
      </c>
      <c r="AR80" s="1154">
        <f t="shared" si="28"/>
        <v>3997.7516250000008</v>
      </c>
      <c r="AU80" s="1">
        <f t="shared" si="19"/>
        <v>1188</v>
      </c>
      <c r="AV80" s="240">
        <f t="shared" si="21"/>
        <v>-0.47995768746638945</v>
      </c>
      <c r="AW80">
        <v>5940</v>
      </c>
      <c r="BD80" s="726">
        <v>176</v>
      </c>
      <c r="BE80" s="13">
        <v>5</v>
      </c>
      <c r="BF80" s="1">
        <v>514.85</v>
      </c>
      <c r="BG80" s="1154">
        <v>2574.25</v>
      </c>
    </row>
    <row r="81" spans="1:59" x14ac:dyDescent="0.2">
      <c r="A81" s="1139" t="s">
        <v>8426</v>
      </c>
      <c r="B81" s="1140">
        <v>438.2</v>
      </c>
      <c r="C81" s="1151">
        <v>500</v>
      </c>
      <c r="D81" s="1141">
        <v>30</v>
      </c>
      <c r="S81" s="1">
        <f t="shared" si="22"/>
        <v>126</v>
      </c>
      <c r="T81" s="1">
        <f t="shared" si="23"/>
        <v>438.2</v>
      </c>
      <c r="U81" s="726">
        <v>126</v>
      </c>
      <c r="V81" s="1">
        <v>76.5</v>
      </c>
      <c r="W81" s="1">
        <f t="shared" si="20"/>
        <v>65.73</v>
      </c>
      <c r="Y81" s="240">
        <f t="shared" si="24"/>
        <v>0.16385212231857582</v>
      </c>
      <c r="AA81" s="1321">
        <v>133</v>
      </c>
      <c r="AB81" s="1322">
        <v>100.5</v>
      </c>
      <c r="AC81" s="1322">
        <v>87.180000000000021</v>
      </c>
      <c r="AD81" s="1323">
        <v>0</v>
      </c>
      <c r="AE81" s="1324">
        <v>0.15278733654507892</v>
      </c>
      <c r="AJ81" t="s">
        <v>21564</v>
      </c>
      <c r="AL81" s="726">
        <v>170</v>
      </c>
      <c r="AM81" s="1">
        <f t="shared" si="25"/>
        <v>829.97775000000013</v>
      </c>
      <c r="AN81" s="13">
        <v>5</v>
      </c>
      <c r="AO81" s="1">
        <f t="shared" si="26"/>
        <v>431.54999999999995</v>
      </c>
      <c r="AP81" s="1154">
        <f t="shared" si="27"/>
        <v>2157.75</v>
      </c>
      <c r="AR81" s="1154">
        <f t="shared" si="28"/>
        <v>4149.888750000001</v>
      </c>
      <c r="AU81" s="1">
        <f t="shared" si="19"/>
        <v>1233</v>
      </c>
      <c r="AV81" s="240">
        <f t="shared" si="21"/>
        <v>-0.48004630244605972</v>
      </c>
      <c r="AW81">
        <v>6165</v>
      </c>
      <c r="BD81" s="726">
        <v>177</v>
      </c>
      <c r="BE81" s="13">
        <v>5</v>
      </c>
      <c r="BF81" s="1">
        <v>522.54999999999995</v>
      </c>
      <c r="BG81" s="1154">
        <v>2612.75</v>
      </c>
    </row>
    <row r="82" spans="1:59" x14ac:dyDescent="0.2">
      <c r="A82" s="1139" t="s">
        <v>8427</v>
      </c>
      <c r="B82" s="1140">
        <v>489.29</v>
      </c>
      <c r="C82" s="1151">
        <v>300</v>
      </c>
      <c r="D82" s="1141">
        <v>30</v>
      </c>
      <c r="S82" s="1">
        <f t="shared" si="22"/>
        <v>127</v>
      </c>
      <c r="T82" s="1">
        <f t="shared" si="23"/>
        <v>489.29</v>
      </c>
      <c r="U82" s="726">
        <v>127</v>
      </c>
      <c r="V82" s="1">
        <v>85.5</v>
      </c>
      <c r="W82" s="1">
        <f t="shared" si="20"/>
        <v>73.393500000000017</v>
      </c>
      <c r="Y82" s="240">
        <f t="shared" si="24"/>
        <v>0.16495329967912653</v>
      </c>
      <c r="AA82" s="1321">
        <v>134</v>
      </c>
      <c r="AB82" s="1322">
        <v>120</v>
      </c>
      <c r="AC82" s="1322">
        <v>90.232500000000002</v>
      </c>
      <c r="AD82" s="1323">
        <v>0</v>
      </c>
      <c r="AE82" s="1324">
        <v>0.3298977641093841</v>
      </c>
      <c r="AJ82" t="s">
        <v>21564</v>
      </c>
      <c r="AL82" s="726">
        <v>171</v>
      </c>
      <c r="AM82" s="1">
        <f t="shared" si="25"/>
        <v>845.21272500000021</v>
      </c>
      <c r="AN82" s="13">
        <v>5</v>
      </c>
      <c r="AO82" s="1">
        <f t="shared" si="26"/>
        <v>439.59999999999997</v>
      </c>
      <c r="AP82" s="1154">
        <f t="shared" si="27"/>
        <v>2198</v>
      </c>
      <c r="AR82" s="1154">
        <f t="shared" si="28"/>
        <v>4226.0636250000007</v>
      </c>
      <c r="AU82" s="1">
        <f t="shared" si="19"/>
        <v>1256</v>
      </c>
      <c r="AV82" s="240">
        <f t="shared" si="21"/>
        <v>-0.47989424792439106</v>
      </c>
      <c r="AW82">
        <v>6280</v>
      </c>
      <c r="BD82" s="726">
        <v>178</v>
      </c>
      <c r="BE82" s="13">
        <v>5</v>
      </c>
      <c r="BF82" s="1">
        <v>530.6</v>
      </c>
      <c r="BG82" s="1154">
        <v>2653</v>
      </c>
    </row>
    <row r="83" spans="1:59" x14ac:dyDescent="0.2">
      <c r="A83" s="1139" t="s">
        <v>8428</v>
      </c>
      <c r="B83" s="1140">
        <v>486.72</v>
      </c>
      <c r="C83" s="1151">
        <v>300</v>
      </c>
      <c r="D83" s="1141">
        <v>30</v>
      </c>
      <c r="S83" s="1">
        <f t="shared" si="22"/>
        <v>128</v>
      </c>
      <c r="T83" s="1">
        <f t="shared" si="23"/>
        <v>486.72</v>
      </c>
      <c r="U83" s="726">
        <v>128</v>
      </c>
      <c r="V83" s="1">
        <v>91.5</v>
      </c>
      <c r="W83" s="1">
        <f t="shared" si="20"/>
        <v>73.00800000000001</v>
      </c>
      <c r="Y83" s="240">
        <f t="shared" si="24"/>
        <v>0.25328731097961854</v>
      </c>
      <c r="AA83" s="1321">
        <v>135</v>
      </c>
      <c r="AB83" s="1322">
        <v>118.5</v>
      </c>
      <c r="AC83" s="1322">
        <v>95.149500000000018</v>
      </c>
      <c r="AD83" s="1323">
        <v>0</v>
      </c>
      <c r="AE83" s="1324">
        <v>0.24540854129554002</v>
      </c>
      <c r="AJ83" t="s">
        <v>21564</v>
      </c>
      <c r="AL83" s="726">
        <v>172</v>
      </c>
      <c r="AM83" s="1">
        <f t="shared" si="25"/>
        <v>852.85462500000017</v>
      </c>
      <c r="AN83" s="13">
        <v>5</v>
      </c>
      <c r="AO83" s="1">
        <f t="shared" si="26"/>
        <v>443.45</v>
      </c>
      <c r="AP83" s="1154">
        <f t="shared" si="27"/>
        <v>2217.25</v>
      </c>
      <c r="AR83" s="1154">
        <f t="shared" si="28"/>
        <v>4264.2731250000006</v>
      </c>
      <c r="AU83" s="1">
        <f t="shared" si="19"/>
        <v>1267</v>
      </c>
      <c r="AV83" s="240">
        <f t="shared" si="21"/>
        <v>-0.48004034099011905</v>
      </c>
      <c r="AW83">
        <v>6335</v>
      </c>
      <c r="BD83" s="726">
        <v>205</v>
      </c>
      <c r="BE83" s="13">
        <v>50</v>
      </c>
      <c r="BF83" s="1">
        <v>16.8735</v>
      </c>
      <c r="BG83" s="1154">
        <v>843.67499999999995</v>
      </c>
    </row>
    <row r="84" spans="1:59" x14ac:dyDescent="0.2">
      <c r="A84" s="1139" t="s">
        <v>8429</v>
      </c>
      <c r="B84" s="1140">
        <v>499.14</v>
      </c>
      <c r="C84" s="1151">
        <v>300</v>
      </c>
      <c r="D84" s="1141">
        <v>30</v>
      </c>
      <c r="S84" s="1">
        <f t="shared" si="22"/>
        <v>129</v>
      </c>
      <c r="T84" s="1">
        <f t="shared" si="23"/>
        <v>499.14</v>
      </c>
      <c r="U84" s="726">
        <v>129</v>
      </c>
      <c r="V84" s="1">
        <v>90</v>
      </c>
      <c r="W84" s="1">
        <f t="shared" si="20"/>
        <v>74.871000000000009</v>
      </c>
      <c r="Y84" s="240">
        <f t="shared" si="24"/>
        <v>0.20206755619665806</v>
      </c>
      <c r="AA84" s="1321">
        <v>136</v>
      </c>
      <c r="AB84" s="1322">
        <v>124.5</v>
      </c>
      <c r="AC84" s="1322">
        <v>106.29600000000002</v>
      </c>
      <c r="AD84" s="1323">
        <v>0</v>
      </c>
      <c r="AE84" s="1324">
        <v>0.1712576202303</v>
      </c>
      <c r="AJ84" t="s">
        <v>21564</v>
      </c>
      <c r="AL84" s="726">
        <v>173</v>
      </c>
      <c r="AM84" s="1">
        <f t="shared" si="25"/>
        <v>860.44927500000017</v>
      </c>
      <c r="AN84" s="13">
        <v>5</v>
      </c>
      <c r="AO84" s="1">
        <f t="shared" si="26"/>
        <v>447.29999999999995</v>
      </c>
      <c r="AP84" s="1154">
        <f t="shared" si="27"/>
        <v>2236.5</v>
      </c>
      <c r="AR84" s="1154">
        <f t="shared" si="28"/>
        <v>4302.2463750000006</v>
      </c>
      <c r="AU84" s="1">
        <f t="shared" si="19"/>
        <v>1278</v>
      </c>
      <c r="AV84" s="240">
        <f t="shared" si="21"/>
        <v>-0.48015529445358662</v>
      </c>
      <c r="AW84">
        <v>6390</v>
      </c>
      <c r="BD84" s="726">
        <v>206</v>
      </c>
      <c r="BE84" s="13">
        <v>50</v>
      </c>
      <c r="BF84" s="1">
        <v>18.4345</v>
      </c>
      <c r="BG84" s="1154">
        <v>921.72500000000002</v>
      </c>
    </row>
    <row r="85" spans="1:59" x14ac:dyDescent="0.2">
      <c r="A85" s="1139" t="s">
        <v>8430</v>
      </c>
      <c r="B85" s="1140">
        <v>522.82000000000005</v>
      </c>
      <c r="C85" s="1151">
        <v>300</v>
      </c>
      <c r="D85" s="1141">
        <v>30</v>
      </c>
      <c r="S85" s="1">
        <f t="shared" si="22"/>
        <v>130</v>
      </c>
      <c r="T85" s="1">
        <f t="shared" si="23"/>
        <v>522.82000000000005</v>
      </c>
      <c r="U85" s="726">
        <v>130</v>
      </c>
      <c r="V85" s="1">
        <v>91.5</v>
      </c>
      <c r="W85" s="1">
        <f t="shared" si="20"/>
        <v>78.423000000000016</v>
      </c>
      <c r="Y85" s="240">
        <f t="shared" si="24"/>
        <v>0.16674955051451712</v>
      </c>
      <c r="AA85" s="1321">
        <v>137</v>
      </c>
      <c r="AB85" s="1322">
        <v>132</v>
      </c>
      <c r="AC85" s="1322">
        <v>110.21100000000001</v>
      </c>
      <c r="AD85" s="1323">
        <v>0</v>
      </c>
      <c r="AE85" s="1324">
        <v>0.19770258867082213</v>
      </c>
      <c r="AJ85" t="s">
        <v>4624</v>
      </c>
      <c r="AL85" s="726">
        <v>44</v>
      </c>
      <c r="AM85" s="1">
        <f t="shared" si="25"/>
        <v>218.70292500000002</v>
      </c>
      <c r="AN85" s="13">
        <v>20</v>
      </c>
      <c r="AO85" s="1">
        <f t="shared" si="26"/>
        <v>113.82</v>
      </c>
      <c r="AP85" s="1154">
        <f t="shared" si="27"/>
        <v>2276.3999999999996</v>
      </c>
      <c r="AR85" s="1154">
        <f t="shared" si="28"/>
        <v>4374.0585000000001</v>
      </c>
      <c r="AU85" s="1">
        <f t="shared" si="19"/>
        <v>325.2</v>
      </c>
      <c r="AV85" s="240">
        <f t="shared" si="21"/>
        <v>-0.47956800303425307</v>
      </c>
      <c r="AW85">
        <v>6504</v>
      </c>
      <c r="BD85" s="726">
        <v>207</v>
      </c>
      <c r="BE85" s="13">
        <v>50</v>
      </c>
      <c r="BF85" s="1">
        <v>20.425999999999998</v>
      </c>
      <c r="BG85" s="1154">
        <v>1021.3</v>
      </c>
    </row>
    <row r="86" spans="1:59" x14ac:dyDescent="0.2">
      <c r="A86" s="1139" t="s">
        <v>8431</v>
      </c>
      <c r="B86" s="1140">
        <v>550.99</v>
      </c>
      <c r="C86" s="1151">
        <v>300</v>
      </c>
      <c r="D86" s="1141">
        <v>30</v>
      </c>
      <c r="S86" s="1">
        <f t="shared" si="22"/>
        <v>131</v>
      </c>
      <c r="T86" s="1">
        <f t="shared" si="23"/>
        <v>550.99</v>
      </c>
      <c r="U86" s="726">
        <v>131</v>
      </c>
      <c r="V86" s="1">
        <v>88.5</v>
      </c>
      <c r="W86" s="1">
        <f t="shared" si="20"/>
        <v>82.648500000000013</v>
      </c>
      <c r="Y86" s="240">
        <f t="shared" si="24"/>
        <v>7.0799833027822556E-2</v>
      </c>
      <c r="AA86" s="1321">
        <v>138</v>
      </c>
      <c r="AB86" s="1322">
        <v>124.5</v>
      </c>
      <c r="AC86" s="1322">
        <v>115.44600000000001</v>
      </c>
      <c r="AD86" s="1323">
        <v>0</v>
      </c>
      <c r="AE86" s="1324">
        <v>7.8426277220518648E-2</v>
      </c>
      <c r="AJ86" t="s">
        <v>21564</v>
      </c>
      <c r="AL86" s="726">
        <v>46</v>
      </c>
      <c r="AM86" s="1">
        <f t="shared" si="25"/>
        <v>261.33502500000003</v>
      </c>
      <c r="AN86" s="13">
        <v>20</v>
      </c>
      <c r="AO86" s="1">
        <f t="shared" si="26"/>
        <v>129.85</v>
      </c>
      <c r="AP86" s="1154">
        <f t="shared" si="27"/>
        <v>2597</v>
      </c>
      <c r="AR86" s="1154">
        <f t="shared" si="28"/>
        <v>5226.7005000000008</v>
      </c>
      <c r="AU86" s="1">
        <f t="shared" si="19"/>
        <v>371</v>
      </c>
      <c r="AV86" s="240">
        <f t="shared" si="21"/>
        <v>-0.50312821635752814</v>
      </c>
      <c r="AW86">
        <v>7420</v>
      </c>
      <c r="BD86" s="726">
        <v>208</v>
      </c>
      <c r="BE86" s="13">
        <v>50</v>
      </c>
      <c r="BF86" s="1">
        <v>22.358000000000001</v>
      </c>
      <c r="BG86" s="1154">
        <v>1117.9000000000001</v>
      </c>
    </row>
    <row r="87" spans="1:59" x14ac:dyDescent="0.2">
      <c r="A87" s="1139" t="s">
        <v>8432</v>
      </c>
      <c r="B87" s="1140">
        <v>572.62</v>
      </c>
      <c r="C87" s="1151">
        <v>300</v>
      </c>
      <c r="D87" s="1141">
        <v>30</v>
      </c>
      <c r="S87" s="1">
        <f t="shared" si="22"/>
        <v>132</v>
      </c>
      <c r="T87" s="1">
        <f t="shared" si="23"/>
        <v>572.62</v>
      </c>
      <c r="U87" s="726">
        <v>132</v>
      </c>
      <c r="V87" s="1">
        <v>96</v>
      </c>
      <c r="W87" s="1">
        <f t="shared" si="20"/>
        <v>85.893000000000015</v>
      </c>
      <c r="Y87" s="240">
        <f t="shared" si="24"/>
        <v>0.11766965876148205</v>
      </c>
      <c r="AA87" s="1321">
        <v>139</v>
      </c>
      <c r="AB87" s="1322">
        <v>142.5</v>
      </c>
      <c r="AC87" s="1322">
        <v>117.67350000000002</v>
      </c>
      <c r="AD87" s="1323">
        <v>0</v>
      </c>
      <c r="AE87" s="1324">
        <v>0.21097783273209325</v>
      </c>
      <c r="AJ87" t="s">
        <v>21564</v>
      </c>
      <c r="AL87" s="726">
        <v>47</v>
      </c>
      <c r="AM87" s="1">
        <f t="shared" si="25"/>
        <v>273.36487500000004</v>
      </c>
      <c r="AN87" s="13">
        <v>20</v>
      </c>
      <c r="AO87" s="1">
        <f t="shared" si="26"/>
        <v>142.1</v>
      </c>
      <c r="AP87" s="1154">
        <f t="shared" si="27"/>
        <v>2842</v>
      </c>
      <c r="AR87" s="1154">
        <f t="shared" si="28"/>
        <v>5467.2975000000006</v>
      </c>
      <c r="AU87" s="1">
        <f t="shared" si="19"/>
        <v>406</v>
      </c>
      <c r="AV87" s="240">
        <f t="shared" si="21"/>
        <v>-0.48018193632228734</v>
      </c>
      <c r="AW87">
        <v>8120</v>
      </c>
      <c r="BD87" s="726">
        <v>209</v>
      </c>
      <c r="BE87" s="13">
        <v>50</v>
      </c>
      <c r="BF87" s="1">
        <v>24.821999999999999</v>
      </c>
      <c r="BG87" s="1154">
        <v>1241.0999999999999</v>
      </c>
    </row>
    <row r="88" spans="1:59" x14ac:dyDescent="0.2">
      <c r="A88" s="1139" t="s">
        <v>8433</v>
      </c>
      <c r="B88" s="1140">
        <v>581.20000000000005</v>
      </c>
      <c r="C88" s="1151">
        <v>300</v>
      </c>
      <c r="D88" s="1141">
        <v>30</v>
      </c>
      <c r="S88" s="1">
        <f t="shared" si="22"/>
        <v>133</v>
      </c>
      <c r="T88" s="1">
        <f t="shared" si="23"/>
        <v>581.20000000000005</v>
      </c>
      <c r="U88" s="726">
        <v>133</v>
      </c>
      <c r="V88" s="1">
        <v>100.5</v>
      </c>
      <c r="W88" s="1">
        <f t="shared" si="20"/>
        <v>87.180000000000021</v>
      </c>
      <c r="Y88" s="240">
        <f t="shared" si="24"/>
        <v>0.15278733654507892</v>
      </c>
      <c r="AA88" s="1321">
        <v>140</v>
      </c>
      <c r="AB88" s="1322">
        <v>114</v>
      </c>
      <c r="AC88" s="1322">
        <v>119.05650000000003</v>
      </c>
      <c r="AD88" s="1323">
        <v>0</v>
      </c>
      <c r="AE88" s="1324">
        <v>-4.2471431631200485E-2</v>
      </c>
      <c r="AJ88" t="s">
        <v>21564</v>
      </c>
      <c r="AL88" s="726">
        <v>48</v>
      </c>
      <c r="AM88" s="1">
        <f t="shared" si="25"/>
        <v>287.31622500000009</v>
      </c>
      <c r="AN88" s="13">
        <v>20</v>
      </c>
      <c r="AO88" s="1">
        <f t="shared" si="26"/>
        <v>149.1</v>
      </c>
      <c r="AP88" s="1154">
        <f t="shared" si="27"/>
        <v>2982</v>
      </c>
      <c r="AR88" s="1154">
        <f t="shared" si="28"/>
        <v>5746.3245000000015</v>
      </c>
      <c r="AU88" s="1">
        <f t="shared" si="19"/>
        <v>426</v>
      </c>
      <c r="AV88" s="240">
        <f t="shared" si="21"/>
        <v>-0.4810595886118163</v>
      </c>
      <c r="AW88">
        <v>8520</v>
      </c>
      <c r="BD88" s="726">
        <v>210</v>
      </c>
      <c r="BE88" s="13">
        <v>33</v>
      </c>
      <c r="BF88" s="1">
        <v>25.577999999999999</v>
      </c>
      <c r="BG88" s="1154">
        <v>844.07399999999996</v>
      </c>
    </row>
    <row r="89" spans="1:59" x14ac:dyDescent="0.2">
      <c r="A89" s="1139" t="s">
        <v>8434</v>
      </c>
      <c r="B89" s="1140">
        <v>601.54999999999995</v>
      </c>
      <c r="C89" s="1151">
        <v>300</v>
      </c>
      <c r="D89" s="1141">
        <v>30</v>
      </c>
      <c r="S89" s="1">
        <f t="shared" si="22"/>
        <v>134</v>
      </c>
      <c r="T89" s="1">
        <f t="shared" si="23"/>
        <v>601.54999999999995</v>
      </c>
      <c r="U89" s="726">
        <v>134</v>
      </c>
      <c r="V89" s="1">
        <v>120</v>
      </c>
      <c r="W89" s="1">
        <f t="shared" si="20"/>
        <v>90.232500000000002</v>
      </c>
      <c r="Y89" s="240">
        <f t="shared" si="24"/>
        <v>0.3298977641093841</v>
      </c>
      <c r="AA89" s="1321">
        <v>141</v>
      </c>
      <c r="AB89" s="1322">
        <v>141</v>
      </c>
      <c r="AC89" s="1322">
        <v>119.15250000000002</v>
      </c>
      <c r="AD89" s="1323">
        <v>0</v>
      </c>
      <c r="AE89" s="1324">
        <v>0.18335746207591086</v>
      </c>
      <c r="AJ89" t="s">
        <v>21564</v>
      </c>
      <c r="AL89" s="726">
        <v>50</v>
      </c>
      <c r="AM89" s="1">
        <f t="shared" si="25"/>
        <v>357.88725000000011</v>
      </c>
      <c r="AN89" s="13">
        <v>20</v>
      </c>
      <c r="AO89" s="1">
        <f t="shared" si="26"/>
        <v>185.85</v>
      </c>
      <c r="AP89" s="1154">
        <f t="shared" si="27"/>
        <v>3717</v>
      </c>
      <c r="AR89" s="1154">
        <f t="shared" si="28"/>
        <v>7157.7450000000026</v>
      </c>
      <c r="AU89" s="1">
        <f t="shared" si="19"/>
        <v>531</v>
      </c>
      <c r="AV89" s="240">
        <f t="shared" si="21"/>
        <v>-0.48070237204594479</v>
      </c>
      <c r="AW89">
        <v>10620</v>
      </c>
      <c r="BD89" s="726">
        <v>211</v>
      </c>
      <c r="BE89" s="13">
        <v>50</v>
      </c>
      <c r="BF89" s="1">
        <v>27.075999999999997</v>
      </c>
      <c r="BG89" s="1154">
        <v>1353.8</v>
      </c>
    </row>
    <row r="90" spans="1:59" x14ac:dyDescent="0.2">
      <c r="A90" s="1139" t="s">
        <v>8435</v>
      </c>
      <c r="B90" s="1140">
        <v>634.33000000000004</v>
      </c>
      <c r="C90" s="1151">
        <v>300</v>
      </c>
      <c r="D90" s="1141">
        <v>30</v>
      </c>
      <c r="S90" s="1">
        <f t="shared" si="22"/>
        <v>135</v>
      </c>
      <c r="T90" s="1">
        <f t="shared" si="23"/>
        <v>634.33000000000004</v>
      </c>
      <c r="U90" s="726">
        <v>135</v>
      </c>
      <c r="V90" s="1">
        <v>118.5</v>
      </c>
      <c r="W90" s="1">
        <f t="shared" si="20"/>
        <v>95.149500000000018</v>
      </c>
      <c r="Y90" s="240">
        <f t="shared" si="24"/>
        <v>0.24540854129554002</v>
      </c>
      <c r="AA90" s="1321">
        <v>142</v>
      </c>
      <c r="AB90" s="1322">
        <v>139.5</v>
      </c>
      <c r="AC90" s="1322">
        <v>129.828</v>
      </c>
      <c r="AD90" s="1323">
        <v>0</v>
      </c>
      <c r="AE90" s="1324">
        <v>7.4498567335243626E-2</v>
      </c>
      <c r="AJ90" t="s">
        <v>21564</v>
      </c>
      <c r="AL90" s="726">
        <v>105</v>
      </c>
      <c r="AM90" s="1">
        <f t="shared" si="25"/>
        <v>14.163975000000002</v>
      </c>
      <c r="AN90" s="13">
        <v>50</v>
      </c>
      <c r="AO90" s="1">
        <f t="shared" si="26"/>
        <v>7.35</v>
      </c>
      <c r="AP90" s="1154">
        <f t="shared" si="27"/>
        <v>367.5</v>
      </c>
      <c r="AR90" s="1154">
        <f t="shared" si="28"/>
        <v>708.19875000000013</v>
      </c>
      <c r="AU90" s="1">
        <f t="shared" si="19"/>
        <v>21</v>
      </c>
      <c r="AV90" s="240">
        <f t="shared" si="21"/>
        <v>-0.48107787538455848</v>
      </c>
      <c r="AW90">
        <v>1050</v>
      </c>
      <c r="BD90" s="726">
        <v>212</v>
      </c>
      <c r="BE90" s="13">
        <v>50</v>
      </c>
      <c r="BF90" s="1">
        <v>28.794499999999996</v>
      </c>
      <c r="BG90" s="1154">
        <v>1439.7249999999997</v>
      </c>
    </row>
    <row r="91" spans="1:59" x14ac:dyDescent="0.2">
      <c r="A91" s="1139" t="s">
        <v>8436</v>
      </c>
      <c r="B91" s="1140">
        <v>708.64</v>
      </c>
      <c r="C91" s="1151">
        <v>300</v>
      </c>
      <c r="D91" s="1141">
        <v>30</v>
      </c>
      <c r="S91" s="1">
        <f t="shared" si="22"/>
        <v>136</v>
      </c>
      <c r="T91" s="1">
        <f t="shared" si="23"/>
        <v>708.64</v>
      </c>
      <c r="U91" s="726">
        <v>136</v>
      </c>
      <c r="V91" s="1">
        <v>124.5</v>
      </c>
      <c r="W91" s="1">
        <f t="shared" si="20"/>
        <v>106.29600000000002</v>
      </c>
      <c r="Y91" s="240">
        <f t="shared" si="24"/>
        <v>0.1712576202303</v>
      </c>
      <c r="AA91" s="1321">
        <v>143</v>
      </c>
      <c r="AB91" s="1322">
        <v>150</v>
      </c>
      <c r="AC91" s="1322">
        <v>134.89050000000003</v>
      </c>
      <c r="AD91" s="1323">
        <v>0</v>
      </c>
      <c r="AE91" s="1324">
        <v>0.1120130772737884</v>
      </c>
      <c r="AJ91" t="s">
        <v>4624</v>
      </c>
      <c r="AL91" s="726">
        <v>106</v>
      </c>
      <c r="AM91" s="1">
        <f t="shared" si="25"/>
        <v>14.296275000000001</v>
      </c>
      <c r="AN91" s="13">
        <v>50</v>
      </c>
      <c r="AO91" s="1">
        <f t="shared" si="26"/>
        <v>7.4339999999999993</v>
      </c>
      <c r="AP91" s="1154">
        <f t="shared" si="27"/>
        <v>371.7</v>
      </c>
      <c r="AR91" s="1154">
        <f t="shared" si="28"/>
        <v>714.81375000000003</v>
      </c>
      <c r="AU91" s="1">
        <f t="shared" si="19"/>
        <v>21.24</v>
      </c>
      <c r="AV91" s="240">
        <f t="shared" si="21"/>
        <v>-0.48000440674231581</v>
      </c>
      <c r="AW91">
        <v>1062</v>
      </c>
      <c r="BD91" s="726">
        <v>213</v>
      </c>
      <c r="BE91" s="13">
        <v>50</v>
      </c>
      <c r="BF91" s="1">
        <v>31.062499999999996</v>
      </c>
      <c r="BG91" s="1154">
        <v>1553.1249999999998</v>
      </c>
    </row>
    <row r="92" spans="1:59" x14ac:dyDescent="0.2">
      <c r="A92" s="1139" t="s">
        <v>8437</v>
      </c>
      <c r="B92" s="1140">
        <v>734.74</v>
      </c>
      <c r="C92" s="1151">
        <v>300</v>
      </c>
      <c r="D92" s="1141">
        <v>30</v>
      </c>
      <c r="S92" s="1">
        <f t="shared" si="22"/>
        <v>137</v>
      </c>
      <c r="T92" s="1">
        <f t="shared" si="23"/>
        <v>734.74</v>
      </c>
      <c r="U92" s="726">
        <v>137</v>
      </c>
      <c r="V92" s="1">
        <v>132</v>
      </c>
      <c r="W92" s="1">
        <f t="shared" si="20"/>
        <v>110.21100000000001</v>
      </c>
      <c r="Y92" s="240">
        <f t="shared" si="24"/>
        <v>0.19770258867082213</v>
      </c>
      <c r="AA92" s="1321">
        <v>144</v>
      </c>
      <c r="AB92" s="1322">
        <v>163.5</v>
      </c>
      <c r="AC92" s="1322">
        <v>135.39600000000002</v>
      </c>
      <c r="AD92" s="1323">
        <v>0</v>
      </c>
      <c r="AE92" s="1324">
        <v>0.20756890897810854</v>
      </c>
      <c r="AJ92" t="s">
        <v>4624</v>
      </c>
      <c r="AL92" s="726">
        <v>107</v>
      </c>
      <c r="AM92" s="1">
        <f t="shared" si="25"/>
        <v>15.283800000000003</v>
      </c>
      <c r="AN92" s="13">
        <v>50</v>
      </c>
      <c r="AO92" s="1">
        <f t="shared" si="26"/>
        <v>7.9449999999999994</v>
      </c>
      <c r="AP92" s="1154">
        <f t="shared" si="27"/>
        <v>397.24999999999994</v>
      </c>
      <c r="AR92" s="1154">
        <f t="shared" si="28"/>
        <v>764.19000000000017</v>
      </c>
      <c r="AU92" s="1">
        <f t="shared" si="19"/>
        <v>22.7</v>
      </c>
      <c r="AV92" s="240">
        <f t="shared" si="21"/>
        <v>-0.4801685444719247</v>
      </c>
      <c r="AW92">
        <v>1135</v>
      </c>
      <c r="BD92" s="726">
        <v>214</v>
      </c>
      <c r="BE92" s="13">
        <v>50</v>
      </c>
      <c r="BF92" s="1">
        <v>32.350500000000004</v>
      </c>
      <c r="BG92" s="1154">
        <v>1617.5250000000001</v>
      </c>
    </row>
    <row r="93" spans="1:59" x14ac:dyDescent="0.2">
      <c r="A93" s="1139" t="s">
        <v>8438</v>
      </c>
      <c r="B93" s="1140">
        <v>769.64</v>
      </c>
      <c r="C93" s="1151">
        <v>300</v>
      </c>
      <c r="D93" s="1141">
        <v>30</v>
      </c>
      <c r="S93" s="1">
        <f t="shared" si="22"/>
        <v>138</v>
      </c>
      <c r="T93" s="1">
        <f t="shared" si="23"/>
        <v>769.64</v>
      </c>
      <c r="U93" s="726">
        <v>138</v>
      </c>
      <c r="V93" s="1">
        <v>124.5</v>
      </c>
      <c r="W93" s="1">
        <f t="shared" si="20"/>
        <v>115.44600000000001</v>
      </c>
      <c r="Y93" s="240">
        <f t="shared" si="24"/>
        <v>7.8426277220518648E-2</v>
      </c>
      <c r="AA93" s="1321">
        <v>145</v>
      </c>
      <c r="AB93" s="1322">
        <v>165</v>
      </c>
      <c r="AC93" s="1322">
        <v>136.18350000000001</v>
      </c>
      <c r="AD93" s="1323">
        <v>0</v>
      </c>
      <c r="AE93" s="1324">
        <v>0.21160052429259046</v>
      </c>
      <c r="AJ93" t="s">
        <v>4624</v>
      </c>
      <c r="AL93" s="726">
        <v>108</v>
      </c>
      <c r="AM93" s="1">
        <f t="shared" si="25"/>
        <v>15.283800000000003</v>
      </c>
      <c r="AN93" s="13">
        <v>50</v>
      </c>
      <c r="AO93" s="1">
        <f t="shared" si="26"/>
        <v>7.9449999999999994</v>
      </c>
      <c r="AP93" s="1154">
        <f t="shared" si="27"/>
        <v>397.24999999999994</v>
      </c>
      <c r="AR93" s="1154">
        <f t="shared" si="28"/>
        <v>764.19000000000017</v>
      </c>
      <c r="AU93" s="1">
        <f t="shared" si="19"/>
        <v>22.7</v>
      </c>
      <c r="AV93" s="240">
        <f t="shared" si="21"/>
        <v>-0.4801685444719247</v>
      </c>
      <c r="AW93">
        <v>1135</v>
      </c>
      <c r="BD93" s="726">
        <v>215</v>
      </c>
      <c r="BE93" s="13">
        <v>50</v>
      </c>
      <c r="BF93" s="1">
        <v>34.436499999999995</v>
      </c>
      <c r="BG93" s="1154">
        <v>1721.8249999999998</v>
      </c>
    </row>
    <row r="94" spans="1:59" x14ac:dyDescent="0.2">
      <c r="A94" s="1139" t="s">
        <v>8439</v>
      </c>
      <c r="B94" s="1140">
        <v>784.49</v>
      </c>
      <c r="C94" s="1151">
        <v>200</v>
      </c>
      <c r="D94" s="1141">
        <v>30</v>
      </c>
      <c r="S94" s="1">
        <f t="shared" si="22"/>
        <v>139</v>
      </c>
      <c r="T94" s="1">
        <f t="shared" si="23"/>
        <v>784.49</v>
      </c>
      <c r="U94" s="726">
        <v>139</v>
      </c>
      <c r="V94" s="1">
        <v>142.5</v>
      </c>
      <c r="W94" s="1">
        <f t="shared" si="20"/>
        <v>117.67350000000002</v>
      </c>
      <c r="Y94" s="240">
        <f t="shared" si="24"/>
        <v>0.21097783273209325</v>
      </c>
      <c r="AA94" s="1321">
        <v>146</v>
      </c>
      <c r="AB94" s="1322">
        <v>139.5</v>
      </c>
      <c r="AC94" s="1322">
        <v>139.71750000000003</v>
      </c>
      <c r="AD94" s="1323">
        <v>0</v>
      </c>
      <c r="AE94" s="1324">
        <v>-1.5567126523164942E-3</v>
      </c>
      <c r="AJ94" t="s">
        <v>4624</v>
      </c>
      <c r="AL94" s="726">
        <v>109</v>
      </c>
      <c r="AM94" s="1">
        <f t="shared" si="25"/>
        <v>16.110675000000004</v>
      </c>
      <c r="AN94" s="13">
        <v>50</v>
      </c>
      <c r="AO94" s="1">
        <f t="shared" si="26"/>
        <v>8.3789999999999996</v>
      </c>
      <c r="AP94" s="1154">
        <f t="shared" si="27"/>
        <v>418.95</v>
      </c>
      <c r="AR94" s="1154">
        <f t="shared" si="28"/>
        <v>805.53375000000017</v>
      </c>
      <c r="AU94" s="1">
        <f t="shared" si="19"/>
        <v>23.94</v>
      </c>
      <c r="AV94" s="240">
        <f t="shared" si="21"/>
        <v>-0.47991005963437305</v>
      </c>
      <c r="AW94">
        <v>1197</v>
      </c>
      <c r="BD94" s="726">
        <v>216</v>
      </c>
      <c r="BE94" s="13">
        <v>50</v>
      </c>
      <c r="BF94" s="1">
        <v>36.588999999999999</v>
      </c>
      <c r="BG94" s="1154">
        <v>1829.4499999999998</v>
      </c>
    </row>
    <row r="95" spans="1:59" x14ac:dyDescent="0.2">
      <c r="A95" s="1139" t="s">
        <v>8440</v>
      </c>
      <c r="B95" s="1140">
        <v>793.71</v>
      </c>
      <c r="C95" s="1151">
        <v>200</v>
      </c>
      <c r="D95" s="1141">
        <v>30</v>
      </c>
      <c r="S95" s="1">
        <f t="shared" si="22"/>
        <v>140</v>
      </c>
      <c r="T95" s="1">
        <f t="shared" si="23"/>
        <v>793.71</v>
      </c>
      <c r="U95" s="726">
        <v>140</v>
      </c>
      <c r="V95" s="1">
        <v>114</v>
      </c>
      <c r="W95" s="1">
        <f t="shared" si="20"/>
        <v>119.05650000000003</v>
      </c>
      <c r="Y95" s="240">
        <f t="shared" si="24"/>
        <v>-4.2471431631200485E-2</v>
      </c>
      <c r="AA95" s="1321">
        <v>147</v>
      </c>
      <c r="AB95" s="1322">
        <v>142.5</v>
      </c>
      <c r="AC95" s="1322">
        <v>155.96250000000003</v>
      </c>
      <c r="AD95" s="1323">
        <v>0</v>
      </c>
      <c r="AE95" s="1324">
        <v>-8.6318826641019641E-2</v>
      </c>
      <c r="AJ95" t="s">
        <v>4624</v>
      </c>
      <c r="AL95" s="726">
        <v>111</v>
      </c>
      <c r="AM95" s="1">
        <f t="shared" si="25"/>
        <v>20.344275000000003</v>
      </c>
      <c r="AN95" s="13">
        <v>50</v>
      </c>
      <c r="AO95" s="1">
        <f t="shared" si="26"/>
        <v>10.576999999999998</v>
      </c>
      <c r="AP95" s="1154">
        <f t="shared" si="27"/>
        <v>528.84999999999991</v>
      </c>
      <c r="AR95" s="1154">
        <f t="shared" si="28"/>
        <v>1017.2137500000001</v>
      </c>
      <c r="AU95" s="1">
        <f t="shared" si="19"/>
        <v>30.22</v>
      </c>
      <c r="AV95" s="240">
        <f t="shared" si="21"/>
        <v>-0.48009943829406565</v>
      </c>
      <c r="AW95">
        <v>1511</v>
      </c>
      <c r="BD95" s="726">
        <v>217</v>
      </c>
      <c r="BE95" s="13">
        <v>50</v>
      </c>
      <c r="BF95" s="1">
        <v>38.422999999999995</v>
      </c>
      <c r="BG95" s="1154">
        <v>1921.1499999999996</v>
      </c>
    </row>
    <row r="96" spans="1:59" x14ac:dyDescent="0.2">
      <c r="A96" s="1139" t="s">
        <v>8441</v>
      </c>
      <c r="B96" s="1140">
        <v>794.35</v>
      </c>
      <c r="C96" s="1151">
        <v>200</v>
      </c>
      <c r="D96" s="1141">
        <v>30</v>
      </c>
      <c r="S96" s="1">
        <f t="shared" si="22"/>
        <v>141</v>
      </c>
      <c r="T96" s="1">
        <f t="shared" si="23"/>
        <v>794.35</v>
      </c>
      <c r="U96" s="726">
        <v>141</v>
      </c>
      <c r="V96" s="1">
        <v>141</v>
      </c>
      <c r="W96" s="1">
        <f t="shared" si="20"/>
        <v>119.15250000000002</v>
      </c>
      <c r="Y96" s="240">
        <f t="shared" si="24"/>
        <v>0.18335746207591086</v>
      </c>
      <c r="AA96" s="1321">
        <v>148</v>
      </c>
      <c r="AB96" s="1322">
        <v>150</v>
      </c>
      <c r="AC96" s="1322">
        <v>160.66800000000001</v>
      </c>
      <c r="AD96" s="1323">
        <v>0</v>
      </c>
      <c r="AE96" s="1324">
        <v>-6.6397789229964976E-2</v>
      </c>
      <c r="AJ96" t="s">
        <v>4624</v>
      </c>
      <c r="AL96" s="726">
        <v>112</v>
      </c>
      <c r="AM96" s="1">
        <f t="shared" si="25"/>
        <v>22.421700000000005</v>
      </c>
      <c r="AN96" s="13">
        <v>50</v>
      </c>
      <c r="AO96" s="1">
        <f t="shared" si="26"/>
        <v>11.654999999999998</v>
      </c>
      <c r="AP96" s="1154">
        <f t="shared" si="27"/>
        <v>582.74999999999989</v>
      </c>
      <c r="AR96" s="1154">
        <f t="shared" si="28"/>
        <v>1121.0850000000003</v>
      </c>
      <c r="AU96" s="1">
        <f t="shared" si="19"/>
        <v>33.299999999999997</v>
      </c>
      <c r="AV96" s="240">
        <f t="shared" si="21"/>
        <v>-0.48019106490587271</v>
      </c>
      <c r="AW96">
        <v>1665</v>
      </c>
      <c r="BD96" s="726">
        <v>218</v>
      </c>
      <c r="BE96" s="13">
        <v>50</v>
      </c>
      <c r="BF96" s="1">
        <v>40.361999999999995</v>
      </c>
      <c r="BG96" s="1154">
        <v>2018.0999999999997</v>
      </c>
    </row>
    <row r="97" spans="1:59" x14ac:dyDescent="0.2">
      <c r="A97" s="1139" t="s">
        <v>8442</v>
      </c>
      <c r="B97" s="1140">
        <v>865.52</v>
      </c>
      <c r="C97" s="1151">
        <v>200</v>
      </c>
      <c r="D97" s="1141">
        <v>30</v>
      </c>
      <c r="S97" s="1">
        <f t="shared" si="22"/>
        <v>142</v>
      </c>
      <c r="T97" s="1">
        <f t="shared" si="23"/>
        <v>865.52</v>
      </c>
      <c r="U97" s="726">
        <v>142</v>
      </c>
      <c r="V97" s="1">
        <v>139.5</v>
      </c>
      <c r="W97" s="1">
        <f t="shared" si="20"/>
        <v>129.828</v>
      </c>
      <c r="Y97" s="240">
        <f t="shared" si="24"/>
        <v>7.4498567335243626E-2</v>
      </c>
      <c r="AA97" s="1321">
        <v>149</v>
      </c>
      <c r="AB97" s="1322">
        <v>205.50000000000003</v>
      </c>
      <c r="AC97" s="1322">
        <v>168.75150000000002</v>
      </c>
      <c r="AD97" s="1323">
        <v>0</v>
      </c>
      <c r="AE97" s="1324">
        <v>0.2177669531826385</v>
      </c>
      <c r="AJ97" t="s">
        <v>4624</v>
      </c>
      <c r="AL97" s="726">
        <v>113</v>
      </c>
      <c r="AM97" s="1">
        <f t="shared" si="25"/>
        <v>24.902325000000008</v>
      </c>
      <c r="AN97" s="13">
        <v>50</v>
      </c>
      <c r="AO97" s="1">
        <f t="shared" si="26"/>
        <v>13.649999999999999</v>
      </c>
      <c r="AP97" s="1154">
        <f t="shared" si="27"/>
        <v>682.49999999999989</v>
      </c>
      <c r="AR97" s="1154">
        <f t="shared" si="28"/>
        <v>1245.1162500000005</v>
      </c>
      <c r="AU97" s="1">
        <f t="shared" si="19"/>
        <v>39</v>
      </c>
      <c r="AV97" s="240">
        <f t="shared" si="21"/>
        <v>-0.45185841081103895</v>
      </c>
      <c r="AW97">
        <v>1950</v>
      </c>
      <c r="BD97" s="726">
        <v>219</v>
      </c>
      <c r="BE97" s="13">
        <v>50</v>
      </c>
      <c r="BF97" s="1">
        <v>45.891999999999996</v>
      </c>
      <c r="BG97" s="1154">
        <v>2294.6</v>
      </c>
    </row>
    <row r="98" spans="1:59" x14ac:dyDescent="0.2">
      <c r="A98" s="1139" t="s">
        <v>8443</v>
      </c>
      <c r="B98" s="1140">
        <v>899.27</v>
      </c>
      <c r="C98" s="1151">
        <v>200</v>
      </c>
      <c r="D98" s="1141">
        <v>30</v>
      </c>
      <c r="S98" s="1">
        <f t="shared" si="22"/>
        <v>143</v>
      </c>
      <c r="T98" s="1">
        <f t="shared" si="23"/>
        <v>899.27</v>
      </c>
      <c r="U98" s="726">
        <v>143</v>
      </c>
      <c r="V98" s="1">
        <v>150</v>
      </c>
      <c r="W98" s="1">
        <f t="shared" si="20"/>
        <v>134.89050000000003</v>
      </c>
      <c r="Y98" s="240">
        <f t="shared" si="24"/>
        <v>0.1120130772737884</v>
      </c>
      <c r="AA98" s="1321">
        <v>150</v>
      </c>
      <c r="AB98" s="1322">
        <v>198</v>
      </c>
      <c r="AC98" s="1322">
        <v>181.13700000000003</v>
      </c>
      <c r="AD98" s="1323">
        <v>0</v>
      </c>
      <c r="AE98" s="1324">
        <v>9.3095281472034719E-2</v>
      </c>
      <c r="AJ98" t="s">
        <v>4624</v>
      </c>
      <c r="AL98" s="726">
        <v>114</v>
      </c>
      <c r="AM98" s="1">
        <f t="shared" si="25"/>
        <v>27.179775000000003</v>
      </c>
      <c r="AN98" s="13">
        <v>50</v>
      </c>
      <c r="AO98" s="1">
        <f t="shared" si="26"/>
        <v>14.132999999999999</v>
      </c>
      <c r="AP98" s="1154">
        <f t="shared" si="27"/>
        <v>706.65</v>
      </c>
      <c r="AR98" s="1154">
        <f t="shared" si="28"/>
        <v>1358.9887500000002</v>
      </c>
      <c r="AU98" s="1">
        <f t="shared" si="19"/>
        <v>40.380000000000003</v>
      </c>
      <c r="AV98" s="240">
        <f t="shared" si="21"/>
        <v>-0.4800177705665335</v>
      </c>
      <c r="AW98">
        <v>2019</v>
      </c>
      <c r="BD98" s="726">
        <v>220</v>
      </c>
      <c r="BE98" s="13">
        <v>20</v>
      </c>
      <c r="BF98" s="1">
        <v>47.820499999999996</v>
      </c>
      <c r="BG98" s="1154">
        <v>956.40999999999985</v>
      </c>
    </row>
    <row r="99" spans="1:59" x14ac:dyDescent="0.2">
      <c r="A99" s="1139" t="s">
        <v>8444</v>
      </c>
      <c r="B99" s="1140">
        <v>902.64</v>
      </c>
      <c r="C99" s="1151">
        <v>200</v>
      </c>
      <c r="D99" s="1141">
        <v>30</v>
      </c>
      <c r="S99" s="1">
        <f t="shared" si="22"/>
        <v>144</v>
      </c>
      <c r="T99" s="1">
        <f t="shared" si="23"/>
        <v>902.64</v>
      </c>
      <c r="U99" s="726">
        <v>144</v>
      </c>
      <c r="V99" s="1">
        <v>163.5</v>
      </c>
      <c r="W99" s="1">
        <f t="shared" si="20"/>
        <v>135.39600000000002</v>
      </c>
      <c r="Y99" s="240">
        <f t="shared" si="24"/>
        <v>0.20756890897810854</v>
      </c>
      <c r="AA99" s="1321">
        <v>151</v>
      </c>
      <c r="AB99" s="1322">
        <v>192</v>
      </c>
      <c r="AC99" s="1322">
        <v>195.82650000000004</v>
      </c>
      <c r="AD99" s="1323">
        <v>0</v>
      </c>
      <c r="AE99" s="1324">
        <v>-1.9540256298305025E-2</v>
      </c>
      <c r="AJ99" t="s">
        <v>4624</v>
      </c>
      <c r="AL99" s="726">
        <v>115</v>
      </c>
      <c r="AM99" s="1">
        <f t="shared" si="25"/>
        <v>29.658825000000007</v>
      </c>
      <c r="AN99" s="13">
        <v>50</v>
      </c>
      <c r="AO99" s="1">
        <f t="shared" si="26"/>
        <v>15.399999999999999</v>
      </c>
      <c r="AP99" s="1154">
        <f t="shared" si="27"/>
        <v>769.99999999999989</v>
      </c>
      <c r="AR99" s="1154">
        <f t="shared" si="28"/>
        <v>1482.9412500000003</v>
      </c>
      <c r="AU99" s="1">
        <f t="shared" si="19"/>
        <v>44</v>
      </c>
      <c r="AV99" s="240">
        <f t="shared" si="21"/>
        <v>-0.48076162828433033</v>
      </c>
      <c r="AW99">
        <v>2200</v>
      </c>
      <c r="BD99" s="726">
        <v>221</v>
      </c>
      <c r="BE99" s="13">
        <v>20</v>
      </c>
      <c r="BF99" s="1">
        <v>49.055999999999997</v>
      </c>
      <c r="BG99" s="1154">
        <v>981.11999999999989</v>
      </c>
    </row>
    <row r="100" spans="1:59" x14ac:dyDescent="0.2">
      <c r="A100" s="1139" t="s">
        <v>8445</v>
      </c>
      <c r="B100" s="1140">
        <v>907.89</v>
      </c>
      <c r="C100" s="1151">
        <v>200</v>
      </c>
      <c r="D100" s="1141">
        <v>30</v>
      </c>
      <c r="S100" s="1">
        <f t="shared" si="22"/>
        <v>145</v>
      </c>
      <c r="T100" s="1">
        <f t="shared" si="23"/>
        <v>907.89</v>
      </c>
      <c r="U100" s="726">
        <v>145</v>
      </c>
      <c r="V100" s="1">
        <v>165</v>
      </c>
      <c r="W100" s="1">
        <f t="shared" si="20"/>
        <v>136.18350000000001</v>
      </c>
      <c r="Y100" s="240">
        <f t="shared" si="24"/>
        <v>0.21160052429259046</v>
      </c>
      <c r="AA100" s="1321">
        <v>152</v>
      </c>
      <c r="AB100" s="1322">
        <v>226.5</v>
      </c>
      <c r="AC100" s="1322">
        <v>219.61800000000002</v>
      </c>
      <c r="AD100" s="1323">
        <v>0</v>
      </c>
      <c r="AE100" s="1324">
        <v>3.1336229270824578E-2</v>
      </c>
      <c r="AJ100" t="s">
        <v>4624</v>
      </c>
      <c r="AL100" s="726">
        <v>116</v>
      </c>
      <c r="AM100" s="1">
        <f t="shared" si="25"/>
        <v>33.065550000000009</v>
      </c>
      <c r="AN100" s="13">
        <v>50</v>
      </c>
      <c r="AO100" s="1">
        <f t="shared" si="26"/>
        <v>17.149999999999999</v>
      </c>
      <c r="AP100" s="1154">
        <f t="shared" si="27"/>
        <v>857.49999999999989</v>
      </c>
      <c r="AR100" s="1154">
        <f t="shared" si="28"/>
        <v>1653.2775000000004</v>
      </c>
      <c r="AU100" s="1">
        <f t="shared" si="19"/>
        <v>49</v>
      </c>
      <c r="AV100" s="240">
        <f t="shared" si="21"/>
        <v>-0.481333290993194</v>
      </c>
      <c r="AW100">
        <v>2450</v>
      </c>
      <c r="BD100" s="726">
        <v>222</v>
      </c>
      <c r="BE100" s="13">
        <v>20</v>
      </c>
      <c r="BF100" s="1">
        <v>50.945999999999998</v>
      </c>
      <c r="BG100" s="1154">
        <v>1018.92</v>
      </c>
    </row>
    <row r="101" spans="1:59" x14ac:dyDescent="0.2">
      <c r="A101" s="1139" t="s">
        <v>8446</v>
      </c>
      <c r="B101" s="1140">
        <v>931.45</v>
      </c>
      <c r="C101" s="1151">
        <v>200</v>
      </c>
      <c r="D101" s="1141">
        <v>30</v>
      </c>
      <c r="S101" s="1">
        <f t="shared" si="22"/>
        <v>146</v>
      </c>
      <c r="T101" s="1">
        <f t="shared" si="23"/>
        <v>931.45</v>
      </c>
      <c r="U101" s="726">
        <v>146</v>
      </c>
      <c r="V101" s="1">
        <v>139.5</v>
      </c>
      <c r="W101" s="1">
        <f t="shared" si="20"/>
        <v>139.71750000000003</v>
      </c>
      <c r="Y101" s="240">
        <f t="shared" si="24"/>
        <v>-1.5567126523164942E-3</v>
      </c>
      <c r="AA101" s="1321">
        <v>153</v>
      </c>
      <c r="AB101" s="1322">
        <v>235.5</v>
      </c>
      <c r="AC101" s="1322">
        <v>228.56700000000004</v>
      </c>
      <c r="AD101" s="1323">
        <v>0</v>
      </c>
      <c r="AE101" s="1324">
        <v>3.0332462691464501E-2</v>
      </c>
      <c r="AJ101" t="s">
        <v>4624</v>
      </c>
      <c r="AL101" s="726">
        <v>117</v>
      </c>
      <c r="AM101" s="1">
        <f t="shared" si="25"/>
        <v>36.272250000000007</v>
      </c>
      <c r="AN101" s="13">
        <v>50</v>
      </c>
      <c r="AO101" s="1">
        <f t="shared" si="26"/>
        <v>18.864999999999998</v>
      </c>
      <c r="AP101" s="1154">
        <f t="shared" si="27"/>
        <v>943.24999999999989</v>
      </c>
      <c r="AR101" s="1154">
        <f t="shared" si="28"/>
        <v>1813.6125000000004</v>
      </c>
      <c r="AU101" s="1">
        <f t="shared" si="19"/>
        <v>53.9</v>
      </c>
      <c r="AV101" s="240">
        <f t="shared" si="21"/>
        <v>-0.479905437352246</v>
      </c>
      <c r="AW101">
        <v>2695</v>
      </c>
      <c r="BD101" s="726">
        <v>223</v>
      </c>
      <c r="BE101" s="13">
        <v>20</v>
      </c>
      <c r="BF101" s="1">
        <v>56.745499999999993</v>
      </c>
      <c r="BG101" s="1154">
        <v>1134.9099999999999</v>
      </c>
    </row>
    <row r="102" spans="1:59" x14ac:dyDescent="0.2">
      <c r="A102" s="1139" t="s">
        <v>8447</v>
      </c>
      <c r="B102" s="1140">
        <v>1039.75</v>
      </c>
      <c r="C102" s="1151">
        <v>200</v>
      </c>
      <c r="D102" s="1141">
        <v>30</v>
      </c>
      <c r="S102" s="1">
        <f t="shared" si="22"/>
        <v>147</v>
      </c>
      <c r="T102" s="1">
        <f t="shared" si="23"/>
        <v>1039.75</v>
      </c>
      <c r="U102" s="726">
        <v>147</v>
      </c>
      <c r="V102" s="1">
        <v>142.5</v>
      </c>
      <c r="W102" s="1">
        <f t="shared" si="20"/>
        <v>155.96250000000003</v>
      </c>
      <c r="Y102" s="240">
        <f t="shared" si="24"/>
        <v>-8.6318826641019641E-2</v>
      </c>
      <c r="AA102" s="1321">
        <v>154</v>
      </c>
      <c r="AB102" s="1322">
        <v>262.5</v>
      </c>
      <c r="AC102" s="1322">
        <v>241.48500000000004</v>
      </c>
      <c r="AD102" s="1323">
        <v>0</v>
      </c>
      <c r="AE102" s="1324">
        <v>8.7024038760171285E-2</v>
      </c>
      <c r="AJ102" t="s">
        <v>4624</v>
      </c>
      <c r="AL102" s="726">
        <v>118</v>
      </c>
      <c r="AM102" s="1">
        <f t="shared" si="25"/>
        <v>39.357675000000008</v>
      </c>
      <c r="AN102" s="13">
        <v>50</v>
      </c>
      <c r="AO102" s="1">
        <f t="shared" si="26"/>
        <v>20.467999999999996</v>
      </c>
      <c r="AP102" s="1154">
        <f t="shared" si="27"/>
        <v>1023.3999999999999</v>
      </c>
      <c r="AR102" s="1154">
        <f t="shared" si="28"/>
        <v>1967.8837500000004</v>
      </c>
      <c r="AU102" s="1">
        <f t="shared" si="19"/>
        <v>58.48</v>
      </c>
      <c r="AV102" s="240">
        <f t="shared" si="21"/>
        <v>-0.47994895531811799</v>
      </c>
      <c r="AW102">
        <v>2924</v>
      </c>
      <c r="BD102" s="726">
        <v>224</v>
      </c>
      <c r="BE102" s="13">
        <v>20</v>
      </c>
      <c r="BF102" s="1">
        <v>60.080999999999996</v>
      </c>
      <c r="BG102" s="1154">
        <v>1201.6199999999999</v>
      </c>
    </row>
    <row r="103" spans="1:59" x14ac:dyDescent="0.2">
      <c r="A103" s="1139" t="s">
        <v>8448</v>
      </c>
      <c r="B103" s="1140">
        <v>1071.1199999999999</v>
      </c>
      <c r="C103" s="1151">
        <v>200</v>
      </c>
      <c r="D103" s="1141">
        <v>30</v>
      </c>
      <c r="S103" s="1">
        <f t="shared" si="22"/>
        <v>148</v>
      </c>
      <c r="T103" s="1">
        <f t="shared" si="23"/>
        <v>1071.1199999999999</v>
      </c>
      <c r="U103" s="726">
        <v>148</v>
      </c>
      <c r="V103" s="1">
        <v>150</v>
      </c>
      <c r="W103" s="1">
        <f t="shared" si="20"/>
        <v>160.66800000000001</v>
      </c>
      <c r="Y103" s="240">
        <f t="shared" si="24"/>
        <v>-6.6397789229964976E-2</v>
      </c>
      <c r="AA103" s="1321">
        <v>155</v>
      </c>
      <c r="AB103" s="1322">
        <v>279</v>
      </c>
      <c r="AC103" s="1322">
        <v>274.12350000000004</v>
      </c>
      <c r="AD103" s="1323">
        <v>0</v>
      </c>
      <c r="AE103" s="1324">
        <v>1.7789427028328308E-2</v>
      </c>
      <c r="AJ103" t="s">
        <v>4624</v>
      </c>
      <c r="AL103" s="726">
        <v>115</v>
      </c>
      <c r="AM103" s="1">
        <f t="shared" si="25"/>
        <v>29.658825000000007</v>
      </c>
      <c r="AN103" s="13">
        <v>50</v>
      </c>
      <c r="AO103" s="1">
        <f t="shared" si="26"/>
        <v>15.399999999999999</v>
      </c>
      <c r="AP103" s="1154">
        <f t="shared" si="27"/>
        <v>769.99999999999989</v>
      </c>
      <c r="AR103" s="1154">
        <f t="shared" si="28"/>
        <v>1482.9412500000003</v>
      </c>
      <c r="AU103" s="1">
        <f t="shared" si="19"/>
        <v>44</v>
      </c>
      <c r="AV103" s="240">
        <f t="shared" si="21"/>
        <v>-0.48076162828433033</v>
      </c>
      <c r="AW103">
        <v>2200</v>
      </c>
      <c r="BD103" s="726">
        <v>225</v>
      </c>
      <c r="BE103" s="13">
        <v>20</v>
      </c>
      <c r="BF103" s="1">
        <v>67.55</v>
      </c>
      <c r="BG103" s="1154">
        <v>1351</v>
      </c>
    </row>
    <row r="104" spans="1:59" x14ac:dyDescent="0.2">
      <c r="S104" s="1" t="e">
        <f t="shared" si="22"/>
        <v>#VALUE!</v>
      </c>
      <c r="T104" s="1">
        <f t="shared" si="23"/>
        <v>0</v>
      </c>
      <c r="U104" s="726"/>
      <c r="V104" s="1" t="s">
        <v>8353</v>
      </c>
      <c r="W104" s="1">
        <f t="shared" si="20"/>
        <v>0</v>
      </c>
      <c r="Y104" s="240" t="str">
        <f t="shared" si="24"/>
        <v/>
      </c>
      <c r="AA104" s="1321">
        <v>156</v>
      </c>
      <c r="AB104" s="1322">
        <v>345</v>
      </c>
      <c r="AC104" s="1322">
        <v>285.44550000000004</v>
      </c>
      <c r="AD104" s="1323">
        <v>0</v>
      </c>
      <c r="AE104" s="1324">
        <v>0.20863702528153349</v>
      </c>
      <c r="AJ104" t="s">
        <v>4624</v>
      </c>
      <c r="AL104" s="726">
        <v>120</v>
      </c>
      <c r="AM104" s="1">
        <f t="shared" si="25"/>
        <v>44.640225000000015</v>
      </c>
      <c r="AN104" s="13">
        <v>42</v>
      </c>
      <c r="AO104" s="1">
        <f t="shared" si="26"/>
        <v>23.208333333333332</v>
      </c>
      <c r="AP104" s="1154">
        <f t="shared" si="27"/>
        <v>974.75</v>
      </c>
      <c r="AR104" s="1154">
        <f t="shared" si="28"/>
        <v>1874.8894500000006</v>
      </c>
      <c r="AU104" s="1">
        <f t="shared" si="19"/>
        <v>66.30952380952381</v>
      </c>
      <c r="AV104" s="240">
        <f t="shared" si="21"/>
        <v>-0.48010268018735736</v>
      </c>
      <c r="AW104">
        <v>2785</v>
      </c>
      <c r="BD104" s="726">
        <v>226</v>
      </c>
      <c r="BE104" s="13">
        <v>20</v>
      </c>
      <c r="BF104" s="1">
        <v>71.879499999999993</v>
      </c>
      <c r="BG104" s="1154">
        <v>1437.59</v>
      </c>
    </row>
    <row r="105" spans="1:59" x14ac:dyDescent="0.2">
      <c r="S105" s="1" t="e">
        <f t="shared" si="22"/>
        <v>#VALUE!</v>
      </c>
      <c r="T105" s="1">
        <f t="shared" si="23"/>
        <v>0</v>
      </c>
      <c r="U105" s="726"/>
      <c r="V105" s="1" t="s">
        <v>8353</v>
      </c>
      <c r="W105" s="1">
        <f t="shared" si="20"/>
        <v>0</v>
      </c>
      <c r="Y105" s="240" t="str">
        <f t="shared" si="24"/>
        <v/>
      </c>
      <c r="AA105" s="1321">
        <v>157</v>
      </c>
      <c r="AB105" s="1322">
        <v>283.5</v>
      </c>
      <c r="AC105" s="1322">
        <v>290.26500000000004</v>
      </c>
      <c r="AD105" s="1323">
        <v>0</v>
      </c>
      <c r="AE105" s="1324">
        <v>-2.3306289080667786E-2</v>
      </c>
      <c r="AJ105" t="s">
        <v>4624</v>
      </c>
      <c r="AL105" s="726">
        <v>121</v>
      </c>
      <c r="AM105" s="1">
        <f t="shared" si="25"/>
        <v>46.796400000000006</v>
      </c>
      <c r="AN105" s="13">
        <v>20</v>
      </c>
      <c r="AO105" s="1">
        <f t="shared" si="26"/>
        <v>22.939</v>
      </c>
      <c r="AP105" s="1154">
        <f t="shared" si="27"/>
        <v>458.78</v>
      </c>
      <c r="AR105" s="1154">
        <f t="shared" si="28"/>
        <v>935.92800000000011</v>
      </c>
      <c r="AU105" s="1">
        <v>65.540000000000006</v>
      </c>
      <c r="AV105" s="240">
        <f t="shared" si="21"/>
        <v>-0.5098127206366303</v>
      </c>
      <c r="BD105" s="726">
        <v>227</v>
      </c>
      <c r="BE105" s="13">
        <v>20</v>
      </c>
      <c r="BF105" s="1">
        <v>73.5</v>
      </c>
      <c r="BG105" s="1154">
        <v>1470</v>
      </c>
    </row>
    <row r="106" spans="1:59" x14ac:dyDescent="0.2">
      <c r="A106" s="1139" t="s">
        <v>8449</v>
      </c>
      <c r="B106" s="1140">
        <v>1125.01</v>
      </c>
      <c r="C106" s="1141">
        <v>150</v>
      </c>
      <c r="D106" s="1141">
        <v>30</v>
      </c>
      <c r="S106" s="1">
        <f t="shared" si="22"/>
        <v>149</v>
      </c>
      <c r="T106" s="1">
        <f t="shared" si="23"/>
        <v>1125.01</v>
      </c>
      <c r="U106" s="726">
        <v>149</v>
      </c>
      <c r="V106" s="1">
        <v>205.50000000000003</v>
      </c>
      <c r="W106" s="1">
        <f t="shared" si="20"/>
        <v>168.75150000000002</v>
      </c>
      <c r="Y106" s="240">
        <f t="shared" si="24"/>
        <v>0.2177669531826385</v>
      </c>
      <c r="AA106" s="1321">
        <v>159</v>
      </c>
      <c r="AB106" s="1322">
        <v>393</v>
      </c>
      <c r="AC106" s="1322">
        <v>322.33350000000002</v>
      </c>
      <c r="AD106" s="1323">
        <v>0</v>
      </c>
      <c r="AE106" s="1324">
        <v>0.21923411621814037</v>
      </c>
      <c r="AJ106" t="s">
        <v>4624</v>
      </c>
      <c r="AL106" s="726">
        <v>122</v>
      </c>
      <c r="AM106" s="1">
        <f t="shared" si="25"/>
        <v>52.181325000000015</v>
      </c>
      <c r="AN106" s="13">
        <v>20</v>
      </c>
      <c r="AO106" s="1">
        <f t="shared" si="26"/>
        <v>27.824999999999999</v>
      </c>
      <c r="AP106" s="1154">
        <f t="shared" si="27"/>
        <v>556.5</v>
      </c>
      <c r="AR106" s="1154">
        <f t="shared" si="28"/>
        <v>1043.6265000000003</v>
      </c>
      <c r="AU106" s="1">
        <f t="shared" si="19"/>
        <v>79.5</v>
      </c>
      <c r="AV106" s="240">
        <f t="shared" si="21"/>
        <v>-0.46676325294537857</v>
      </c>
      <c r="AW106">
        <v>1590</v>
      </c>
      <c r="BD106" s="726">
        <v>228</v>
      </c>
      <c r="BE106" s="13">
        <v>20</v>
      </c>
      <c r="BF106" s="1">
        <v>82.6</v>
      </c>
      <c r="BG106" s="1154">
        <v>1652</v>
      </c>
    </row>
    <row r="107" spans="1:59" x14ac:dyDescent="0.2">
      <c r="A107" s="1139" t="s">
        <v>8450</v>
      </c>
      <c r="B107" s="1140">
        <v>1207.58</v>
      </c>
      <c r="C107" s="1141">
        <v>150</v>
      </c>
      <c r="D107" s="1141">
        <v>30</v>
      </c>
      <c r="S107" s="1">
        <f t="shared" si="22"/>
        <v>150</v>
      </c>
      <c r="T107" s="1">
        <f t="shared" si="23"/>
        <v>1207.58</v>
      </c>
      <c r="U107" s="726">
        <v>150</v>
      </c>
      <c r="V107" s="1">
        <v>198</v>
      </c>
      <c r="W107" s="1">
        <f t="shared" si="20"/>
        <v>181.13700000000003</v>
      </c>
      <c r="Y107" s="240">
        <f t="shared" si="24"/>
        <v>9.3095281472034719E-2</v>
      </c>
      <c r="AA107" s="1321">
        <v>160</v>
      </c>
      <c r="AB107" s="1322">
        <v>387</v>
      </c>
      <c r="AC107" s="1322">
        <v>396.67350000000005</v>
      </c>
      <c r="AD107" s="1323">
        <v>0</v>
      </c>
      <c r="AE107" s="1324">
        <v>-2.4386554685402628E-2</v>
      </c>
      <c r="AJ107" t="s">
        <v>4624</v>
      </c>
      <c r="AL107" s="726">
        <v>123</v>
      </c>
      <c r="AM107" s="1">
        <f t="shared" si="25"/>
        <v>56.414925000000011</v>
      </c>
      <c r="AN107" s="13">
        <v>20</v>
      </c>
      <c r="AO107" s="1">
        <f t="shared" si="26"/>
        <v>29.340499999999999</v>
      </c>
      <c r="AP107" s="1154">
        <f t="shared" si="27"/>
        <v>586.80999999999995</v>
      </c>
      <c r="AR107" s="1154">
        <f t="shared" si="28"/>
        <v>1128.2985000000003</v>
      </c>
      <c r="AU107" s="1">
        <v>83.83</v>
      </c>
      <c r="AV107" s="240">
        <f t="shared" si="21"/>
        <v>-0.47991599740671476</v>
      </c>
      <c r="BD107" s="726">
        <v>229</v>
      </c>
      <c r="BE107" s="13">
        <v>20</v>
      </c>
      <c r="BF107" s="1">
        <v>85.05</v>
      </c>
      <c r="BG107" s="1154">
        <v>1701</v>
      </c>
    </row>
    <row r="108" spans="1:59" x14ac:dyDescent="0.2">
      <c r="A108" s="1139" t="s">
        <v>8451</v>
      </c>
      <c r="B108" s="1140">
        <v>1305.51</v>
      </c>
      <c r="C108" s="1141">
        <v>150</v>
      </c>
      <c r="D108" s="1141">
        <v>30</v>
      </c>
      <c r="S108" s="1">
        <f t="shared" si="22"/>
        <v>151</v>
      </c>
      <c r="T108" s="1">
        <f t="shared" si="23"/>
        <v>1305.51</v>
      </c>
      <c r="U108" s="726">
        <v>151</v>
      </c>
      <c r="V108" s="1">
        <v>192</v>
      </c>
      <c r="W108" s="1">
        <f t="shared" si="20"/>
        <v>195.82650000000004</v>
      </c>
      <c r="Y108" s="240">
        <f t="shared" si="24"/>
        <v>-1.9540256298305025E-2</v>
      </c>
      <c r="AA108" s="1321">
        <v>161</v>
      </c>
      <c r="AB108" s="1322">
        <v>489</v>
      </c>
      <c r="AC108" s="1322">
        <v>429.31200000000007</v>
      </c>
      <c r="AD108" s="1323">
        <v>0</v>
      </c>
      <c r="AE108" s="1324">
        <v>0.13903175313059024</v>
      </c>
      <c r="AJ108" t="s">
        <v>4624</v>
      </c>
      <c r="AL108" s="726">
        <v>124</v>
      </c>
      <c r="AM108" s="1">
        <f t="shared" si="25"/>
        <v>61.273800000000008</v>
      </c>
      <c r="AN108" s="13">
        <v>20</v>
      </c>
      <c r="AO108" s="1">
        <f t="shared" si="26"/>
        <v>31.849999999999998</v>
      </c>
      <c r="AP108" s="1154">
        <f t="shared" si="27"/>
        <v>637</v>
      </c>
      <c r="AR108" s="1154">
        <f t="shared" si="28"/>
        <v>1225.4760000000001</v>
      </c>
      <c r="AU108" s="1">
        <f t="shared" si="19"/>
        <v>91</v>
      </c>
      <c r="AV108" s="240">
        <f t="shared" si="21"/>
        <v>-0.48020197865972092</v>
      </c>
      <c r="AW108">
        <v>1820</v>
      </c>
      <c r="BD108" s="726">
        <v>230</v>
      </c>
      <c r="BE108" s="13">
        <v>20</v>
      </c>
      <c r="BF108" s="1">
        <v>91</v>
      </c>
      <c r="BG108" s="1154">
        <v>1820</v>
      </c>
    </row>
    <row r="109" spans="1:59" x14ac:dyDescent="0.2">
      <c r="A109" s="1139" t="s">
        <v>8452</v>
      </c>
      <c r="B109" s="1140">
        <v>1464.12</v>
      </c>
      <c r="C109" s="1141">
        <v>150</v>
      </c>
      <c r="D109" s="1141">
        <v>30</v>
      </c>
      <c r="S109" s="1">
        <f t="shared" si="22"/>
        <v>152</v>
      </c>
      <c r="T109" s="1">
        <f t="shared" si="23"/>
        <v>1464.12</v>
      </c>
      <c r="U109" s="726">
        <v>152</v>
      </c>
      <c r="V109" s="1">
        <v>226.5</v>
      </c>
      <c r="W109" s="1">
        <f t="shared" si="20"/>
        <v>219.61800000000002</v>
      </c>
      <c r="Y109" s="240">
        <f t="shared" si="24"/>
        <v>3.1336229270824578E-2</v>
      </c>
      <c r="AA109" s="1321">
        <v>162</v>
      </c>
      <c r="AB109" s="1322">
        <v>420.00000000000006</v>
      </c>
      <c r="AC109" s="1322">
        <v>462.67350000000005</v>
      </c>
      <c r="AD109" s="1323">
        <v>0</v>
      </c>
      <c r="AE109" s="1324">
        <v>-9.2232427402909378E-2</v>
      </c>
      <c r="AJ109" t="s">
        <v>4624</v>
      </c>
      <c r="AL109" s="726">
        <v>125</v>
      </c>
      <c r="AM109" s="1">
        <f t="shared" si="25"/>
        <v>63.532350000000015</v>
      </c>
      <c r="AN109" s="13">
        <v>16</v>
      </c>
      <c r="AO109" s="1">
        <f t="shared" si="26"/>
        <v>41.3</v>
      </c>
      <c r="AP109" s="1154">
        <f t="shared" si="27"/>
        <v>660.8</v>
      </c>
      <c r="AR109" s="1154">
        <f t="shared" si="28"/>
        <v>1016.5176000000002</v>
      </c>
      <c r="AU109" s="1">
        <f t="shared" si="19"/>
        <v>118</v>
      </c>
      <c r="AV109" s="240">
        <f t="shared" si="21"/>
        <v>-0.34993747279929066</v>
      </c>
      <c r="AW109">
        <v>1888</v>
      </c>
      <c r="BD109" s="726">
        <v>231</v>
      </c>
      <c r="BE109" s="13">
        <v>20</v>
      </c>
      <c r="BF109" s="1">
        <v>93.8</v>
      </c>
      <c r="BG109" s="1154">
        <v>1876</v>
      </c>
    </row>
    <row r="110" spans="1:59" x14ac:dyDescent="0.2">
      <c r="A110" s="1139" t="s">
        <v>8453</v>
      </c>
      <c r="B110" s="1140">
        <v>1523.78</v>
      </c>
      <c r="C110" s="1141">
        <v>150</v>
      </c>
      <c r="D110" s="1141">
        <v>20</v>
      </c>
      <c r="S110" s="1">
        <f t="shared" si="22"/>
        <v>153</v>
      </c>
      <c r="T110" s="1">
        <f t="shared" si="23"/>
        <v>1523.78</v>
      </c>
      <c r="U110" s="726">
        <v>153</v>
      </c>
      <c r="V110" s="1">
        <v>235.5</v>
      </c>
      <c r="W110" s="1">
        <f t="shared" si="20"/>
        <v>228.56700000000004</v>
      </c>
      <c r="Y110" s="240">
        <f t="shared" si="24"/>
        <v>3.0332462691464501E-2</v>
      </c>
      <c r="AA110" s="1321">
        <v>163</v>
      </c>
      <c r="AB110" s="1322">
        <v>523.5</v>
      </c>
      <c r="AC110" s="1322">
        <v>487.14750000000009</v>
      </c>
      <c r="AD110" s="1323">
        <v>0</v>
      </c>
      <c r="AE110" s="1324">
        <v>7.4623189075177176E-2</v>
      </c>
      <c r="AJ110" t="s">
        <v>4624</v>
      </c>
      <c r="AL110" s="726">
        <v>126</v>
      </c>
      <c r="AM110" s="1">
        <f t="shared" si="25"/>
        <v>69.016500000000008</v>
      </c>
      <c r="AN110" s="13">
        <v>20</v>
      </c>
      <c r="AO110" s="1">
        <f t="shared" si="26"/>
        <v>35.892499999999998</v>
      </c>
      <c r="AP110" s="1154">
        <f t="shared" si="27"/>
        <v>717.84999999999991</v>
      </c>
      <c r="AR110" s="1154">
        <f t="shared" si="28"/>
        <v>1380.3300000000002</v>
      </c>
      <c r="AU110" s="1">
        <f t="shared" si="19"/>
        <v>102.55</v>
      </c>
      <c r="AV110" s="240">
        <f t="shared" si="21"/>
        <v>-0.4799432019879305</v>
      </c>
      <c r="AW110">
        <v>2051</v>
      </c>
      <c r="BD110" s="726">
        <v>232</v>
      </c>
      <c r="BE110" s="13">
        <v>20</v>
      </c>
      <c r="BF110" s="1">
        <v>95.55</v>
      </c>
      <c r="BG110" s="1154">
        <v>1911</v>
      </c>
    </row>
    <row r="111" spans="1:59" x14ac:dyDescent="0.2">
      <c r="A111" s="1139" t="s">
        <v>8454</v>
      </c>
      <c r="B111" s="1140">
        <v>1609.9</v>
      </c>
      <c r="C111" s="1141">
        <v>100</v>
      </c>
      <c r="D111" s="1141">
        <v>20</v>
      </c>
      <c r="S111" s="1">
        <f t="shared" si="22"/>
        <v>154</v>
      </c>
      <c r="T111" s="1">
        <f t="shared" si="23"/>
        <v>1609.9</v>
      </c>
      <c r="U111" s="726">
        <v>154</v>
      </c>
      <c r="V111" s="1">
        <v>262.5</v>
      </c>
      <c r="W111" s="1">
        <f t="shared" si="20"/>
        <v>241.48500000000004</v>
      </c>
      <c r="Y111" s="240">
        <f t="shared" si="24"/>
        <v>8.7024038760171285E-2</v>
      </c>
      <c r="AA111" s="1321">
        <v>164</v>
      </c>
      <c r="AB111" s="1322">
        <v>520.5</v>
      </c>
      <c r="AC111" s="1322">
        <v>492.06450000000007</v>
      </c>
      <c r="AD111" s="1323">
        <v>0</v>
      </c>
      <c r="AE111" s="1324">
        <v>5.7788155821035581E-2</v>
      </c>
      <c r="AJ111" t="s">
        <v>4624</v>
      </c>
      <c r="AL111" s="726">
        <v>127</v>
      </c>
      <c r="AM111" s="1">
        <f t="shared" si="25"/>
        <v>77.063175000000015</v>
      </c>
      <c r="AN111" s="13">
        <v>20</v>
      </c>
      <c r="AO111" s="1">
        <f t="shared" si="26"/>
        <v>40.074999999999996</v>
      </c>
      <c r="AP111" s="1154">
        <f t="shared" si="27"/>
        <v>801.49999999999989</v>
      </c>
      <c r="AR111" s="1154">
        <f t="shared" si="28"/>
        <v>1541.2635000000002</v>
      </c>
      <c r="AU111" s="1">
        <f t="shared" si="19"/>
        <v>114.5</v>
      </c>
      <c r="AV111" s="240">
        <f t="shared" si="21"/>
        <v>-0.47997211378846005</v>
      </c>
      <c r="AW111">
        <v>2290</v>
      </c>
      <c r="BD111" s="726">
        <v>233</v>
      </c>
      <c r="BE111" s="13">
        <v>20</v>
      </c>
      <c r="BF111" s="1">
        <v>110.6</v>
      </c>
      <c r="BG111" s="1154">
        <v>2212</v>
      </c>
    </row>
    <row r="112" spans="1:59" x14ac:dyDescent="0.2">
      <c r="A112" s="1139" t="s">
        <v>8455</v>
      </c>
      <c r="B112" s="1140">
        <v>1827.49</v>
      </c>
      <c r="C112" s="1141">
        <v>100</v>
      </c>
      <c r="D112" s="1141">
        <v>20</v>
      </c>
      <c r="S112" s="1">
        <f t="shared" si="22"/>
        <v>155</v>
      </c>
      <c r="T112" s="1">
        <f t="shared" si="23"/>
        <v>1827.49</v>
      </c>
      <c r="U112" s="726">
        <v>155</v>
      </c>
      <c r="V112" s="1">
        <v>279</v>
      </c>
      <c r="W112" s="1">
        <f t="shared" si="20"/>
        <v>274.12350000000004</v>
      </c>
      <c r="Y112" s="240">
        <f t="shared" si="24"/>
        <v>1.7789427028328308E-2</v>
      </c>
      <c r="AA112" s="1321">
        <v>165</v>
      </c>
      <c r="AB112" s="1322">
        <v>549</v>
      </c>
      <c r="AC112" s="1322">
        <v>524.72700000000009</v>
      </c>
      <c r="AD112" s="1323">
        <v>0</v>
      </c>
      <c r="AE112" s="1324">
        <v>4.6258340051112068E-2</v>
      </c>
      <c r="AJ112" t="s">
        <v>4624</v>
      </c>
      <c r="AL112" s="726">
        <v>128</v>
      </c>
      <c r="AM112" s="1">
        <f t="shared" si="25"/>
        <v>76.658400000000015</v>
      </c>
      <c r="AN112" s="13">
        <v>20</v>
      </c>
      <c r="AO112" s="1">
        <f t="shared" si="26"/>
        <v>39.8825</v>
      </c>
      <c r="AP112" s="1154">
        <f t="shared" si="27"/>
        <v>797.65</v>
      </c>
      <c r="AR112" s="1154">
        <f t="shared" si="28"/>
        <v>1533.1680000000003</v>
      </c>
      <c r="AU112" s="1">
        <f t="shared" si="19"/>
        <v>113.95</v>
      </c>
      <c r="AV112" s="240">
        <f t="shared" si="21"/>
        <v>-0.47973738037840608</v>
      </c>
      <c r="AW112">
        <v>2279</v>
      </c>
      <c r="BD112" s="726">
        <v>234</v>
      </c>
      <c r="BE112" s="13">
        <v>20</v>
      </c>
      <c r="BF112" s="1">
        <v>123.55</v>
      </c>
      <c r="BG112" s="1154">
        <v>2471</v>
      </c>
    </row>
    <row r="113" spans="1:59" x14ac:dyDescent="0.2">
      <c r="A113" s="1139" t="s">
        <v>8456</v>
      </c>
      <c r="B113" s="1140">
        <v>1902.97</v>
      </c>
      <c r="C113" s="1141">
        <v>100</v>
      </c>
      <c r="D113" s="1141">
        <v>20</v>
      </c>
      <c r="S113" s="1">
        <f t="shared" si="22"/>
        <v>156</v>
      </c>
      <c r="T113" s="1">
        <f t="shared" si="23"/>
        <v>1902.97</v>
      </c>
      <c r="U113" s="726">
        <v>156</v>
      </c>
      <c r="V113" s="1">
        <v>345</v>
      </c>
      <c r="W113" s="1">
        <f t="shared" si="20"/>
        <v>285.44550000000004</v>
      </c>
      <c r="Y113" s="240">
        <f t="shared" si="24"/>
        <v>0.20863702528153349</v>
      </c>
      <c r="AA113" s="1321">
        <v>166</v>
      </c>
      <c r="AB113" s="1322">
        <v>457.5</v>
      </c>
      <c r="AC113" s="1322">
        <v>535.05750000000012</v>
      </c>
      <c r="AD113" s="1323">
        <v>0</v>
      </c>
      <c r="AE113" s="1324">
        <v>-0.14495171079743785</v>
      </c>
      <c r="AJ113" t="s">
        <v>4624</v>
      </c>
      <c r="AL113" s="726">
        <v>129</v>
      </c>
      <c r="AM113" s="1">
        <f t="shared" si="25"/>
        <v>78.614550000000008</v>
      </c>
      <c r="AN113" s="13">
        <v>20</v>
      </c>
      <c r="AO113" s="1">
        <f t="shared" si="26"/>
        <v>40.879999999999995</v>
      </c>
      <c r="AP113" s="1154">
        <f t="shared" si="27"/>
        <v>817.59999999999991</v>
      </c>
      <c r="AR113" s="1154">
        <f t="shared" si="28"/>
        <v>1572.2910000000002</v>
      </c>
      <c r="AU113" s="1">
        <f t="shared" si="19"/>
        <v>116.8</v>
      </c>
      <c r="AV113" s="240">
        <f t="shared" si="21"/>
        <v>-0.47999447939344575</v>
      </c>
      <c r="AW113">
        <v>2336</v>
      </c>
      <c r="BD113" s="726">
        <v>235</v>
      </c>
      <c r="BE113" s="13">
        <v>20</v>
      </c>
      <c r="BF113" s="1">
        <v>132.65</v>
      </c>
      <c r="BG113" s="1154">
        <v>2653</v>
      </c>
    </row>
    <row r="114" spans="1:59" x14ac:dyDescent="0.2">
      <c r="A114" s="1139" t="s">
        <v>8457</v>
      </c>
      <c r="B114" s="1140">
        <v>1935.1</v>
      </c>
      <c r="C114" s="1141">
        <v>100</v>
      </c>
      <c r="D114" s="1141">
        <v>20</v>
      </c>
      <c r="S114" s="1">
        <f t="shared" si="22"/>
        <v>157</v>
      </c>
      <c r="T114" s="1">
        <f t="shared" si="23"/>
        <v>1935.1</v>
      </c>
      <c r="U114" s="726">
        <v>157</v>
      </c>
      <c r="V114" s="1">
        <v>283.5</v>
      </c>
      <c r="W114" s="1">
        <f t="shared" si="20"/>
        <v>290.26500000000004</v>
      </c>
      <c r="Y114" s="240">
        <f t="shared" si="24"/>
        <v>-2.3306289080667786E-2</v>
      </c>
      <c r="AA114" s="1321">
        <v>167</v>
      </c>
      <c r="AB114" s="1322">
        <v>646.5</v>
      </c>
      <c r="AC114" s="1322">
        <v>609.18150000000014</v>
      </c>
      <c r="AD114" s="1323">
        <v>0</v>
      </c>
      <c r="AE114" s="1324">
        <v>6.1260067812302088E-2</v>
      </c>
      <c r="AJ114" t="s">
        <v>4624</v>
      </c>
      <c r="AL114" s="726">
        <v>130</v>
      </c>
      <c r="AM114" s="1">
        <f t="shared" si="25"/>
        <v>82.344150000000027</v>
      </c>
      <c r="AN114" s="13">
        <v>20</v>
      </c>
      <c r="AO114" s="1">
        <f t="shared" si="26"/>
        <v>43.697499999999998</v>
      </c>
      <c r="AP114" s="1154">
        <f t="shared" si="27"/>
        <v>873.94999999999993</v>
      </c>
      <c r="AR114" s="1154">
        <f t="shared" si="28"/>
        <v>1646.8830000000005</v>
      </c>
      <c r="AU114" s="1">
        <f t="shared" si="19"/>
        <v>124.85</v>
      </c>
      <c r="AV114" s="240">
        <f t="shared" si="21"/>
        <v>-0.46933085106835171</v>
      </c>
      <c r="AW114">
        <v>2497</v>
      </c>
      <c r="BD114" s="726">
        <v>236</v>
      </c>
      <c r="BE114" s="13">
        <v>20</v>
      </c>
      <c r="BF114" s="1">
        <v>135.44999999999999</v>
      </c>
      <c r="BG114" s="1154">
        <v>2709</v>
      </c>
    </row>
    <row r="115" spans="1:59" x14ac:dyDescent="0.2">
      <c r="A115" s="1139" t="s">
        <v>8458</v>
      </c>
      <c r="B115" s="1140">
        <v>2088.63</v>
      </c>
      <c r="C115" s="1141">
        <v>100</v>
      </c>
      <c r="D115" s="1141">
        <v>20</v>
      </c>
      <c r="S115" s="1">
        <f t="shared" si="22"/>
        <v>158</v>
      </c>
      <c r="T115" s="1">
        <f t="shared" si="23"/>
        <v>2088.63</v>
      </c>
      <c r="U115" s="726">
        <v>158</v>
      </c>
      <c r="V115" s="1" t="s">
        <v>8353</v>
      </c>
      <c r="W115" s="1">
        <f t="shared" si="20"/>
        <v>313.29450000000008</v>
      </c>
      <c r="Y115" s="240" t="str">
        <f t="shared" si="24"/>
        <v/>
      </c>
      <c r="AA115" s="1321">
        <v>168</v>
      </c>
      <c r="AB115" s="1322">
        <v>646.5</v>
      </c>
      <c r="AC115" s="1322">
        <v>630.92550000000006</v>
      </c>
      <c r="AD115" s="1323">
        <v>0</v>
      </c>
      <c r="AE115" s="1324">
        <v>2.4685164888722966E-2</v>
      </c>
      <c r="AJ115" t="s">
        <v>4624</v>
      </c>
      <c r="AL115" s="726">
        <v>131</v>
      </c>
      <c r="AM115" s="1">
        <f t="shared" si="25"/>
        <v>86.780925000000025</v>
      </c>
      <c r="AN115" s="13">
        <v>20</v>
      </c>
      <c r="AO115" s="1">
        <f t="shared" si="26"/>
        <v>45.132499999999993</v>
      </c>
      <c r="AP115" s="1154">
        <f t="shared" si="27"/>
        <v>902.64999999999986</v>
      </c>
      <c r="AR115" s="1154">
        <f t="shared" si="28"/>
        <v>1735.6185000000005</v>
      </c>
      <c r="AU115" s="1">
        <f t="shared" si="19"/>
        <v>128.94999999999999</v>
      </c>
      <c r="AV115" s="240">
        <f t="shared" si="21"/>
        <v>-0.47992603213206153</v>
      </c>
      <c r="AW115">
        <v>2579</v>
      </c>
      <c r="BD115" s="726">
        <v>237</v>
      </c>
      <c r="BE115" s="13">
        <v>20</v>
      </c>
      <c r="BF115" s="1">
        <v>138.6</v>
      </c>
      <c r="BG115" s="1154">
        <v>2772</v>
      </c>
    </row>
    <row r="116" spans="1:59" x14ac:dyDescent="0.2">
      <c r="A116" s="1139" t="s">
        <v>8459</v>
      </c>
      <c r="B116" s="1140">
        <v>2148.89</v>
      </c>
      <c r="C116" s="1141">
        <v>100</v>
      </c>
      <c r="D116" s="1141">
        <v>20</v>
      </c>
      <c r="S116" s="1">
        <f t="shared" si="22"/>
        <v>159</v>
      </c>
      <c r="T116" s="1">
        <f t="shared" si="23"/>
        <v>2148.89</v>
      </c>
      <c r="U116" s="726">
        <v>159</v>
      </c>
      <c r="V116" s="1">
        <v>393</v>
      </c>
      <c r="W116" s="1">
        <f t="shared" si="20"/>
        <v>322.33350000000002</v>
      </c>
      <c r="Y116" s="240">
        <f t="shared" si="24"/>
        <v>0.21923411621814037</v>
      </c>
      <c r="AA116" s="1321">
        <v>175</v>
      </c>
      <c r="AB116" s="1322">
        <v>828.00000000000011</v>
      </c>
      <c r="AC116" s="1322">
        <v>913.77150000000017</v>
      </c>
      <c r="AD116" s="1323">
        <v>0</v>
      </c>
      <c r="AE116" s="1324">
        <v>-9.3865370062428122E-2</v>
      </c>
      <c r="AJ116" t="s">
        <v>4624</v>
      </c>
      <c r="AL116" s="726">
        <v>132</v>
      </c>
      <c r="AM116" s="1">
        <f t="shared" si="25"/>
        <v>90.187650000000005</v>
      </c>
      <c r="AN116" s="13">
        <v>20</v>
      </c>
      <c r="AO116" s="1">
        <f t="shared" si="26"/>
        <v>46.9</v>
      </c>
      <c r="AP116" s="1154">
        <f t="shared" si="27"/>
        <v>938</v>
      </c>
      <c r="AR116" s="1154">
        <f t="shared" si="28"/>
        <v>1803.7530000000002</v>
      </c>
      <c r="AU116" s="1">
        <f t="shared" si="19"/>
        <v>134</v>
      </c>
      <c r="AV116" s="240">
        <f t="shared" si="21"/>
        <v>-0.47997314488181031</v>
      </c>
      <c r="AW116">
        <v>2680</v>
      </c>
      <c r="BD116" s="726">
        <v>238</v>
      </c>
      <c r="BE116" s="13">
        <v>20</v>
      </c>
      <c r="BF116" s="1">
        <v>144.89999999999998</v>
      </c>
      <c r="BG116" s="1154">
        <v>2897.9999999999995</v>
      </c>
    </row>
    <row r="117" spans="1:59" x14ac:dyDescent="0.2">
      <c r="A117" s="1139" t="s">
        <v>8460</v>
      </c>
      <c r="B117" s="1140">
        <v>2644.49</v>
      </c>
      <c r="C117" s="1141">
        <v>70</v>
      </c>
      <c r="D117" s="1141">
        <v>20</v>
      </c>
      <c r="S117" s="1">
        <f t="shared" si="22"/>
        <v>160</v>
      </c>
      <c r="T117" s="1">
        <f t="shared" si="23"/>
        <v>2644.49</v>
      </c>
      <c r="U117" s="726">
        <v>160</v>
      </c>
      <c r="V117" s="1">
        <v>387</v>
      </c>
      <c r="W117" s="1">
        <f t="shared" si="20"/>
        <v>396.67350000000005</v>
      </c>
      <c r="Y117" s="240">
        <f t="shared" si="24"/>
        <v>-2.4386554685402628E-2</v>
      </c>
      <c r="AA117" s="1321">
        <v>201</v>
      </c>
      <c r="AB117" s="1322">
        <v>28.5</v>
      </c>
      <c r="AC117" s="1322">
        <v>22.467000000000002</v>
      </c>
      <c r="AD117" s="1323">
        <v>0</v>
      </c>
      <c r="AE117" s="1324">
        <v>0.26852717318734132</v>
      </c>
      <c r="AJ117" t="s">
        <v>4624</v>
      </c>
      <c r="AL117" s="726">
        <v>133</v>
      </c>
      <c r="AM117" s="1">
        <f t="shared" si="25"/>
        <v>91.53900000000003</v>
      </c>
      <c r="AN117" s="13">
        <v>20</v>
      </c>
      <c r="AO117" s="1">
        <f t="shared" si="26"/>
        <v>47.599999999999994</v>
      </c>
      <c r="AP117" s="1154">
        <f t="shared" si="27"/>
        <v>951.99999999999989</v>
      </c>
      <c r="AR117" s="1154">
        <f t="shared" si="28"/>
        <v>1830.7800000000007</v>
      </c>
      <c r="AU117" s="1">
        <f t="shared" si="19"/>
        <v>136</v>
      </c>
      <c r="AV117" s="240">
        <f t="shared" si="21"/>
        <v>-0.48000305880553662</v>
      </c>
      <c r="AW117">
        <v>2720</v>
      </c>
      <c r="BD117" s="726">
        <v>239</v>
      </c>
      <c r="BE117" s="13">
        <v>20</v>
      </c>
      <c r="BF117" s="1">
        <v>150.85</v>
      </c>
      <c r="BG117" s="1154">
        <v>3017</v>
      </c>
    </row>
    <row r="118" spans="1:59" x14ac:dyDescent="0.2">
      <c r="A118" s="1139" t="s">
        <v>8461</v>
      </c>
      <c r="B118" s="1140">
        <v>2862.08</v>
      </c>
      <c r="C118" s="1141">
        <v>70</v>
      </c>
      <c r="D118" s="1141">
        <v>10</v>
      </c>
      <c r="S118" s="1">
        <f t="shared" si="22"/>
        <v>161</v>
      </c>
      <c r="T118" s="1">
        <f t="shared" si="23"/>
        <v>2862.08</v>
      </c>
      <c r="U118" s="726">
        <v>161</v>
      </c>
      <c r="V118" s="1">
        <v>489</v>
      </c>
      <c r="W118" s="1">
        <f t="shared" si="20"/>
        <v>429.31200000000007</v>
      </c>
      <c r="Y118" s="240">
        <f t="shared" si="24"/>
        <v>0.13903175313059024</v>
      </c>
      <c r="AA118" s="1321">
        <v>202</v>
      </c>
      <c r="AB118" s="1322">
        <v>31.500000000000004</v>
      </c>
      <c r="AC118" s="1322">
        <v>24.595500000000005</v>
      </c>
      <c r="AD118" s="1323">
        <v>0</v>
      </c>
      <c r="AE118" s="1324">
        <v>0.28072208330792203</v>
      </c>
      <c r="AJ118" t="s">
        <v>4624</v>
      </c>
      <c r="AL118" s="726">
        <v>134</v>
      </c>
      <c r="AM118" s="1">
        <f t="shared" si="25"/>
        <v>94.744125000000011</v>
      </c>
      <c r="AN118" s="13">
        <v>20</v>
      </c>
      <c r="AO118" s="1">
        <f t="shared" si="26"/>
        <v>45.762499999999996</v>
      </c>
      <c r="AP118" s="1154">
        <f t="shared" si="27"/>
        <v>915.24999999999989</v>
      </c>
      <c r="AR118" s="1154">
        <f t="shared" si="28"/>
        <v>1894.8825000000002</v>
      </c>
      <c r="AU118" s="1">
        <f t="shared" si="19"/>
        <v>130.75</v>
      </c>
      <c r="AV118" s="240">
        <f t="shared" si="21"/>
        <v>-0.51698852039638354</v>
      </c>
      <c r="AW118">
        <v>2615</v>
      </c>
      <c r="BD118" s="726">
        <v>240</v>
      </c>
      <c r="BE118" s="13">
        <v>10</v>
      </c>
      <c r="BF118" s="1">
        <v>160.29999999999998</v>
      </c>
      <c r="BG118" s="1154">
        <v>1602.9999999999998</v>
      </c>
    </row>
    <row r="119" spans="1:59" x14ac:dyDescent="0.2">
      <c r="A119" s="1139" t="s">
        <v>8462</v>
      </c>
      <c r="B119" s="1140">
        <v>3084.49</v>
      </c>
      <c r="C119" s="1141">
        <v>70</v>
      </c>
      <c r="D119" s="1141">
        <v>10</v>
      </c>
      <c r="S119" s="1">
        <f t="shared" si="22"/>
        <v>162</v>
      </c>
      <c r="T119" s="1">
        <f t="shared" si="23"/>
        <v>3084.49</v>
      </c>
      <c r="U119" s="726">
        <v>162</v>
      </c>
      <c r="V119" s="1">
        <v>420.00000000000006</v>
      </c>
      <c r="W119" s="1">
        <f t="shared" si="20"/>
        <v>462.67350000000005</v>
      </c>
      <c r="Y119" s="240">
        <f t="shared" si="24"/>
        <v>-9.2232427402909378E-2</v>
      </c>
      <c r="AA119" s="1321">
        <v>203</v>
      </c>
      <c r="AB119" s="1322">
        <v>36</v>
      </c>
      <c r="AC119" s="1322">
        <v>27.573000000000004</v>
      </c>
      <c r="AD119" s="1323">
        <v>0</v>
      </c>
      <c r="AE119" s="1324">
        <v>0.30562506800130551</v>
      </c>
      <c r="AJ119" t="s">
        <v>4624</v>
      </c>
      <c r="AL119" s="726">
        <v>135</v>
      </c>
      <c r="AM119" s="1">
        <f t="shared" si="25"/>
        <v>99.906975000000017</v>
      </c>
      <c r="AN119" s="13">
        <v>20</v>
      </c>
      <c r="AO119" s="1">
        <f t="shared" si="26"/>
        <v>52.0625</v>
      </c>
      <c r="AP119" s="1154">
        <f t="shared" si="27"/>
        <v>1041.25</v>
      </c>
      <c r="AR119" s="1154">
        <f t="shared" si="28"/>
        <v>1998.1395000000002</v>
      </c>
      <c r="AU119" s="1">
        <f t="shared" si="19"/>
        <v>148.75</v>
      </c>
      <c r="AV119" s="240">
        <f t="shared" si="21"/>
        <v>-0.47889023764356797</v>
      </c>
      <c r="AW119">
        <v>2975</v>
      </c>
      <c r="BD119" s="726">
        <v>241</v>
      </c>
      <c r="BE119" s="13">
        <v>10</v>
      </c>
      <c r="BF119" s="1">
        <v>168</v>
      </c>
      <c r="BG119" s="1154">
        <v>1680</v>
      </c>
    </row>
    <row r="120" spans="1:59" x14ac:dyDescent="0.2">
      <c r="A120" s="1139" t="s">
        <v>8463</v>
      </c>
      <c r="B120" s="1140">
        <v>3247.65</v>
      </c>
      <c r="C120" s="1141">
        <v>70</v>
      </c>
      <c r="D120" s="1141">
        <v>10</v>
      </c>
      <c r="S120" s="1">
        <f t="shared" si="22"/>
        <v>163</v>
      </c>
      <c r="T120" s="1">
        <f t="shared" si="23"/>
        <v>3247.65</v>
      </c>
      <c r="U120" s="726">
        <v>163</v>
      </c>
      <c r="V120" s="1">
        <v>523.5</v>
      </c>
      <c r="W120" s="1">
        <f t="shared" si="20"/>
        <v>487.14750000000009</v>
      </c>
      <c r="Y120" s="240">
        <f t="shared" si="24"/>
        <v>7.4623189075177176E-2</v>
      </c>
      <c r="AA120" s="1321">
        <v>204</v>
      </c>
      <c r="AB120" s="1322">
        <v>34.5</v>
      </c>
      <c r="AC120" s="1322">
        <v>28.726500000000001</v>
      </c>
      <c r="AD120" s="1323">
        <v>0</v>
      </c>
      <c r="AE120" s="1324">
        <v>0.20098167197535366</v>
      </c>
      <c r="AJ120" t="s">
        <v>4624</v>
      </c>
      <c r="AL120" s="726">
        <v>136</v>
      </c>
      <c r="AM120" s="1">
        <f t="shared" si="25"/>
        <v>111.61080000000001</v>
      </c>
      <c r="AN120" s="13">
        <v>20</v>
      </c>
      <c r="AO120" s="1">
        <f t="shared" si="26"/>
        <v>58.047499999999992</v>
      </c>
      <c r="AP120" s="1154">
        <f t="shared" si="27"/>
        <v>1160.9499999999998</v>
      </c>
      <c r="AR120" s="1154">
        <f t="shared" si="28"/>
        <v>2232.2160000000003</v>
      </c>
      <c r="AU120" s="1">
        <f t="shared" si="19"/>
        <v>165.85</v>
      </c>
      <c r="AV120" s="240">
        <f t="shared" si="21"/>
        <v>-0.47991144226186011</v>
      </c>
      <c r="AW120">
        <v>3317</v>
      </c>
      <c r="BD120" s="726">
        <v>242</v>
      </c>
      <c r="BE120" s="13">
        <v>10</v>
      </c>
      <c r="BF120" s="1">
        <v>179.89999999999998</v>
      </c>
      <c r="BG120" s="1154">
        <v>1798.9999999999998</v>
      </c>
    </row>
    <row r="121" spans="1:59" x14ac:dyDescent="0.2">
      <c r="A121" s="1139" t="s">
        <v>8464</v>
      </c>
      <c r="B121" s="1140">
        <v>3280.43</v>
      </c>
      <c r="C121" s="1141">
        <v>70</v>
      </c>
      <c r="D121" s="1141">
        <v>10</v>
      </c>
      <c r="S121" s="1">
        <f t="shared" si="22"/>
        <v>164</v>
      </c>
      <c r="T121" s="1">
        <f t="shared" si="23"/>
        <v>3280.43</v>
      </c>
      <c r="U121" s="726">
        <v>164</v>
      </c>
      <c r="V121" s="1">
        <v>520.5</v>
      </c>
      <c r="W121" s="1">
        <f t="shared" si="20"/>
        <v>492.06450000000007</v>
      </c>
      <c r="Y121" s="240">
        <f t="shared" si="24"/>
        <v>5.7788155821035581E-2</v>
      </c>
      <c r="AA121" s="1321">
        <v>205</v>
      </c>
      <c r="AB121" s="1322">
        <v>33</v>
      </c>
      <c r="AC121" s="1322">
        <v>30.897000000000002</v>
      </c>
      <c r="AD121" s="1323">
        <v>0</v>
      </c>
      <c r="AE121" s="1324">
        <v>6.8064860666084082E-2</v>
      </c>
      <c r="AJ121" t="s">
        <v>21564</v>
      </c>
      <c r="AL121" s="726">
        <v>255</v>
      </c>
      <c r="AM121" s="1">
        <f t="shared" si="25"/>
        <v>555.86632500000007</v>
      </c>
      <c r="AN121" s="13">
        <v>5</v>
      </c>
      <c r="AO121" s="1">
        <f t="shared" ref="AO121:AO139" si="29">+AU121*(1-$AT$4)</f>
        <v>289.09999999999997</v>
      </c>
      <c r="AP121" s="1154">
        <f t="shared" ref="AP121:AP139" si="30">+AO121*AN121</f>
        <v>1445.4999999999998</v>
      </c>
      <c r="AR121" s="1154">
        <f t="shared" ref="AR121:AR139" si="31">+AM121*AN121</f>
        <v>2779.3316250000003</v>
      </c>
      <c r="AU121" s="1">
        <f t="shared" si="19"/>
        <v>826</v>
      </c>
      <c r="AV121" s="240">
        <f t="shared" si="21"/>
        <v>-0.47991093002440843</v>
      </c>
      <c r="AW121">
        <v>4130</v>
      </c>
      <c r="BD121" s="726">
        <v>255</v>
      </c>
      <c r="BE121" s="13">
        <v>5</v>
      </c>
      <c r="BF121" s="1">
        <v>289.09999999999997</v>
      </c>
      <c r="BG121" s="1154">
        <v>1445.4999999999998</v>
      </c>
    </row>
    <row r="122" spans="1:59" x14ac:dyDescent="0.2">
      <c r="A122" s="1139" t="s">
        <v>8465</v>
      </c>
      <c r="B122" s="1140">
        <v>3498.18</v>
      </c>
      <c r="C122" s="1141">
        <v>70</v>
      </c>
      <c r="D122" s="1141">
        <v>10</v>
      </c>
      <c r="S122" s="1">
        <f t="shared" si="22"/>
        <v>165</v>
      </c>
      <c r="T122" s="1">
        <f t="shared" si="23"/>
        <v>3498.18</v>
      </c>
      <c r="U122" s="726">
        <v>165</v>
      </c>
      <c r="V122" s="1">
        <v>549</v>
      </c>
      <c r="W122" s="1">
        <f t="shared" si="20"/>
        <v>524.72700000000009</v>
      </c>
      <c r="Y122" s="240">
        <f t="shared" si="24"/>
        <v>4.6258340051112068E-2</v>
      </c>
      <c r="AA122" s="1321">
        <v>206</v>
      </c>
      <c r="AB122" s="1322">
        <v>40.5</v>
      </c>
      <c r="AC122" s="1322">
        <v>33.759000000000007</v>
      </c>
      <c r="AD122" s="1323">
        <v>0</v>
      </c>
      <c r="AE122" s="1324">
        <v>0.19968008531058357</v>
      </c>
      <c r="AJ122" t="s">
        <v>21564</v>
      </c>
      <c r="AL122" s="726">
        <v>257</v>
      </c>
      <c r="AM122" s="1">
        <f t="shared" si="25"/>
        <v>573.18345000000011</v>
      </c>
      <c r="AN122" s="13">
        <v>5</v>
      </c>
      <c r="AO122" s="1">
        <f t="shared" si="29"/>
        <v>296.09999999999997</v>
      </c>
      <c r="AP122" s="1154">
        <f t="shared" si="30"/>
        <v>1480.4999999999998</v>
      </c>
      <c r="AR122" s="1154">
        <f t="shared" si="31"/>
        <v>2865.9172500000004</v>
      </c>
      <c r="AU122" s="1">
        <f t="shared" si="19"/>
        <v>846</v>
      </c>
      <c r="AV122" s="240">
        <f t="shared" si="21"/>
        <v>-0.48341146276990388</v>
      </c>
      <c r="AW122">
        <v>4230</v>
      </c>
      <c r="BD122" s="726">
        <v>257</v>
      </c>
      <c r="BE122" s="13">
        <v>5</v>
      </c>
      <c r="BF122" s="1">
        <v>296.09999999999997</v>
      </c>
      <c r="BG122" s="1154">
        <v>1480.4999999999998</v>
      </c>
    </row>
    <row r="123" spans="1:59" x14ac:dyDescent="0.2">
      <c r="A123" s="1139" t="s">
        <v>8466</v>
      </c>
      <c r="B123" s="1140">
        <v>3567.05</v>
      </c>
      <c r="C123" s="1141">
        <v>70</v>
      </c>
      <c r="D123" s="1141">
        <v>10</v>
      </c>
      <c r="S123" s="1">
        <f t="shared" si="22"/>
        <v>166</v>
      </c>
      <c r="T123" s="1">
        <f t="shared" si="23"/>
        <v>3567.05</v>
      </c>
      <c r="U123" s="726">
        <v>166</v>
      </c>
      <c r="V123" s="1">
        <v>457.5</v>
      </c>
      <c r="W123" s="1">
        <f t="shared" si="20"/>
        <v>535.05750000000012</v>
      </c>
      <c r="Y123" s="240">
        <f t="shared" si="24"/>
        <v>-0.14495171079743785</v>
      </c>
      <c r="AA123" s="1321">
        <v>207</v>
      </c>
      <c r="AB123" s="1322">
        <v>43.5</v>
      </c>
      <c r="AC123" s="1322">
        <v>37.791000000000004</v>
      </c>
      <c r="AD123" s="1323">
        <v>0</v>
      </c>
      <c r="AE123" s="1324">
        <v>0.15106771453520662</v>
      </c>
      <c r="AJ123" t="s">
        <v>21564</v>
      </c>
      <c r="AL123" s="726">
        <v>258</v>
      </c>
      <c r="AM123" s="1">
        <f t="shared" si="25"/>
        <v>582.67912500000011</v>
      </c>
      <c r="AN123" s="13">
        <v>5</v>
      </c>
      <c r="AO123" s="1">
        <f t="shared" si="29"/>
        <v>326.06</v>
      </c>
      <c r="AP123" s="1154">
        <f t="shared" si="30"/>
        <v>1630.3</v>
      </c>
      <c r="AR123" s="1154">
        <f t="shared" si="31"/>
        <v>2913.3956250000006</v>
      </c>
      <c r="AU123" s="1">
        <f t="shared" si="19"/>
        <v>931.6</v>
      </c>
      <c r="AV123" s="240">
        <f t="shared" si="21"/>
        <v>-0.44041242253186963</v>
      </c>
      <c r="AW123">
        <v>4658</v>
      </c>
      <c r="BD123" s="726">
        <v>258</v>
      </c>
      <c r="BE123" s="13">
        <v>5</v>
      </c>
      <c r="BF123" s="1">
        <v>326.06</v>
      </c>
      <c r="BG123" s="1154">
        <v>1630.3</v>
      </c>
    </row>
    <row r="124" spans="1:59" x14ac:dyDescent="0.2">
      <c r="A124" s="1139" t="s">
        <v>8467</v>
      </c>
      <c r="B124" s="1140">
        <v>4061.21</v>
      </c>
      <c r="C124" s="1141">
        <v>40</v>
      </c>
      <c r="D124" s="1141">
        <v>10</v>
      </c>
      <c r="S124" s="1">
        <f t="shared" si="22"/>
        <v>167</v>
      </c>
      <c r="T124" s="1">
        <f t="shared" si="23"/>
        <v>4061.21</v>
      </c>
      <c r="U124" s="726">
        <v>167</v>
      </c>
      <c r="V124" s="1">
        <v>646.5</v>
      </c>
      <c r="W124" s="1">
        <f t="shared" si="20"/>
        <v>609.18150000000014</v>
      </c>
      <c r="Y124" s="240">
        <f t="shared" si="24"/>
        <v>6.1260067812302088E-2</v>
      </c>
      <c r="AA124" s="1321">
        <v>208</v>
      </c>
      <c r="AB124" s="1322">
        <v>49.5</v>
      </c>
      <c r="AC124" s="1322">
        <v>40.93950000000001</v>
      </c>
      <c r="AD124" s="1323">
        <v>0</v>
      </c>
      <c r="AE124" s="1324">
        <v>0.20910123474883635</v>
      </c>
      <c r="AJ124" t="s">
        <v>21564</v>
      </c>
      <c r="AL124" s="726">
        <v>259</v>
      </c>
      <c r="AM124" s="1">
        <f t="shared" si="25"/>
        <v>630.6268500000001</v>
      </c>
      <c r="AN124" s="13">
        <v>5</v>
      </c>
      <c r="AO124" s="1">
        <f t="shared" si="29"/>
        <v>327.95</v>
      </c>
      <c r="AP124" s="1154">
        <f t="shared" si="30"/>
        <v>1639.75</v>
      </c>
      <c r="AR124" s="1154">
        <f t="shared" si="31"/>
        <v>3153.1342500000005</v>
      </c>
      <c r="AU124" s="1">
        <f t="shared" si="19"/>
        <v>937</v>
      </c>
      <c r="AV124" s="240">
        <f t="shared" si="21"/>
        <v>-0.47996188237148496</v>
      </c>
      <c r="AW124">
        <v>4685</v>
      </c>
      <c r="BD124" s="726">
        <v>259</v>
      </c>
      <c r="BE124" s="13">
        <v>5</v>
      </c>
      <c r="BF124" s="1">
        <v>327.95</v>
      </c>
      <c r="BG124" s="1154">
        <v>1639.75</v>
      </c>
    </row>
    <row r="125" spans="1:59" x14ac:dyDescent="0.2">
      <c r="A125" s="1139" t="s">
        <v>8468</v>
      </c>
      <c r="B125" s="1140">
        <v>4206.17</v>
      </c>
      <c r="C125" s="1141">
        <v>40</v>
      </c>
      <c r="D125" s="1141">
        <v>10</v>
      </c>
      <c r="S125" s="1">
        <f t="shared" si="22"/>
        <v>168</v>
      </c>
      <c r="T125" s="1">
        <f t="shared" si="23"/>
        <v>4206.17</v>
      </c>
      <c r="U125" s="726">
        <v>168</v>
      </c>
      <c r="V125" s="1">
        <v>646.5</v>
      </c>
      <c r="W125" s="1">
        <f t="shared" si="20"/>
        <v>630.92550000000006</v>
      </c>
      <c r="Y125" s="240">
        <f t="shared" si="24"/>
        <v>2.4685164888722966E-2</v>
      </c>
      <c r="AA125" s="1321">
        <v>209</v>
      </c>
      <c r="AB125" s="1322">
        <v>51.000000000000007</v>
      </c>
      <c r="AC125" s="1322">
        <v>45.453000000000003</v>
      </c>
      <c r="AD125" s="1323">
        <v>0</v>
      </c>
      <c r="AE125" s="1324">
        <v>0.12203814929707613</v>
      </c>
      <c r="AJ125" t="s">
        <v>21564</v>
      </c>
      <c r="AL125" s="726">
        <v>260</v>
      </c>
      <c r="AM125" s="1">
        <f t="shared" si="25"/>
        <v>678.69112500000006</v>
      </c>
      <c r="AN125" s="13">
        <v>5</v>
      </c>
      <c r="AO125" s="1">
        <f t="shared" si="29"/>
        <v>352.79999999999995</v>
      </c>
      <c r="AP125" s="1154">
        <f t="shared" si="30"/>
        <v>1763.9999999999998</v>
      </c>
      <c r="AR125" s="1154">
        <f t="shared" si="31"/>
        <v>3393.4556250000005</v>
      </c>
      <c r="AU125" s="1">
        <f t="shared" si="19"/>
        <v>1008</v>
      </c>
      <c r="AV125" s="240">
        <f t="shared" si="21"/>
        <v>-0.48017590476079985</v>
      </c>
      <c r="AW125">
        <v>5040</v>
      </c>
      <c r="BD125" s="726">
        <v>260</v>
      </c>
      <c r="BE125" s="13">
        <v>5</v>
      </c>
      <c r="BF125" s="1">
        <v>352.79999999999995</v>
      </c>
      <c r="BG125" s="1154">
        <v>1763.9999999999998</v>
      </c>
    </row>
    <row r="126" spans="1:59" x14ac:dyDescent="0.2">
      <c r="A126" s="1139" t="s">
        <v>8469</v>
      </c>
      <c r="B126" s="1140">
        <v>5076.51</v>
      </c>
      <c r="C126" s="1141">
        <v>40</v>
      </c>
      <c r="D126" s="1141">
        <v>10</v>
      </c>
      <c r="S126" s="1">
        <f t="shared" si="22"/>
        <v>169</v>
      </c>
      <c r="T126" s="1">
        <f t="shared" si="23"/>
        <v>5076.51</v>
      </c>
      <c r="U126" s="726">
        <v>169</v>
      </c>
      <c r="V126" s="1" t="s">
        <v>8353</v>
      </c>
      <c r="W126" s="1">
        <f t="shared" si="20"/>
        <v>761.4765000000001</v>
      </c>
      <c r="Y126" s="240" t="str">
        <f t="shared" si="24"/>
        <v/>
      </c>
      <c r="AA126" s="1321">
        <v>210</v>
      </c>
      <c r="AB126" s="1322">
        <v>52.500000000000007</v>
      </c>
      <c r="AC126" s="1322">
        <v>46.834500000000013</v>
      </c>
      <c r="AD126" s="1323">
        <v>0</v>
      </c>
      <c r="AE126" s="1324">
        <v>0.12096851679851373</v>
      </c>
      <c r="AJ126" t="s">
        <v>21564</v>
      </c>
      <c r="AL126" s="726">
        <v>261</v>
      </c>
      <c r="AM126" s="1">
        <f t="shared" si="25"/>
        <v>706.16857500000015</v>
      </c>
      <c r="AN126" s="13">
        <v>5</v>
      </c>
      <c r="AO126" s="1">
        <f t="shared" si="29"/>
        <v>367.15</v>
      </c>
      <c r="AP126" s="1154">
        <f t="shared" si="30"/>
        <v>1835.75</v>
      </c>
      <c r="AR126" s="1154">
        <f t="shared" si="31"/>
        <v>3530.8428750000007</v>
      </c>
      <c r="AU126" s="1">
        <f t="shared" si="19"/>
        <v>1049</v>
      </c>
      <c r="AV126" s="240">
        <f t="shared" si="21"/>
        <v>-0.48008165047559659</v>
      </c>
      <c r="AW126">
        <v>5245</v>
      </c>
      <c r="BD126" s="726">
        <v>261</v>
      </c>
      <c r="BE126" s="13">
        <v>5</v>
      </c>
      <c r="BF126" s="1">
        <v>367.15</v>
      </c>
      <c r="BG126" s="1154">
        <v>1835.75</v>
      </c>
    </row>
    <row r="127" spans="1:59" x14ac:dyDescent="0.2">
      <c r="A127" s="1139" t="s">
        <v>8470</v>
      </c>
      <c r="B127" s="1140">
        <v>5269.7</v>
      </c>
      <c r="C127" s="1141">
        <v>40</v>
      </c>
      <c r="D127" s="1141">
        <v>10</v>
      </c>
      <c r="S127" s="1">
        <f t="shared" si="22"/>
        <v>170</v>
      </c>
      <c r="T127" s="1">
        <f t="shared" si="23"/>
        <v>5269.7</v>
      </c>
      <c r="U127" s="726">
        <v>170</v>
      </c>
      <c r="V127" s="1" t="s">
        <v>8353</v>
      </c>
      <c r="W127" s="1">
        <f t="shared" si="20"/>
        <v>790.45500000000004</v>
      </c>
      <c r="Y127" s="240" t="str">
        <f t="shared" si="24"/>
        <v/>
      </c>
      <c r="AA127" s="1321">
        <v>211</v>
      </c>
      <c r="AB127" s="1322">
        <v>66</v>
      </c>
      <c r="AC127" s="1322">
        <v>49.58100000000001</v>
      </c>
      <c r="AD127" s="1323">
        <v>0</v>
      </c>
      <c r="AE127" s="1324">
        <v>0.33115507956676926</v>
      </c>
      <c r="AJ127" t="s">
        <v>21564</v>
      </c>
      <c r="AL127" s="726">
        <v>262</v>
      </c>
      <c r="AM127" s="1">
        <f t="shared" si="25"/>
        <v>729.62662500000022</v>
      </c>
      <c r="AN127" s="13">
        <v>5</v>
      </c>
      <c r="AO127" s="1">
        <f t="shared" si="29"/>
        <v>379.4</v>
      </c>
      <c r="AP127" s="1154">
        <f t="shared" si="30"/>
        <v>1897</v>
      </c>
      <c r="AR127" s="1154">
        <f t="shared" si="31"/>
        <v>3648.1331250000012</v>
      </c>
      <c r="AU127" s="1">
        <f t="shared" si="19"/>
        <v>1084</v>
      </c>
      <c r="AV127" s="240">
        <f t="shared" si="21"/>
        <v>-0.48000801094669499</v>
      </c>
      <c r="AW127">
        <v>5420</v>
      </c>
      <c r="BD127" s="726">
        <v>262</v>
      </c>
      <c r="BE127" s="13">
        <v>5</v>
      </c>
      <c r="BF127" s="1">
        <v>379.4</v>
      </c>
      <c r="BG127" s="1154">
        <v>1897</v>
      </c>
    </row>
    <row r="128" spans="1:59" x14ac:dyDescent="0.2">
      <c r="A128" s="1139" t="s">
        <v>8471</v>
      </c>
      <c r="B128" s="1140">
        <v>5366.43</v>
      </c>
      <c r="C128" s="1141">
        <v>40</v>
      </c>
      <c r="D128" s="1141">
        <v>10</v>
      </c>
      <c r="S128" s="1">
        <f t="shared" si="22"/>
        <v>171</v>
      </c>
      <c r="T128" s="1">
        <f t="shared" si="23"/>
        <v>5366.43</v>
      </c>
      <c r="U128" s="726">
        <v>171</v>
      </c>
      <c r="V128" s="1" t="s">
        <v>8353</v>
      </c>
      <c r="W128" s="1">
        <f t="shared" si="20"/>
        <v>804.96450000000016</v>
      </c>
      <c r="Y128" s="240" t="str">
        <f t="shared" si="24"/>
        <v/>
      </c>
      <c r="AA128" s="1321">
        <v>212</v>
      </c>
      <c r="AB128" s="1322">
        <v>67.5</v>
      </c>
      <c r="AC128" s="1322">
        <v>52.729500000000002</v>
      </c>
      <c r="AD128" s="1323">
        <v>0</v>
      </c>
      <c r="AE128" s="1324">
        <v>0.28011833982874856</v>
      </c>
      <c r="AJ128" t="s">
        <v>21564</v>
      </c>
      <c r="AL128" s="726">
        <v>263</v>
      </c>
      <c r="AM128" s="1">
        <f t="shared" si="25"/>
        <v>753.26265000000012</v>
      </c>
      <c r="AN128" s="13">
        <v>5</v>
      </c>
      <c r="AO128" s="1">
        <f t="shared" si="29"/>
        <v>391.65</v>
      </c>
      <c r="AP128" s="1154">
        <f t="shared" si="30"/>
        <v>1958.25</v>
      </c>
      <c r="AR128" s="1154">
        <f t="shared" si="31"/>
        <v>3766.3132500000006</v>
      </c>
      <c r="AU128" s="1">
        <f t="shared" si="19"/>
        <v>1119</v>
      </c>
      <c r="AV128" s="240">
        <f t="shared" si="21"/>
        <v>-0.48006183500535982</v>
      </c>
      <c r="AW128">
        <v>5595</v>
      </c>
      <c r="BD128" s="726">
        <v>263</v>
      </c>
      <c r="BE128" s="13">
        <v>5</v>
      </c>
      <c r="BF128" s="1">
        <v>391.65</v>
      </c>
      <c r="BG128" s="1154">
        <v>1958.25</v>
      </c>
    </row>
    <row r="129" spans="1:59" x14ac:dyDescent="0.2">
      <c r="A129" s="1139" t="s">
        <v>8472</v>
      </c>
      <c r="B129" s="1140">
        <v>5414.95</v>
      </c>
      <c r="C129" s="1141">
        <v>40</v>
      </c>
      <c r="D129" s="1141">
        <v>10</v>
      </c>
      <c r="S129" s="1">
        <f t="shared" si="22"/>
        <v>172</v>
      </c>
      <c r="T129" s="1">
        <f t="shared" si="23"/>
        <v>5414.95</v>
      </c>
      <c r="U129" s="726">
        <v>172</v>
      </c>
      <c r="V129" s="1" t="s">
        <v>8353</v>
      </c>
      <c r="W129" s="1">
        <f t="shared" si="20"/>
        <v>812.24250000000006</v>
      </c>
      <c r="Y129" s="240" t="str">
        <f t="shared" si="24"/>
        <v/>
      </c>
      <c r="AA129" s="1321">
        <v>213</v>
      </c>
      <c r="AB129" s="1322">
        <v>103.50000000000001</v>
      </c>
      <c r="AC129" s="1322">
        <v>56.87700000000001</v>
      </c>
      <c r="AD129" s="1323">
        <v>0</v>
      </c>
      <c r="AE129" s="1324">
        <v>0.81971622975895353</v>
      </c>
      <c r="AJ129" t="s">
        <v>21564</v>
      </c>
      <c r="AL129" s="726">
        <v>264</v>
      </c>
      <c r="AM129" s="1">
        <f t="shared" si="25"/>
        <v>776.76480000000026</v>
      </c>
      <c r="AN129" s="13">
        <v>5</v>
      </c>
      <c r="AO129" s="1">
        <f t="shared" si="29"/>
        <v>403.9</v>
      </c>
      <c r="AP129" s="1154">
        <f t="shared" si="30"/>
        <v>2019.5</v>
      </c>
      <c r="AR129" s="1154">
        <f t="shared" si="31"/>
        <v>3883.8240000000014</v>
      </c>
      <c r="AU129" s="1">
        <f t="shared" si="19"/>
        <v>1154</v>
      </c>
      <c r="AV129" s="240">
        <f t="shared" si="21"/>
        <v>-0.48002278167084833</v>
      </c>
      <c r="AW129">
        <v>5770</v>
      </c>
      <c r="BD129" s="726">
        <v>264</v>
      </c>
      <c r="BE129" s="13">
        <v>5</v>
      </c>
      <c r="BF129" s="1">
        <v>403.9</v>
      </c>
      <c r="BG129" s="1154">
        <v>2019.5</v>
      </c>
    </row>
    <row r="130" spans="1:59" x14ac:dyDescent="0.2">
      <c r="A130" s="1139" t="s">
        <v>8473</v>
      </c>
      <c r="B130" s="1140">
        <v>5463.17</v>
      </c>
      <c r="C130" s="1141">
        <v>40</v>
      </c>
      <c r="D130" s="1141">
        <v>10</v>
      </c>
      <c r="S130" s="1">
        <f t="shared" si="22"/>
        <v>173</v>
      </c>
      <c r="T130" s="1">
        <f t="shared" si="23"/>
        <v>5463.17</v>
      </c>
      <c r="U130" s="726">
        <v>173</v>
      </c>
      <c r="V130" s="1" t="s">
        <v>8353</v>
      </c>
      <c r="W130" s="1">
        <f t="shared" si="20"/>
        <v>819.47550000000012</v>
      </c>
      <c r="Y130" s="240" t="str">
        <f t="shared" si="24"/>
        <v/>
      </c>
      <c r="AA130" s="1321">
        <v>214</v>
      </c>
      <c r="AB130" s="1322">
        <v>78</v>
      </c>
      <c r="AC130" s="1322">
        <v>59.239500000000007</v>
      </c>
      <c r="AD130" s="1323">
        <v>0</v>
      </c>
      <c r="AE130" s="1324">
        <v>0.31668903349960731</v>
      </c>
      <c r="AJ130" t="s">
        <v>21564</v>
      </c>
      <c r="AL130" s="726">
        <v>265</v>
      </c>
      <c r="AM130" s="1">
        <f t="shared" si="25"/>
        <v>974.69662500000027</v>
      </c>
      <c r="AN130" s="13">
        <v>5</v>
      </c>
      <c r="AO130" s="1">
        <f t="shared" si="29"/>
        <v>400.4</v>
      </c>
      <c r="AP130" s="1154">
        <f t="shared" si="30"/>
        <v>2002</v>
      </c>
      <c r="AR130" s="1154">
        <f t="shared" si="31"/>
        <v>4873.4831250000016</v>
      </c>
      <c r="AU130" s="1">
        <f t="shared" si="19"/>
        <v>1144</v>
      </c>
      <c r="AV130" s="240">
        <f t="shared" si="21"/>
        <v>-0.5892055130487398</v>
      </c>
      <c r="AW130">
        <v>5720</v>
      </c>
      <c r="BD130" s="726">
        <v>265</v>
      </c>
      <c r="BE130" s="13">
        <v>5</v>
      </c>
      <c r="BF130" s="1">
        <v>400.4</v>
      </c>
      <c r="BG130" s="1154">
        <v>2002</v>
      </c>
    </row>
    <row r="131" spans="1:59" x14ac:dyDescent="0.2">
      <c r="A131" s="1139" t="s">
        <v>8474</v>
      </c>
      <c r="B131" s="1140">
        <v>5753.38</v>
      </c>
      <c r="C131" s="1141">
        <v>25</v>
      </c>
      <c r="D131" s="1141">
        <v>10</v>
      </c>
      <c r="S131" s="1">
        <f t="shared" si="22"/>
        <v>174</v>
      </c>
      <c r="T131" s="1">
        <f t="shared" si="23"/>
        <v>5753.38</v>
      </c>
      <c r="U131" s="726">
        <v>174</v>
      </c>
      <c r="V131" s="1" t="s">
        <v>8353</v>
      </c>
      <c r="W131" s="1">
        <f t="shared" si="20"/>
        <v>863.00700000000018</v>
      </c>
      <c r="Y131" s="240" t="str">
        <f t="shared" si="24"/>
        <v/>
      </c>
      <c r="AA131" s="1321">
        <v>215</v>
      </c>
      <c r="AB131" s="1322">
        <v>87</v>
      </c>
      <c r="AC131" s="1322">
        <v>63.060000000000009</v>
      </c>
      <c r="AD131" s="1323">
        <v>0</v>
      </c>
      <c r="AE131" s="1324">
        <v>0.3796384395813508</v>
      </c>
      <c r="AJ131" t="s">
        <v>21564</v>
      </c>
      <c r="AL131" s="726">
        <v>266</v>
      </c>
      <c r="AM131" s="1">
        <f t="shared" si="25"/>
        <v>1001.3251500000002</v>
      </c>
      <c r="AN131" s="13">
        <v>2</v>
      </c>
      <c r="AO131" s="1">
        <f t="shared" si="29"/>
        <v>508.2</v>
      </c>
      <c r="AP131" s="1154">
        <f t="shared" si="30"/>
        <v>1016.4</v>
      </c>
      <c r="AR131" s="1154">
        <f t="shared" si="31"/>
        <v>2002.6503000000005</v>
      </c>
      <c r="AU131" s="1">
        <f t="shared" si="19"/>
        <v>1452</v>
      </c>
      <c r="AV131" s="240">
        <f t="shared" si="21"/>
        <v>-0.49247255000036716</v>
      </c>
      <c r="AW131">
        <v>2904</v>
      </c>
      <c r="BD131" s="726">
        <v>266</v>
      </c>
      <c r="BE131" s="13">
        <v>2</v>
      </c>
      <c r="BF131" s="1">
        <v>508.2</v>
      </c>
      <c r="BG131" s="1154">
        <v>1016.4</v>
      </c>
    </row>
    <row r="132" spans="1:59" x14ac:dyDescent="0.2">
      <c r="A132" s="1139" t="s">
        <v>8475</v>
      </c>
      <c r="B132" s="1140">
        <v>6091.81</v>
      </c>
      <c r="C132" s="1141">
        <v>25</v>
      </c>
      <c r="D132" s="1141">
        <v>10</v>
      </c>
      <c r="S132" s="1">
        <f t="shared" si="22"/>
        <v>175</v>
      </c>
      <c r="T132" s="1">
        <f t="shared" si="23"/>
        <v>6091.81</v>
      </c>
      <c r="U132" s="726">
        <v>175</v>
      </c>
      <c r="V132" s="1">
        <v>828.00000000000011</v>
      </c>
      <c r="W132" s="1">
        <f t="shared" si="20"/>
        <v>913.77150000000017</v>
      </c>
      <c r="Y132" s="240">
        <f t="shared" si="24"/>
        <v>-9.3865370062428122E-2</v>
      </c>
      <c r="AA132" s="1321">
        <v>216</v>
      </c>
      <c r="AB132" s="1322">
        <v>85.5</v>
      </c>
      <c r="AC132" s="1322">
        <v>66.997500000000002</v>
      </c>
      <c r="AD132" s="1323">
        <v>0</v>
      </c>
      <c r="AE132" s="1324">
        <v>0.2761670211575058</v>
      </c>
      <c r="AJ132" t="s">
        <v>21564</v>
      </c>
      <c r="AL132" s="726">
        <v>267</v>
      </c>
      <c r="AM132" s="1">
        <f t="shared" si="25"/>
        <v>1012.7643750000003</v>
      </c>
      <c r="AN132" s="13">
        <v>2</v>
      </c>
      <c r="AO132" s="1">
        <f t="shared" si="29"/>
        <v>526.75</v>
      </c>
      <c r="AP132" s="1154">
        <f t="shared" si="30"/>
        <v>1053.5</v>
      </c>
      <c r="AR132" s="1154">
        <f t="shared" si="31"/>
        <v>2025.5287500000006</v>
      </c>
      <c r="AU132" s="1">
        <f t="shared" si="19"/>
        <v>1505</v>
      </c>
      <c r="AV132" s="240">
        <f t="shared" si="21"/>
        <v>-0.47988889320874872</v>
      </c>
      <c r="AW132">
        <v>3010</v>
      </c>
      <c r="BD132" s="726">
        <v>267</v>
      </c>
      <c r="BE132" s="13">
        <v>2</v>
      </c>
      <c r="BF132" s="1">
        <v>526.75</v>
      </c>
      <c r="BG132" s="1154">
        <v>1053.5</v>
      </c>
    </row>
    <row r="133" spans="1:59" x14ac:dyDescent="0.2">
      <c r="A133" s="1139" t="s">
        <v>8476</v>
      </c>
      <c r="B133" s="1140">
        <v>6285</v>
      </c>
      <c r="C133" s="1141">
        <v>25</v>
      </c>
      <c r="D133" s="1141">
        <v>10</v>
      </c>
      <c r="S133" s="1">
        <f t="shared" si="22"/>
        <v>176</v>
      </c>
      <c r="T133" s="1">
        <f t="shared" si="23"/>
        <v>6285</v>
      </c>
      <c r="U133" s="726">
        <v>176</v>
      </c>
      <c r="V133" s="1" t="s">
        <v>8353</v>
      </c>
      <c r="W133" s="1">
        <f t="shared" ref="W133:W196" si="32">+IF(U133="",0,VLOOKUP("*"&amp;U133,$A$5:$D$414,2,0))*(1-0.5)*(1-$K$3)</f>
        <v>942.75000000000011</v>
      </c>
      <c r="Y133" s="240" t="str">
        <f t="shared" si="24"/>
        <v/>
      </c>
      <c r="AA133" s="1321">
        <v>217</v>
      </c>
      <c r="AB133" s="1322">
        <v>81</v>
      </c>
      <c r="AC133" s="1322">
        <v>70.357500000000016</v>
      </c>
      <c r="AD133" s="1323">
        <v>0</v>
      </c>
      <c r="AE133" s="1324">
        <v>0.15126319155740298</v>
      </c>
      <c r="AJ133" t="s">
        <v>21564</v>
      </c>
      <c r="AL133" s="726">
        <v>268</v>
      </c>
      <c r="AM133" s="1">
        <f t="shared" si="25"/>
        <v>1043.1918000000001</v>
      </c>
      <c r="AN133" s="13">
        <v>2</v>
      </c>
      <c r="AO133" s="1">
        <f t="shared" si="29"/>
        <v>542.5</v>
      </c>
      <c r="AP133" s="1154">
        <f t="shared" si="30"/>
        <v>1085</v>
      </c>
      <c r="AR133" s="1154">
        <f t="shared" si="31"/>
        <v>2086.3836000000001</v>
      </c>
      <c r="AU133" s="1">
        <f t="shared" si="19"/>
        <v>1550</v>
      </c>
      <c r="AV133" s="240">
        <f t="shared" ref="AV133:AV145" si="33">IFERROR(AO133/AM133-1,"")</f>
        <v>-0.47996140307084467</v>
      </c>
      <c r="AW133">
        <v>3100</v>
      </c>
      <c r="BD133" s="726">
        <v>268</v>
      </c>
      <c r="BE133" s="13">
        <v>2</v>
      </c>
      <c r="BF133" s="1">
        <v>542.5</v>
      </c>
      <c r="BG133" s="1154">
        <v>1085</v>
      </c>
    </row>
    <row r="134" spans="1:59" x14ac:dyDescent="0.2">
      <c r="A134" s="1139" t="s">
        <v>8477</v>
      </c>
      <c r="B134" s="1140">
        <v>6381.74</v>
      </c>
      <c r="C134" s="1141">
        <v>25</v>
      </c>
      <c r="D134" s="1141">
        <v>10</v>
      </c>
      <c r="S134" s="1">
        <f t="shared" ref="S134:S197" si="34">+RIGHT(A134,3)+0</f>
        <v>177</v>
      </c>
      <c r="T134" s="1">
        <f t="shared" ref="T134:T197" si="35">+B134</f>
        <v>6381.74</v>
      </c>
      <c r="U134" s="726">
        <v>177</v>
      </c>
      <c r="V134" s="1" t="s">
        <v>8353</v>
      </c>
      <c r="W134" s="1">
        <f t="shared" si="32"/>
        <v>957.26100000000008</v>
      </c>
      <c r="Y134" s="240" t="str">
        <f t="shared" ref="Y134:Y197" si="36">IFERROR(V134/W134-1,"")</f>
        <v/>
      </c>
      <c r="AA134" s="1321">
        <v>218</v>
      </c>
      <c r="AB134" s="1322">
        <v>97.5</v>
      </c>
      <c r="AC134" s="1322">
        <v>74.295000000000016</v>
      </c>
      <c r="AD134" s="1323">
        <v>0</v>
      </c>
      <c r="AE134" s="1324">
        <v>0.31233595800524916</v>
      </c>
      <c r="AJ134" t="s">
        <v>21564</v>
      </c>
      <c r="AL134" s="726">
        <v>269</v>
      </c>
      <c r="AM134" s="1">
        <f t="shared" si="25"/>
        <v>1058.4267750000001</v>
      </c>
      <c r="AN134" s="13">
        <v>2</v>
      </c>
      <c r="AO134" s="1">
        <f t="shared" si="29"/>
        <v>550.19999999999993</v>
      </c>
      <c r="AP134" s="1154">
        <f t="shared" si="30"/>
        <v>1100.3999999999999</v>
      </c>
      <c r="AR134" s="1154">
        <f t="shared" si="31"/>
        <v>2116.8535500000003</v>
      </c>
      <c r="AU134" s="1">
        <f t="shared" si="19"/>
        <v>1572</v>
      </c>
      <c r="AV134" s="240">
        <f t="shared" si="33"/>
        <v>-0.48017188057246585</v>
      </c>
      <c r="AW134">
        <v>3144</v>
      </c>
      <c r="BD134" s="726">
        <v>269</v>
      </c>
      <c r="BE134" s="13">
        <v>2</v>
      </c>
      <c r="BF134" s="1">
        <v>550.19999999999993</v>
      </c>
      <c r="BG134" s="1154">
        <v>1100.3999999999999</v>
      </c>
    </row>
    <row r="135" spans="1:59" x14ac:dyDescent="0.2">
      <c r="A135" s="1139" t="s">
        <v>8478</v>
      </c>
      <c r="B135" s="1140">
        <v>6478.47</v>
      </c>
      <c r="C135" s="1141">
        <v>25</v>
      </c>
      <c r="D135" s="1141">
        <v>10</v>
      </c>
      <c r="S135" s="1">
        <f t="shared" si="34"/>
        <v>178</v>
      </c>
      <c r="T135" s="1">
        <f t="shared" si="35"/>
        <v>6478.47</v>
      </c>
      <c r="U135" s="726">
        <v>178</v>
      </c>
      <c r="V135" s="1" t="s">
        <v>8353</v>
      </c>
      <c r="W135" s="1">
        <f t="shared" si="32"/>
        <v>971.7705000000002</v>
      </c>
      <c r="Y135" s="240" t="str">
        <f t="shared" si="36"/>
        <v/>
      </c>
      <c r="AA135" s="1321">
        <v>219</v>
      </c>
      <c r="AB135" s="1322">
        <v>96</v>
      </c>
      <c r="AC135" s="1322">
        <v>84.030000000000015</v>
      </c>
      <c r="AD135" s="1323">
        <v>0</v>
      </c>
      <c r="AE135" s="1324">
        <v>0.14244912531238829</v>
      </c>
      <c r="AJ135" t="s">
        <v>21564</v>
      </c>
      <c r="AL135" s="726">
        <v>270</v>
      </c>
      <c r="AM135" s="1">
        <f t="shared" si="25"/>
        <v>1073.6633250000002</v>
      </c>
      <c r="AN135" s="13">
        <v>2</v>
      </c>
      <c r="AO135" s="1">
        <f t="shared" si="29"/>
        <v>558.25</v>
      </c>
      <c r="AP135" s="1154">
        <f t="shared" si="30"/>
        <v>1116.5</v>
      </c>
      <c r="AR135" s="1154">
        <f t="shared" si="31"/>
        <v>2147.3266500000004</v>
      </c>
      <c r="AU135" s="1">
        <f t="shared" si="19"/>
        <v>1595</v>
      </c>
      <c r="AV135" s="240">
        <f t="shared" si="33"/>
        <v>-0.48005116035792705</v>
      </c>
      <c r="AW135">
        <v>3190</v>
      </c>
      <c r="BD135" s="726">
        <v>270</v>
      </c>
      <c r="BE135" s="13">
        <v>2</v>
      </c>
      <c r="BF135" s="1">
        <v>558.25</v>
      </c>
      <c r="BG135" s="1154">
        <v>1116.5</v>
      </c>
    </row>
    <row r="136" spans="1:59" x14ac:dyDescent="0.2">
      <c r="A136" s="1139" t="s">
        <v>8479</v>
      </c>
      <c r="B136" s="1140">
        <v>149.78</v>
      </c>
      <c r="C136" s="1141">
        <v>1000</v>
      </c>
      <c r="D136" s="1141">
        <v>30</v>
      </c>
      <c r="S136" s="1">
        <f t="shared" si="34"/>
        <v>201</v>
      </c>
      <c r="T136" s="1">
        <f t="shared" si="35"/>
        <v>149.78</v>
      </c>
      <c r="U136" s="726">
        <v>201</v>
      </c>
      <c r="V136" s="1">
        <v>28.5</v>
      </c>
      <c r="W136" s="1">
        <f t="shared" si="32"/>
        <v>22.467000000000002</v>
      </c>
      <c r="Y136" s="240">
        <f t="shared" si="36"/>
        <v>0.26852717318734132</v>
      </c>
      <c r="AA136" s="1321">
        <v>220</v>
      </c>
      <c r="AB136" s="1322">
        <v>112.5</v>
      </c>
      <c r="AC136" s="1322">
        <v>87.562500000000014</v>
      </c>
      <c r="AD136" s="1323">
        <v>0</v>
      </c>
      <c r="AE136" s="1324">
        <v>0.28479657387580271</v>
      </c>
      <c r="AJ136" t="s">
        <v>21564</v>
      </c>
      <c r="AL136" s="726">
        <v>271</v>
      </c>
      <c r="AM136" s="1">
        <f t="shared" si="25"/>
        <v>1085.1025500000001</v>
      </c>
      <c r="AN136" s="13">
        <v>2</v>
      </c>
      <c r="AO136" s="1">
        <f t="shared" si="29"/>
        <v>564.19999999999993</v>
      </c>
      <c r="AP136" s="1154">
        <f t="shared" si="30"/>
        <v>1128.3999999999999</v>
      </c>
      <c r="AR136" s="1154">
        <f t="shared" si="31"/>
        <v>2170.2051000000001</v>
      </c>
      <c r="AU136" s="1">
        <f t="shared" si="19"/>
        <v>1612</v>
      </c>
      <c r="AV136" s="240">
        <f t="shared" si="33"/>
        <v>-0.48004914374222063</v>
      </c>
      <c r="AW136">
        <v>3224</v>
      </c>
      <c r="BD136" s="726">
        <v>271</v>
      </c>
      <c r="BE136" s="13">
        <v>2</v>
      </c>
      <c r="BF136" s="1">
        <v>564.19999999999993</v>
      </c>
      <c r="BG136" s="1154">
        <v>1128.3999999999999</v>
      </c>
    </row>
    <row r="137" spans="1:59" x14ac:dyDescent="0.2">
      <c r="A137" s="1139" t="s">
        <v>8480</v>
      </c>
      <c r="B137" s="1140">
        <v>163.97</v>
      </c>
      <c r="C137" s="1141">
        <v>1000</v>
      </c>
      <c r="D137" s="1141">
        <v>30</v>
      </c>
      <c r="S137" s="1">
        <f t="shared" si="34"/>
        <v>202</v>
      </c>
      <c r="T137" s="1">
        <f t="shared" si="35"/>
        <v>163.97</v>
      </c>
      <c r="U137" s="726">
        <v>202</v>
      </c>
      <c r="V137" s="1">
        <v>31.500000000000004</v>
      </c>
      <c r="W137" s="1">
        <f t="shared" si="32"/>
        <v>24.595500000000005</v>
      </c>
      <c r="Y137" s="240">
        <f t="shared" si="36"/>
        <v>0.28072208330792203</v>
      </c>
      <c r="AA137" s="1321">
        <v>221</v>
      </c>
      <c r="AB137" s="1322">
        <v>163.5</v>
      </c>
      <c r="AC137" s="1322">
        <v>89.829000000000022</v>
      </c>
      <c r="AD137" s="1323">
        <v>0</v>
      </c>
      <c r="AE137" s="1324">
        <v>0.82012490398423621</v>
      </c>
      <c r="AJ137" t="s">
        <v>21564</v>
      </c>
      <c r="AL137" s="726">
        <v>272</v>
      </c>
      <c r="AM137" s="1">
        <f t="shared" si="25"/>
        <v>1095.6015000000002</v>
      </c>
      <c r="AN137" s="13">
        <v>2</v>
      </c>
      <c r="AO137" s="1">
        <f t="shared" si="29"/>
        <v>568.75</v>
      </c>
      <c r="AP137" s="1154">
        <f t="shared" si="30"/>
        <v>1137.5</v>
      </c>
      <c r="AR137" s="1154">
        <f t="shared" si="31"/>
        <v>2191.2030000000004</v>
      </c>
      <c r="AU137" s="1">
        <f t="shared" si="19"/>
        <v>1625</v>
      </c>
      <c r="AV137" s="240">
        <f t="shared" si="33"/>
        <v>-0.48087876842081734</v>
      </c>
      <c r="AW137">
        <v>3250</v>
      </c>
      <c r="BD137" s="726">
        <v>272</v>
      </c>
      <c r="BE137" s="13">
        <v>2</v>
      </c>
      <c r="BF137" s="1">
        <v>568.75</v>
      </c>
      <c r="BG137" s="1154">
        <v>1137.5</v>
      </c>
    </row>
    <row r="138" spans="1:59" x14ac:dyDescent="0.2">
      <c r="A138" s="1139" t="s">
        <v>8481</v>
      </c>
      <c r="B138" s="1140">
        <v>183.82</v>
      </c>
      <c r="C138" s="1141">
        <v>1000</v>
      </c>
      <c r="D138" s="1141">
        <v>30</v>
      </c>
      <c r="S138" s="1">
        <f t="shared" si="34"/>
        <v>203</v>
      </c>
      <c r="T138" s="1">
        <f t="shared" si="35"/>
        <v>183.82</v>
      </c>
      <c r="U138" s="726">
        <v>203</v>
      </c>
      <c r="V138" s="1">
        <v>36</v>
      </c>
      <c r="W138" s="1">
        <f t="shared" si="32"/>
        <v>27.573000000000004</v>
      </c>
      <c r="Y138" s="240">
        <f t="shared" si="36"/>
        <v>0.30562506800130551</v>
      </c>
      <c r="AA138" s="1321">
        <v>222</v>
      </c>
      <c r="AB138" s="1322">
        <v>166.5</v>
      </c>
      <c r="AC138" s="1322">
        <v>93.285000000000011</v>
      </c>
      <c r="AD138" s="1323">
        <v>0</v>
      </c>
      <c r="AE138" s="1324">
        <v>0.78485287023637218</v>
      </c>
      <c r="AJ138" t="s">
        <v>21564</v>
      </c>
      <c r="AL138" s="726">
        <v>273</v>
      </c>
      <c r="AM138" s="1">
        <f t="shared" si="25"/>
        <v>1136.7972000000002</v>
      </c>
      <c r="AN138" s="13">
        <v>2</v>
      </c>
      <c r="AO138" s="1">
        <f t="shared" si="29"/>
        <v>589.92499999999995</v>
      </c>
      <c r="AP138" s="1154">
        <f t="shared" si="30"/>
        <v>1179.8499999999999</v>
      </c>
      <c r="AR138" s="1154">
        <f t="shared" si="31"/>
        <v>2273.5944000000004</v>
      </c>
      <c r="AU138" s="1">
        <f t="shared" si="19"/>
        <v>1685.5</v>
      </c>
      <c r="AV138" s="240">
        <f t="shared" si="33"/>
        <v>-0.48106399276845524</v>
      </c>
      <c r="AW138">
        <v>3371</v>
      </c>
      <c r="BD138" s="726">
        <v>273</v>
      </c>
      <c r="BE138" s="13">
        <v>2</v>
      </c>
      <c r="BF138" s="1">
        <v>589.92499999999995</v>
      </c>
      <c r="BG138" s="1154">
        <v>1179.8499999999999</v>
      </c>
    </row>
    <row r="139" spans="1:59" x14ac:dyDescent="0.2">
      <c r="A139" s="1139" t="s">
        <v>8482</v>
      </c>
      <c r="B139" s="1140">
        <v>191.51</v>
      </c>
      <c r="C139" s="1141">
        <v>1000</v>
      </c>
      <c r="D139" s="1141">
        <v>30</v>
      </c>
      <c r="S139" s="1">
        <f t="shared" si="34"/>
        <v>204</v>
      </c>
      <c r="T139" s="1">
        <f t="shared" si="35"/>
        <v>191.51</v>
      </c>
      <c r="U139" s="726">
        <v>204</v>
      </c>
      <c r="V139" s="1">
        <v>34.5</v>
      </c>
      <c r="W139" s="1">
        <f t="shared" si="32"/>
        <v>28.726500000000001</v>
      </c>
      <c r="Y139" s="240">
        <f t="shared" si="36"/>
        <v>0.20098167197535366</v>
      </c>
      <c r="AA139" s="1321">
        <v>223</v>
      </c>
      <c r="AB139" s="1322">
        <v>130.5</v>
      </c>
      <c r="AC139" s="1322">
        <v>103.90500000000002</v>
      </c>
      <c r="AD139" s="1323">
        <v>0</v>
      </c>
      <c r="AE139" s="1324">
        <v>0.25595495885664765</v>
      </c>
      <c r="AJ139" t="s">
        <v>21564</v>
      </c>
      <c r="AL139" s="726">
        <v>274</v>
      </c>
      <c r="AM139" s="1">
        <f t="shared" si="25"/>
        <v>1208.9101500000002</v>
      </c>
      <c r="AN139" s="13">
        <v>2</v>
      </c>
      <c r="AO139" s="1">
        <f t="shared" si="29"/>
        <v>628.59999999999991</v>
      </c>
      <c r="AP139" s="1154">
        <f t="shared" si="30"/>
        <v>1257.1999999999998</v>
      </c>
      <c r="AR139" s="1154">
        <f t="shared" si="31"/>
        <v>2417.8203000000003</v>
      </c>
      <c r="AU139" s="1">
        <f t="shared" si="19"/>
        <v>1796</v>
      </c>
      <c r="AV139" s="240">
        <f t="shared" si="33"/>
        <v>-0.48002752727322218</v>
      </c>
      <c r="AW139">
        <v>3592</v>
      </c>
      <c r="BD139" s="726">
        <v>274</v>
      </c>
      <c r="BE139" s="13">
        <v>2</v>
      </c>
      <c r="BF139" s="1">
        <v>628.59999999999991</v>
      </c>
      <c r="BG139" s="1154">
        <v>1257.1999999999998</v>
      </c>
    </row>
    <row r="140" spans="1:59" x14ac:dyDescent="0.2">
      <c r="A140" s="1139" t="s">
        <v>8483</v>
      </c>
      <c r="B140" s="1140">
        <v>205.98</v>
      </c>
      <c r="C140" s="1141">
        <v>1000</v>
      </c>
      <c r="D140" s="1141">
        <v>30</v>
      </c>
      <c r="S140" s="1">
        <f t="shared" si="34"/>
        <v>205</v>
      </c>
      <c r="T140" s="1">
        <f t="shared" si="35"/>
        <v>205.98</v>
      </c>
      <c r="U140" s="726">
        <v>205</v>
      </c>
      <c r="V140" s="1">
        <v>33</v>
      </c>
      <c r="W140" s="1">
        <f t="shared" si="32"/>
        <v>30.897000000000002</v>
      </c>
      <c r="Y140" s="240">
        <f t="shared" si="36"/>
        <v>6.8064860666084082E-2</v>
      </c>
      <c r="AA140" s="1321">
        <v>224</v>
      </c>
      <c r="AB140" s="1322">
        <v>150</v>
      </c>
      <c r="AC140" s="1322">
        <v>110.01150000000001</v>
      </c>
      <c r="AD140" s="1323">
        <v>0</v>
      </c>
      <c r="AE140" s="1324">
        <v>0.36349381655554169</v>
      </c>
      <c r="AJ140" t="s">
        <v>21564</v>
      </c>
      <c r="AL140" s="726">
        <v>275</v>
      </c>
      <c r="AM140" s="1">
        <f t="shared" si="25"/>
        <v>1226.8352250000003</v>
      </c>
      <c r="AN140" s="13">
        <v>2</v>
      </c>
      <c r="AO140" s="1">
        <f t="shared" ref="AO140:AO145" si="37">+AU140*(1-$AT$4)</f>
        <v>638.04999999999995</v>
      </c>
      <c r="AP140" s="1154">
        <f t="shared" ref="AP140:AP145" si="38">+AO140*AN140</f>
        <v>1276.0999999999999</v>
      </c>
      <c r="AR140" s="1154">
        <f t="shared" ref="AR140:AR160" si="39">+AM140*AN140</f>
        <v>2453.6704500000005</v>
      </c>
      <c r="AU140" s="1">
        <f t="shared" ref="AU140:AU145" si="40">+AW140/AN140</f>
        <v>1823</v>
      </c>
      <c r="AV140" s="240">
        <f t="shared" si="33"/>
        <v>-0.47992200827132281</v>
      </c>
      <c r="AW140">
        <v>3646</v>
      </c>
      <c r="BD140" s="726">
        <v>275</v>
      </c>
      <c r="BE140" s="13">
        <v>2</v>
      </c>
      <c r="BF140" s="1">
        <v>638.04999999999995</v>
      </c>
      <c r="BG140" s="1154">
        <v>1276.0999999999999</v>
      </c>
    </row>
    <row r="141" spans="1:59" x14ac:dyDescent="0.2">
      <c r="A141" s="1139" t="s">
        <v>8484</v>
      </c>
      <c r="B141" s="1140">
        <v>225.06</v>
      </c>
      <c r="C141" s="1141">
        <v>1000</v>
      </c>
      <c r="D141" s="1141">
        <v>30</v>
      </c>
      <c r="S141" s="1">
        <f t="shared" si="34"/>
        <v>206</v>
      </c>
      <c r="T141" s="1">
        <f t="shared" si="35"/>
        <v>225.06</v>
      </c>
      <c r="U141" s="726">
        <v>206</v>
      </c>
      <c r="V141" s="1">
        <v>40.5</v>
      </c>
      <c r="W141" s="1">
        <f t="shared" si="32"/>
        <v>33.759000000000007</v>
      </c>
      <c r="Y141" s="240">
        <f t="shared" si="36"/>
        <v>0.19968008531058357</v>
      </c>
      <c r="AA141" s="1321">
        <v>225</v>
      </c>
      <c r="AB141" s="1322">
        <v>154.5</v>
      </c>
      <c r="AC141" s="1322">
        <v>126.16800000000002</v>
      </c>
      <c r="AD141" s="1323">
        <v>0</v>
      </c>
      <c r="AE141" s="1324">
        <v>0.22455773254707978</v>
      </c>
      <c r="AJ141" t="s">
        <v>21564</v>
      </c>
      <c r="AL141" s="726">
        <v>276</v>
      </c>
      <c r="AM141" s="1">
        <f t="shared" si="25"/>
        <v>1570.9081500000004</v>
      </c>
      <c r="AN141" s="13">
        <v>2</v>
      </c>
      <c r="AO141" s="1">
        <f t="shared" si="37"/>
        <v>816.9</v>
      </c>
      <c r="AP141" s="1154">
        <f t="shared" si="38"/>
        <v>1633.8</v>
      </c>
      <c r="AR141" s="1154">
        <f t="shared" si="39"/>
        <v>3141.8163000000009</v>
      </c>
      <c r="AU141" s="1">
        <f t="shared" si="40"/>
        <v>2334</v>
      </c>
      <c r="AV141" s="240">
        <f t="shared" si="33"/>
        <v>-0.4799823274199706</v>
      </c>
      <c r="AW141">
        <v>4668</v>
      </c>
      <c r="BD141" s="726">
        <v>276</v>
      </c>
      <c r="BE141" s="13">
        <v>2</v>
      </c>
      <c r="BF141" s="1">
        <v>816.9</v>
      </c>
      <c r="BG141" s="1154">
        <v>1633.8</v>
      </c>
    </row>
    <row r="142" spans="1:59" x14ac:dyDescent="0.2">
      <c r="A142" s="1139" t="s">
        <v>8485</v>
      </c>
      <c r="B142" s="1140">
        <v>251.94</v>
      </c>
      <c r="C142" s="1141">
        <v>700</v>
      </c>
      <c r="D142" s="1141">
        <v>30</v>
      </c>
      <c r="S142" s="1">
        <f t="shared" si="34"/>
        <v>207</v>
      </c>
      <c r="T142" s="1">
        <f t="shared" si="35"/>
        <v>251.94</v>
      </c>
      <c r="U142" s="726">
        <v>207</v>
      </c>
      <c r="V142" s="1">
        <v>43.5</v>
      </c>
      <c r="W142" s="1">
        <f t="shared" si="32"/>
        <v>37.791000000000004</v>
      </c>
      <c r="Y142" s="240">
        <f t="shared" si="36"/>
        <v>0.15106771453520662</v>
      </c>
      <c r="AA142" s="1321">
        <v>226</v>
      </c>
      <c r="AB142" s="1322">
        <v>168</v>
      </c>
      <c r="AC142" s="1322">
        <v>131.61600000000001</v>
      </c>
      <c r="AD142" s="1323">
        <v>0</v>
      </c>
      <c r="AE142" s="1324">
        <v>0.27644055433989778</v>
      </c>
      <c r="AJ142" t="s">
        <v>21564</v>
      </c>
      <c r="AL142" s="726">
        <v>277</v>
      </c>
      <c r="AM142" s="1">
        <f t="shared" si="25"/>
        <v>1618.1345250000006</v>
      </c>
      <c r="AN142" s="13">
        <v>2</v>
      </c>
      <c r="AO142" s="1">
        <f t="shared" si="37"/>
        <v>841.4</v>
      </c>
      <c r="AP142" s="1154">
        <f t="shared" si="38"/>
        <v>1682.8</v>
      </c>
      <c r="AR142" s="1154">
        <f t="shared" si="39"/>
        <v>3236.2690500000012</v>
      </c>
      <c r="AU142" s="1">
        <f t="shared" si="40"/>
        <v>2404</v>
      </c>
      <c r="AV142" s="240">
        <f t="shared" si="33"/>
        <v>-0.48001851082189861</v>
      </c>
      <c r="AW142">
        <v>4808</v>
      </c>
      <c r="BD142" s="726">
        <v>277</v>
      </c>
      <c r="BE142" s="13">
        <v>2</v>
      </c>
      <c r="BF142" s="1">
        <v>841.4</v>
      </c>
      <c r="BG142" s="1154">
        <v>1682.8</v>
      </c>
    </row>
    <row r="143" spans="1:59" x14ac:dyDescent="0.2">
      <c r="A143" s="1139" t="s">
        <v>8486</v>
      </c>
      <c r="B143" s="1140">
        <v>272.93</v>
      </c>
      <c r="C143" s="1141">
        <v>700</v>
      </c>
      <c r="D143" s="1141">
        <v>30</v>
      </c>
      <c r="S143" s="1">
        <f t="shared" si="34"/>
        <v>208</v>
      </c>
      <c r="T143" s="1">
        <f t="shared" si="35"/>
        <v>272.93</v>
      </c>
      <c r="U143" s="726">
        <v>208</v>
      </c>
      <c r="V143" s="1">
        <v>49.5</v>
      </c>
      <c r="W143" s="1">
        <f t="shared" si="32"/>
        <v>40.93950000000001</v>
      </c>
      <c r="Y143" s="240">
        <f t="shared" si="36"/>
        <v>0.20910123474883635</v>
      </c>
      <c r="AA143" s="1321">
        <v>227</v>
      </c>
      <c r="AB143" s="1322">
        <v>193.5</v>
      </c>
      <c r="AC143" s="1322">
        <v>135.18600000000004</v>
      </c>
      <c r="AD143" s="1323">
        <v>0</v>
      </c>
      <c r="AE143" s="1324">
        <v>0.43136123563090822</v>
      </c>
      <c r="AJ143" t="s">
        <v>21564</v>
      </c>
      <c r="AL143" s="726">
        <v>278</v>
      </c>
      <c r="AM143" s="1">
        <f t="shared" si="25"/>
        <v>1739.9324250000004</v>
      </c>
      <c r="AN143" s="13">
        <v>2</v>
      </c>
      <c r="AO143" s="1">
        <f t="shared" si="37"/>
        <v>904.74999999999989</v>
      </c>
      <c r="AP143" s="1154">
        <f t="shared" si="38"/>
        <v>1809.4999999999998</v>
      </c>
      <c r="AR143" s="1154">
        <f t="shared" si="39"/>
        <v>3479.8648500000008</v>
      </c>
      <c r="AU143" s="1">
        <f t="shared" si="40"/>
        <v>2585</v>
      </c>
      <c r="AV143" s="240">
        <f t="shared" si="33"/>
        <v>-0.4800085411363032</v>
      </c>
      <c r="AW143">
        <v>5170</v>
      </c>
      <c r="BD143" s="726">
        <v>278</v>
      </c>
      <c r="BE143" s="13">
        <v>2</v>
      </c>
      <c r="BF143" s="1">
        <v>904.74999999999989</v>
      </c>
      <c r="BG143" s="1154">
        <v>1809.4999999999998</v>
      </c>
    </row>
    <row r="144" spans="1:59" x14ac:dyDescent="0.2">
      <c r="A144" s="1139" t="s">
        <v>8487</v>
      </c>
      <c r="B144" s="1140">
        <v>303.02</v>
      </c>
      <c r="C144" s="1141">
        <v>700</v>
      </c>
      <c r="D144" s="1141">
        <v>30</v>
      </c>
      <c r="S144" s="1">
        <f t="shared" si="34"/>
        <v>209</v>
      </c>
      <c r="T144" s="1">
        <f t="shared" si="35"/>
        <v>303.02</v>
      </c>
      <c r="U144" s="726">
        <v>209</v>
      </c>
      <c r="V144" s="1">
        <v>51.000000000000007</v>
      </c>
      <c r="W144" s="1">
        <f t="shared" si="32"/>
        <v>45.453000000000003</v>
      </c>
      <c r="Y144" s="240">
        <f t="shared" si="36"/>
        <v>0.12203814929707613</v>
      </c>
      <c r="AA144" s="1321">
        <v>228</v>
      </c>
      <c r="AB144" s="1322">
        <v>186</v>
      </c>
      <c r="AC144" s="1322">
        <v>151.02900000000002</v>
      </c>
      <c r="AD144" s="1323">
        <v>0</v>
      </c>
      <c r="AE144" s="1324">
        <v>0.23155155632361968</v>
      </c>
      <c r="AJ144" t="s">
        <v>21564</v>
      </c>
      <c r="AL144" s="726">
        <v>279</v>
      </c>
      <c r="AM144" s="1">
        <f t="shared" si="25"/>
        <v>2038.7839500000002</v>
      </c>
      <c r="AN144" s="13">
        <v>2</v>
      </c>
      <c r="AO144" s="1">
        <f t="shared" si="37"/>
        <v>1060.1499999999999</v>
      </c>
      <c r="AP144" s="1154">
        <f t="shared" si="38"/>
        <v>2120.2999999999997</v>
      </c>
      <c r="AR144" s="1154">
        <f t="shared" si="39"/>
        <v>4077.5679000000005</v>
      </c>
      <c r="AU144" s="1">
        <f t="shared" si="40"/>
        <v>3029</v>
      </c>
      <c r="AV144" s="240">
        <f t="shared" si="33"/>
        <v>-0.48000865908327373</v>
      </c>
      <c r="AW144">
        <v>6058</v>
      </c>
      <c r="BD144" s="726">
        <v>279</v>
      </c>
      <c r="BE144" s="13">
        <v>2</v>
      </c>
      <c r="BF144" s="1">
        <v>1060.1499999999999</v>
      </c>
      <c r="BG144" s="1154">
        <v>2120.2999999999997</v>
      </c>
    </row>
    <row r="145" spans="1:59" x14ac:dyDescent="0.2">
      <c r="A145" s="1139" t="s">
        <v>8488</v>
      </c>
      <c r="B145" s="1140">
        <v>312.23</v>
      </c>
      <c r="C145" s="1141">
        <v>700</v>
      </c>
      <c r="D145" s="1141">
        <v>50</v>
      </c>
      <c r="S145" s="1">
        <f t="shared" si="34"/>
        <v>210</v>
      </c>
      <c r="T145" s="1">
        <f t="shared" si="35"/>
        <v>312.23</v>
      </c>
      <c r="U145" s="726">
        <v>210</v>
      </c>
      <c r="V145" s="1">
        <v>52.500000000000007</v>
      </c>
      <c r="W145" s="1">
        <f t="shared" si="32"/>
        <v>46.834500000000013</v>
      </c>
      <c r="Y145" s="240">
        <f t="shared" si="36"/>
        <v>0.12096851679851373</v>
      </c>
      <c r="AA145" s="1321">
        <v>229</v>
      </c>
      <c r="AB145" s="1322">
        <v>201</v>
      </c>
      <c r="AC145" s="1322">
        <v>155.84700000000004</v>
      </c>
      <c r="AD145" s="1323">
        <v>0</v>
      </c>
      <c r="AE145" s="1324">
        <v>0.28972646249205924</v>
      </c>
      <c r="AJ145" t="s">
        <v>21564</v>
      </c>
      <c r="AL145" s="726">
        <v>280</v>
      </c>
      <c r="AM145" s="1">
        <f t="shared" si="25"/>
        <v>2069.5720500000002</v>
      </c>
      <c r="AN145" s="13">
        <v>2</v>
      </c>
      <c r="AO145" s="1">
        <f t="shared" si="37"/>
        <v>1076.25</v>
      </c>
      <c r="AP145" s="1154">
        <f t="shared" si="38"/>
        <v>2152.5</v>
      </c>
      <c r="AR145" s="1154">
        <f t="shared" si="39"/>
        <v>4139.1441000000004</v>
      </c>
      <c r="AU145" s="1">
        <f t="shared" si="40"/>
        <v>3075</v>
      </c>
      <c r="AV145" s="240">
        <f t="shared" si="33"/>
        <v>-0.47996495217453294</v>
      </c>
      <c r="AW145">
        <v>6150</v>
      </c>
      <c r="BD145" s="726">
        <v>280</v>
      </c>
      <c r="BE145" s="13">
        <v>2</v>
      </c>
      <c r="BF145" s="1">
        <v>1076.25</v>
      </c>
      <c r="BG145" s="1154">
        <v>2152.5</v>
      </c>
    </row>
    <row r="146" spans="1:59" x14ac:dyDescent="0.2">
      <c r="A146" s="1139" t="s">
        <v>8489</v>
      </c>
      <c r="B146" s="1140">
        <v>330.54</v>
      </c>
      <c r="C146" s="1141">
        <v>700</v>
      </c>
      <c r="D146" s="1152" t="s">
        <v>8490</v>
      </c>
      <c r="S146" s="1">
        <f t="shared" si="34"/>
        <v>211</v>
      </c>
      <c r="T146" s="1">
        <f t="shared" si="35"/>
        <v>330.54</v>
      </c>
      <c r="U146" s="726">
        <v>211</v>
      </c>
      <c r="V146" s="1">
        <v>66</v>
      </c>
      <c r="W146" s="1">
        <f t="shared" si="32"/>
        <v>49.58100000000001</v>
      </c>
      <c r="Y146" s="240">
        <f t="shared" si="36"/>
        <v>0.33115507956676926</v>
      </c>
      <c r="AA146" s="1321">
        <v>230</v>
      </c>
      <c r="AB146" s="1322">
        <v>214.49999999999997</v>
      </c>
      <c r="AC146" s="1322">
        <v>166.58250000000001</v>
      </c>
      <c r="AD146" s="1323">
        <v>0</v>
      </c>
      <c r="AE146" s="1324">
        <v>0.28765026338300825</v>
      </c>
      <c r="AJ146" t="s">
        <v>21564</v>
      </c>
      <c r="AL146" s="726">
        <v>347</v>
      </c>
      <c r="AM146" s="1">
        <f t="shared" si="25"/>
        <v>595.45237500000019</v>
      </c>
      <c r="AN146" s="13">
        <v>10</v>
      </c>
      <c r="AO146" s="1">
        <f t="shared" ref="AO146:AO160" si="41">+AU146*(1-$AT$4)</f>
        <v>299.91499999999996</v>
      </c>
      <c r="AP146" s="1154">
        <f t="shared" ref="AP146:AP160" si="42">+AO146*AN146</f>
        <v>2999.1499999999996</v>
      </c>
      <c r="AR146" s="1154">
        <f t="shared" si="39"/>
        <v>5954.5237500000021</v>
      </c>
      <c r="AU146" s="1">
        <f t="shared" ref="AU146:AU160" si="43">+AW146/AN146</f>
        <v>856.9</v>
      </c>
      <c r="AV146" s="240">
        <f t="shared" ref="AV146:AV160" si="44">IFERROR(AO146/AM146-1,"")</f>
        <v>-0.49632411828066036</v>
      </c>
      <c r="AW146">
        <v>8569</v>
      </c>
      <c r="BD146" s="726">
        <v>309</v>
      </c>
      <c r="BE146" s="13">
        <v>20</v>
      </c>
      <c r="BF146" s="1">
        <v>33.8765</v>
      </c>
      <c r="BG146" s="1154">
        <v>677.53</v>
      </c>
    </row>
    <row r="147" spans="1:59" x14ac:dyDescent="0.2">
      <c r="A147" s="1139" t="s">
        <v>8491</v>
      </c>
      <c r="B147" s="1140">
        <v>351.53</v>
      </c>
      <c r="C147" s="1141">
        <v>500</v>
      </c>
      <c r="D147" s="1141">
        <v>30</v>
      </c>
      <c r="S147" s="1">
        <f t="shared" si="34"/>
        <v>212</v>
      </c>
      <c r="T147" s="1">
        <f t="shared" si="35"/>
        <v>351.53</v>
      </c>
      <c r="U147" s="726">
        <v>212</v>
      </c>
      <c r="V147" s="1">
        <v>67.5</v>
      </c>
      <c r="W147" s="1">
        <f t="shared" si="32"/>
        <v>52.729500000000002</v>
      </c>
      <c r="Y147" s="240">
        <f t="shared" si="36"/>
        <v>0.28011833982874856</v>
      </c>
      <c r="AA147" s="1321">
        <v>231</v>
      </c>
      <c r="AB147" s="1322">
        <v>223.5</v>
      </c>
      <c r="AC147" s="1322">
        <v>171.90150000000003</v>
      </c>
      <c r="AD147" s="1323">
        <v>0</v>
      </c>
      <c r="AE147" s="1324">
        <v>0.30016317484140598</v>
      </c>
      <c r="AJ147" t="s">
        <v>21564</v>
      </c>
      <c r="AL147" s="726">
        <v>348</v>
      </c>
      <c r="AM147" s="1">
        <f t="shared" si="25"/>
        <v>607.64917500000013</v>
      </c>
      <c r="AN147" s="13">
        <v>10</v>
      </c>
      <c r="AO147" s="1">
        <f t="shared" si="41"/>
        <v>316.04999999999995</v>
      </c>
      <c r="AP147" s="1154">
        <f t="shared" si="42"/>
        <v>3160.4999999999995</v>
      </c>
      <c r="AR147" s="1154">
        <f t="shared" si="39"/>
        <v>6076.491750000001</v>
      </c>
      <c r="AU147" s="1">
        <f t="shared" si="43"/>
        <v>903</v>
      </c>
      <c r="AV147" s="240">
        <f t="shared" si="44"/>
        <v>-0.47988080457774029</v>
      </c>
      <c r="AW147">
        <v>9030</v>
      </c>
      <c r="BD147" s="726">
        <v>310</v>
      </c>
      <c r="BE147" s="13">
        <v>20</v>
      </c>
      <c r="BF147" s="1">
        <v>35.997499999999995</v>
      </c>
      <c r="BG147" s="1154">
        <v>719.94999999999993</v>
      </c>
    </row>
    <row r="148" spans="1:59" x14ac:dyDescent="0.2">
      <c r="A148" s="1139" t="s">
        <v>8492</v>
      </c>
      <c r="B148" s="1140">
        <v>379.18</v>
      </c>
      <c r="C148" s="1141">
        <v>500</v>
      </c>
      <c r="D148" s="1141">
        <v>30</v>
      </c>
      <c r="S148" s="1">
        <f t="shared" si="34"/>
        <v>213</v>
      </c>
      <c r="T148" s="1">
        <f t="shared" si="35"/>
        <v>379.18</v>
      </c>
      <c r="U148" s="726">
        <v>213</v>
      </c>
      <c r="V148" s="1">
        <v>103.50000000000001</v>
      </c>
      <c r="W148" s="1">
        <f t="shared" si="32"/>
        <v>56.87700000000001</v>
      </c>
      <c r="Y148" s="240">
        <f t="shared" si="36"/>
        <v>0.81971622975895353</v>
      </c>
      <c r="AA148" s="1321">
        <v>232</v>
      </c>
      <c r="AB148" s="1322">
        <v>226.5</v>
      </c>
      <c r="AC148" s="1322">
        <v>177.29700000000003</v>
      </c>
      <c r="AD148" s="1323">
        <v>0</v>
      </c>
      <c r="AE148" s="1324">
        <v>0.27751738608098253</v>
      </c>
      <c r="AJ148" t="s">
        <v>21564</v>
      </c>
      <c r="AL148" s="726">
        <v>345</v>
      </c>
      <c r="AM148" s="1">
        <f t="shared" si="25"/>
        <v>532.27282500000013</v>
      </c>
      <c r="AN148" s="13">
        <v>10</v>
      </c>
      <c r="AO148" s="1">
        <f t="shared" si="41"/>
        <v>322.38499999999999</v>
      </c>
      <c r="AP148" s="1154">
        <f t="shared" si="42"/>
        <v>3223.85</v>
      </c>
      <c r="AR148" s="1154">
        <f t="shared" si="39"/>
        <v>5322.728250000001</v>
      </c>
      <c r="AU148" s="1">
        <f t="shared" si="43"/>
        <v>921.1</v>
      </c>
      <c r="AV148" s="240">
        <f t="shared" si="44"/>
        <v>-0.39432376620016263</v>
      </c>
      <c r="AW148">
        <v>9211</v>
      </c>
      <c r="BD148" s="726">
        <v>311</v>
      </c>
      <c r="BE148" s="13">
        <v>20</v>
      </c>
      <c r="BF148" s="1">
        <v>39.9</v>
      </c>
      <c r="BG148" s="1154">
        <v>798</v>
      </c>
    </row>
    <row r="149" spans="1:59" x14ac:dyDescent="0.2">
      <c r="A149" s="1139" t="s">
        <v>8493</v>
      </c>
      <c r="B149" s="1140">
        <v>394.93</v>
      </c>
      <c r="C149" s="1141">
        <v>500</v>
      </c>
      <c r="D149" s="1141">
        <v>30</v>
      </c>
      <c r="S149" s="1">
        <f t="shared" si="34"/>
        <v>214</v>
      </c>
      <c r="T149" s="1">
        <f t="shared" si="35"/>
        <v>394.93</v>
      </c>
      <c r="U149" s="726">
        <v>214</v>
      </c>
      <c r="V149" s="1">
        <v>78</v>
      </c>
      <c r="W149" s="1">
        <f t="shared" si="32"/>
        <v>59.239500000000007</v>
      </c>
      <c r="Y149" s="240">
        <f t="shared" si="36"/>
        <v>0.31668903349960731</v>
      </c>
      <c r="AA149" s="1321">
        <v>233</v>
      </c>
      <c r="AB149" s="1322">
        <v>241.5</v>
      </c>
      <c r="AC149" s="1322">
        <v>203.06100000000004</v>
      </c>
      <c r="AD149" s="1323">
        <v>0</v>
      </c>
      <c r="AE149" s="1324">
        <v>0.18929779721364492</v>
      </c>
      <c r="AJ149" t="s">
        <v>21564</v>
      </c>
      <c r="AL149" s="726">
        <v>353</v>
      </c>
      <c r="AM149" s="1">
        <f t="shared" si="25"/>
        <v>668.54812500000014</v>
      </c>
      <c r="AN149" s="13">
        <v>10</v>
      </c>
      <c r="AO149" s="1">
        <f t="shared" si="41"/>
        <v>347.72499999999997</v>
      </c>
      <c r="AP149" s="1154">
        <f t="shared" si="42"/>
        <v>3477.2499999999995</v>
      </c>
      <c r="AR149" s="1154">
        <f t="shared" si="39"/>
        <v>6685.4812500000016</v>
      </c>
      <c r="AU149" s="1">
        <f t="shared" si="43"/>
        <v>993.5</v>
      </c>
      <c r="AV149" s="240">
        <f t="shared" si="44"/>
        <v>-0.4798803751038867</v>
      </c>
      <c r="AW149">
        <v>9935</v>
      </c>
      <c r="BD149" s="726">
        <v>312</v>
      </c>
      <c r="BE149" s="13">
        <v>20</v>
      </c>
      <c r="BF149" s="1">
        <v>43.137499999999996</v>
      </c>
      <c r="BG149" s="1154">
        <v>862.74999999999989</v>
      </c>
    </row>
    <row r="150" spans="1:59" x14ac:dyDescent="0.2">
      <c r="A150" s="1139" t="s">
        <v>8494</v>
      </c>
      <c r="B150" s="1140">
        <v>420.4</v>
      </c>
      <c r="C150" s="1141">
        <v>500</v>
      </c>
      <c r="D150" s="1141">
        <v>30</v>
      </c>
      <c r="S150" s="1">
        <f t="shared" si="34"/>
        <v>215</v>
      </c>
      <c r="T150" s="1">
        <f t="shared" si="35"/>
        <v>420.4</v>
      </c>
      <c r="U150" s="726">
        <v>215</v>
      </c>
      <c r="V150" s="1">
        <v>87</v>
      </c>
      <c r="W150" s="1">
        <f t="shared" si="32"/>
        <v>63.060000000000009</v>
      </c>
      <c r="Y150" s="240">
        <f t="shared" si="36"/>
        <v>0.3796384395813508</v>
      </c>
      <c r="AA150" s="1321">
        <v>234</v>
      </c>
      <c r="AB150" s="1322">
        <v>264</v>
      </c>
      <c r="AC150" s="1322">
        <v>226.25100000000003</v>
      </c>
      <c r="AD150" s="1323">
        <v>0</v>
      </c>
      <c r="AE150" s="1324">
        <v>0.16684567140034723</v>
      </c>
      <c r="AJ150" t="s">
        <v>21564</v>
      </c>
      <c r="AL150" s="726">
        <v>354</v>
      </c>
      <c r="AM150" s="1">
        <f t="shared" si="25"/>
        <v>680.07712500000002</v>
      </c>
      <c r="AN150" s="13">
        <v>10</v>
      </c>
      <c r="AO150" s="1">
        <f t="shared" si="41"/>
        <v>353.71</v>
      </c>
      <c r="AP150" s="1154">
        <f t="shared" si="42"/>
        <v>3537.1</v>
      </c>
      <c r="AR150" s="1154">
        <f t="shared" si="39"/>
        <v>6800.7712499999998</v>
      </c>
      <c r="AU150" s="1">
        <f t="shared" si="43"/>
        <v>1010.6</v>
      </c>
      <c r="AV150" s="240">
        <f t="shared" si="44"/>
        <v>-0.47989722489195619</v>
      </c>
      <c r="AW150">
        <v>10106</v>
      </c>
      <c r="BD150" s="726">
        <v>313</v>
      </c>
      <c r="BE150" s="13">
        <v>20</v>
      </c>
      <c r="BF150" s="1">
        <v>46.952500000000001</v>
      </c>
      <c r="BG150" s="1154">
        <v>939.05</v>
      </c>
    </row>
    <row r="151" spans="1:59" x14ac:dyDescent="0.2">
      <c r="A151" s="1139" t="s">
        <v>8495</v>
      </c>
      <c r="B151" s="1140">
        <v>446.65</v>
      </c>
      <c r="C151" s="1141">
        <v>500</v>
      </c>
      <c r="D151" s="1141">
        <v>30</v>
      </c>
      <c r="S151" s="1">
        <f t="shared" si="34"/>
        <v>216</v>
      </c>
      <c r="T151" s="1">
        <f t="shared" si="35"/>
        <v>446.65</v>
      </c>
      <c r="U151" s="726">
        <v>216</v>
      </c>
      <c r="V151" s="1">
        <v>85.5</v>
      </c>
      <c r="W151" s="1">
        <f t="shared" si="32"/>
        <v>66.997500000000002</v>
      </c>
      <c r="Y151" s="240">
        <f t="shared" si="36"/>
        <v>0.2761670211575058</v>
      </c>
      <c r="AA151" s="1321">
        <v>235</v>
      </c>
      <c r="AB151" s="1322">
        <v>259.5</v>
      </c>
      <c r="AC151" s="1322">
        <v>242.42100000000005</v>
      </c>
      <c r="AD151" s="1323">
        <v>0</v>
      </c>
      <c r="AE151" s="1324">
        <v>7.0451817293056163E-2</v>
      </c>
      <c r="AJ151" t="s">
        <v>21564</v>
      </c>
      <c r="AL151" s="726">
        <v>355</v>
      </c>
      <c r="AM151" s="1">
        <f t="shared" si="25"/>
        <v>692.71965000000012</v>
      </c>
      <c r="AN151" s="13">
        <v>10</v>
      </c>
      <c r="AO151" s="1">
        <f t="shared" si="41"/>
        <v>360.15</v>
      </c>
      <c r="AP151" s="1154">
        <f t="shared" si="42"/>
        <v>3601.5</v>
      </c>
      <c r="AR151" s="1154">
        <f t="shared" si="39"/>
        <v>6927.1965000000009</v>
      </c>
      <c r="AU151" s="1">
        <f t="shared" si="43"/>
        <v>1029</v>
      </c>
      <c r="AV151" s="240">
        <f t="shared" si="44"/>
        <v>-0.48009270416971728</v>
      </c>
      <c r="AW151">
        <v>10290</v>
      </c>
      <c r="BD151" s="726">
        <v>314</v>
      </c>
      <c r="BE151" s="13">
        <v>20</v>
      </c>
      <c r="BF151" s="1">
        <v>50.11999999999999</v>
      </c>
      <c r="BG151" s="1154">
        <v>1002.3999999999999</v>
      </c>
    </row>
    <row r="152" spans="1:59" x14ac:dyDescent="0.2">
      <c r="A152" s="1139" t="s">
        <v>8496</v>
      </c>
      <c r="B152" s="1140">
        <v>469.05</v>
      </c>
      <c r="C152" s="1141">
        <v>400</v>
      </c>
      <c r="D152" s="1141">
        <v>30</v>
      </c>
      <c r="S152" s="1">
        <f t="shared" si="34"/>
        <v>217</v>
      </c>
      <c r="T152" s="1">
        <f t="shared" si="35"/>
        <v>469.05</v>
      </c>
      <c r="U152" s="726">
        <v>217</v>
      </c>
      <c r="V152" s="1">
        <v>81</v>
      </c>
      <c r="W152" s="1">
        <f t="shared" si="32"/>
        <v>70.357500000000016</v>
      </c>
      <c r="Y152" s="240">
        <f t="shared" si="36"/>
        <v>0.15126319155740298</v>
      </c>
      <c r="AA152" s="1321">
        <v>236</v>
      </c>
      <c r="AB152" s="1322">
        <v>288</v>
      </c>
      <c r="AC152" s="1322">
        <v>248.08050000000003</v>
      </c>
      <c r="AD152" s="1323">
        <v>0</v>
      </c>
      <c r="AE152" s="1324">
        <v>0.16091349380543796</v>
      </c>
      <c r="AJ152" t="s">
        <v>21564</v>
      </c>
      <c r="AL152" s="726">
        <v>356</v>
      </c>
      <c r="AM152" s="1">
        <f t="shared" si="25"/>
        <v>807.14497500000004</v>
      </c>
      <c r="AN152" s="13">
        <v>5</v>
      </c>
      <c r="AO152" s="1">
        <f t="shared" si="41"/>
        <v>419.65</v>
      </c>
      <c r="AP152" s="1154">
        <f t="shared" si="42"/>
        <v>2098.25</v>
      </c>
      <c r="AR152" s="1154">
        <f t="shared" si="39"/>
        <v>4035.7248750000003</v>
      </c>
      <c r="AU152" s="1">
        <f t="shared" si="43"/>
        <v>1199</v>
      </c>
      <c r="AV152" s="240">
        <f t="shared" si="44"/>
        <v>-0.48008101022991567</v>
      </c>
      <c r="AW152">
        <v>5995</v>
      </c>
      <c r="BD152" s="726">
        <v>315</v>
      </c>
      <c r="BE152" s="13">
        <v>20</v>
      </c>
      <c r="BF152" s="1">
        <v>44.677500000000002</v>
      </c>
      <c r="BG152" s="1154">
        <v>893.55000000000007</v>
      </c>
    </row>
    <row r="153" spans="1:59" x14ac:dyDescent="0.2">
      <c r="A153" s="1139" t="s">
        <v>8497</v>
      </c>
      <c r="B153" s="1140">
        <v>495.3</v>
      </c>
      <c r="C153" s="1141">
        <v>400</v>
      </c>
      <c r="D153" s="1141">
        <v>30</v>
      </c>
      <c r="S153" s="1">
        <f t="shared" si="34"/>
        <v>218</v>
      </c>
      <c r="T153" s="1">
        <f t="shared" si="35"/>
        <v>495.3</v>
      </c>
      <c r="U153" s="726">
        <v>218</v>
      </c>
      <c r="V153" s="1">
        <v>97.5</v>
      </c>
      <c r="W153" s="1">
        <f t="shared" si="32"/>
        <v>74.295000000000016</v>
      </c>
      <c r="Y153" s="240">
        <f t="shared" si="36"/>
        <v>0.31233595800524916</v>
      </c>
      <c r="AA153" s="1321">
        <v>237</v>
      </c>
      <c r="AB153" s="1322">
        <v>301.5</v>
      </c>
      <c r="AC153" s="1322">
        <v>253.82550000000006</v>
      </c>
      <c r="AD153" s="1323">
        <v>0</v>
      </c>
      <c r="AE153" s="1324">
        <v>0.18782391840063317</v>
      </c>
      <c r="AJ153" t="s">
        <v>21564</v>
      </c>
      <c r="AL153" s="726">
        <v>357</v>
      </c>
      <c r="AM153" s="1">
        <f t="shared" si="25"/>
        <v>829.97775000000013</v>
      </c>
      <c r="AN153" s="13">
        <v>5</v>
      </c>
      <c r="AO153" s="1">
        <f t="shared" si="41"/>
        <v>431.54999999999995</v>
      </c>
      <c r="AP153" s="1154">
        <f t="shared" si="42"/>
        <v>2157.75</v>
      </c>
      <c r="AR153" s="1154">
        <f t="shared" si="39"/>
        <v>4149.888750000001</v>
      </c>
      <c r="AU153" s="1">
        <f t="shared" si="43"/>
        <v>1233</v>
      </c>
      <c r="AV153" s="240">
        <f t="shared" si="44"/>
        <v>-0.48004630244605972</v>
      </c>
      <c r="AW153">
        <v>6165</v>
      </c>
      <c r="BD153" s="726">
        <v>316</v>
      </c>
      <c r="BE153" s="13">
        <v>20</v>
      </c>
      <c r="BF153" s="1">
        <v>57.749999999999993</v>
      </c>
      <c r="BG153" s="1154">
        <v>1154.9999999999998</v>
      </c>
    </row>
    <row r="154" spans="1:59" x14ac:dyDescent="0.2">
      <c r="A154" s="1139" t="s">
        <v>8498</v>
      </c>
      <c r="B154" s="1140">
        <v>560.20000000000005</v>
      </c>
      <c r="C154" s="1141">
        <v>400</v>
      </c>
      <c r="D154" s="1141">
        <v>30</v>
      </c>
      <c r="S154" s="1">
        <f t="shared" si="34"/>
        <v>219</v>
      </c>
      <c r="T154" s="1">
        <f t="shared" si="35"/>
        <v>560.20000000000005</v>
      </c>
      <c r="U154" s="726">
        <v>219</v>
      </c>
      <c r="V154" s="1">
        <v>96</v>
      </c>
      <c r="W154" s="1">
        <f t="shared" si="32"/>
        <v>84.030000000000015</v>
      </c>
      <c r="Y154" s="240">
        <f t="shared" si="36"/>
        <v>0.14244912531238829</v>
      </c>
      <c r="AA154" s="1321">
        <v>238</v>
      </c>
      <c r="AB154" s="1322">
        <v>325.5</v>
      </c>
      <c r="AC154" s="1322">
        <v>265.57050000000004</v>
      </c>
      <c r="AD154" s="1323">
        <v>0</v>
      </c>
      <c r="AE154" s="1324">
        <v>0.22566324196399812</v>
      </c>
      <c r="AJ154" t="s">
        <v>21564</v>
      </c>
      <c r="AL154" s="726">
        <v>358</v>
      </c>
      <c r="AM154" s="1">
        <f t="shared" si="25"/>
        <v>837.61807500000009</v>
      </c>
      <c r="AN154" s="13">
        <v>5</v>
      </c>
      <c r="AO154" s="1">
        <f t="shared" si="41"/>
        <v>435.4</v>
      </c>
      <c r="AP154" s="1154">
        <f t="shared" si="42"/>
        <v>2177</v>
      </c>
      <c r="AR154" s="1154">
        <f t="shared" si="39"/>
        <v>4188.0903750000007</v>
      </c>
      <c r="AU154" s="1">
        <f t="shared" si="43"/>
        <v>1244</v>
      </c>
      <c r="AV154" s="240">
        <f t="shared" si="44"/>
        <v>-0.48019268805774051</v>
      </c>
      <c r="AW154">
        <v>6220</v>
      </c>
      <c r="BD154" s="726">
        <v>317</v>
      </c>
      <c r="BE154" s="13">
        <v>20</v>
      </c>
      <c r="BF154" s="1">
        <v>62.23</v>
      </c>
      <c r="BG154" s="1154">
        <v>1244.5999999999999</v>
      </c>
    </row>
    <row r="155" spans="1:59" x14ac:dyDescent="0.2">
      <c r="A155" s="1139" t="s">
        <v>8499</v>
      </c>
      <c r="B155" s="1140">
        <v>583.75</v>
      </c>
      <c r="C155" s="1141">
        <v>400</v>
      </c>
      <c r="D155" s="1141">
        <v>30</v>
      </c>
      <c r="S155" s="1">
        <f t="shared" si="34"/>
        <v>220</v>
      </c>
      <c r="T155" s="1">
        <f t="shared" si="35"/>
        <v>583.75</v>
      </c>
      <c r="U155" s="726">
        <v>220</v>
      </c>
      <c r="V155" s="1">
        <v>112.5</v>
      </c>
      <c r="W155" s="1">
        <f t="shared" si="32"/>
        <v>87.562500000000014</v>
      </c>
      <c r="Y155" s="240">
        <f t="shared" si="36"/>
        <v>0.28479657387580271</v>
      </c>
      <c r="AA155" s="1321">
        <v>239</v>
      </c>
      <c r="AB155" s="1322">
        <v>285</v>
      </c>
      <c r="AC155" s="1322">
        <v>276.29400000000004</v>
      </c>
      <c r="AD155" s="1323">
        <v>0</v>
      </c>
      <c r="AE155" s="1324">
        <v>3.1509913353167107E-2</v>
      </c>
      <c r="AJ155" t="s">
        <v>21564</v>
      </c>
      <c r="AL155" s="726">
        <v>359</v>
      </c>
      <c r="AM155" s="1">
        <f t="shared" si="25"/>
        <v>852.85462500000017</v>
      </c>
      <c r="AN155" s="13">
        <v>5</v>
      </c>
      <c r="AO155" s="1">
        <f t="shared" si="41"/>
        <v>443.45</v>
      </c>
      <c r="AP155" s="1154">
        <f t="shared" si="42"/>
        <v>2217.25</v>
      </c>
      <c r="AR155" s="1154">
        <f t="shared" si="39"/>
        <v>4264.2731250000006</v>
      </c>
      <c r="AU155" s="1">
        <f t="shared" si="43"/>
        <v>1267</v>
      </c>
      <c r="AV155" s="240">
        <f t="shared" si="44"/>
        <v>-0.48004034099011905</v>
      </c>
      <c r="AW155">
        <v>6335</v>
      </c>
      <c r="BD155" s="726">
        <v>318</v>
      </c>
      <c r="BE155" s="13">
        <v>20</v>
      </c>
      <c r="BF155" s="1">
        <v>68.355000000000004</v>
      </c>
      <c r="BG155" s="1154">
        <v>1367.1000000000001</v>
      </c>
    </row>
    <row r="156" spans="1:59" x14ac:dyDescent="0.2">
      <c r="A156" s="1139" t="s">
        <v>8500</v>
      </c>
      <c r="B156" s="1140">
        <v>598.86</v>
      </c>
      <c r="C156" s="1141">
        <v>300</v>
      </c>
      <c r="D156" s="1141">
        <v>30</v>
      </c>
      <c r="S156" s="1">
        <f t="shared" si="34"/>
        <v>221</v>
      </c>
      <c r="T156" s="1">
        <f t="shared" si="35"/>
        <v>598.86</v>
      </c>
      <c r="U156" s="726">
        <v>221</v>
      </c>
      <c r="V156" s="1">
        <v>163.5</v>
      </c>
      <c r="W156" s="1">
        <f t="shared" si="32"/>
        <v>89.829000000000022</v>
      </c>
      <c r="Y156" s="240">
        <f t="shared" si="36"/>
        <v>0.82012490398423621</v>
      </c>
      <c r="AA156" s="1321">
        <v>240</v>
      </c>
      <c r="AB156" s="1322">
        <v>309</v>
      </c>
      <c r="AC156" s="1322">
        <v>293.69700000000006</v>
      </c>
      <c r="AD156" s="1323">
        <v>0</v>
      </c>
      <c r="AE156" s="1324">
        <v>5.2104720170788044E-2</v>
      </c>
      <c r="AJ156" t="s">
        <v>21564</v>
      </c>
      <c r="AL156" s="726">
        <v>360</v>
      </c>
      <c r="AM156" s="1">
        <f t="shared" si="25"/>
        <v>860.44927500000017</v>
      </c>
      <c r="AN156" s="13">
        <v>5</v>
      </c>
      <c r="AO156" s="1">
        <f t="shared" si="41"/>
        <v>447.29999999999995</v>
      </c>
      <c r="AP156" s="1154">
        <f t="shared" si="42"/>
        <v>2236.5</v>
      </c>
      <c r="AR156" s="1154">
        <f t="shared" si="39"/>
        <v>4302.2463750000006</v>
      </c>
      <c r="AU156" s="1">
        <f t="shared" si="43"/>
        <v>1278</v>
      </c>
      <c r="AV156" s="240">
        <f t="shared" si="44"/>
        <v>-0.48015529445358662</v>
      </c>
      <c r="AW156">
        <v>6390</v>
      </c>
      <c r="BD156" s="726">
        <v>319</v>
      </c>
      <c r="BE156" s="13">
        <v>20</v>
      </c>
      <c r="BF156" s="1">
        <v>71.347499999999997</v>
      </c>
      <c r="BG156" s="1154">
        <v>1426.9499999999998</v>
      </c>
    </row>
    <row r="157" spans="1:59" x14ac:dyDescent="0.2">
      <c r="S157" s="1" t="e">
        <f t="shared" si="34"/>
        <v>#VALUE!</v>
      </c>
      <c r="T157" s="1">
        <f t="shared" si="35"/>
        <v>0</v>
      </c>
      <c r="U157" s="726"/>
      <c r="V157" s="1" t="s">
        <v>8353</v>
      </c>
      <c r="W157" s="1">
        <f t="shared" si="32"/>
        <v>0</v>
      </c>
      <c r="Y157" s="240" t="str">
        <f t="shared" si="36"/>
        <v/>
      </c>
      <c r="AA157" s="1321">
        <v>241</v>
      </c>
      <c r="AB157" s="1322">
        <v>354</v>
      </c>
      <c r="AC157" s="1322">
        <v>308.20800000000003</v>
      </c>
      <c r="AD157" s="1323">
        <v>0</v>
      </c>
      <c r="AE157" s="1324">
        <v>0.14857498831957638</v>
      </c>
      <c r="AJ157" t="s">
        <v>21564</v>
      </c>
      <c r="AL157" s="726">
        <v>361</v>
      </c>
      <c r="AM157" s="1">
        <f t="shared" si="25"/>
        <v>871.88850000000014</v>
      </c>
      <c r="AN157" s="13">
        <v>5</v>
      </c>
      <c r="AO157" s="1">
        <f t="shared" si="41"/>
        <v>453.24999999999994</v>
      </c>
      <c r="AP157" s="1154">
        <f t="shared" si="42"/>
        <v>2266.2499999999995</v>
      </c>
      <c r="AR157" s="1154">
        <f t="shared" si="39"/>
        <v>4359.442500000001</v>
      </c>
      <c r="AU157" s="1">
        <f t="shared" si="43"/>
        <v>1295</v>
      </c>
      <c r="AV157" s="240">
        <f t="shared" si="44"/>
        <v>-0.48015141844398701</v>
      </c>
      <c r="AW157">
        <v>6475</v>
      </c>
      <c r="BD157" s="726">
        <v>320</v>
      </c>
      <c r="BE157" s="13">
        <v>20</v>
      </c>
      <c r="BF157" s="1">
        <v>75.862499999999997</v>
      </c>
      <c r="BG157" s="1154">
        <v>1517.25</v>
      </c>
    </row>
    <row r="158" spans="1:59" x14ac:dyDescent="0.2">
      <c r="S158" s="1" t="e">
        <f t="shared" si="34"/>
        <v>#VALUE!</v>
      </c>
      <c r="T158" s="1">
        <f t="shared" si="35"/>
        <v>0</v>
      </c>
      <c r="U158" s="726"/>
      <c r="V158" s="1" t="s">
        <v>8353</v>
      </c>
      <c r="W158" s="1">
        <f t="shared" si="32"/>
        <v>0</v>
      </c>
      <c r="Y158" s="240" t="str">
        <f t="shared" si="36"/>
        <v/>
      </c>
      <c r="AA158" s="1321">
        <v>242</v>
      </c>
      <c r="AB158" s="1322">
        <v>378</v>
      </c>
      <c r="AC158" s="1322">
        <v>330.01350000000008</v>
      </c>
      <c r="AD158" s="1323">
        <v>0</v>
      </c>
      <c r="AE158" s="1324">
        <v>0.14540768786731428</v>
      </c>
      <c r="AJ158" t="s">
        <v>21564</v>
      </c>
      <c r="AL158" s="726">
        <v>362</v>
      </c>
      <c r="AM158" s="1">
        <f t="shared" si="25"/>
        <v>898.51702500000022</v>
      </c>
      <c r="AN158" s="13">
        <v>5</v>
      </c>
      <c r="AO158" s="1">
        <f t="shared" si="41"/>
        <v>467.24999999999994</v>
      </c>
      <c r="AP158" s="1154">
        <f t="shared" si="42"/>
        <v>2336.2499999999995</v>
      </c>
      <c r="AR158" s="1154">
        <f t="shared" si="39"/>
        <v>4492.5851250000014</v>
      </c>
      <c r="AU158" s="1">
        <f t="shared" si="43"/>
        <v>1335</v>
      </c>
      <c r="AV158" s="240">
        <f t="shared" si="44"/>
        <v>-0.47997646455280041</v>
      </c>
      <c r="AW158">
        <v>6675</v>
      </c>
      <c r="BD158" s="726">
        <v>321</v>
      </c>
      <c r="BE158" s="13">
        <v>20</v>
      </c>
      <c r="BF158" s="1">
        <v>79.73</v>
      </c>
      <c r="BG158" s="1154">
        <v>1594.6000000000001</v>
      </c>
    </row>
    <row r="159" spans="1:59" x14ac:dyDescent="0.2">
      <c r="A159" s="1139" t="s">
        <v>8501</v>
      </c>
      <c r="B159" s="1140">
        <v>621.9</v>
      </c>
      <c r="C159" s="1141">
        <v>300</v>
      </c>
      <c r="D159" s="1141">
        <v>30</v>
      </c>
      <c r="S159" s="1">
        <f t="shared" si="34"/>
        <v>222</v>
      </c>
      <c r="T159" s="1">
        <f t="shared" si="35"/>
        <v>621.9</v>
      </c>
      <c r="U159" s="726">
        <v>222</v>
      </c>
      <c r="V159" s="1">
        <v>166.5</v>
      </c>
      <c r="W159" s="1">
        <f t="shared" si="32"/>
        <v>93.285000000000011</v>
      </c>
      <c r="Y159" s="240">
        <f t="shared" si="36"/>
        <v>0.78485287023637218</v>
      </c>
      <c r="AA159" s="1321">
        <v>243</v>
      </c>
      <c r="AB159" s="1322">
        <v>339</v>
      </c>
      <c r="AC159" s="1322">
        <v>340.15350000000007</v>
      </c>
      <c r="AD159" s="1323">
        <v>0</v>
      </c>
      <c r="AE159" s="1324">
        <v>-3.3911160696570297E-3</v>
      </c>
      <c r="AJ159" t="s">
        <v>21564</v>
      </c>
      <c r="AL159" s="726">
        <v>363</v>
      </c>
      <c r="AM159" s="1">
        <f t="shared" si="25"/>
        <v>939.17565000000013</v>
      </c>
      <c r="AN159" s="13">
        <v>5</v>
      </c>
      <c r="AO159" s="1">
        <f t="shared" si="41"/>
        <v>488.24999999999994</v>
      </c>
      <c r="AP159" s="1154">
        <f t="shared" si="42"/>
        <v>2441.2499999999995</v>
      </c>
      <c r="AR159" s="1154">
        <f t="shared" si="39"/>
        <v>4695.8782500000007</v>
      </c>
      <c r="AU159" s="1">
        <f t="shared" si="43"/>
        <v>1395</v>
      </c>
      <c r="AV159" s="240">
        <f t="shared" si="44"/>
        <v>-0.4801291962797376</v>
      </c>
      <c r="AW159">
        <v>6975</v>
      </c>
      <c r="BD159" s="726">
        <v>322</v>
      </c>
      <c r="BE159" s="13">
        <v>20</v>
      </c>
      <c r="BF159" s="1">
        <v>81.077500000000001</v>
      </c>
      <c r="BG159" s="1154">
        <v>1621.55</v>
      </c>
    </row>
    <row r="160" spans="1:59" x14ac:dyDescent="0.2">
      <c r="A160" s="1139" t="s">
        <v>8502</v>
      </c>
      <c r="B160" s="1140">
        <v>692.7</v>
      </c>
      <c r="C160" s="1141">
        <v>300</v>
      </c>
      <c r="D160" s="1141">
        <v>30</v>
      </c>
      <c r="S160" s="1">
        <f t="shared" si="34"/>
        <v>223</v>
      </c>
      <c r="T160" s="1">
        <f t="shared" si="35"/>
        <v>692.7</v>
      </c>
      <c r="U160" s="726">
        <v>223</v>
      </c>
      <c r="V160" s="1">
        <v>130.5</v>
      </c>
      <c r="W160" s="1">
        <f t="shared" si="32"/>
        <v>103.90500000000002</v>
      </c>
      <c r="Y160" s="240">
        <f t="shared" si="36"/>
        <v>0.25595495885664765</v>
      </c>
      <c r="AA160" s="1321">
        <v>244</v>
      </c>
      <c r="AB160" s="1322">
        <v>568.5</v>
      </c>
      <c r="AC160" s="1322">
        <v>347.62350000000004</v>
      </c>
      <c r="AD160" s="1323">
        <v>0</v>
      </c>
      <c r="AE160" s="1324">
        <v>0.63539001247038795</v>
      </c>
      <c r="AJ160" t="s">
        <v>21564</v>
      </c>
      <c r="AL160" s="726">
        <v>364</v>
      </c>
      <c r="AM160" s="1">
        <f t="shared" si="25"/>
        <v>967.05630000000019</v>
      </c>
      <c r="AN160" s="13">
        <v>5</v>
      </c>
      <c r="AO160" s="1">
        <f t="shared" si="41"/>
        <v>502.95</v>
      </c>
      <c r="AP160" s="1154">
        <f t="shared" si="42"/>
        <v>2514.75</v>
      </c>
      <c r="AR160" s="1154">
        <f t="shared" si="39"/>
        <v>4835.281500000001</v>
      </c>
      <c r="AU160" s="1">
        <f t="shared" si="43"/>
        <v>1437</v>
      </c>
      <c r="AV160" s="240">
        <f t="shared" si="44"/>
        <v>-0.47991652605954804</v>
      </c>
      <c r="AW160">
        <v>7185</v>
      </c>
      <c r="BD160" s="726">
        <v>323</v>
      </c>
      <c r="BE160" s="13">
        <v>20</v>
      </c>
      <c r="BF160" s="1">
        <v>86.24</v>
      </c>
      <c r="BG160" s="1154">
        <v>1724.8</v>
      </c>
    </row>
    <row r="161" spans="1:59" x14ac:dyDescent="0.2">
      <c r="A161" s="1139" t="s">
        <v>8503</v>
      </c>
      <c r="B161" s="1140">
        <v>733.41</v>
      </c>
      <c r="C161" s="1141">
        <v>200</v>
      </c>
      <c r="D161" s="1141">
        <v>30</v>
      </c>
      <c r="S161" s="1">
        <f t="shared" si="34"/>
        <v>224</v>
      </c>
      <c r="T161" s="1">
        <f t="shared" si="35"/>
        <v>733.41</v>
      </c>
      <c r="U161" s="726">
        <v>224</v>
      </c>
      <c r="V161" s="1">
        <v>150</v>
      </c>
      <c r="W161" s="1">
        <f t="shared" si="32"/>
        <v>110.01150000000001</v>
      </c>
      <c r="Y161" s="240">
        <f t="shared" si="36"/>
        <v>0.36349381655554169</v>
      </c>
      <c r="AA161" s="1321">
        <v>245</v>
      </c>
      <c r="AB161" s="1322">
        <v>411.00000000000006</v>
      </c>
      <c r="AC161" s="1322">
        <v>350.96400000000011</v>
      </c>
      <c r="AD161" s="1323">
        <v>0</v>
      </c>
      <c r="AE161" s="1324">
        <v>0.17106027968680526</v>
      </c>
      <c r="AJ161" t="s">
        <v>4624</v>
      </c>
      <c r="AL161" s="726">
        <v>309</v>
      </c>
      <c r="AM161" s="1">
        <f t="shared" si="25"/>
        <v>64.460025000000002</v>
      </c>
      <c r="AN161" s="13">
        <v>20</v>
      </c>
      <c r="AO161" s="1">
        <f t="shared" ref="AO161:AO198" si="45">+AU161*(1-$AT$4)</f>
        <v>33.8765</v>
      </c>
      <c r="AP161" s="1154">
        <f t="shared" ref="AP161:AP198" si="46">+AO161*AN161</f>
        <v>677.53</v>
      </c>
      <c r="AR161" s="1154">
        <f t="shared" ref="AR161:AR198" si="47">+AM161*AN161</f>
        <v>1289.2004999999999</v>
      </c>
      <c r="AU161" s="1">
        <v>96.79</v>
      </c>
      <c r="AV161" s="240">
        <f t="shared" ref="AV161:AV198" si="48">IFERROR(AO161/AM161-1,"")</f>
        <v>-0.47445723143917495</v>
      </c>
      <c r="BD161" s="726">
        <v>324</v>
      </c>
      <c r="BE161" s="13">
        <v>20</v>
      </c>
      <c r="BF161" s="1">
        <v>90.3</v>
      </c>
      <c r="BG161" s="1154">
        <v>1806</v>
      </c>
    </row>
    <row r="162" spans="1:59" x14ac:dyDescent="0.2">
      <c r="A162" s="1139" t="s">
        <v>8504</v>
      </c>
      <c r="B162" s="1140">
        <v>841.12</v>
      </c>
      <c r="C162" s="1141">
        <v>200</v>
      </c>
      <c r="D162" s="1141">
        <v>30</v>
      </c>
      <c r="S162" s="1">
        <f t="shared" si="34"/>
        <v>225</v>
      </c>
      <c r="T162" s="1">
        <f t="shared" si="35"/>
        <v>841.12</v>
      </c>
      <c r="U162" s="726">
        <v>225</v>
      </c>
      <c r="V162" s="1">
        <v>154.5</v>
      </c>
      <c r="W162" s="1">
        <f t="shared" si="32"/>
        <v>126.16800000000002</v>
      </c>
      <c r="Y162" s="240">
        <f t="shared" si="36"/>
        <v>0.22455773254707978</v>
      </c>
      <c r="AA162" s="1321">
        <v>247</v>
      </c>
      <c r="AB162" s="1322">
        <v>457.5</v>
      </c>
      <c r="AC162" s="1322">
        <v>376.06200000000007</v>
      </c>
      <c r="AD162" s="1323">
        <v>0</v>
      </c>
      <c r="AE162" s="1324">
        <v>0.21655471704133866</v>
      </c>
      <c r="AJ162" t="s">
        <v>4624</v>
      </c>
      <c r="AL162" s="726">
        <v>310</v>
      </c>
      <c r="AM162" s="1">
        <f t="shared" si="25"/>
        <v>70.569450000000018</v>
      </c>
      <c r="AN162" s="13">
        <v>20</v>
      </c>
      <c r="AO162" s="1">
        <f t="shared" si="45"/>
        <v>35.997499999999995</v>
      </c>
      <c r="AP162" s="1154">
        <f t="shared" si="46"/>
        <v>719.94999999999993</v>
      </c>
      <c r="AR162" s="1154">
        <f t="shared" si="47"/>
        <v>1411.3890000000004</v>
      </c>
      <c r="AU162" s="1">
        <f t="shared" ref="AU162:AU198" si="49">+AW162/AN162</f>
        <v>102.85</v>
      </c>
      <c r="AV162" s="240">
        <f t="shared" si="48"/>
        <v>-0.48989966621533843</v>
      </c>
      <c r="AW162">
        <v>2057</v>
      </c>
      <c r="BD162" s="726">
        <v>325</v>
      </c>
      <c r="BE162" s="13">
        <v>20</v>
      </c>
      <c r="BF162" s="1">
        <v>95.199999999999989</v>
      </c>
      <c r="BG162" s="1154">
        <v>1903.9999999999998</v>
      </c>
    </row>
    <row r="163" spans="1:59" x14ac:dyDescent="0.2">
      <c r="A163" s="1139" t="s">
        <v>8505</v>
      </c>
      <c r="B163" s="1140">
        <v>877.44</v>
      </c>
      <c r="C163" s="1141">
        <v>200</v>
      </c>
      <c r="D163" s="1141">
        <v>30</v>
      </c>
      <c r="S163" s="1">
        <f t="shared" si="34"/>
        <v>226</v>
      </c>
      <c r="T163" s="1">
        <f t="shared" si="35"/>
        <v>877.44</v>
      </c>
      <c r="U163" s="726">
        <v>226</v>
      </c>
      <c r="V163" s="1">
        <v>168</v>
      </c>
      <c r="W163" s="1">
        <f t="shared" si="32"/>
        <v>131.61600000000001</v>
      </c>
      <c r="Y163" s="240">
        <f t="shared" si="36"/>
        <v>0.27644055433989778</v>
      </c>
      <c r="AA163" s="1321">
        <v>248</v>
      </c>
      <c r="AB163" s="1322">
        <v>396</v>
      </c>
      <c r="AC163" s="1322">
        <v>386.89050000000003</v>
      </c>
      <c r="AD163" s="1323">
        <v>0</v>
      </c>
      <c r="AE163" s="1324">
        <v>2.3545421766623775E-2</v>
      </c>
      <c r="AJ163" t="s">
        <v>4624</v>
      </c>
      <c r="AL163" s="726">
        <v>311</v>
      </c>
      <c r="AM163" s="1">
        <f t="shared" si="25"/>
        <v>77.283675000000017</v>
      </c>
      <c r="AN163" s="13">
        <v>20</v>
      </c>
      <c r="AO163" s="1">
        <f t="shared" si="45"/>
        <v>39.9</v>
      </c>
      <c r="AP163" s="1154">
        <f t="shared" si="46"/>
        <v>798</v>
      </c>
      <c r="AR163" s="1154">
        <f t="shared" si="47"/>
        <v>1545.6735000000003</v>
      </c>
      <c r="AU163" s="1">
        <f t="shared" si="49"/>
        <v>114</v>
      </c>
      <c r="AV163" s="240">
        <f t="shared" si="48"/>
        <v>-0.48372020352293044</v>
      </c>
      <c r="AW163">
        <v>2280</v>
      </c>
      <c r="BD163" s="726">
        <v>326</v>
      </c>
      <c r="BE163" s="13">
        <v>20</v>
      </c>
      <c r="BF163" s="1">
        <v>103.25</v>
      </c>
      <c r="BG163" s="1154">
        <v>2065</v>
      </c>
    </row>
    <row r="164" spans="1:59" x14ac:dyDescent="0.2">
      <c r="A164" s="1139" t="s">
        <v>8506</v>
      </c>
      <c r="B164" s="1140">
        <v>901.24</v>
      </c>
      <c r="C164" s="1141">
        <v>200</v>
      </c>
      <c r="D164" s="1141">
        <v>30</v>
      </c>
      <c r="S164" s="1">
        <f t="shared" si="34"/>
        <v>227</v>
      </c>
      <c r="T164" s="1">
        <f t="shared" si="35"/>
        <v>901.24</v>
      </c>
      <c r="U164" s="726">
        <v>227</v>
      </c>
      <c r="V164" s="1">
        <v>193.5</v>
      </c>
      <c r="W164" s="1">
        <f t="shared" si="32"/>
        <v>135.18600000000004</v>
      </c>
      <c r="Y164" s="240">
        <f t="shared" si="36"/>
        <v>0.43136123563090822</v>
      </c>
      <c r="AA164" s="1321">
        <v>249</v>
      </c>
      <c r="AB164" s="1322">
        <v>459</v>
      </c>
      <c r="AC164" s="1322">
        <v>432.9285000000001</v>
      </c>
      <c r="AD164" s="1323">
        <v>0</v>
      </c>
      <c r="AE164" s="1324">
        <v>6.0221260554571776E-2</v>
      </c>
      <c r="AJ164" t="s">
        <v>4624</v>
      </c>
      <c r="AL164" s="726">
        <v>312</v>
      </c>
      <c r="AM164" s="1">
        <f t="shared" si="25"/>
        <v>82.969425000000015</v>
      </c>
      <c r="AN164" s="13">
        <v>20</v>
      </c>
      <c r="AO164" s="1">
        <f t="shared" si="45"/>
        <v>43.137499999999996</v>
      </c>
      <c r="AP164" s="1154">
        <f t="shared" si="46"/>
        <v>862.74999999999989</v>
      </c>
      <c r="AR164" s="1154">
        <f t="shared" si="47"/>
        <v>1659.3885000000002</v>
      </c>
      <c r="AU164" s="1">
        <f t="shared" si="49"/>
        <v>123.25</v>
      </c>
      <c r="AV164" s="240">
        <f t="shared" si="48"/>
        <v>-0.48007955942806657</v>
      </c>
      <c r="AW164">
        <v>2465</v>
      </c>
      <c r="BD164" s="726">
        <v>327</v>
      </c>
      <c r="BE164" s="13">
        <v>20</v>
      </c>
      <c r="BF164" s="1">
        <v>112.83999999999999</v>
      </c>
      <c r="BG164" s="1154">
        <v>2256.7999999999997</v>
      </c>
    </row>
    <row r="165" spans="1:59" x14ac:dyDescent="0.2">
      <c r="A165" s="1139" t="s">
        <v>8507</v>
      </c>
      <c r="B165" s="1140">
        <v>1006.86</v>
      </c>
      <c r="C165" s="1141">
        <v>200</v>
      </c>
      <c r="D165" s="1141">
        <v>30</v>
      </c>
      <c r="S165" s="1">
        <f t="shared" si="34"/>
        <v>228</v>
      </c>
      <c r="T165" s="1">
        <f t="shared" si="35"/>
        <v>1006.86</v>
      </c>
      <c r="U165" s="726">
        <v>228</v>
      </c>
      <c r="V165" s="1">
        <v>186</v>
      </c>
      <c r="W165" s="1">
        <f t="shared" si="32"/>
        <v>151.02900000000002</v>
      </c>
      <c r="Y165" s="240">
        <f t="shared" si="36"/>
        <v>0.23155155632361968</v>
      </c>
      <c r="AA165" s="1321">
        <v>250</v>
      </c>
      <c r="AB165" s="1322">
        <v>456</v>
      </c>
      <c r="AC165" s="1322">
        <v>438.58800000000008</v>
      </c>
      <c r="AD165" s="1323">
        <v>0</v>
      </c>
      <c r="AE165" s="1324">
        <v>3.9700128594489348E-2</v>
      </c>
      <c r="AJ165" t="s">
        <v>4624</v>
      </c>
      <c r="AL165" s="726">
        <v>313</v>
      </c>
      <c r="AM165" s="1">
        <f t="shared" si="25"/>
        <v>90.288450000000012</v>
      </c>
      <c r="AN165" s="13">
        <v>20</v>
      </c>
      <c r="AO165" s="1">
        <f t="shared" si="45"/>
        <v>46.952500000000001</v>
      </c>
      <c r="AP165" s="1154">
        <f t="shared" si="46"/>
        <v>939.05</v>
      </c>
      <c r="AR165" s="1154">
        <f t="shared" si="47"/>
        <v>1805.7690000000002</v>
      </c>
      <c r="AU165" s="1">
        <f t="shared" si="49"/>
        <v>134.15</v>
      </c>
      <c r="AV165" s="240">
        <f t="shared" si="48"/>
        <v>-0.47997224451189502</v>
      </c>
      <c r="AW165">
        <v>2683</v>
      </c>
      <c r="BD165" s="726">
        <v>328</v>
      </c>
      <c r="BE165" s="13">
        <v>20</v>
      </c>
      <c r="BF165" s="1">
        <v>121.27499999999999</v>
      </c>
      <c r="BG165" s="1154">
        <v>2425.5</v>
      </c>
    </row>
    <row r="166" spans="1:59" x14ac:dyDescent="0.2">
      <c r="A166" s="1139" t="s">
        <v>8508</v>
      </c>
      <c r="B166" s="1140">
        <v>1038.98</v>
      </c>
      <c r="C166" s="1141">
        <v>200</v>
      </c>
      <c r="D166" s="1141">
        <v>30</v>
      </c>
      <c r="S166" s="1">
        <f t="shared" si="34"/>
        <v>229</v>
      </c>
      <c r="T166" s="1">
        <f t="shared" si="35"/>
        <v>1038.98</v>
      </c>
      <c r="U166" s="726">
        <v>229</v>
      </c>
      <c r="V166" s="1">
        <v>201</v>
      </c>
      <c r="W166" s="1">
        <f t="shared" si="32"/>
        <v>155.84700000000004</v>
      </c>
      <c r="Y166" s="240">
        <f t="shared" si="36"/>
        <v>0.28972646249205924</v>
      </c>
      <c r="AA166" s="1321">
        <v>251</v>
      </c>
      <c r="AB166" s="1322">
        <v>400.5</v>
      </c>
      <c r="AC166" s="1322">
        <v>450.12000000000012</v>
      </c>
      <c r="AD166" s="1323">
        <v>0</v>
      </c>
      <c r="AE166" s="1324">
        <v>-0.11023727006131723</v>
      </c>
      <c r="AJ166" t="s">
        <v>4624</v>
      </c>
      <c r="AL166" s="726">
        <v>314</v>
      </c>
      <c r="AM166" s="1">
        <f t="shared" si="25"/>
        <v>96.49867500000002</v>
      </c>
      <c r="AN166" s="13">
        <v>20</v>
      </c>
      <c r="AO166" s="1">
        <f t="shared" si="45"/>
        <v>50.11999999999999</v>
      </c>
      <c r="AP166" s="1154">
        <f t="shared" si="46"/>
        <v>1002.3999999999999</v>
      </c>
      <c r="AR166" s="1154">
        <f t="shared" si="47"/>
        <v>1929.9735000000005</v>
      </c>
      <c r="AU166" s="1">
        <f t="shared" si="49"/>
        <v>143.19999999999999</v>
      </c>
      <c r="AV166" s="240">
        <f t="shared" si="48"/>
        <v>-0.48061463020088124</v>
      </c>
      <c r="AW166">
        <v>2864</v>
      </c>
      <c r="BD166" s="726">
        <v>329</v>
      </c>
      <c r="BE166" s="13">
        <v>20</v>
      </c>
      <c r="BF166" s="1">
        <v>134.04999999999998</v>
      </c>
      <c r="BG166" s="1154">
        <v>2680.9999999999995</v>
      </c>
    </row>
    <row r="167" spans="1:59" x14ac:dyDescent="0.2">
      <c r="A167" s="1139" t="s">
        <v>8509</v>
      </c>
      <c r="B167" s="1140">
        <v>1110.55</v>
      </c>
      <c r="C167" s="1141">
        <v>150</v>
      </c>
      <c r="D167" s="1141">
        <v>30</v>
      </c>
      <c r="S167" s="1">
        <f t="shared" si="34"/>
        <v>230</v>
      </c>
      <c r="T167" s="1">
        <f t="shared" si="35"/>
        <v>1110.55</v>
      </c>
      <c r="U167" s="726">
        <v>230</v>
      </c>
      <c r="V167" s="1">
        <v>214.49999999999997</v>
      </c>
      <c r="W167" s="1">
        <f t="shared" si="32"/>
        <v>166.58250000000001</v>
      </c>
      <c r="Y167" s="240">
        <f t="shared" si="36"/>
        <v>0.28765026338300825</v>
      </c>
      <c r="AA167" s="1321">
        <v>253</v>
      </c>
      <c r="AB167" s="1322">
        <v>477</v>
      </c>
      <c r="AC167" s="1322">
        <v>478.63050000000004</v>
      </c>
      <c r="AD167" s="1323">
        <v>0</v>
      </c>
      <c r="AE167" s="1324">
        <v>-3.4065944397609904E-3</v>
      </c>
      <c r="AJ167" t="s">
        <v>4624</v>
      </c>
      <c r="AL167" s="726">
        <v>315</v>
      </c>
      <c r="AM167" s="1">
        <f t="shared" si="25"/>
        <v>100.73227500000003</v>
      </c>
      <c r="AN167" s="13">
        <v>20</v>
      </c>
      <c r="AO167" s="1">
        <f t="shared" si="45"/>
        <v>44.677500000000002</v>
      </c>
      <c r="AP167" s="1154">
        <f t="shared" si="46"/>
        <v>893.55000000000007</v>
      </c>
      <c r="AR167" s="1154">
        <f t="shared" si="47"/>
        <v>2014.6455000000005</v>
      </c>
      <c r="AU167" s="1">
        <f t="shared" si="49"/>
        <v>127.65</v>
      </c>
      <c r="AV167" s="240">
        <f t="shared" si="48"/>
        <v>-0.55647283852171525</v>
      </c>
      <c r="AW167">
        <v>2553</v>
      </c>
      <c r="BD167" s="726">
        <v>330</v>
      </c>
      <c r="BE167" s="13">
        <v>20</v>
      </c>
      <c r="BF167" s="1">
        <v>141.47</v>
      </c>
      <c r="BG167" s="1154">
        <v>2829.4</v>
      </c>
    </row>
    <row r="168" spans="1:59" x14ac:dyDescent="0.2">
      <c r="A168" s="1139" t="s">
        <v>8510</v>
      </c>
      <c r="B168" s="1140">
        <v>1146.01</v>
      </c>
      <c r="C168" s="1141">
        <v>150</v>
      </c>
      <c r="D168" s="1141">
        <v>30</v>
      </c>
      <c r="S168" s="1">
        <f t="shared" si="34"/>
        <v>231</v>
      </c>
      <c r="T168" s="1">
        <f t="shared" si="35"/>
        <v>1146.01</v>
      </c>
      <c r="U168" s="726">
        <v>231</v>
      </c>
      <c r="V168" s="1">
        <v>223.5</v>
      </c>
      <c r="W168" s="1">
        <f t="shared" si="32"/>
        <v>171.90150000000003</v>
      </c>
      <c r="Y168" s="240">
        <f t="shared" si="36"/>
        <v>0.30016317484140598</v>
      </c>
      <c r="AA168" s="1321">
        <v>254</v>
      </c>
      <c r="AB168" s="1322">
        <v>603</v>
      </c>
      <c r="AC168" s="1322">
        <v>522.16200000000003</v>
      </c>
      <c r="AD168" s="1323">
        <v>0</v>
      </c>
      <c r="AE168" s="1324">
        <v>0.1548140232341686</v>
      </c>
      <c r="AJ168" t="s">
        <v>4624</v>
      </c>
      <c r="AL168" s="726">
        <v>316</v>
      </c>
      <c r="AM168" s="1">
        <f t="shared" si="25"/>
        <v>111.57930000000003</v>
      </c>
      <c r="AN168" s="13">
        <v>20</v>
      </c>
      <c r="AO168" s="1">
        <f t="shared" si="45"/>
        <v>57.749999999999993</v>
      </c>
      <c r="AP168" s="1154">
        <f t="shared" si="46"/>
        <v>1154.9999999999998</v>
      </c>
      <c r="AR168" s="1154">
        <f t="shared" si="47"/>
        <v>2231.5860000000007</v>
      </c>
      <c r="AU168" s="1">
        <f t="shared" si="49"/>
        <v>165</v>
      </c>
      <c r="AV168" s="240">
        <f t="shared" si="48"/>
        <v>-0.48243088099674425</v>
      </c>
      <c r="AW168">
        <v>3300</v>
      </c>
      <c r="BD168" s="726">
        <v>331</v>
      </c>
      <c r="BE168" s="13">
        <v>20</v>
      </c>
      <c r="BF168" s="1">
        <v>157.01</v>
      </c>
      <c r="BG168" s="1154">
        <v>3140.2</v>
      </c>
    </row>
    <row r="169" spans="1:59" x14ac:dyDescent="0.2">
      <c r="A169" s="1139" t="s">
        <v>8511</v>
      </c>
      <c r="B169" s="1140">
        <v>1181.98</v>
      </c>
      <c r="C169" s="1141">
        <v>150</v>
      </c>
      <c r="D169" s="1141">
        <v>30</v>
      </c>
      <c r="S169" s="1">
        <f t="shared" si="34"/>
        <v>232</v>
      </c>
      <c r="T169" s="1">
        <f t="shared" si="35"/>
        <v>1181.98</v>
      </c>
      <c r="U169" s="726">
        <v>232</v>
      </c>
      <c r="V169" s="1">
        <v>226.5</v>
      </c>
      <c r="W169" s="1">
        <f t="shared" si="32"/>
        <v>177.29700000000003</v>
      </c>
      <c r="Y169" s="240">
        <f t="shared" si="36"/>
        <v>0.27751738608098253</v>
      </c>
      <c r="AA169" s="1321">
        <v>255</v>
      </c>
      <c r="AB169" s="1322">
        <v>492</v>
      </c>
      <c r="AC169" s="1322">
        <v>529.39650000000006</v>
      </c>
      <c r="AD169" s="1323">
        <v>0</v>
      </c>
      <c r="AE169" s="1324">
        <v>-7.0639870116255166E-2</v>
      </c>
      <c r="AJ169" t="s">
        <v>4624</v>
      </c>
      <c r="AL169" s="726">
        <v>317</v>
      </c>
      <c r="AM169" s="1">
        <f t="shared" si="25"/>
        <v>119.64645000000002</v>
      </c>
      <c r="AN169" s="13">
        <v>20</v>
      </c>
      <c r="AO169" s="1">
        <f t="shared" si="45"/>
        <v>62.23</v>
      </c>
      <c r="AP169" s="1154">
        <f t="shared" si="46"/>
        <v>1244.5999999999999</v>
      </c>
      <c r="AR169" s="1154">
        <f t="shared" si="47"/>
        <v>2392.9290000000001</v>
      </c>
      <c r="AU169" s="1">
        <f t="shared" si="49"/>
        <v>177.8</v>
      </c>
      <c r="AV169" s="240">
        <f t="shared" si="48"/>
        <v>-0.47988427571398906</v>
      </c>
      <c r="AW169">
        <v>3556</v>
      </c>
      <c r="BD169" s="726">
        <v>332</v>
      </c>
      <c r="BE169" s="13">
        <v>20</v>
      </c>
      <c r="BF169" s="1">
        <v>162.92499999999998</v>
      </c>
      <c r="BG169" s="1154">
        <v>3258.4999999999995</v>
      </c>
    </row>
    <row r="170" spans="1:59" x14ac:dyDescent="0.2">
      <c r="A170" s="1139" t="s">
        <v>8512</v>
      </c>
      <c r="B170" s="1140">
        <v>1353.74</v>
      </c>
      <c r="C170" s="1141">
        <v>150</v>
      </c>
      <c r="D170" s="1141">
        <v>30</v>
      </c>
      <c r="S170" s="1">
        <f t="shared" si="34"/>
        <v>233</v>
      </c>
      <c r="T170" s="1">
        <f t="shared" si="35"/>
        <v>1353.74</v>
      </c>
      <c r="U170" s="726">
        <v>233</v>
      </c>
      <c r="V170" s="1">
        <v>241.5</v>
      </c>
      <c r="W170" s="1">
        <f t="shared" si="32"/>
        <v>203.06100000000004</v>
      </c>
      <c r="Y170" s="240">
        <f t="shared" si="36"/>
        <v>0.18929779721364492</v>
      </c>
      <c r="AA170" s="1321">
        <v>257</v>
      </c>
      <c r="AB170" s="1322">
        <v>687</v>
      </c>
      <c r="AC170" s="1322">
        <v>545.88900000000012</v>
      </c>
      <c r="AD170" s="1323">
        <v>0</v>
      </c>
      <c r="AE170" s="1324">
        <v>0.25849760665629806</v>
      </c>
      <c r="AJ170" t="s">
        <v>4624</v>
      </c>
      <c r="AL170" s="726">
        <v>318</v>
      </c>
      <c r="AM170" s="1">
        <f t="shared" si="25"/>
        <v>131.41957500000001</v>
      </c>
      <c r="AN170" s="13">
        <v>20</v>
      </c>
      <c r="AO170" s="1">
        <f t="shared" si="45"/>
        <v>68.355000000000004</v>
      </c>
      <c r="AP170" s="1154">
        <f t="shared" si="46"/>
        <v>1367.1000000000001</v>
      </c>
      <c r="AR170" s="1154">
        <f t="shared" si="47"/>
        <v>2628.3915000000002</v>
      </c>
      <c r="AU170" s="1">
        <f t="shared" si="49"/>
        <v>195.3</v>
      </c>
      <c r="AV170" s="240">
        <f t="shared" si="48"/>
        <v>-0.47987200536906316</v>
      </c>
      <c r="AW170">
        <v>3906</v>
      </c>
      <c r="BD170" s="726">
        <v>333</v>
      </c>
      <c r="BE170" s="13">
        <v>20</v>
      </c>
      <c r="BF170" s="1">
        <v>175</v>
      </c>
      <c r="BG170" s="1154">
        <v>3500</v>
      </c>
    </row>
    <row r="171" spans="1:59" x14ac:dyDescent="0.2">
      <c r="A171" s="1139" t="s">
        <v>8513</v>
      </c>
      <c r="B171" s="1140">
        <v>1508.34</v>
      </c>
      <c r="C171" s="1141">
        <v>150</v>
      </c>
      <c r="D171" s="1141">
        <v>30</v>
      </c>
      <c r="S171" s="1">
        <f t="shared" si="34"/>
        <v>234</v>
      </c>
      <c r="T171" s="1">
        <f t="shared" si="35"/>
        <v>1508.34</v>
      </c>
      <c r="U171" s="726">
        <v>234</v>
      </c>
      <c r="V171" s="1">
        <v>264</v>
      </c>
      <c r="W171" s="1">
        <f t="shared" si="32"/>
        <v>226.25100000000003</v>
      </c>
      <c r="Y171" s="240">
        <f t="shared" si="36"/>
        <v>0.16684567140034723</v>
      </c>
      <c r="AA171" s="1321">
        <v>259</v>
      </c>
      <c r="AB171" s="1322">
        <v>756</v>
      </c>
      <c r="AC171" s="1322">
        <v>600.59700000000009</v>
      </c>
      <c r="AD171" s="1323">
        <v>0</v>
      </c>
      <c r="AE171" s="1324">
        <v>0.25874754619153917</v>
      </c>
      <c r="AJ171" t="s">
        <v>4624</v>
      </c>
      <c r="AL171" s="726">
        <v>319</v>
      </c>
      <c r="AM171" s="1">
        <f t="shared" si="25"/>
        <v>137.20612500000001</v>
      </c>
      <c r="AN171" s="13">
        <v>20</v>
      </c>
      <c r="AO171" s="1">
        <f t="shared" si="45"/>
        <v>71.347499999999997</v>
      </c>
      <c r="AP171" s="1154">
        <f t="shared" si="46"/>
        <v>1426.9499999999998</v>
      </c>
      <c r="AR171" s="1154">
        <f t="shared" si="47"/>
        <v>2744.1225000000004</v>
      </c>
      <c r="AU171" s="1">
        <f t="shared" si="49"/>
        <v>203.85</v>
      </c>
      <c r="AV171" s="240">
        <f t="shared" si="48"/>
        <v>-0.47999770418412446</v>
      </c>
      <c r="AW171">
        <v>4077</v>
      </c>
      <c r="BD171" s="726">
        <v>334</v>
      </c>
      <c r="BE171" s="13">
        <v>20</v>
      </c>
      <c r="BF171" s="1">
        <v>178.71</v>
      </c>
      <c r="BG171" s="1154">
        <v>3574.2000000000003</v>
      </c>
    </row>
    <row r="172" spans="1:59" x14ac:dyDescent="0.2">
      <c r="A172" s="1139" t="s">
        <v>8514</v>
      </c>
      <c r="B172" s="1140">
        <v>1616.14</v>
      </c>
      <c r="C172" s="1141">
        <v>100</v>
      </c>
      <c r="D172" s="1141">
        <v>30</v>
      </c>
      <c r="S172" s="1">
        <f t="shared" si="34"/>
        <v>235</v>
      </c>
      <c r="T172" s="1">
        <f t="shared" si="35"/>
        <v>1616.14</v>
      </c>
      <c r="U172" s="726">
        <v>235</v>
      </c>
      <c r="V172" s="1">
        <v>259.5</v>
      </c>
      <c r="W172" s="1">
        <f t="shared" si="32"/>
        <v>242.42100000000005</v>
      </c>
      <c r="Y172" s="240">
        <f t="shared" si="36"/>
        <v>7.0451817293056163E-2</v>
      </c>
      <c r="AA172" s="1321">
        <v>260</v>
      </c>
      <c r="AB172" s="1322">
        <v>718.5</v>
      </c>
      <c r="AC172" s="1322">
        <v>646.37250000000006</v>
      </c>
      <c r="AD172" s="1323">
        <v>0</v>
      </c>
      <c r="AE172" s="1324">
        <v>0.1115881322302541</v>
      </c>
      <c r="AJ172" t="s">
        <v>4624</v>
      </c>
      <c r="AL172" s="726">
        <v>320</v>
      </c>
      <c r="AM172" s="1">
        <f t="shared" si="25"/>
        <v>145.87650000000005</v>
      </c>
      <c r="AN172" s="13">
        <v>20</v>
      </c>
      <c r="AO172" s="1">
        <f t="shared" si="45"/>
        <v>75.862499999999997</v>
      </c>
      <c r="AP172" s="1154">
        <f t="shared" si="46"/>
        <v>1517.25</v>
      </c>
      <c r="AR172" s="1154">
        <f t="shared" si="47"/>
        <v>2917.5300000000011</v>
      </c>
      <c r="AU172" s="1">
        <f t="shared" si="49"/>
        <v>216.75</v>
      </c>
      <c r="AV172" s="240">
        <f t="shared" si="48"/>
        <v>-0.47995393363564409</v>
      </c>
      <c r="AW172">
        <v>4335</v>
      </c>
      <c r="BD172" s="726">
        <v>335</v>
      </c>
      <c r="BE172" s="13">
        <v>20</v>
      </c>
      <c r="BF172" s="1">
        <v>182.35</v>
      </c>
      <c r="BG172" s="1154">
        <v>3647</v>
      </c>
    </row>
    <row r="173" spans="1:59" x14ac:dyDescent="0.2">
      <c r="A173" s="1139" t="s">
        <v>8515</v>
      </c>
      <c r="B173" s="1140">
        <v>1653.87</v>
      </c>
      <c r="C173" s="1141">
        <v>100</v>
      </c>
      <c r="D173" s="1141">
        <v>30</v>
      </c>
      <c r="S173" s="1">
        <f t="shared" si="34"/>
        <v>236</v>
      </c>
      <c r="T173" s="1">
        <f t="shared" si="35"/>
        <v>1653.87</v>
      </c>
      <c r="U173" s="726">
        <v>236</v>
      </c>
      <c r="V173" s="1">
        <v>288</v>
      </c>
      <c r="W173" s="1">
        <f t="shared" si="32"/>
        <v>248.08050000000003</v>
      </c>
      <c r="Y173" s="240">
        <f t="shared" si="36"/>
        <v>0.16091349380543796</v>
      </c>
      <c r="AA173" s="1321">
        <v>261</v>
      </c>
      <c r="AB173" s="1322">
        <v>681</v>
      </c>
      <c r="AC173" s="1322">
        <v>672.54150000000004</v>
      </c>
      <c r="AD173" s="1323">
        <v>0</v>
      </c>
      <c r="AE173" s="1324">
        <v>1.2576919045144352E-2</v>
      </c>
      <c r="AJ173" t="s">
        <v>4624</v>
      </c>
      <c r="AL173" s="726">
        <v>321</v>
      </c>
      <c r="AM173" s="1">
        <f t="shared" si="25"/>
        <v>153.31680000000003</v>
      </c>
      <c r="AN173" s="13">
        <v>20</v>
      </c>
      <c r="AO173" s="1">
        <f t="shared" si="45"/>
        <v>79.73</v>
      </c>
      <c r="AP173" s="1154">
        <f t="shared" si="46"/>
        <v>1594.6000000000001</v>
      </c>
      <c r="AR173" s="1154">
        <f t="shared" si="47"/>
        <v>3066.3360000000007</v>
      </c>
      <c r="AU173" s="1">
        <f t="shared" si="49"/>
        <v>227.8</v>
      </c>
      <c r="AV173" s="240">
        <f t="shared" si="48"/>
        <v>-0.47996566586310185</v>
      </c>
      <c r="AW173">
        <v>4556</v>
      </c>
      <c r="BD173" s="726">
        <v>336</v>
      </c>
      <c r="BE173" s="13">
        <v>20</v>
      </c>
      <c r="BF173" s="1">
        <v>190.75</v>
      </c>
      <c r="BG173" s="1154">
        <v>3815</v>
      </c>
    </row>
    <row r="174" spans="1:59" x14ac:dyDescent="0.2">
      <c r="A174" s="1139" t="s">
        <v>8516</v>
      </c>
      <c r="B174" s="1140">
        <v>1692.17</v>
      </c>
      <c r="C174" s="1141">
        <v>100</v>
      </c>
      <c r="D174" s="1141">
        <v>30</v>
      </c>
      <c r="S174" s="1">
        <f t="shared" si="34"/>
        <v>237</v>
      </c>
      <c r="T174" s="1">
        <f t="shared" si="35"/>
        <v>1692.17</v>
      </c>
      <c r="U174" s="726">
        <v>237</v>
      </c>
      <c r="V174" s="1">
        <v>301.5</v>
      </c>
      <c r="W174" s="1">
        <f t="shared" si="32"/>
        <v>253.82550000000006</v>
      </c>
      <c r="Y174" s="240">
        <f t="shared" si="36"/>
        <v>0.18782391840063317</v>
      </c>
      <c r="AA174" s="1321">
        <v>262</v>
      </c>
      <c r="AB174" s="1322">
        <v>681</v>
      </c>
      <c r="AC174" s="1322">
        <v>694.88250000000016</v>
      </c>
      <c r="AD174" s="1323">
        <v>0</v>
      </c>
      <c r="AE174" s="1324">
        <v>-1.9978197752857696E-2</v>
      </c>
      <c r="AJ174" t="s">
        <v>4624</v>
      </c>
      <c r="AL174" s="726">
        <v>322</v>
      </c>
      <c r="AM174" s="1">
        <f t="shared" si="25"/>
        <v>155.89665000000005</v>
      </c>
      <c r="AN174" s="13">
        <v>20</v>
      </c>
      <c r="AO174" s="1">
        <f t="shared" si="45"/>
        <v>81.077500000000001</v>
      </c>
      <c r="AP174" s="1154">
        <f t="shared" si="46"/>
        <v>1621.55</v>
      </c>
      <c r="AR174" s="1154">
        <f t="shared" si="47"/>
        <v>3117.9330000000009</v>
      </c>
      <c r="AU174" s="1">
        <f t="shared" si="49"/>
        <v>231.65</v>
      </c>
      <c r="AV174" s="240">
        <f t="shared" si="48"/>
        <v>-0.47992788812331777</v>
      </c>
      <c r="AW174">
        <v>4633</v>
      </c>
      <c r="BD174" s="726">
        <v>337</v>
      </c>
      <c r="BE174" s="13">
        <v>20</v>
      </c>
      <c r="BF174" s="1">
        <v>195.10750000000002</v>
      </c>
      <c r="BG174" s="1154">
        <v>3902.1500000000005</v>
      </c>
    </row>
    <row r="175" spans="1:59" x14ac:dyDescent="0.2">
      <c r="A175" s="1139" t="s">
        <v>8517</v>
      </c>
      <c r="B175" s="1140">
        <v>1770.47</v>
      </c>
      <c r="C175" s="1141">
        <v>100</v>
      </c>
      <c r="D175" s="1141">
        <v>30</v>
      </c>
      <c r="S175" s="1">
        <f t="shared" si="34"/>
        <v>238</v>
      </c>
      <c r="T175" s="1">
        <f t="shared" si="35"/>
        <v>1770.47</v>
      </c>
      <c r="U175" s="726">
        <v>238</v>
      </c>
      <c r="V175" s="1">
        <v>325.5</v>
      </c>
      <c r="W175" s="1">
        <f t="shared" si="32"/>
        <v>265.57050000000004</v>
      </c>
      <c r="Y175" s="240">
        <f t="shared" si="36"/>
        <v>0.22566324196399812</v>
      </c>
      <c r="AA175" s="1321">
        <v>264</v>
      </c>
      <c r="AB175" s="1322">
        <v>747</v>
      </c>
      <c r="AC175" s="1322">
        <v>739.77600000000018</v>
      </c>
      <c r="AD175" s="1323">
        <v>0</v>
      </c>
      <c r="AE175" s="1324">
        <v>9.7651180897999623E-3</v>
      </c>
      <c r="AJ175" t="s">
        <v>4624</v>
      </c>
      <c r="AL175" s="726">
        <v>323</v>
      </c>
      <c r="AM175" s="1">
        <f t="shared" si="25"/>
        <v>165.81600000000003</v>
      </c>
      <c r="AN175" s="13">
        <v>20</v>
      </c>
      <c r="AO175" s="1">
        <f t="shared" si="45"/>
        <v>86.24</v>
      </c>
      <c r="AP175" s="1154">
        <f t="shared" si="46"/>
        <v>1724.8</v>
      </c>
      <c r="AR175" s="1154">
        <f t="shared" si="47"/>
        <v>3316.3200000000006</v>
      </c>
      <c r="AU175" s="1">
        <f t="shared" si="49"/>
        <v>246.4</v>
      </c>
      <c r="AV175" s="240">
        <f t="shared" si="48"/>
        <v>-0.479905437352246</v>
      </c>
      <c r="AW175">
        <v>4928</v>
      </c>
      <c r="BD175" s="726">
        <v>338</v>
      </c>
      <c r="BE175" s="13">
        <v>20</v>
      </c>
      <c r="BF175" s="1">
        <v>222.65249999999997</v>
      </c>
      <c r="BG175" s="1154">
        <v>4453.0499999999993</v>
      </c>
    </row>
    <row r="176" spans="1:59" x14ac:dyDescent="0.2">
      <c r="A176" s="1139" t="s">
        <v>8518</v>
      </c>
      <c r="B176" s="1140">
        <v>1841.96</v>
      </c>
      <c r="C176" s="1141">
        <v>100</v>
      </c>
      <c r="D176" s="1141">
        <v>30</v>
      </c>
      <c r="S176" s="1">
        <f t="shared" si="34"/>
        <v>239</v>
      </c>
      <c r="T176" s="1">
        <f t="shared" si="35"/>
        <v>1841.96</v>
      </c>
      <c r="U176" s="726">
        <v>239</v>
      </c>
      <c r="V176" s="1">
        <v>285</v>
      </c>
      <c r="W176" s="1">
        <f t="shared" si="32"/>
        <v>276.29400000000004</v>
      </c>
      <c r="Y176" s="240">
        <f t="shared" si="36"/>
        <v>3.1509913353167107E-2</v>
      </c>
      <c r="AA176" s="1321">
        <v>265</v>
      </c>
      <c r="AB176" s="1322">
        <v>976.5</v>
      </c>
      <c r="AC176" s="1322">
        <v>928.28250000000014</v>
      </c>
      <c r="AD176" s="1323">
        <v>0</v>
      </c>
      <c r="AE176" s="1324">
        <v>5.1942700632619854E-2</v>
      </c>
      <c r="AJ176" t="s">
        <v>4624</v>
      </c>
      <c r="AL176" s="726">
        <v>324</v>
      </c>
      <c r="AM176" s="1">
        <f t="shared" si="25"/>
        <v>173.65950000000004</v>
      </c>
      <c r="AN176" s="13">
        <v>20</v>
      </c>
      <c r="AO176" s="1">
        <f t="shared" si="45"/>
        <v>90.3</v>
      </c>
      <c r="AP176" s="1154">
        <f t="shared" si="46"/>
        <v>1806</v>
      </c>
      <c r="AR176" s="1154">
        <f t="shared" si="47"/>
        <v>3473.1900000000005</v>
      </c>
      <c r="AU176" s="1">
        <f t="shared" si="49"/>
        <v>258</v>
      </c>
      <c r="AV176" s="240">
        <f t="shared" si="48"/>
        <v>-0.48001692968135934</v>
      </c>
      <c r="AW176">
        <v>5160</v>
      </c>
      <c r="BD176" s="726">
        <v>339</v>
      </c>
      <c r="BE176" s="13">
        <v>20</v>
      </c>
      <c r="BF176" s="1">
        <v>227.49999999999997</v>
      </c>
      <c r="BG176" s="1154">
        <v>4549.9999999999991</v>
      </c>
    </row>
    <row r="177" spans="1:59" x14ac:dyDescent="0.2">
      <c r="A177" s="1139" t="s">
        <v>8519</v>
      </c>
      <c r="B177" s="1140">
        <v>1957.98</v>
      </c>
      <c r="C177" s="1141">
        <v>100</v>
      </c>
      <c r="D177" s="1141">
        <v>30</v>
      </c>
      <c r="S177" s="1">
        <f t="shared" si="34"/>
        <v>240</v>
      </c>
      <c r="T177" s="1">
        <f t="shared" si="35"/>
        <v>1957.98</v>
      </c>
      <c r="U177" s="726">
        <v>240</v>
      </c>
      <c r="V177" s="1">
        <v>309</v>
      </c>
      <c r="W177" s="1">
        <f t="shared" si="32"/>
        <v>293.69700000000006</v>
      </c>
      <c r="Y177" s="240">
        <f t="shared" si="36"/>
        <v>5.2104720170788044E-2</v>
      </c>
      <c r="AA177" s="1321">
        <v>267</v>
      </c>
      <c r="AB177" s="1322">
        <v>912</v>
      </c>
      <c r="AC177" s="1322">
        <v>964.53750000000014</v>
      </c>
      <c r="AD177" s="1323">
        <v>0</v>
      </c>
      <c r="AE177" s="1324">
        <v>-5.4469110843279989E-2</v>
      </c>
      <c r="AJ177" t="s">
        <v>4624</v>
      </c>
      <c r="AL177" s="726">
        <v>325</v>
      </c>
      <c r="AM177" s="1">
        <f t="shared" si="25"/>
        <v>183.27802500000004</v>
      </c>
      <c r="AN177" s="13">
        <v>20</v>
      </c>
      <c r="AO177" s="1">
        <f t="shared" si="45"/>
        <v>95.199999999999989</v>
      </c>
      <c r="AP177" s="1154">
        <f t="shared" si="46"/>
        <v>1903.9999999999998</v>
      </c>
      <c r="AR177" s="1154">
        <f t="shared" si="47"/>
        <v>3665.560500000001</v>
      </c>
      <c r="AU177" s="1">
        <f t="shared" si="49"/>
        <v>272</v>
      </c>
      <c r="AV177" s="240">
        <f t="shared" si="48"/>
        <v>-0.48057057031250761</v>
      </c>
      <c r="AW177">
        <v>5440</v>
      </c>
      <c r="BD177" s="726">
        <v>340</v>
      </c>
      <c r="BE177" s="13">
        <v>20</v>
      </c>
      <c r="BF177" s="1">
        <v>231.54249999999996</v>
      </c>
      <c r="BG177" s="1154">
        <v>4630.8499999999995</v>
      </c>
    </row>
    <row r="178" spans="1:59" x14ac:dyDescent="0.2">
      <c r="A178" s="1139" t="s">
        <v>8520</v>
      </c>
      <c r="B178" s="1140">
        <v>2054.7199999999998</v>
      </c>
      <c r="C178" s="1141">
        <v>100</v>
      </c>
      <c r="D178" s="1141">
        <v>30</v>
      </c>
      <c r="S178" s="1">
        <f t="shared" si="34"/>
        <v>241</v>
      </c>
      <c r="T178" s="1">
        <f t="shared" si="35"/>
        <v>2054.7199999999998</v>
      </c>
      <c r="U178" s="726">
        <v>241</v>
      </c>
      <c r="V178" s="1">
        <v>354</v>
      </c>
      <c r="W178" s="1">
        <f t="shared" si="32"/>
        <v>308.20800000000003</v>
      </c>
      <c r="Y178" s="240">
        <f t="shared" si="36"/>
        <v>0.14857498831957638</v>
      </c>
      <c r="AA178" s="1321">
        <v>270</v>
      </c>
      <c r="AB178" s="1322">
        <v>895.5</v>
      </c>
      <c r="AC178" s="1322">
        <v>1022.5365000000002</v>
      </c>
      <c r="AD178" s="1323">
        <v>0</v>
      </c>
      <c r="AE178" s="1324">
        <v>-0.12423664094142373</v>
      </c>
      <c r="AJ178" t="s">
        <v>4624</v>
      </c>
      <c r="AL178" s="726">
        <v>326</v>
      </c>
      <c r="AM178" s="1">
        <f t="shared" si="25"/>
        <v>198.78390000000002</v>
      </c>
      <c r="AN178" s="13">
        <v>20</v>
      </c>
      <c r="AO178" s="1">
        <f t="shared" si="45"/>
        <v>103.25</v>
      </c>
      <c r="AP178" s="1154">
        <f t="shared" si="46"/>
        <v>2065</v>
      </c>
      <c r="AR178" s="1154">
        <f t="shared" si="47"/>
        <v>3975.6780000000003</v>
      </c>
      <c r="AU178" s="1">
        <f t="shared" si="49"/>
        <v>295</v>
      </c>
      <c r="AV178" s="240">
        <f t="shared" si="48"/>
        <v>-0.48059173806329392</v>
      </c>
      <c r="AW178">
        <v>5900</v>
      </c>
      <c r="BD178" s="726">
        <v>341</v>
      </c>
      <c r="BE178" s="13">
        <v>20</v>
      </c>
      <c r="BF178" s="1">
        <v>235.46249999999998</v>
      </c>
      <c r="BG178" s="1154">
        <v>4709.25</v>
      </c>
    </row>
    <row r="179" spans="1:59" x14ac:dyDescent="0.2">
      <c r="A179" s="1139" t="s">
        <v>8521</v>
      </c>
      <c r="B179" s="1140">
        <v>2200.09</v>
      </c>
      <c r="C179" s="1141">
        <v>100</v>
      </c>
      <c r="D179" s="1141">
        <v>30</v>
      </c>
      <c r="S179" s="1">
        <f t="shared" si="34"/>
        <v>242</v>
      </c>
      <c r="T179" s="1">
        <f t="shared" si="35"/>
        <v>2200.09</v>
      </c>
      <c r="U179" s="726">
        <v>242</v>
      </c>
      <c r="V179" s="1">
        <v>378</v>
      </c>
      <c r="W179" s="1">
        <f t="shared" si="32"/>
        <v>330.01350000000008</v>
      </c>
      <c r="Y179" s="240">
        <f t="shared" si="36"/>
        <v>0.14540768786731428</v>
      </c>
      <c r="AA179" s="1321">
        <v>310</v>
      </c>
      <c r="AB179" s="1322">
        <v>84</v>
      </c>
      <c r="AC179" s="1322">
        <v>67.209000000000003</v>
      </c>
      <c r="AD179" s="1323">
        <v>0</v>
      </c>
      <c r="AE179" s="1324">
        <v>0.24983261170378968</v>
      </c>
      <c r="AJ179" t="s">
        <v>4624</v>
      </c>
      <c r="AL179" s="726">
        <v>327</v>
      </c>
      <c r="AM179" s="1">
        <f t="shared" si="25"/>
        <v>216.94995000000006</v>
      </c>
      <c r="AN179" s="13">
        <v>20</v>
      </c>
      <c r="AO179" s="1">
        <f t="shared" si="45"/>
        <v>112.83999999999999</v>
      </c>
      <c r="AP179" s="1154">
        <f t="shared" si="46"/>
        <v>2256.7999999999997</v>
      </c>
      <c r="AR179" s="1154">
        <f t="shared" si="47"/>
        <v>4338.9990000000016</v>
      </c>
      <c r="AU179" s="1">
        <f t="shared" si="49"/>
        <v>322.39999999999998</v>
      </c>
      <c r="AV179" s="240">
        <f t="shared" si="48"/>
        <v>-0.47988003684720848</v>
      </c>
      <c r="AW179">
        <v>6448</v>
      </c>
      <c r="BD179" s="726">
        <v>342</v>
      </c>
      <c r="BE179" s="13">
        <v>20</v>
      </c>
      <c r="BF179" s="1">
        <v>239.24249999999998</v>
      </c>
      <c r="BG179" s="1154">
        <v>4784.8499999999995</v>
      </c>
    </row>
    <row r="180" spans="1:59" x14ac:dyDescent="0.2">
      <c r="A180" s="1139" t="s">
        <v>8522</v>
      </c>
      <c r="B180" s="1140">
        <v>2267.69</v>
      </c>
      <c r="C180" s="1141">
        <v>100</v>
      </c>
      <c r="D180" s="1141">
        <v>30</v>
      </c>
      <c r="S180" s="1">
        <f t="shared" si="34"/>
        <v>243</v>
      </c>
      <c r="T180" s="1">
        <f t="shared" si="35"/>
        <v>2267.69</v>
      </c>
      <c r="U180" s="726">
        <v>243</v>
      </c>
      <c r="V180" s="1">
        <v>339</v>
      </c>
      <c r="W180" s="1">
        <f t="shared" si="32"/>
        <v>340.15350000000007</v>
      </c>
      <c r="Y180" s="240">
        <f t="shared" si="36"/>
        <v>-3.3911160696570297E-3</v>
      </c>
      <c r="AA180" s="1321">
        <v>312</v>
      </c>
      <c r="AB180" s="1322">
        <v>100.5</v>
      </c>
      <c r="AC180" s="1322">
        <v>79.018500000000003</v>
      </c>
      <c r="AD180" s="1323">
        <v>0</v>
      </c>
      <c r="AE180" s="1324">
        <v>0.27185405949239727</v>
      </c>
      <c r="AJ180" t="s">
        <v>4624</v>
      </c>
      <c r="AL180" s="726">
        <v>328</v>
      </c>
      <c r="AM180" s="1">
        <f t="shared" si="25"/>
        <v>233.18032500000004</v>
      </c>
      <c r="AN180" s="13">
        <v>20</v>
      </c>
      <c r="AO180" s="1">
        <f t="shared" si="45"/>
        <v>121.27499999999999</v>
      </c>
      <c r="AP180" s="1154">
        <f t="shared" si="46"/>
        <v>2425.5</v>
      </c>
      <c r="AR180" s="1154">
        <f t="shared" si="47"/>
        <v>4663.6065000000008</v>
      </c>
      <c r="AU180" s="1">
        <f t="shared" si="49"/>
        <v>346.5</v>
      </c>
      <c r="AV180" s="240">
        <f t="shared" si="48"/>
        <v>-0.47990895029415548</v>
      </c>
      <c r="AW180">
        <v>6930</v>
      </c>
      <c r="BD180" s="726">
        <v>343</v>
      </c>
      <c r="BE180" s="13">
        <v>20</v>
      </c>
      <c r="BF180" s="1">
        <v>265.38749999999999</v>
      </c>
      <c r="BG180" s="1154">
        <v>5307.75</v>
      </c>
    </row>
    <row r="181" spans="1:59" x14ac:dyDescent="0.2">
      <c r="A181" s="1139" t="s">
        <v>8523</v>
      </c>
      <c r="B181" s="1140">
        <v>2317.4899999999998</v>
      </c>
      <c r="C181" s="1141">
        <v>100</v>
      </c>
      <c r="D181" s="1141">
        <v>30</v>
      </c>
      <c r="S181" s="1">
        <f t="shared" si="34"/>
        <v>244</v>
      </c>
      <c r="T181" s="1">
        <f t="shared" si="35"/>
        <v>2317.4899999999998</v>
      </c>
      <c r="U181" s="726">
        <v>244</v>
      </c>
      <c r="V181" s="1">
        <v>568.5</v>
      </c>
      <c r="W181" s="1">
        <f t="shared" si="32"/>
        <v>347.62350000000004</v>
      </c>
      <c r="Y181" s="240">
        <f t="shared" si="36"/>
        <v>0.63539001247038795</v>
      </c>
      <c r="AA181" s="1321">
        <v>314</v>
      </c>
      <c r="AB181" s="1322">
        <v>118.5</v>
      </c>
      <c r="AC181" s="1322">
        <v>91.903500000000022</v>
      </c>
      <c r="AD181" s="1323">
        <v>0</v>
      </c>
      <c r="AE181" s="1324">
        <v>0.28939594248314782</v>
      </c>
      <c r="AJ181" t="s">
        <v>4624</v>
      </c>
      <c r="AL181" s="726">
        <v>329</v>
      </c>
      <c r="AM181" s="1">
        <f t="shared" si="25"/>
        <v>257.75977500000005</v>
      </c>
      <c r="AN181" s="13">
        <v>20</v>
      </c>
      <c r="AO181" s="1">
        <f t="shared" si="45"/>
        <v>134.04999999999998</v>
      </c>
      <c r="AP181" s="1154">
        <f t="shared" si="46"/>
        <v>2680.9999999999995</v>
      </c>
      <c r="AR181" s="1154">
        <f t="shared" si="47"/>
        <v>5155.1955000000007</v>
      </c>
      <c r="AU181" s="1">
        <f t="shared" si="49"/>
        <v>383</v>
      </c>
      <c r="AV181" s="240">
        <f t="shared" si="48"/>
        <v>-0.47994212828592064</v>
      </c>
      <c r="AW181">
        <v>7660</v>
      </c>
      <c r="BD181" s="726">
        <v>344</v>
      </c>
      <c r="BE181" s="13">
        <v>10</v>
      </c>
      <c r="BF181" s="1">
        <v>541.79999999999995</v>
      </c>
      <c r="BG181" s="1154">
        <v>5418</v>
      </c>
    </row>
    <row r="182" spans="1:59" x14ac:dyDescent="0.2">
      <c r="A182" s="1139" t="s">
        <v>8524</v>
      </c>
      <c r="B182" s="1140">
        <v>2339.7600000000002</v>
      </c>
      <c r="C182" s="1141">
        <v>100</v>
      </c>
      <c r="D182" s="1141">
        <v>30</v>
      </c>
      <c r="S182" s="1">
        <f t="shared" si="34"/>
        <v>245</v>
      </c>
      <c r="T182" s="1">
        <f t="shared" si="35"/>
        <v>2339.7600000000002</v>
      </c>
      <c r="U182" s="726">
        <v>245</v>
      </c>
      <c r="V182" s="1">
        <v>411.00000000000006</v>
      </c>
      <c r="W182" s="1">
        <f t="shared" si="32"/>
        <v>350.96400000000011</v>
      </c>
      <c r="Y182" s="240">
        <f t="shared" si="36"/>
        <v>0.17106027968680526</v>
      </c>
      <c r="AA182" s="1321">
        <v>316</v>
      </c>
      <c r="AB182" s="1322">
        <v>136.5</v>
      </c>
      <c r="AC182" s="1322">
        <v>106.26600000000002</v>
      </c>
      <c r="AD182" s="1323">
        <v>0</v>
      </c>
      <c r="AE182" s="1324">
        <v>0.28451244988989877</v>
      </c>
      <c r="AJ182" t="s">
        <v>4624</v>
      </c>
      <c r="AL182" s="726">
        <v>330</v>
      </c>
      <c r="AM182" s="1">
        <f t="shared" si="25"/>
        <v>272.01352500000007</v>
      </c>
      <c r="AN182" s="13">
        <v>20</v>
      </c>
      <c r="AO182" s="1">
        <f t="shared" si="45"/>
        <v>141.47</v>
      </c>
      <c r="AP182" s="1154">
        <f t="shared" si="46"/>
        <v>2829.4</v>
      </c>
      <c r="AR182" s="1154">
        <f t="shared" si="47"/>
        <v>5440.2705000000014</v>
      </c>
      <c r="AU182" s="1">
        <f t="shared" si="49"/>
        <v>404.2</v>
      </c>
      <c r="AV182" s="240">
        <f t="shared" si="48"/>
        <v>-0.47991556669838398</v>
      </c>
      <c r="AW182">
        <v>8084</v>
      </c>
      <c r="BD182" s="726">
        <v>345</v>
      </c>
      <c r="BE182" s="13">
        <v>10</v>
      </c>
      <c r="BF182" s="1">
        <v>322.38499999999999</v>
      </c>
      <c r="BG182" s="1154">
        <v>3223.85</v>
      </c>
    </row>
    <row r="183" spans="1:59" x14ac:dyDescent="0.2">
      <c r="A183" s="1139" t="s">
        <v>8525</v>
      </c>
      <c r="B183" s="1140">
        <v>2385.08</v>
      </c>
      <c r="C183" s="1141">
        <v>100</v>
      </c>
      <c r="D183" s="1141">
        <v>10</v>
      </c>
      <c r="S183" s="1">
        <f t="shared" si="34"/>
        <v>246</v>
      </c>
      <c r="T183" s="1">
        <f t="shared" si="35"/>
        <v>2385.08</v>
      </c>
      <c r="U183" s="726">
        <v>246</v>
      </c>
      <c r="V183" s="1" t="s">
        <v>8353</v>
      </c>
      <c r="W183" s="1">
        <f t="shared" si="32"/>
        <v>357.76200000000006</v>
      </c>
      <c r="Y183" s="240" t="str">
        <f t="shared" si="36"/>
        <v/>
      </c>
      <c r="AA183" s="1321">
        <v>317</v>
      </c>
      <c r="AB183" s="1322">
        <v>147</v>
      </c>
      <c r="AC183" s="1322">
        <v>113.94900000000001</v>
      </c>
      <c r="AD183" s="1323">
        <v>0</v>
      </c>
      <c r="AE183" s="1324">
        <v>0.29005081220546014</v>
      </c>
      <c r="AJ183" t="s">
        <v>4624</v>
      </c>
      <c r="AL183" s="726">
        <v>331</v>
      </c>
      <c r="AM183" s="1">
        <f t="shared" si="25"/>
        <v>301.8755250000001</v>
      </c>
      <c r="AN183" s="13">
        <v>20</v>
      </c>
      <c r="AO183" s="1">
        <f t="shared" si="45"/>
        <v>157.01</v>
      </c>
      <c r="AP183" s="1154">
        <f t="shared" si="46"/>
        <v>3140.2</v>
      </c>
      <c r="AR183" s="1154">
        <f t="shared" si="47"/>
        <v>6037.5105000000021</v>
      </c>
      <c r="AU183" s="1">
        <f t="shared" si="49"/>
        <v>448.6</v>
      </c>
      <c r="AV183" s="240">
        <f t="shared" si="48"/>
        <v>-0.479884962518906</v>
      </c>
      <c r="AW183">
        <v>8972</v>
      </c>
      <c r="BD183" s="726">
        <v>345</v>
      </c>
      <c r="BE183" s="13">
        <v>10</v>
      </c>
      <c r="BF183" s="1">
        <v>553.84</v>
      </c>
      <c r="BG183" s="1154">
        <v>5538.4000000000005</v>
      </c>
    </row>
    <row r="184" spans="1:59" x14ac:dyDescent="0.2">
      <c r="A184" s="1139" t="s">
        <v>8526</v>
      </c>
      <c r="B184" s="1140">
        <v>2507.08</v>
      </c>
      <c r="C184" s="1141">
        <v>70</v>
      </c>
      <c r="D184" s="1141">
        <v>10</v>
      </c>
      <c r="S184" s="1">
        <f t="shared" si="34"/>
        <v>247</v>
      </c>
      <c r="T184" s="1">
        <f t="shared" si="35"/>
        <v>2507.08</v>
      </c>
      <c r="U184" s="726">
        <v>247</v>
      </c>
      <c r="V184" s="1">
        <v>457.5</v>
      </c>
      <c r="W184" s="1">
        <f t="shared" si="32"/>
        <v>376.06200000000007</v>
      </c>
      <c r="Y184" s="240">
        <f t="shared" si="36"/>
        <v>0.21655471704133866</v>
      </c>
      <c r="AA184" s="1321">
        <v>318</v>
      </c>
      <c r="AB184" s="1322">
        <v>151.5</v>
      </c>
      <c r="AC184" s="1322">
        <v>125.16150000000002</v>
      </c>
      <c r="AD184" s="1323">
        <v>0</v>
      </c>
      <c r="AE184" s="1324">
        <v>0.21043611653743355</v>
      </c>
      <c r="AJ184" t="s">
        <v>21564</v>
      </c>
      <c r="AL184" s="726">
        <v>332</v>
      </c>
      <c r="AM184" s="1">
        <f t="shared" si="25"/>
        <v>313.24702500000001</v>
      </c>
      <c r="AN184" s="13">
        <v>20</v>
      </c>
      <c r="AO184" s="1">
        <f t="shared" si="45"/>
        <v>162.92499999999998</v>
      </c>
      <c r="AP184" s="1154">
        <f t="shared" si="46"/>
        <v>3258.4999999999995</v>
      </c>
      <c r="AR184" s="1154">
        <f t="shared" si="47"/>
        <v>6264.9405000000006</v>
      </c>
      <c r="AU184" s="1">
        <f t="shared" si="49"/>
        <v>465.5</v>
      </c>
      <c r="AV184" s="240">
        <f t="shared" si="48"/>
        <v>-0.47988332850088522</v>
      </c>
      <c r="AW184">
        <v>9310</v>
      </c>
      <c r="BD184" s="726">
        <v>346</v>
      </c>
      <c r="BE184" s="13">
        <v>10</v>
      </c>
      <c r="BF184" s="1">
        <v>564.54999999999995</v>
      </c>
      <c r="BG184" s="1154">
        <v>5645.5</v>
      </c>
    </row>
    <row r="185" spans="1:59" x14ac:dyDescent="0.2">
      <c r="A185" s="1139" t="s">
        <v>8527</v>
      </c>
      <c r="B185" s="1140">
        <v>2579.27</v>
      </c>
      <c r="C185" s="1141">
        <v>70</v>
      </c>
      <c r="D185" s="1141">
        <v>10</v>
      </c>
      <c r="S185" s="1">
        <f t="shared" si="34"/>
        <v>248</v>
      </c>
      <c r="T185" s="1">
        <f t="shared" si="35"/>
        <v>2579.27</v>
      </c>
      <c r="U185" s="726">
        <v>248</v>
      </c>
      <c r="V185" s="1">
        <v>396</v>
      </c>
      <c r="W185" s="1">
        <f t="shared" si="32"/>
        <v>386.89050000000003</v>
      </c>
      <c r="Y185" s="240">
        <f t="shared" si="36"/>
        <v>2.3545421766623775E-2</v>
      </c>
      <c r="AA185" s="1321">
        <v>321</v>
      </c>
      <c r="AB185" s="1322">
        <v>175.5</v>
      </c>
      <c r="AC185" s="1322">
        <v>146.01600000000002</v>
      </c>
      <c r="AD185" s="1323">
        <v>0</v>
      </c>
      <c r="AE185" s="1324">
        <v>0.20192307692307687</v>
      </c>
      <c r="AJ185" t="s">
        <v>21564</v>
      </c>
      <c r="AL185" s="726">
        <v>333</v>
      </c>
      <c r="AM185" s="1">
        <f t="shared" si="25"/>
        <v>336.49402500000002</v>
      </c>
      <c r="AN185" s="13">
        <v>20</v>
      </c>
      <c r="AO185" s="1">
        <f t="shared" si="45"/>
        <v>175</v>
      </c>
      <c r="AP185" s="1154">
        <f t="shared" si="46"/>
        <v>3500</v>
      </c>
      <c r="AR185" s="1154">
        <f t="shared" si="47"/>
        <v>6729.8805000000002</v>
      </c>
      <c r="AU185" s="1">
        <f t="shared" si="49"/>
        <v>500</v>
      </c>
      <c r="AV185" s="240">
        <f t="shared" si="48"/>
        <v>-0.47993133013283074</v>
      </c>
      <c r="AW185">
        <v>10000</v>
      </c>
      <c r="BD185" s="726">
        <v>347</v>
      </c>
      <c r="BE185" s="13">
        <v>10</v>
      </c>
      <c r="BF185" s="1">
        <v>299.91499999999996</v>
      </c>
      <c r="BG185" s="1154">
        <v>2999.1499999999996</v>
      </c>
    </row>
    <row r="186" spans="1:59" x14ac:dyDescent="0.2">
      <c r="A186" s="1139" t="s">
        <v>8528</v>
      </c>
      <c r="B186" s="1140">
        <v>2886.19</v>
      </c>
      <c r="C186" s="1141">
        <v>70</v>
      </c>
      <c r="D186" s="1141">
        <v>10</v>
      </c>
      <c r="S186" s="1">
        <f t="shared" si="34"/>
        <v>249</v>
      </c>
      <c r="T186" s="1">
        <f t="shared" si="35"/>
        <v>2886.19</v>
      </c>
      <c r="U186" s="726">
        <v>249</v>
      </c>
      <c r="V186" s="1">
        <v>459</v>
      </c>
      <c r="W186" s="1">
        <f t="shared" si="32"/>
        <v>432.9285000000001</v>
      </c>
      <c r="Y186" s="240">
        <f t="shared" si="36"/>
        <v>6.0221260554571776E-2</v>
      </c>
      <c r="AA186" s="1321">
        <v>322</v>
      </c>
      <c r="AB186" s="1322">
        <v>201</v>
      </c>
      <c r="AC186" s="1322">
        <v>148.47300000000004</v>
      </c>
      <c r="AD186" s="1323">
        <v>0</v>
      </c>
      <c r="AE186" s="1324">
        <v>0.35378149562546679</v>
      </c>
      <c r="AJ186" t="s">
        <v>21564</v>
      </c>
      <c r="AL186" s="726">
        <v>334</v>
      </c>
      <c r="AM186" s="1">
        <f t="shared" si="25"/>
        <v>343.61145000000005</v>
      </c>
      <c r="AN186" s="13">
        <v>20</v>
      </c>
      <c r="AO186" s="1">
        <f t="shared" si="45"/>
        <v>178.71</v>
      </c>
      <c r="AP186" s="1154">
        <f t="shared" si="46"/>
        <v>3574.2000000000003</v>
      </c>
      <c r="AR186" s="1154">
        <f t="shared" si="47"/>
        <v>6872.2290000000012</v>
      </c>
      <c r="AU186" s="1">
        <f t="shared" si="49"/>
        <v>510.6</v>
      </c>
      <c r="AV186" s="240">
        <f t="shared" si="48"/>
        <v>-0.47990673768292647</v>
      </c>
      <c r="AW186">
        <v>10212</v>
      </c>
      <c r="BD186" s="726">
        <v>348</v>
      </c>
      <c r="BE186" s="13">
        <v>10</v>
      </c>
      <c r="BF186" s="1">
        <v>316.04999999999995</v>
      </c>
      <c r="BG186" s="1154">
        <v>3160.4999999999995</v>
      </c>
    </row>
    <row r="187" spans="1:59" x14ac:dyDescent="0.2">
      <c r="A187" s="1139" t="s">
        <v>8529</v>
      </c>
      <c r="B187" s="1140">
        <v>2923.92</v>
      </c>
      <c r="C187" s="1141">
        <v>70</v>
      </c>
      <c r="D187" s="1141">
        <v>10</v>
      </c>
      <c r="S187" s="1">
        <f t="shared" si="34"/>
        <v>250</v>
      </c>
      <c r="T187" s="1">
        <f t="shared" si="35"/>
        <v>2923.92</v>
      </c>
      <c r="U187" s="726">
        <v>250</v>
      </c>
      <c r="V187" s="1">
        <v>456</v>
      </c>
      <c r="W187" s="1">
        <f t="shared" si="32"/>
        <v>438.58800000000008</v>
      </c>
      <c r="Y187" s="240">
        <f t="shared" si="36"/>
        <v>3.9700128594489348E-2</v>
      </c>
      <c r="AA187" s="1321">
        <v>324</v>
      </c>
      <c r="AB187" s="1322">
        <v>211.49999999999997</v>
      </c>
      <c r="AC187" s="1322">
        <v>165.39000000000001</v>
      </c>
      <c r="AD187" s="1323">
        <v>0</v>
      </c>
      <c r="AE187" s="1324">
        <v>0.27879557409758715</v>
      </c>
      <c r="AJ187" t="s">
        <v>21564</v>
      </c>
      <c r="AL187" s="726">
        <v>335</v>
      </c>
      <c r="AM187" s="1">
        <f t="shared" si="25"/>
        <v>350.64697500000005</v>
      </c>
      <c r="AN187" s="13">
        <v>20</v>
      </c>
      <c r="AO187" s="1">
        <f t="shared" si="45"/>
        <v>182.35</v>
      </c>
      <c r="AP187" s="1154">
        <f t="shared" si="46"/>
        <v>3647</v>
      </c>
      <c r="AR187" s="1154">
        <f t="shared" si="47"/>
        <v>7012.9395000000013</v>
      </c>
      <c r="AU187" s="1">
        <f t="shared" si="49"/>
        <v>521</v>
      </c>
      <c r="AV187" s="240">
        <f t="shared" si="48"/>
        <v>-0.47996129155256517</v>
      </c>
      <c r="AW187">
        <v>10420</v>
      </c>
      <c r="BD187" s="726">
        <v>353</v>
      </c>
      <c r="BE187" s="13">
        <v>10</v>
      </c>
      <c r="BF187" s="1">
        <v>347.72499999999997</v>
      </c>
      <c r="BG187" s="1154">
        <v>3477.2499999999995</v>
      </c>
    </row>
    <row r="188" spans="1:59" x14ac:dyDescent="0.2">
      <c r="A188" s="1139" t="s">
        <v>8530</v>
      </c>
      <c r="B188" s="1140">
        <v>3000.8</v>
      </c>
      <c r="C188" s="1141">
        <v>70</v>
      </c>
      <c r="D188" s="1141">
        <v>10</v>
      </c>
      <c r="S188" s="1">
        <f t="shared" si="34"/>
        <v>251</v>
      </c>
      <c r="T188" s="1">
        <f t="shared" si="35"/>
        <v>3000.8</v>
      </c>
      <c r="U188" s="726">
        <v>251</v>
      </c>
      <c r="V188" s="1">
        <v>400.5</v>
      </c>
      <c r="W188" s="1">
        <f t="shared" si="32"/>
        <v>450.12000000000012</v>
      </c>
      <c r="Y188" s="240">
        <f t="shared" si="36"/>
        <v>-0.11023727006131723</v>
      </c>
      <c r="AA188" s="1321">
        <v>325</v>
      </c>
      <c r="AB188" s="1322">
        <v>225</v>
      </c>
      <c r="AC188" s="1322">
        <v>174.55050000000003</v>
      </c>
      <c r="AD188" s="1323">
        <v>0</v>
      </c>
      <c r="AE188" s="1324">
        <v>0.28902523911418165</v>
      </c>
      <c r="AJ188" t="s">
        <v>21564</v>
      </c>
      <c r="AL188" s="726">
        <v>336</v>
      </c>
      <c r="AM188" s="1">
        <f t="shared" si="25"/>
        <v>366.75765000000007</v>
      </c>
      <c r="AN188" s="13">
        <v>20</v>
      </c>
      <c r="AO188" s="1">
        <f t="shared" si="45"/>
        <v>190.75</v>
      </c>
      <c r="AP188" s="1154">
        <f t="shared" si="46"/>
        <v>3815</v>
      </c>
      <c r="AR188" s="1154">
        <f t="shared" si="47"/>
        <v>7335.1530000000012</v>
      </c>
      <c r="AU188" s="1">
        <f t="shared" si="49"/>
        <v>545</v>
      </c>
      <c r="AV188" s="240">
        <f t="shared" si="48"/>
        <v>-0.47990178255313842</v>
      </c>
      <c r="AW188">
        <v>10900</v>
      </c>
      <c r="BD188" s="726">
        <v>354</v>
      </c>
      <c r="BE188" s="13">
        <v>10</v>
      </c>
      <c r="BF188" s="1">
        <v>353.71</v>
      </c>
      <c r="BG188" s="1154">
        <v>3537.1</v>
      </c>
    </row>
    <row r="189" spans="1:59" x14ac:dyDescent="0.2">
      <c r="A189" s="1139" t="s">
        <v>8531</v>
      </c>
      <c r="B189" s="1140">
        <v>3078.81</v>
      </c>
      <c r="C189" s="1141">
        <v>70</v>
      </c>
      <c r="D189" s="1141">
        <v>10</v>
      </c>
      <c r="S189" s="1">
        <f t="shared" si="34"/>
        <v>252</v>
      </c>
      <c r="T189" s="1">
        <f t="shared" si="35"/>
        <v>3078.81</v>
      </c>
      <c r="U189" s="726">
        <v>252</v>
      </c>
      <c r="V189" s="1" t="s">
        <v>8353</v>
      </c>
      <c r="W189" s="1">
        <f t="shared" si="32"/>
        <v>461.82150000000007</v>
      </c>
      <c r="Y189" s="240" t="str">
        <f t="shared" si="36"/>
        <v/>
      </c>
      <c r="AA189" s="1321">
        <v>326</v>
      </c>
      <c r="AB189" s="1322">
        <v>253.50000000000003</v>
      </c>
      <c r="AC189" s="1322">
        <v>189.31800000000001</v>
      </c>
      <c r="AD189" s="1323">
        <v>0</v>
      </c>
      <c r="AE189" s="1324">
        <v>0.33901689221310183</v>
      </c>
      <c r="AJ189" t="s">
        <v>21564</v>
      </c>
      <c r="AL189" s="726">
        <v>337</v>
      </c>
      <c r="AM189" s="1">
        <f t="shared" si="25"/>
        <v>375.12562500000007</v>
      </c>
      <c r="AN189" s="13">
        <v>20</v>
      </c>
      <c r="AO189" s="1">
        <f t="shared" si="45"/>
        <v>195.10750000000002</v>
      </c>
      <c r="AP189" s="1154">
        <f t="shared" si="46"/>
        <v>3902.1500000000005</v>
      </c>
      <c r="AR189" s="1154">
        <f t="shared" si="47"/>
        <v>7502.5125000000016</v>
      </c>
      <c r="AU189" s="1">
        <f t="shared" si="49"/>
        <v>557.45000000000005</v>
      </c>
      <c r="AV189" s="240">
        <f t="shared" si="48"/>
        <v>-0.47988757099704937</v>
      </c>
      <c r="AW189">
        <v>11149</v>
      </c>
      <c r="BD189" s="726">
        <v>355</v>
      </c>
      <c r="BE189" s="13">
        <v>10</v>
      </c>
      <c r="BF189" s="1">
        <v>360.15</v>
      </c>
      <c r="BG189" s="1154">
        <v>3601.5</v>
      </c>
    </row>
    <row r="190" spans="1:59" x14ac:dyDescent="0.2">
      <c r="A190" s="1139" t="s">
        <v>8532</v>
      </c>
      <c r="B190" s="1140">
        <v>3190.87</v>
      </c>
      <c r="C190" s="1141">
        <v>70</v>
      </c>
      <c r="D190" s="1141">
        <v>10</v>
      </c>
      <c r="S190" s="1">
        <f t="shared" si="34"/>
        <v>253</v>
      </c>
      <c r="T190" s="1">
        <f t="shared" si="35"/>
        <v>3190.87</v>
      </c>
      <c r="U190" s="726">
        <v>253</v>
      </c>
      <c r="V190" s="1">
        <v>477</v>
      </c>
      <c r="W190" s="1">
        <f t="shared" si="32"/>
        <v>478.63050000000004</v>
      </c>
      <c r="Y190" s="240">
        <f t="shared" si="36"/>
        <v>-3.4065944397609904E-3</v>
      </c>
      <c r="AA190" s="1321">
        <v>327</v>
      </c>
      <c r="AB190" s="1322">
        <v>265.5</v>
      </c>
      <c r="AC190" s="1322">
        <v>206.61900000000003</v>
      </c>
      <c r="AD190" s="1323">
        <v>0</v>
      </c>
      <c r="AE190" s="1324">
        <v>0.28497379234242715</v>
      </c>
      <c r="AJ190" t="s">
        <v>21564</v>
      </c>
      <c r="AL190" s="726">
        <v>338</v>
      </c>
      <c r="AM190" s="1">
        <f t="shared" si="25"/>
        <v>428.08027500000009</v>
      </c>
      <c r="AN190" s="13">
        <v>20</v>
      </c>
      <c r="AO190" s="1">
        <f t="shared" si="45"/>
        <v>222.65249999999997</v>
      </c>
      <c r="AP190" s="1154">
        <f t="shared" si="46"/>
        <v>4453.0499999999993</v>
      </c>
      <c r="AR190" s="1154">
        <f t="shared" si="47"/>
        <v>8561.6055000000015</v>
      </c>
      <c r="AU190" s="1">
        <f t="shared" si="49"/>
        <v>636.15</v>
      </c>
      <c r="AV190" s="240">
        <f t="shared" si="48"/>
        <v>-0.47988143111709614</v>
      </c>
      <c r="AW190">
        <v>12723</v>
      </c>
      <c r="BD190" s="726">
        <v>356</v>
      </c>
      <c r="BE190" s="13">
        <v>5</v>
      </c>
      <c r="BF190" s="1">
        <v>419.65</v>
      </c>
      <c r="BG190" s="1154">
        <v>2098.25</v>
      </c>
    </row>
    <row r="191" spans="1:59" x14ac:dyDescent="0.2">
      <c r="A191" s="1139" t="s">
        <v>8533</v>
      </c>
      <c r="B191" s="1140">
        <v>3481.08</v>
      </c>
      <c r="C191" s="1141">
        <v>50</v>
      </c>
      <c r="D191" s="1141">
        <v>10</v>
      </c>
      <c r="S191" s="1">
        <f t="shared" si="34"/>
        <v>254</v>
      </c>
      <c r="T191" s="1">
        <f t="shared" si="35"/>
        <v>3481.08</v>
      </c>
      <c r="U191" s="726">
        <v>254</v>
      </c>
      <c r="V191" s="1">
        <v>603</v>
      </c>
      <c r="W191" s="1">
        <f t="shared" si="32"/>
        <v>522.16200000000003</v>
      </c>
      <c r="Y191" s="240">
        <f t="shared" si="36"/>
        <v>0.1548140232341686</v>
      </c>
      <c r="AA191" s="1321">
        <v>328</v>
      </c>
      <c r="AB191" s="1322">
        <v>292.5</v>
      </c>
      <c r="AC191" s="1322">
        <v>222.07650000000004</v>
      </c>
      <c r="AD191" s="1323">
        <v>0</v>
      </c>
      <c r="AE191" s="1324">
        <v>0.31711369730700878</v>
      </c>
      <c r="AJ191" t="s">
        <v>21564</v>
      </c>
      <c r="AL191" s="726">
        <v>339</v>
      </c>
      <c r="AM191" s="1">
        <f t="shared" si="25"/>
        <v>437.42790000000008</v>
      </c>
      <c r="AN191" s="13">
        <v>20</v>
      </c>
      <c r="AO191" s="1">
        <f t="shared" si="45"/>
        <v>227.49999999999997</v>
      </c>
      <c r="AP191" s="1154">
        <f t="shared" si="46"/>
        <v>4549.9999999999991</v>
      </c>
      <c r="AR191" s="1154">
        <f t="shared" si="47"/>
        <v>8748.5580000000009</v>
      </c>
      <c r="AU191" s="1">
        <f t="shared" si="49"/>
        <v>650</v>
      </c>
      <c r="AV191" s="240">
        <f t="shared" si="48"/>
        <v>-0.47991428987497153</v>
      </c>
      <c r="AW191">
        <v>13000</v>
      </c>
      <c r="BD191" s="726">
        <v>357</v>
      </c>
      <c r="BE191" s="13">
        <v>5</v>
      </c>
      <c r="BF191" s="1">
        <v>431.54999999999995</v>
      </c>
      <c r="BG191" s="1154">
        <v>2157.75</v>
      </c>
    </row>
    <row r="192" spans="1:59" x14ac:dyDescent="0.2">
      <c r="A192" s="1139" t="s">
        <v>8534</v>
      </c>
      <c r="B192" s="1140">
        <v>3529.31</v>
      </c>
      <c r="C192" s="1141">
        <v>50</v>
      </c>
      <c r="D192" s="1141">
        <v>10</v>
      </c>
      <c r="S192" s="1">
        <f t="shared" si="34"/>
        <v>255</v>
      </c>
      <c r="T192" s="1">
        <f t="shared" si="35"/>
        <v>3529.31</v>
      </c>
      <c r="U192" s="726">
        <v>255</v>
      </c>
      <c r="V192" s="1">
        <v>492</v>
      </c>
      <c r="W192" s="1">
        <f t="shared" si="32"/>
        <v>529.39650000000006</v>
      </c>
      <c r="Y192" s="240">
        <f t="shared" si="36"/>
        <v>-7.0639870116255166E-2</v>
      </c>
      <c r="AA192" s="1321">
        <v>329</v>
      </c>
      <c r="AB192" s="1322">
        <v>282</v>
      </c>
      <c r="AC192" s="1322">
        <v>245.48550000000003</v>
      </c>
      <c r="AD192" s="1323">
        <v>0</v>
      </c>
      <c r="AE192" s="1324">
        <v>0.1487440195042069</v>
      </c>
      <c r="AJ192" t="s">
        <v>21564</v>
      </c>
      <c r="AL192" s="726">
        <v>340</v>
      </c>
      <c r="AM192" s="1">
        <f t="shared" si="25"/>
        <v>445.16902500000003</v>
      </c>
      <c r="AN192" s="13">
        <v>20</v>
      </c>
      <c r="AO192" s="1">
        <f t="shared" si="45"/>
        <v>231.54249999999996</v>
      </c>
      <c r="AP192" s="1154">
        <f t="shared" si="46"/>
        <v>4630.8499999999995</v>
      </c>
      <c r="AR192" s="1154">
        <f t="shared" si="47"/>
        <v>8903.3805000000011</v>
      </c>
      <c r="AU192" s="1">
        <f t="shared" si="49"/>
        <v>661.55</v>
      </c>
      <c r="AV192" s="240">
        <f t="shared" si="48"/>
        <v>-0.47987733423276713</v>
      </c>
      <c r="AW192">
        <v>13231</v>
      </c>
      <c r="BD192" s="726">
        <v>358</v>
      </c>
      <c r="BE192" s="13">
        <v>5</v>
      </c>
      <c r="BF192" s="1">
        <v>435.4</v>
      </c>
      <c r="BG192" s="1154">
        <v>2177</v>
      </c>
    </row>
    <row r="193" spans="1:59" x14ac:dyDescent="0.2">
      <c r="A193" s="1139" t="s">
        <v>8535</v>
      </c>
      <c r="B193" s="1140">
        <v>3614.93</v>
      </c>
      <c r="C193" s="1141">
        <v>50</v>
      </c>
      <c r="D193" s="1141">
        <v>10</v>
      </c>
      <c r="S193" s="1">
        <f t="shared" si="34"/>
        <v>256</v>
      </c>
      <c r="T193" s="1">
        <f t="shared" si="35"/>
        <v>3614.93</v>
      </c>
      <c r="U193" s="726">
        <v>256</v>
      </c>
      <c r="V193" s="1" t="s">
        <v>8353</v>
      </c>
      <c r="W193" s="1">
        <f t="shared" si="32"/>
        <v>542.23950000000002</v>
      </c>
      <c r="Y193" s="240" t="str">
        <f t="shared" si="36"/>
        <v/>
      </c>
      <c r="AA193" s="1321">
        <v>330</v>
      </c>
      <c r="AB193" s="1322">
        <v>315</v>
      </c>
      <c r="AC193" s="1322">
        <v>259.06050000000005</v>
      </c>
      <c r="AD193" s="1323">
        <v>0</v>
      </c>
      <c r="AE193" s="1324">
        <v>0.21593218572495587</v>
      </c>
      <c r="AJ193" t="s">
        <v>21564</v>
      </c>
      <c r="AL193" s="726">
        <v>341</v>
      </c>
      <c r="AM193" s="1">
        <f t="shared" si="25"/>
        <v>452.71170000000012</v>
      </c>
      <c r="AN193" s="13">
        <v>20</v>
      </c>
      <c r="AO193" s="1">
        <f t="shared" si="45"/>
        <v>235.46249999999998</v>
      </c>
      <c r="AP193" s="1154">
        <f t="shared" si="46"/>
        <v>4709.25</v>
      </c>
      <c r="AR193" s="1154">
        <f t="shared" si="47"/>
        <v>9054.2340000000022</v>
      </c>
      <c r="AU193" s="1">
        <f t="shared" si="49"/>
        <v>672.75</v>
      </c>
      <c r="AV193" s="240">
        <f t="shared" si="48"/>
        <v>-0.47988421770411516</v>
      </c>
      <c r="AW193">
        <v>13455</v>
      </c>
      <c r="BD193" s="726">
        <v>359</v>
      </c>
      <c r="BE193" s="13">
        <v>5</v>
      </c>
      <c r="BF193" s="1">
        <v>443.45</v>
      </c>
      <c r="BG193" s="1154">
        <v>2217.25</v>
      </c>
    </row>
    <row r="194" spans="1:59" x14ac:dyDescent="0.2">
      <c r="A194" s="1139" t="s">
        <v>8536</v>
      </c>
      <c r="B194" s="1140">
        <v>3639.26</v>
      </c>
      <c r="C194" s="1141">
        <v>50</v>
      </c>
      <c r="D194" s="1141">
        <v>10</v>
      </c>
      <c r="S194" s="1">
        <f t="shared" si="34"/>
        <v>257</v>
      </c>
      <c r="T194" s="1">
        <f t="shared" si="35"/>
        <v>3639.26</v>
      </c>
      <c r="U194" s="726">
        <v>257</v>
      </c>
      <c r="V194" s="1">
        <v>687</v>
      </c>
      <c r="W194" s="1">
        <f t="shared" si="32"/>
        <v>545.88900000000012</v>
      </c>
      <c r="Y194" s="240">
        <f t="shared" si="36"/>
        <v>0.25849760665629806</v>
      </c>
      <c r="AA194" s="1321">
        <v>331</v>
      </c>
      <c r="AB194" s="1322">
        <v>313.5</v>
      </c>
      <c r="AC194" s="1322">
        <v>287.50050000000005</v>
      </c>
      <c r="AD194" s="1323">
        <v>0</v>
      </c>
      <c r="AE194" s="1324">
        <v>9.0432886203676066E-2</v>
      </c>
      <c r="AJ194" t="s">
        <v>21564</v>
      </c>
      <c r="AL194" s="726">
        <v>342</v>
      </c>
      <c r="AM194" s="1">
        <f t="shared" si="25"/>
        <v>459.95040000000012</v>
      </c>
      <c r="AN194" s="13">
        <v>20</v>
      </c>
      <c r="AO194" s="1">
        <f t="shared" si="45"/>
        <v>239.24249999999998</v>
      </c>
      <c r="AP194" s="1154">
        <f t="shared" si="46"/>
        <v>4784.8499999999995</v>
      </c>
      <c r="AR194" s="1154">
        <f t="shared" si="47"/>
        <v>9199.0080000000016</v>
      </c>
      <c r="AU194" s="1">
        <f t="shared" si="49"/>
        <v>683.55</v>
      </c>
      <c r="AV194" s="240">
        <f t="shared" si="48"/>
        <v>-0.47985152312075408</v>
      </c>
      <c r="AW194">
        <v>13671</v>
      </c>
      <c r="BD194" s="726">
        <v>360</v>
      </c>
      <c r="BE194" s="13">
        <v>5</v>
      </c>
      <c r="BF194" s="1">
        <v>447.29999999999995</v>
      </c>
      <c r="BG194" s="1154">
        <v>2236.5</v>
      </c>
    </row>
    <row r="195" spans="1:59" x14ac:dyDescent="0.2">
      <c r="A195" s="1139" t="s">
        <v>8537</v>
      </c>
      <c r="B195" s="1140">
        <v>3699.55</v>
      </c>
      <c r="C195" s="1141">
        <v>50</v>
      </c>
      <c r="D195" s="1141">
        <v>10</v>
      </c>
      <c r="S195" s="1">
        <f t="shared" si="34"/>
        <v>258</v>
      </c>
      <c r="T195" s="1">
        <f t="shared" si="35"/>
        <v>3699.55</v>
      </c>
      <c r="U195" s="726">
        <v>258</v>
      </c>
      <c r="V195" s="1" t="s">
        <v>8353</v>
      </c>
      <c r="W195" s="1">
        <f t="shared" si="32"/>
        <v>554.93250000000012</v>
      </c>
      <c r="Y195" s="240" t="str">
        <f t="shared" si="36"/>
        <v/>
      </c>
      <c r="AA195" s="1321">
        <v>332</v>
      </c>
      <c r="AB195" s="1322">
        <v>336</v>
      </c>
      <c r="AC195" s="1322">
        <v>298.33050000000003</v>
      </c>
      <c r="AD195" s="1323">
        <v>0</v>
      </c>
      <c r="AE195" s="1324">
        <v>0.12626767963718089</v>
      </c>
      <c r="AJ195" t="s">
        <v>21564</v>
      </c>
      <c r="AL195" s="726">
        <v>343</v>
      </c>
      <c r="AM195" s="1">
        <f t="shared" si="25"/>
        <v>510.25590000000011</v>
      </c>
      <c r="AN195" s="13">
        <v>20</v>
      </c>
      <c r="AO195" s="1">
        <f t="shared" si="45"/>
        <v>265.38749999999999</v>
      </c>
      <c r="AP195" s="1154">
        <f t="shared" si="46"/>
        <v>5307.75</v>
      </c>
      <c r="AR195" s="1154">
        <f t="shared" si="47"/>
        <v>10205.118000000002</v>
      </c>
      <c r="AU195" s="1">
        <f t="shared" si="49"/>
        <v>758.25</v>
      </c>
      <c r="AV195" s="240">
        <f t="shared" si="48"/>
        <v>-0.47989332411442975</v>
      </c>
      <c r="AW195">
        <v>15165</v>
      </c>
      <c r="BD195" s="726">
        <v>361</v>
      </c>
      <c r="BE195" s="13">
        <v>5</v>
      </c>
      <c r="BF195" s="1">
        <v>453.24999999999994</v>
      </c>
      <c r="BG195" s="1154">
        <v>2266.2499999999995</v>
      </c>
    </row>
    <row r="196" spans="1:59" x14ac:dyDescent="0.2">
      <c r="A196" s="1139" t="s">
        <v>8538</v>
      </c>
      <c r="B196" s="1140">
        <v>4003.98</v>
      </c>
      <c r="C196" s="1141">
        <v>50</v>
      </c>
      <c r="D196" s="1141">
        <v>10</v>
      </c>
      <c r="S196" s="1">
        <f t="shared" si="34"/>
        <v>259</v>
      </c>
      <c r="T196" s="1">
        <f t="shared" si="35"/>
        <v>4003.98</v>
      </c>
      <c r="U196" s="726">
        <v>259</v>
      </c>
      <c r="V196" s="1">
        <v>756</v>
      </c>
      <c r="W196" s="1">
        <f t="shared" si="32"/>
        <v>600.59700000000009</v>
      </c>
      <c r="Y196" s="240">
        <f t="shared" si="36"/>
        <v>0.25874754619153917</v>
      </c>
      <c r="AA196" s="1321">
        <v>333</v>
      </c>
      <c r="AB196" s="1322">
        <v>349.5</v>
      </c>
      <c r="AC196" s="1322">
        <v>320.47050000000002</v>
      </c>
      <c r="AD196" s="1323">
        <v>0</v>
      </c>
      <c r="AE196" s="1324">
        <v>9.0584000711453783E-2</v>
      </c>
      <c r="AJ196" t="s">
        <v>21564</v>
      </c>
      <c r="AL196" s="726">
        <v>344</v>
      </c>
      <c r="AM196" s="1">
        <f t="shared" si="25"/>
        <v>520.90132500000016</v>
      </c>
      <c r="AN196" s="13">
        <v>10</v>
      </c>
      <c r="AO196" s="1">
        <f t="shared" si="45"/>
        <v>541.79999999999995</v>
      </c>
      <c r="AP196" s="1154">
        <f t="shared" si="46"/>
        <v>5418</v>
      </c>
      <c r="AR196" s="1154">
        <f t="shared" si="47"/>
        <v>5209.0132500000018</v>
      </c>
      <c r="AU196" s="1">
        <f t="shared" si="49"/>
        <v>1548</v>
      </c>
      <c r="AV196" s="240">
        <f t="shared" si="48"/>
        <v>4.0120218546189745E-2</v>
      </c>
      <c r="AW196">
        <v>15480</v>
      </c>
      <c r="BD196" s="726">
        <v>362</v>
      </c>
      <c r="BE196" s="13">
        <v>5</v>
      </c>
      <c r="BF196" s="1">
        <v>467.24999999999994</v>
      </c>
      <c r="BG196" s="1154">
        <v>2336.2499999999995</v>
      </c>
    </row>
    <row r="197" spans="1:59" x14ac:dyDescent="0.2">
      <c r="A197" s="1139" t="s">
        <v>8539</v>
      </c>
      <c r="B197" s="1140">
        <v>4309.1499999999996</v>
      </c>
      <c r="C197" s="1141">
        <v>50</v>
      </c>
      <c r="D197" s="1141">
        <v>10</v>
      </c>
      <c r="S197" s="1">
        <f t="shared" si="34"/>
        <v>260</v>
      </c>
      <c r="T197" s="1">
        <f t="shared" si="35"/>
        <v>4309.1499999999996</v>
      </c>
      <c r="U197" s="726">
        <v>260</v>
      </c>
      <c r="V197" s="1">
        <v>718.5</v>
      </c>
      <c r="W197" s="1">
        <f t="shared" ref="W197:W262" si="50">+IF(U197="",0,VLOOKUP("*"&amp;U197,$A$5:$D$414,2,0))*(1-0.5)*(1-$K$3)</f>
        <v>646.37250000000006</v>
      </c>
      <c r="Y197" s="240">
        <f t="shared" si="36"/>
        <v>0.1115881322302541</v>
      </c>
      <c r="AA197" s="1321">
        <v>334</v>
      </c>
      <c r="AB197" s="1322">
        <v>406.5</v>
      </c>
      <c r="AC197" s="1322">
        <v>327.24900000000002</v>
      </c>
      <c r="AD197" s="1323">
        <v>0</v>
      </c>
      <c r="AE197" s="1324">
        <v>0.24217339090417389</v>
      </c>
      <c r="AJ197" t="s">
        <v>21564</v>
      </c>
      <c r="AL197" s="726">
        <v>345</v>
      </c>
      <c r="AM197" s="1">
        <f t="shared" si="25"/>
        <v>532.27282500000013</v>
      </c>
      <c r="AN197" s="13">
        <v>10</v>
      </c>
      <c r="AO197" s="1">
        <f t="shared" si="45"/>
        <v>553.84</v>
      </c>
      <c r="AP197" s="1154">
        <f t="shared" si="46"/>
        <v>5538.4000000000005</v>
      </c>
      <c r="AR197" s="1154">
        <f t="shared" si="47"/>
        <v>5322.728250000001</v>
      </c>
      <c r="AU197" s="1">
        <f t="shared" si="49"/>
        <v>1582.4</v>
      </c>
      <c r="AV197" s="240">
        <f t="shared" si="48"/>
        <v>4.0519023303509538E-2</v>
      </c>
      <c r="AW197">
        <v>15824</v>
      </c>
      <c r="BD197" s="726">
        <v>363</v>
      </c>
      <c r="BE197" s="13">
        <v>5</v>
      </c>
      <c r="BF197" s="1">
        <v>488.24999999999994</v>
      </c>
      <c r="BG197" s="1154">
        <v>2441.2499999999995</v>
      </c>
    </row>
    <row r="198" spans="1:59" x14ac:dyDescent="0.2">
      <c r="A198" s="1139" t="s">
        <v>8540</v>
      </c>
      <c r="B198" s="1140">
        <v>4483.6099999999997</v>
      </c>
      <c r="C198" s="1141">
        <v>40</v>
      </c>
      <c r="D198" s="1141">
        <v>10</v>
      </c>
      <c r="S198" s="1">
        <f t="shared" ref="S198:S261" si="51">+RIGHT(A198,3)+0</f>
        <v>261</v>
      </c>
      <c r="T198" s="1">
        <f t="shared" ref="T198:T261" si="52">+B198</f>
        <v>4483.6099999999997</v>
      </c>
      <c r="U198" s="726">
        <v>261</v>
      </c>
      <c r="V198" s="1">
        <v>681</v>
      </c>
      <c r="W198" s="1">
        <f t="shared" si="50"/>
        <v>672.54150000000004</v>
      </c>
      <c r="Y198" s="240">
        <f t="shared" ref="Y198:Y261" si="53">IFERROR(V198/W198-1,"")</f>
        <v>1.2576919045144352E-2</v>
      </c>
      <c r="AA198" s="1321">
        <v>335</v>
      </c>
      <c r="AB198" s="1322">
        <v>394.5</v>
      </c>
      <c r="AC198" s="1322">
        <v>333.94950000000006</v>
      </c>
      <c r="AD198" s="1323">
        <v>0</v>
      </c>
      <c r="AE198" s="1324">
        <v>0.18131633675151471</v>
      </c>
      <c r="AJ198" t="s">
        <v>21564</v>
      </c>
      <c r="AL198" s="726">
        <v>346</v>
      </c>
      <c r="AM198" s="1">
        <f t="shared" si="25"/>
        <v>542.91825000000006</v>
      </c>
      <c r="AN198" s="13">
        <v>10</v>
      </c>
      <c r="AO198" s="1">
        <f t="shared" si="45"/>
        <v>564.54999999999995</v>
      </c>
      <c r="AP198" s="1154">
        <f t="shared" si="46"/>
        <v>5645.5</v>
      </c>
      <c r="AR198" s="1154">
        <f t="shared" si="47"/>
        <v>5429.1825000000008</v>
      </c>
      <c r="AU198" s="1">
        <f t="shared" si="49"/>
        <v>1613</v>
      </c>
      <c r="AV198" s="240">
        <f t="shared" si="48"/>
        <v>3.9843475514038884E-2</v>
      </c>
      <c r="AW198">
        <v>16130</v>
      </c>
      <c r="BD198" s="726">
        <v>364</v>
      </c>
      <c r="BE198" s="13">
        <v>5</v>
      </c>
      <c r="BF198" s="1">
        <v>502.95</v>
      </c>
      <c r="BG198" s="1154">
        <v>2514.75</v>
      </c>
    </row>
    <row r="199" spans="1:59" x14ac:dyDescent="0.2">
      <c r="A199" s="1139" t="s">
        <v>8541</v>
      </c>
      <c r="B199" s="1140">
        <v>4632.55</v>
      </c>
      <c r="C199" s="1141">
        <v>40</v>
      </c>
      <c r="D199" s="1141">
        <v>10</v>
      </c>
      <c r="S199" s="1">
        <f t="shared" si="51"/>
        <v>262</v>
      </c>
      <c r="T199" s="1">
        <f t="shared" si="52"/>
        <v>4632.55</v>
      </c>
      <c r="U199" s="726">
        <v>262</v>
      </c>
      <c r="V199" s="1">
        <v>681</v>
      </c>
      <c r="W199" s="1">
        <f t="shared" si="50"/>
        <v>694.88250000000016</v>
      </c>
      <c r="Y199" s="240">
        <f t="shared" si="53"/>
        <v>-1.9978197752857696E-2</v>
      </c>
      <c r="AA199" s="1321">
        <v>337</v>
      </c>
      <c r="AB199" s="1322">
        <v>433.49999999999994</v>
      </c>
      <c r="AC199" s="1322">
        <v>357.26250000000005</v>
      </c>
      <c r="AD199" s="1323">
        <v>0</v>
      </c>
      <c r="AE199" s="1324">
        <v>0.21339351317308664</v>
      </c>
      <c r="BD199" s="1155" t="s">
        <v>8162</v>
      </c>
      <c r="BE199" s="13"/>
      <c r="BF199" s="367"/>
      <c r="BG199" s="1441">
        <f>SUBTOTAL(109,Tabla6[TOTAL])</f>
        <v>334162.89899999992</v>
      </c>
    </row>
    <row r="200" spans="1:59" x14ac:dyDescent="0.2">
      <c r="A200" s="1139" t="s">
        <v>8542</v>
      </c>
      <c r="B200" s="1140">
        <v>4782.62</v>
      </c>
      <c r="C200" s="1141">
        <v>40</v>
      </c>
      <c r="D200" s="1141">
        <v>5</v>
      </c>
      <c r="S200" s="1">
        <f t="shared" si="51"/>
        <v>263</v>
      </c>
      <c r="T200" s="1">
        <f t="shared" si="52"/>
        <v>4782.62</v>
      </c>
      <c r="U200" s="726">
        <v>263</v>
      </c>
      <c r="V200" s="1" t="s">
        <v>8353</v>
      </c>
      <c r="W200" s="1">
        <f t="shared" si="50"/>
        <v>717.39300000000014</v>
      </c>
      <c r="Y200" s="240" t="str">
        <f t="shared" si="53"/>
        <v/>
      </c>
      <c r="AA200" s="1321">
        <v>338</v>
      </c>
      <c r="AB200" s="1322">
        <v>480</v>
      </c>
      <c r="AC200" s="1322">
        <v>407.69550000000004</v>
      </c>
      <c r="AD200" s="1323">
        <v>0</v>
      </c>
      <c r="AE200" s="1324">
        <v>0.17734927169909875</v>
      </c>
    </row>
    <row r="201" spans="1:59" x14ac:dyDescent="0.2">
      <c r="A201" s="1139" t="s">
        <v>8543</v>
      </c>
      <c r="B201" s="1140">
        <v>4931.84</v>
      </c>
      <c r="C201" s="1141">
        <v>40</v>
      </c>
      <c r="D201" s="1141">
        <v>5</v>
      </c>
      <c r="S201" s="1">
        <f t="shared" si="51"/>
        <v>264</v>
      </c>
      <c r="T201" s="1">
        <f t="shared" si="52"/>
        <v>4931.84</v>
      </c>
      <c r="U201" s="726">
        <v>264</v>
      </c>
      <c r="V201" s="1">
        <v>747</v>
      </c>
      <c r="W201" s="1">
        <f t="shared" si="50"/>
        <v>739.77600000000018</v>
      </c>
      <c r="Y201" s="240">
        <f t="shared" si="53"/>
        <v>9.7651180897999623E-3</v>
      </c>
      <c r="AA201" s="1321">
        <v>339</v>
      </c>
      <c r="AB201" s="1322">
        <v>484.5</v>
      </c>
      <c r="AC201" s="1322">
        <v>416.59800000000007</v>
      </c>
      <c r="AD201" s="1323">
        <v>0</v>
      </c>
      <c r="AE201" s="1324">
        <v>0.16299166102573692</v>
      </c>
    </row>
    <row r="202" spans="1:59" x14ac:dyDescent="0.2">
      <c r="A202" s="1139" t="s">
        <v>8544</v>
      </c>
      <c r="B202" s="1140">
        <v>6188.55</v>
      </c>
      <c r="C202" s="1141">
        <v>40</v>
      </c>
      <c r="D202" s="1141">
        <v>10</v>
      </c>
      <c r="S202" s="1">
        <f t="shared" si="51"/>
        <v>265</v>
      </c>
      <c r="T202" s="1">
        <f t="shared" si="52"/>
        <v>6188.55</v>
      </c>
      <c r="U202" s="726">
        <v>265</v>
      </c>
      <c r="V202" s="1">
        <v>976.5</v>
      </c>
      <c r="W202" s="1">
        <f t="shared" si="50"/>
        <v>928.28250000000014</v>
      </c>
      <c r="Y202" s="240">
        <f t="shared" si="53"/>
        <v>5.1942700632619854E-2</v>
      </c>
      <c r="AA202" s="1321">
        <v>340</v>
      </c>
      <c r="AB202" s="1322">
        <v>526.5</v>
      </c>
      <c r="AC202" s="1322">
        <v>423.97050000000002</v>
      </c>
      <c r="AD202" s="1323">
        <v>0</v>
      </c>
      <c r="AE202" s="1324">
        <v>0.24183168404405486</v>
      </c>
    </row>
    <row r="203" spans="1:59" x14ac:dyDescent="0.2">
      <c r="A203" s="1139" t="s">
        <v>8545</v>
      </c>
      <c r="B203" s="1140">
        <v>6357.62</v>
      </c>
      <c r="C203" s="1141">
        <v>40</v>
      </c>
      <c r="D203" s="1141">
        <v>10</v>
      </c>
      <c r="S203" s="1">
        <f t="shared" si="51"/>
        <v>266</v>
      </c>
      <c r="T203" s="1">
        <f t="shared" si="52"/>
        <v>6357.62</v>
      </c>
      <c r="U203" s="726">
        <v>266</v>
      </c>
      <c r="V203" s="1" t="s">
        <v>8353</v>
      </c>
      <c r="W203" s="1">
        <f t="shared" si="50"/>
        <v>953.64300000000014</v>
      </c>
      <c r="Y203" s="240" t="str">
        <f t="shared" si="53"/>
        <v/>
      </c>
      <c r="AA203" s="1321">
        <v>341</v>
      </c>
      <c r="AB203" s="1322">
        <v>552</v>
      </c>
      <c r="AC203" s="1322">
        <v>431.15400000000011</v>
      </c>
      <c r="AD203" s="1323">
        <v>0</v>
      </c>
      <c r="AE203" s="1324">
        <v>0.28028500257448585</v>
      </c>
    </row>
    <row r="204" spans="1:59" x14ac:dyDescent="0.2">
      <c r="A204" s="1139" t="s">
        <v>8546</v>
      </c>
      <c r="B204" s="1140">
        <v>6430.25</v>
      </c>
      <c r="C204" s="1141">
        <v>40</v>
      </c>
      <c r="D204" s="1141">
        <v>10</v>
      </c>
      <c r="S204" s="1">
        <f t="shared" si="51"/>
        <v>267</v>
      </c>
      <c r="T204" s="1">
        <f t="shared" si="52"/>
        <v>6430.25</v>
      </c>
      <c r="U204" s="726">
        <v>267</v>
      </c>
      <c r="V204" s="1">
        <v>912</v>
      </c>
      <c r="W204" s="1">
        <f t="shared" si="50"/>
        <v>964.53750000000014</v>
      </c>
      <c r="Y204" s="240">
        <f t="shared" si="53"/>
        <v>-5.4469110843279989E-2</v>
      </c>
      <c r="AA204" s="1325">
        <v>345</v>
      </c>
      <c r="AB204" s="1326">
        <v>556.5</v>
      </c>
      <c r="AC204" s="1326">
        <v>506.92650000000009</v>
      </c>
      <c r="AD204" s="1327">
        <v>0</v>
      </c>
      <c r="AE204" s="1328">
        <v>9.7792283496719756E-2</v>
      </c>
    </row>
    <row r="205" spans="1:59" x14ac:dyDescent="0.2">
      <c r="A205" s="1139" t="s">
        <v>8547</v>
      </c>
      <c r="B205" s="1140">
        <v>6623.44</v>
      </c>
      <c r="C205" s="1141">
        <v>40</v>
      </c>
      <c r="D205" s="1141">
        <v>10</v>
      </c>
      <c r="S205" s="1">
        <f t="shared" si="51"/>
        <v>268</v>
      </c>
      <c r="T205" s="1">
        <f t="shared" si="52"/>
        <v>6623.44</v>
      </c>
      <c r="U205" s="726">
        <v>268</v>
      </c>
      <c r="V205" s="1" t="s">
        <v>8353</v>
      </c>
      <c r="W205" s="1">
        <f t="shared" si="50"/>
        <v>993.51600000000008</v>
      </c>
      <c r="Y205" s="240" t="str">
        <f t="shared" si="53"/>
        <v/>
      </c>
    </row>
    <row r="206" spans="1:59" x14ac:dyDescent="0.2">
      <c r="A206" s="1139" t="s">
        <v>8548</v>
      </c>
      <c r="B206" s="1140">
        <v>6720.17</v>
      </c>
      <c r="C206" s="1141">
        <v>30</v>
      </c>
      <c r="D206" s="1141">
        <v>10</v>
      </c>
      <c r="S206" s="1">
        <f t="shared" si="51"/>
        <v>269</v>
      </c>
      <c r="T206" s="1">
        <f t="shared" si="52"/>
        <v>6720.17</v>
      </c>
      <c r="U206" s="726">
        <v>269</v>
      </c>
      <c r="V206" s="1" t="s">
        <v>8353</v>
      </c>
      <c r="W206" s="1">
        <f t="shared" si="50"/>
        <v>1008.0255000000002</v>
      </c>
      <c r="Y206" s="240" t="str">
        <f t="shared" si="53"/>
        <v/>
      </c>
    </row>
    <row r="207" spans="1:59" x14ac:dyDescent="0.2">
      <c r="A207" s="1139" t="s">
        <v>8549</v>
      </c>
      <c r="B207" s="1140">
        <v>6816.91</v>
      </c>
      <c r="C207" s="1141">
        <v>30</v>
      </c>
      <c r="D207" s="1141">
        <v>10</v>
      </c>
      <c r="S207" s="1">
        <f t="shared" si="51"/>
        <v>270</v>
      </c>
      <c r="T207" s="1">
        <f t="shared" si="52"/>
        <v>6816.91</v>
      </c>
      <c r="U207" s="726">
        <v>270</v>
      </c>
      <c r="V207" s="1">
        <v>895.5</v>
      </c>
      <c r="W207" s="1">
        <f t="shared" si="50"/>
        <v>1022.5365000000002</v>
      </c>
      <c r="Y207" s="240">
        <f t="shared" si="53"/>
        <v>-0.12423664094142373</v>
      </c>
    </row>
    <row r="208" spans="1:59" x14ac:dyDescent="0.2">
      <c r="A208" s="1139" t="s">
        <v>8550</v>
      </c>
      <c r="B208" s="1140">
        <v>6889.54</v>
      </c>
      <c r="C208" s="1141">
        <v>30</v>
      </c>
      <c r="D208" s="1141">
        <v>10</v>
      </c>
      <c r="S208" s="1">
        <f t="shared" si="51"/>
        <v>271</v>
      </c>
      <c r="T208" s="1">
        <f t="shared" si="52"/>
        <v>6889.54</v>
      </c>
      <c r="U208" s="726">
        <v>271</v>
      </c>
      <c r="V208" s="1" t="s">
        <v>8353</v>
      </c>
      <c r="W208" s="1">
        <f t="shared" si="50"/>
        <v>1033.431</v>
      </c>
      <c r="Y208" s="240" t="str">
        <f t="shared" si="53"/>
        <v/>
      </c>
    </row>
    <row r="209" spans="1:25" x14ac:dyDescent="0.2">
      <c r="A209" s="1139" t="s">
        <v>8551</v>
      </c>
      <c r="B209" s="1140">
        <v>6956.2</v>
      </c>
      <c r="C209" s="1141">
        <v>30</v>
      </c>
      <c r="D209" s="1141">
        <v>10</v>
      </c>
      <c r="S209" s="1">
        <f t="shared" si="51"/>
        <v>272</v>
      </c>
      <c r="T209" s="1">
        <f t="shared" si="52"/>
        <v>6956.2</v>
      </c>
      <c r="U209" s="726">
        <v>272</v>
      </c>
      <c r="V209" s="1" t="s">
        <v>8353</v>
      </c>
      <c r="W209" s="1">
        <f t="shared" si="50"/>
        <v>1043.43</v>
      </c>
      <c r="Y209" s="240" t="str">
        <f t="shared" si="53"/>
        <v/>
      </c>
    </row>
    <row r="210" spans="1:25" x14ac:dyDescent="0.2">
      <c r="S210" s="1" t="e">
        <f t="shared" si="51"/>
        <v>#VALUE!</v>
      </c>
      <c r="T210" s="1">
        <f t="shared" si="52"/>
        <v>0</v>
      </c>
      <c r="U210" s="726"/>
      <c r="V210" s="1" t="s">
        <v>8353</v>
      </c>
      <c r="W210" s="1">
        <f t="shared" si="50"/>
        <v>0</v>
      </c>
      <c r="Y210" s="240" t="str">
        <f t="shared" si="53"/>
        <v/>
      </c>
    </row>
    <row r="211" spans="1:25" x14ac:dyDescent="0.2">
      <c r="S211" s="1" t="e">
        <f t="shared" si="51"/>
        <v>#VALUE!</v>
      </c>
      <c r="T211" s="1">
        <f t="shared" si="52"/>
        <v>0</v>
      </c>
      <c r="U211" s="726"/>
      <c r="V211" s="1" t="s">
        <v>8353</v>
      </c>
      <c r="W211" s="1">
        <f t="shared" si="50"/>
        <v>0</v>
      </c>
      <c r="Y211" s="240" t="str">
        <f t="shared" si="53"/>
        <v/>
      </c>
    </row>
    <row r="212" spans="1:25" x14ac:dyDescent="0.2">
      <c r="A212" s="1139" t="s">
        <v>8552</v>
      </c>
      <c r="B212" s="1153">
        <v>7217.76</v>
      </c>
      <c r="C212" s="1141">
        <v>30</v>
      </c>
      <c r="D212" s="1141">
        <v>10</v>
      </c>
      <c r="S212" s="1">
        <f t="shared" si="51"/>
        <v>273</v>
      </c>
      <c r="T212" s="1">
        <f t="shared" si="52"/>
        <v>7217.76</v>
      </c>
      <c r="U212" s="726">
        <v>273</v>
      </c>
      <c r="V212" s="1" t="s">
        <v>8353</v>
      </c>
      <c r="W212" s="1">
        <f t="shared" si="50"/>
        <v>1082.6640000000002</v>
      </c>
      <c r="Y212" s="240" t="str">
        <f t="shared" si="53"/>
        <v/>
      </c>
    </row>
    <row r="213" spans="1:25" x14ac:dyDescent="0.2">
      <c r="A213" s="1139" t="s">
        <v>8553</v>
      </c>
      <c r="B213" s="1153">
        <v>7675.62</v>
      </c>
      <c r="C213" s="1141">
        <v>25</v>
      </c>
      <c r="D213" s="1141">
        <v>10</v>
      </c>
      <c r="S213" s="1">
        <f t="shared" si="51"/>
        <v>274</v>
      </c>
      <c r="T213" s="1">
        <f t="shared" si="52"/>
        <v>7675.62</v>
      </c>
      <c r="U213" s="726">
        <v>274</v>
      </c>
      <c r="V213" s="1" t="s">
        <v>8353</v>
      </c>
      <c r="W213" s="1">
        <f t="shared" si="50"/>
        <v>1151.3430000000001</v>
      </c>
      <c r="Y213" s="240" t="str">
        <f t="shared" si="53"/>
        <v/>
      </c>
    </row>
    <row r="214" spans="1:25" x14ac:dyDescent="0.2">
      <c r="A214" s="1139" t="s">
        <v>8554</v>
      </c>
      <c r="B214" s="1153">
        <v>7789.43</v>
      </c>
      <c r="C214" s="1141">
        <v>25</v>
      </c>
      <c r="D214" s="1141">
        <v>10</v>
      </c>
      <c r="S214" s="1">
        <f t="shared" si="51"/>
        <v>275</v>
      </c>
      <c r="T214" s="1">
        <f t="shared" si="52"/>
        <v>7789.43</v>
      </c>
      <c r="U214" s="726">
        <v>275</v>
      </c>
      <c r="V214" s="1" t="s">
        <v>8353</v>
      </c>
      <c r="W214" s="1">
        <f t="shared" si="50"/>
        <v>1168.4145000000003</v>
      </c>
      <c r="Y214" s="240" t="str">
        <f t="shared" si="53"/>
        <v/>
      </c>
    </row>
    <row r="215" spans="1:25" x14ac:dyDescent="0.2">
      <c r="A215" s="1139" t="s">
        <v>8555</v>
      </c>
      <c r="B215" s="1153">
        <v>9974.02</v>
      </c>
      <c r="C215" s="1141">
        <v>20</v>
      </c>
      <c r="D215" s="1141">
        <v>10</v>
      </c>
      <c r="S215" s="1">
        <f t="shared" si="51"/>
        <v>276</v>
      </c>
      <c r="T215" s="1">
        <f t="shared" si="52"/>
        <v>9974.02</v>
      </c>
      <c r="U215" s="726">
        <v>276</v>
      </c>
      <c r="V215" s="1" t="s">
        <v>8353</v>
      </c>
      <c r="W215" s="1">
        <f t="shared" si="50"/>
        <v>1496.1030000000003</v>
      </c>
      <c r="Y215" s="240" t="str">
        <f t="shared" si="53"/>
        <v/>
      </c>
    </row>
    <row r="216" spans="1:25" x14ac:dyDescent="0.2">
      <c r="A216" s="1139" t="s">
        <v>8556</v>
      </c>
      <c r="B216" s="1153">
        <v>10273.870000000001</v>
      </c>
      <c r="C216" s="1141">
        <v>20</v>
      </c>
      <c r="D216" s="1141">
        <v>10</v>
      </c>
      <c r="S216" s="1">
        <f t="shared" si="51"/>
        <v>277</v>
      </c>
      <c r="T216" s="1">
        <f t="shared" si="52"/>
        <v>10273.870000000001</v>
      </c>
      <c r="U216" s="726">
        <v>277</v>
      </c>
      <c r="V216" s="1" t="s">
        <v>8353</v>
      </c>
      <c r="W216" s="1">
        <f t="shared" si="50"/>
        <v>1541.0805000000003</v>
      </c>
      <c r="Y216" s="240" t="str">
        <f t="shared" si="53"/>
        <v/>
      </c>
    </row>
    <row r="217" spans="1:25" x14ac:dyDescent="0.2">
      <c r="A217" s="1139" t="s">
        <v>8557</v>
      </c>
      <c r="B217" s="1153">
        <v>11047.19</v>
      </c>
      <c r="C217" s="1141">
        <v>20</v>
      </c>
      <c r="D217" s="1141">
        <v>10</v>
      </c>
      <c r="S217" s="1">
        <f t="shared" si="51"/>
        <v>278</v>
      </c>
      <c r="T217" s="1">
        <f t="shared" si="52"/>
        <v>11047.19</v>
      </c>
      <c r="U217" s="726">
        <v>278</v>
      </c>
      <c r="V217" s="1" t="s">
        <v>8353</v>
      </c>
      <c r="W217" s="1">
        <f t="shared" si="50"/>
        <v>1657.0785000000003</v>
      </c>
      <c r="Y217" s="240" t="str">
        <f t="shared" si="53"/>
        <v/>
      </c>
    </row>
    <row r="218" spans="1:25" x14ac:dyDescent="0.2">
      <c r="A218" s="1139" t="s">
        <v>8558</v>
      </c>
      <c r="B218" s="1153">
        <v>12944.66</v>
      </c>
      <c r="C218" s="1141">
        <v>20</v>
      </c>
      <c r="D218" s="1141">
        <v>10</v>
      </c>
      <c r="S218" s="1">
        <f t="shared" si="51"/>
        <v>279</v>
      </c>
      <c r="T218" s="1">
        <f t="shared" si="52"/>
        <v>12944.66</v>
      </c>
      <c r="U218" s="726">
        <v>279</v>
      </c>
      <c r="V218" s="1" t="s">
        <v>8353</v>
      </c>
      <c r="W218" s="1">
        <f t="shared" si="50"/>
        <v>1941.6990000000003</v>
      </c>
      <c r="Y218" s="240" t="str">
        <f t="shared" si="53"/>
        <v/>
      </c>
    </row>
    <row r="219" spans="1:25" x14ac:dyDescent="0.2">
      <c r="A219" s="1139" t="s">
        <v>8559</v>
      </c>
      <c r="B219" s="1153">
        <v>13140.14</v>
      </c>
      <c r="C219" s="1141">
        <v>20</v>
      </c>
      <c r="D219" s="1141">
        <v>10</v>
      </c>
      <c r="S219" s="1">
        <f t="shared" si="51"/>
        <v>280</v>
      </c>
      <c r="T219" s="1">
        <f t="shared" si="52"/>
        <v>13140.14</v>
      </c>
      <c r="U219" s="726">
        <v>280</v>
      </c>
      <c r="V219" s="1" t="s">
        <v>8353</v>
      </c>
      <c r="W219" s="1">
        <f t="shared" si="50"/>
        <v>1971.0210000000002</v>
      </c>
      <c r="Y219" s="240" t="str">
        <f t="shared" si="53"/>
        <v/>
      </c>
    </row>
    <row r="220" spans="1:25" x14ac:dyDescent="0.2">
      <c r="A220" s="1139" t="s">
        <v>8560</v>
      </c>
      <c r="B220" s="1153">
        <v>13332.94</v>
      </c>
      <c r="C220" s="1141">
        <v>15</v>
      </c>
      <c r="D220" s="1141">
        <v>10</v>
      </c>
      <c r="S220" s="1">
        <f t="shared" si="51"/>
        <v>281</v>
      </c>
      <c r="T220" s="1">
        <f t="shared" si="52"/>
        <v>13332.94</v>
      </c>
      <c r="U220" s="726">
        <v>281</v>
      </c>
      <c r="V220" s="1" t="s">
        <v>8353</v>
      </c>
      <c r="W220" s="1">
        <f t="shared" si="50"/>
        <v>1999.9410000000005</v>
      </c>
      <c r="Y220" s="240" t="str">
        <f t="shared" si="53"/>
        <v/>
      </c>
    </row>
    <row r="221" spans="1:25" x14ac:dyDescent="0.2">
      <c r="A221" s="1139" t="s">
        <v>8561</v>
      </c>
      <c r="B221" s="1153">
        <v>20452.14</v>
      </c>
      <c r="C221" s="1141">
        <v>10</v>
      </c>
      <c r="D221" s="1141">
        <v>10</v>
      </c>
      <c r="S221" s="1">
        <f t="shared" si="51"/>
        <v>282</v>
      </c>
      <c r="T221" s="1">
        <f t="shared" si="52"/>
        <v>20452.14</v>
      </c>
      <c r="U221" s="726">
        <v>282</v>
      </c>
      <c r="V221" s="1" t="s">
        <v>8353</v>
      </c>
      <c r="W221" s="1">
        <f t="shared" si="50"/>
        <v>3067.8210000000004</v>
      </c>
      <c r="Y221" s="240" t="str">
        <f t="shared" si="53"/>
        <v/>
      </c>
    </row>
    <row r="222" spans="1:25" x14ac:dyDescent="0.2">
      <c r="A222" s="1139" t="s">
        <v>8562</v>
      </c>
      <c r="B222" s="1153">
        <v>20712</v>
      </c>
      <c r="C222" s="1141">
        <v>10</v>
      </c>
      <c r="D222" s="1141">
        <v>10</v>
      </c>
      <c r="S222" s="1">
        <f t="shared" si="51"/>
        <v>283</v>
      </c>
      <c r="T222" s="1">
        <f t="shared" si="52"/>
        <v>20712</v>
      </c>
      <c r="U222" s="726">
        <v>283</v>
      </c>
      <c r="V222" s="1" t="s">
        <v>8353</v>
      </c>
      <c r="W222" s="1">
        <f t="shared" si="50"/>
        <v>3106.8000000000006</v>
      </c>
      <c r="Y222" s="240" t="str">
        <f t="shared" si="53"/>
        <v/>
      </c>
    </row>
    <row r="223" spans="1:25" x14ac:dyDescent="0.2">
      <c r="A223" s="1139" t="s">
        <v>8563</v>
      </c>
      <c r="B223" s="1153">
        <v>22148.57</v>
      </c>
      <c r="C223" s="1141">
        <v>10</v>
      </c>
      <c r="D223" s="1141">
        <v>10</v>
      </c>
      <c r="S223" s="1">
        <f t="shared" si="51"/>
        <v>284</v>
      </c>
      <c r="T223" s="1">
        <f t="shared" si="52"/>
        <v>22148.57</v>
      </c>
      <c r="U223" s="726">
        <v>284</v>
      </c>
      <c r="V223" s="1" t="s">
        <v>8353</v>
      </c>
      <c r="W223" s="1">
        <f t="shared" si="50"/>
        <v>3322.2855000000004</v>
      </c>
      <c r="Y223" s="240" t="str">
        <f t="shared" si="53"/>
        <v/>
      </c>
    </row>
    <row r="224" spans="1:25" x14ac:dyDescent="0.2">
      <c r="A224" s="1139" t="s">
        <v>8564</v>
      </c>
      <c r="B224" s="1153">
        <v>409.27</v>
      </c>
      <c r="C224" s="1141">
        <v>400</v>
      </c>
      <c r="D224" s="1141">
        <v>30</v>
      </c>
      <c r="S224" s="1">
        <f t="shared" si="51"/>
        <v>309</v>
      </c>
      <c r="T224" s="1">
        <f t="shared" si="52"/>
        <v>409.27</v>
      </c>
      <c r="U224" s="726">
        <v>309</v>
      </c>
      <c r="V224" s="1" t="s">
        <v>8353</v>
      </c>
      <c r="W224" s="1">
        <f t="shared" si="50"/>
        <v>61.390500000000003</v>
      </c>
      <c r="Y224" s="240" t="str">
        <f t="shared" si="53"/>
        <v/>
      </c>
    </row>
    <row r="225" spans="1:25" x14ac:dyDescent="0.2">
      <c r="A225" s="1139" t="s">
        <v>8565</v>
      </c>
      <c r="B225" s="1153">
        <v>448.06</v>
      </c>
      <c r="C225" s="1141">
        <v>400</v>
      </c>
      <c r="D225" s="1141">
        <v>30</v>
      </c>
      <c r="S225" s="1">
        <f t="shared" si="51"/>
        <v>310</v>
      </c>
      <c r="T225" s="1">
        <f t="shared" si="52"/>
        <v>448.06</v>
      </c>
      <c r="U225" s="726">
        <v>310</v>
      </c>
      <c r="V225" s="1">
        <v>84</v>
      </c>
      <c r="W225" s="1">
        <f t="shared" si="50"/>
        <v>67.209000000000003</v>
      </c>
      <c r="Y225" s="240">
        <f t="shared" si="53"/>
        <v>0.24983261170378968</v>
      </c>
    </row>
    <row r="226" spans="1:25" x14ac:dyDescent="0.2">
      <c r="A226" s="1139" t="s">
        <v>8566</v>
      </c>
      <c r="B226" s="1153">
        <v>490.69</v>
      </c>
      <c r="C226" s="1141">
        <v>400</v>
      </c>
      <c r="D226" s="1141">
        <v>30</v>
      </c>
      <c r="S226" s="1">
        <f t="shared" si="51"/>
        <v>311</v>
      </c>
      <c r="T226" s="1">
        <f t="shared" si="52"/>
        <v>490.69</v>
      </c>
      <c r="U226" s="726">
        <v>311</v>
      </c>
      <c r="V226" s="1" t="s">
        <v>8353</v>
      </c>
      <c r="W226" s="1">
        <f t="shared" si="50"/>
        <v>73.603500000000011</v>
      </c>
      <c r="Y226" s="240" t="str">
        <f t="shared" si="53"/>
        <v/>
      </c>
    </row>
    <row r="227" spans="1:25" x14ac:dyDescent="0.2">
      <c r="A227" s="1139" t="s">
        <v>8567</v>
      </c>
      <c r="B227" s="1153">
        <v>526.79</v>
      </c>
      <c r="C227" s="1141">
        <v>400</v>
      </c>
      <c r="D227" s="1141">
        <v>30</v>
      </c>
      <c r="S227" s="1">
        <f t="shared" si="51"/>
        <v>312</v>
      </c>
      <c r="T227" s="1">
        <f t="shared" si="52"/>
        <v>526.79</v>
      </c>
      <c r="U227" s="726">
        <v>312</v>
      </c>
      <c r="V227" s="1">
        <v>100.5</v>
      </c>
      <c r="W227" s="1">
        <f t="shared" si="50"/>
        <v>79.018500000000003</v>
      </c>
      <c r="Y227" s="240">
        <f t="shared" si="53"/>
        <v>0.27185405949239727</v>
      </c>
    </row>
    <row r="228" spans="1:25" x14ac:dyDescent="0.2">
      <c r="A228" s="1139" t="s">
        <v>8568</v>
      </c>
      <c r="B228" s="1153">
        <v>573.26</v>
      </c>
      <c r="C228" s="1141">
        <v>300</v>
      </c>
      <c r="D228" s="1141">
        <v>30</v>
      </c>
      <c r="S228" s="1">
        <f t="shared" si="51"/>
        <v>313</v>
      </c>
      <c r="T228" s="1">
        <f t="shared" si="52"/>
        <v>573.26</v>
      </c>
      <c r="U228" s="726">
        <v>313</v>
      </c>
      <c r="V228" s="1" t="s">
        <v>8353</v>
      </c>
      <c r="W228" s="1">
        <f t="shared" si="50"/>
        <v>85.989000000000004</v>
      </c>
      <c r="Y228" s="240" t="str">
        <f t="shared" si="53"/>
        <v/>
      </c>
    </row>
    <row r="229" spans="1:25" x14ac:dyDescent="0.2">
      <c r="A229" s="1139" t="s">
        <v>8569</v>
      </c>
      <c r="B229" s="1153">
        <v>612.69000000000005</v>
      </c>
      <c r="C229" s="1141">
        <v>300</v>
      </c>
      <c r="D229" s="1141">
        <v>30</v>
      </c>
      <c r="S229" s="1">
        <f t="shared" si="51"/>
        <v>314</v>
      </c>
      <c r="T229" s="1">
        <f t="shared" si="52"/>
        <v>612.69000000000005</v>
      </c>
      <c r="U229" s="726">
        <v>314</v>
      </c>
      <c r="V229" s="1">
        <v>118.5</v>
      </c>
      <c r="W229" s="1">
        <f t="shared" si="50"/>
        <v>91.903500000000022</v>
      </c>
      <c r="Y229" s="240">
        <f t="shared" si="53"/>
        <v>0.28939594248314782</v>
      </c>
    </row>
    <row r="230" spans="1:25" x14ac:dyDescent="0.2">
      <c r="A230" s="1139" t="s">
        <v>8570</v>
      </c>
      <c r="B230" s="1153">
        <v>639.57000000000005</v>
      </c>
      <c r="C230" s="1141">
        <v>300</v>
      </c>
      <c r="D230" s="1141">
        <v>30</v>
      </c>
      <c r="S230" s="1">
        <f t="shared" si="51"/>
        <v>315</v>
      </c>
      <c r="T230" s="1">
        <f t="shared" si="52"/>
        <v>639.57000000000005</v>
      </c>
      <c r="U230" s="726">
        <v>315</v>
      </c>
      <c r="V230" s="1" t="s">
        <v>8353</v>
      </c>
      <c r="W230" s="1">
        <f t="shared" si="50"/>
        <v>95.935500000000019</v>
      </c>
      <c r="Y230" s="240" t="str">
        <f t="shared" si="53"/>
        <v/>
      </c>
    </row>
    <row r="231" spans="1:25" x14ac:dyDescent="0.2">
      <c r="A231" s="1139" t="s">
        <v>8571</v>
      </c>
      <c r="B231" s="1153">
        <v>708.44</v>
      </c>
      <c r="C231" s="1141">
        <v>250</v>
      </c>
      <c r="D231" s="1141">
        <v>30</v>
      </c>
      <c r="S231" s="1">
        <f t="shared" si="51"/>
        <v>316</v>
      </c>
      <c r="T231" s="1">
        <f t="shared" si="52"/>
        <v>708.44</v>
      </c>
      <c r="U231" s="726">
        <v>316</v>
      </c>
      <c r="V231" s="1">
        <v>136.5</v>
      </c>
      <c r="W231" s="1">
        <f t="shared" si="50"/>
        <v>106.26600000000002</v>
      </c>
      <c r="Y231" s="240">
        <f t="shared" si="53"/>
        <v>0.28451244988989877</v>
      </c>
    </row>
    <row r="232" spans="1:25" x14ac:dyDescent="0.2">
      <c r="A232" s="1139" t="s">
        <v>8572</v>
      </c>
      <c r="B232" s="1153">
        <v>759.66</v>
      </c>
      <c r="C232" s="1141">
        <v>250</v>
      </c>
      <c r="D232" s="1141">
        <v>30</v>
      </c>
      <c r="S232" s="1">
        <f t="shared" si="51"/>
        <v>317</v>
      </c>
      <c r="T232" s="1">
        <f t="shared" si="52"/>
        <v>759.66</v>
      </c>
      <c r="U232" s="726">
        <v>317</v>
      </c>
      <c r="V232" s="1">
        <v>147</v>
      </c>
      <c r="W232" s="1">
        <f t="shared" si="50"/>
        <v>113.94900000000001</v>
      </c>
      <c r="Y232" s="240">
        <f t="shared" si="53"/>
        <v>0.29005081220546014</v>
      </c>
    </row>
    <row r="233" spans="1:25" x14ac:dyDescent="0.2">
      <c r="A233" s="1139" t="s">
        <v>8573</v>
      </c>
      <c r="B233" s="1153">
        <v>834.41</v>
      </c>
      <c r="C233" s="1141">
        <v>250</v>
      </c>
      <c r="D233" s="1141">
        <v>30</v>
      </c>
      <c r="S233" s="1">
        <f t="shared" si="51"/>
        <v>318</v>
      </c>
      <c r="T233" s="1">
        <f t="shared" si="52"/>
        <v>834.41</v>
      </c>
      <c r="U233" s="726">
        <v>318</v>
      </c>
      <c r="V233" s="1">
        <v>151.5</v>
      </c>
      <c r="W233" s="1">
        <f t="shared" si="50"/>
        <v>125.16150000000002</v>
      </c>
      <c r="Y233" s="240">
        <f t="shared" si="53"/>
        <v>0.21043611653743355</v>
      </c>
    </row>
    <row r="234" spans="1:25" x14ac:dyDescent="0.2">
      <c r="A234" s="1139" t="s">
        <v>8574</v>
      </c>
      <c r="B234" s="1153">
        <v>871.15</v>
      </c>
      <c r="C234" s="1141">
        <v>200</v>
      </c>
      <c r="D234" s="1141">
        <v>30</v>
      </c>
      <c r="S234" s="1">
        <f t="shared" si="51"/>
        <v>319</v>
      </c>
      <c r="T234" s="1">
        <f t="shared" si="52"/>
        <v>871.15</v>
      </c>
      <c r="U234" s="726">
        <v>319</v>
      </c>
      <c r="V234" s="1" t="s">
        <v>8353</v>
      </c>
      <c r="W234" s="1">
        <f t="shared" si="50"/>
        <v>130.67250000000001</v>
      </c>
      <c r="Y234" s="240" t="str">
        <f t="shared" si="53"/>
        <v/>
      </c>
    </row>
    <row r="235" spans="1:25" x14ac:dyDescent="0.2">
      <c r="A235" s="1139" t="s">
        <v>8575</v>
      </c>
      <c r="B235" s="1153">
        <v>926.2</v>
      </c>
      <c r="C235" s="1141">
        <v>200</v>
      </c>
      <c r="D235" s="1141">
        <v>30</v>
      </c>
      <c r="S235" s="1">
        <f t="shared" si="51"/>
        <v>320</v>
      </c>
      <c r="T235" s="1">
        <f t="shared" si="52"/>
        <v>926.2</v>
      </c>
      <c r="U235" s="726">
        <v>320</v>
      </c>
      <c r="V235" s="1" t="s">
        <v>8353</v>
      </c>
      <c r="W235" s="1">
        <f t="shared" si="50"/>
        <v>138.93000000000004</v>
      </c>
      <c r="Y235" s="240" t="str">
        <f t="shared" si="53"/>
        <v/>
      </c>
    </row>
    <row r="236" spans="1:25" x14ac:dyDescent="0.2">
      <c r="A236" s="1139" t="s">
        <v>8576</v>
      </c>
      <c r="B236" s="1153">
        <v>973.44</v>
      </c>
      <c r="C236" s="1141">
        <v>200</v>
      </c>
      <c r="D236" s="1141">
        <v>30</v>
      </c>
      <c r="S236" s="1">
        <f t="shared" si="51"/>
        <v>321</v>
      </c>
      <c r="T236" s="1">
        <f t="shared" si="52"/>
        <v>973.44</v>
      </c>
      <c r="U236" s="726">
        <v>321</v>
      </c>
      <c r="V236" s="1">
        <v>175.5</v>
      </c>
      <c r="W236" s="1">
        <f t="shared" si="50"/>
        <v>146.01600000000002</v>
      </c>
      <c r="Y236" s="240">
        <f t="shared" si="53"/>
        <v>0.20192307692307687</v>
      </c>
    </row>
    <row r="237" spans="1:25" x14ac:dyDescent="0.2">
      <c r="A237" s="1139" t="s">
        <v>8577</v>
      </c>
      <c r="B237" s="1153">
        <v>989.82</v>
      </c>
      <c r="C237" s="1141">
        <v>200</v>
      </c>
      <c r="D237" s="1141">
        <v>30</v>
      </c>
      <c r="S237" s="1">
        <f t="shared" si="51"/>
        <v>322</v>
      </c>
      <c r="T237" s="1">
        <f t="shared" si="52"/>
        <v>989.82</v>
      </c>
      <c r="U237" s="726">
        <v>322</v>
      </c>
      <c r="V237" s="1">
        <v>201</v>
      </c>
      <c r="W237" s="1">
        <f t="shared" si="50"/>
        <v>148.47300000000004</v>
      </c>
      <c r="Y237" s="240">
        <f t="shared" si="53"/>
        <v>0.35378149562546679</v>
      </c>
    </row>
    <row r="238" spans="1:25" x14ac:dyDescent="0.2">
      <c r="A238" s="1139" t="s">
        <v>8578</v>
      </c>
      <c r="B238" s="1153">
        <v>1052.8</v>
      </c>
      <c r="C238" s="1141">
        <v>200</v>
      </c>
      <c r="D238" s="1141">
        <v>30</v>
      </c>
      <c r="S238" s="1">
        <f t="shared" si="51"/>
        <v>323</v>
      </c>
      <c r="T238" s="1">
        <f t="shared" si="52"/>
        <v>1052.8</v>
      </c>
      <c r="U238" s="726">
        <v>323</v>
      </c>
      <c r="V238" s="1" t="s">
        <v>8353</v>
      </c>
      <c r="W238" s="1">
        <f t="shared" si="50"/>
        <v>157.92000000000002</v>
      </c>
      <c r="Y238" s="240" t="str">
        <f t="shared" si="53"/>
        <v/>
      </c>
    </row>
    <row r="239" spans="1:25" x14ac:dyDescent="0.2">
      <c r="A239" s="1139" t="s">
        <v>8579</v>
      </c>
      <c r="B239" s="1153">
        <v>1102.5999999999999</v>
      </c>
      <c r="C239" s="1141">
        <v>150</v>
      </c>
      <c r="D239" s="1141">
        <v>30</v>
      </c>
      <c r="S239" s="1">
        <f t="shared" si="51"/>
        <v>324</v>
      </c>
      <c r="T239" s="1">
        <f t="shared" si="52"/>
        <v>1102.5999999999999</v>
      </c>
      <c r="U239" s="726">
        <v>324</v>
      </c>
      <c r="V239" s="1">
        <v>211.49999999999997</v>
      </c>
      <c r="W239" s="1">
        <f t="shared" si="50"/>
        <v>165.39000000000001</v>
      </c>
      <c r="Y239" s="240">
        <f t="shared" si="53"/>
        <v>0.27879557409758715</v>
      </c>
    </row>
    <row r="240" spans="1:25" x14ac:dyDescent="0.2">
      <c r="A240" s="1139" t="s">
        <v>8580</v>
      </c>
      <c r="B240" s="1153">
        <v>1163.67</v>
      </c>
      <c r="C240" s="1141">
        <v>150</v>
      </c>
      <c r="D240" s="1141">
        <v>30</v>
      </c>
      <c r="S240" s="1">
        <f t="shared" si="51"/>
        <v>325</v>
      </c>
      <c r="T240" s="1">
        <f t="shared" si="52"/>
        <v>1163.67</v>
      </c>
      <c r="U240" s="726">
        <v>325</v>
      </c>
      <c r="V240" s="1">
        <v>225</v>
      </c>
      <c r="W240" s="1">
        <f t="shared" si="50"/>
        <v>174.55050000000003</v>
      </c>
      <c r="Y240" s="240">
        <f t="shared" si="53"/>
        <v>0.28902523911418165</v>
      </c>
    </row>
    <row r="241" spans="1:25" x14ac:dyDescent="0.2">
      <c r="A241" s="1139" t="s">
        <v>8581</v>
      </c>
      <c r="B241" s="1153">
        <v>1262.1199999999999</v>
      </c>
      <c r="C241" s="1141">
        <v>150</v>
      </c>
      <c r="D241" s="1141">
        <v>30</v>
      </c>
      <c r="S241" s="1">
        <f t="shared" si="51"/>
        <v>326</v>
      </c>
      <c r="T241" s="1">
        <f t="shared" si="52"/>
        <v>1262.1199999999999</v>
      </c>
      <c r="U241" s="726">
        <v>326</v>
      </c>
      <c r="V241" s="1">
        <v>253.50000000000003</v>
      </c>
      <c r="W241" s="1">
        <f t="shared" si="50"/>
        <v>189.31800000000001</v>
      </c>
      <c r="Y241" s="240">
        <f t="shared" si="53"/>
        <v>0.33901689221310183</v>
      </c>
    </row>
    <row r="242" spans="1:25" x14ac:dyDescent="0.2">
      <c r="A242" s="1139" t="s">
        <v>8582</v>
      </c>
      <c r="B242" s="1153">
        <v>1377.46</v>
      </c>
      <c r="C242" s="1141">
        <v>150</v>
      </c>
      <c r="D242" s="1141">
        <v>30</v>
      </c>
      <c r="S242" s="1">
        <f t="shared" si="51"/>
        <v>327</v>
      </c>
      <c r="T242" s="1">
        <f t="shared" si="52"/>
        <v>1377.46</v>
      </c>
      <c r="U242" s="726">
        <v>327</v>
      </c>
      <c r="V242" s="1">
        <v>265.5</v>
      </c>
      <c r="W242" s="1">
        <f t="shared" si="50"/>
        <v>206.61900000000003</v>
      </c>
      <c r="Y242" s="240">
        <f t="shared" si="53"/>
        <v>0.28497379234242715</v>
      </c>
    </row>
    <row r="243" spans="1:25" x14ac:dyDescent="0.2">
      <c r="A243" s="1139" t="s">
        <v>8583</v>
      </c>
      <c r="B243" s="1153">
        <v>1480.51</v>
      </c>
      <c r="C243" s="1141">
        <v>120</v>
      </c>
      <c r="D243" s="1141">
        <v>30</v>
      </c>
      <c r="S243" s="1">
        <f t="shared" si="51"/>
        <v>328</v>
      </c>
      <c r="T243" s="1">
        <f t="shared" si="52"/>
        <v>1480.51</v>
      </c>
      <c r="U243" s="726">
        <v>328</v>
      </c>
      <c r="V243" s="1">
        <v>292.5</v>
      </c>
      <c r="W243" s="1">
        <f t="shared" si="50"/>
        <v>222.07650000000004</v>
      </c>
      <c r="Y243" s="240">
        <f t="shared" si="53"/>
        <v>0.31711369730700878</v>
      </c>
    </row>
    <row r="244" spans="1:25" x14ac:dyDescent="0.2">
      <c r="A244" s="1139" t="s">
        <v>8584</v>
      </c>
      <c r="B244" s="1153">
        <v>1636.57</v>
      </c>
      <c r="C244" s="1141">
        <v>120</v>
      </c>
      <c r="D244" s="1141">
        <v>30</v>
      </c>
      <c r="S244" s="1">
        <f t="shared" si="51"/>
        <v>329</v>
      </c>
      <c r="T244" s="1">
        <f t="shared" si="52"/>
        <v>1636.57</v>
      </c>
      <c r="U244" s="726">
        <v>329</v>
      </c>
      <c r="V244" s="1">
        <v>282</v>
      </c>
      <c r="W244" s="1">
        <f t="shared" si="50"/>
        <v>245.48550000000003</v>
      </c>
      <c r="Y244" s="240">
        <f t="shared" si="53"/>
        <v>0.1487440195042069</v>
      </c>
    </row>
    <row r="245" spans="1:25" x14ac:dyDescent="0.2">
      <c r="A245" s="1139" t="s">
        <v>8585</v>
      </c>
      <c r="B245" s="1153">
        <v>1727.07</v>
      </c>
      <c r="C245" s="1141">
        <v>120</v>
      </c>
      <c r="D245" s="1141">
        <v>30</v>
      </c>
      <c r="S245" s="1">
        <f t="shared" si="51"/>
        <v>330</v>
      </c>
      <c r="T245" s="1">
        <f t="shared" si="52"/>
        <v>1727.07</v>
      </c>
      <c r="U245" s="726">
        <v>330</v>
      </c>
      <c r="V245" s="1">
        <v>315</v>
      </c>
      <c r="W245" s="1">
        <f t="shared" si="50"/>
        <v>259.06050000000005</v>
      </c>
      <c r="Y245" s="240">
        <f t="shared" si="53"/>
        <v>0.21593218572495587</v>
      </c>
    </row>
    <row r="246" spans="1:25" x14ac:dyDescent="0.2">
      <c r="A246" s="1139" t="s">
        <v>8586</v>
      </c>
      <c r="B246" s="1153">
        <v>1916.67</v>
      </c>
      <c r="C246" s="1141">
        <v>100</v>
      </c>
      <c r="D246" s="1141">
        <v>20</v>
      </c>
      <c r="S246" s="1">
        <f t="shared" si="51"/>
        <v>331</v>
      </c>
      <c r="T246" s="1">
        <f t="shared" si="52"/>
        <v>1916.67</v>
      </c>
      <c r="U246" s="726">
        <v>331</v>
      </c>
      <c r="V246" s="1">
        <v>313.5</v>
      </c>
      <c r="W246" s="1">
        <f t="shared" si="50"/>
        <v>287.50050000000005</v>
      </c>
      <c r="Y246" s="240">
        <f t="shared" si="53"/>
        <v>9.0432886203676066E-2</v>
      </c>
    </row>
    <row r="247" spans="1:25" x14ac:dyDescent="0.2">
      <c r="A247" s="1139" t="s">
        <v>8587</v>
      </c>
      <c r="B247" s="1153">
        <v>1988.87</v>
      </c>
      <c r="C247" s="1141">
        <v>100</v>
      </c>
      <c r="D247" s="1141">
        <v>20</v>
      </c>
      <c r="S247" s="1">
        <f t="shared" si="51"/>
        <v>332</v>
      </c>
      <c r="T247" s="1">
        <f t="shared" si="52"/>
        <v>1988.87</v>
      </c>
      <c r="U247" s="726">
        <v>332</v>
      </c>
      <c r="V247" s="1">
        <v>336</v>
      </c>
      <c r="W247" s="1">
        <f t="shared" si="50"/>
        <v>298.33050000000003</v>
      </c>
      <c r="Y247" s="240">
        <f t="shared" si="53"/>
        <v>0.12626767963718089</v>
      </c>
    </row>
    <row r="248" spans="1:25" x14ac:dyDescent="0.2">
      <c r="A248" s="1139" t="s">
        <v>8588</v>
      </c>
      <c r="B248" s="1153">
        <v>2136.4699999999998</v>
      </c>
      <c r="C248" s="1141">
        <v>100</v>
      </c>
      <c r="D248" s="1141">
        <v>20</v>
      </c>
      <c r="S248" s="1">
        <f t="shared" si="51"/>
        <v>333</v>
      </c>
      <c r="T248" s="1">
        <f t="shared" si="52"/>
        <v>2136.4699999999998</v>
      </c>
      <c r="U248" s="726">
        <v>333</v>
      </c>
      <c r="V248" s="1">
        <v>349.5</v>
      </c>
      <c r="W248" s="1">
        <f t="shared" si="50"/>
        <v>320.47050000000002</v>
      </c>
      <c r="Y248" s="240">
        <f t="shared" si="53"/>
        <v>9.0584000711453783E-2</v>
      </c>
    </row>
    <row r="249" spans="1:25" x14ac:dyDescent="0.2">
      <c r="A249" s="1139" t="s">
        <v>8589</v>
      </c>
      <c r="B249" s="1153">
        <v>2181.66</v>
      </c>
      <c r="C249" s="1141">
        <v>100</v>
      </c>
      <c r="D249" s="1141">
        <v>20</v>
      </c>
      <c r="S249" s="1">
        <f t="shared" si="51"/>
        <v>334</v>
      </c>
      <c r="T249" s="1">
        <f t="shared" si="52"/>
        <v>2181.66</v>
      </c>
      <c r="U249" s="726">
        <v>334</v>
      </c>
      <c r="V249" s="1">
        <v>406.5</v>
      </c>
      <c r="W249" s="1">
        <f t="shared" si="50"/>
        <v>327.24900000000002</v>
      </c>
      <c r="Y249" s="240">
        <f t="shared" si="53"/>
        <v>0.24217339090417389</v>
      </c>
    </row>
    <row r="250" spans="1:25" x14ac:dyDescent="0.2">
      <c r="A250" s="1139" t="s">
        <v>8590</v>
      </c>
      <c r="B250" s="1153">
        <v>2226.33</v>
      </c>
      <c r="C250" s="1141">
        <v>70</v>
      </c>
      <c r="D250" s="1141">
        <v>20</v>
      </c>
      <c r="S250" s="1">
        <f t="shared" si="51"/>
        <v>335</v>
      </c>
      <c r="T250" s="1">
        <f t="shared" si="52"/>
        <v>2226.33</v>
      </c>
      <c r="U250" s="726">
        <v>335</v>
      </c>
      <c r="V250" s="1">
        <v>394.5</v>
      </c>
      <c r="W250" s="1">
        <f t="shared" si="50"/>
        <v>333.94950000000006</v>
      </c>
      <c r="Y250" s="240">
        <f t="shared" si="53"/>
        <v>0.18131633675151471</v>
      </c>
    </row>
    <row r="251" spans="1:25" x14ac:dyDescent="0.2">
      <c r="A251" s="1139" t="s">
        <v>8591</v>
      </c>
      <c r="B251" s="1153">
        <v>2328.62</v>
      </c>
      <c r="C251" s="1141">
        <v>70</v>
      </c>
      <c r="D251" s="1141">
        <v>20</v>
      </c>
      <c r="S251" s="1">
        <f t="shared" si="51"/>
        <v>336</v>
      </c>
      <c r="T251" s="1">
        <f t="shared" si="52"/>
        <v>2328.62</v>
      </c>
      <c r="U251" s="726">
        <v>336</v>
      </c>
      <c r="V251" s="1" t="s">
        <v>8353</v>
      </c>
      <c r="W251" s="1">
        <f t="shared" si="50"/>
        <v>349.29300000000006</v>
      </c>
      <c r="Y251" s="240" t="str">
        <f t="shared" si="53"/>
        <v/>
      </c>
    </row>
    <row r="252" spans="1:25" x14ac:dyDescent="0.2">
      <c r="A252" s="1139" t="s">
        <v>8592</v>
      </c>
      <c r="B252" s="1153">
        <v>2381.75</v>
      </c>
      <c r="C252" s="1141">
        <v>70</v>
      </c>
      <c r="D252" s="1141">
        <v>20</v>
      </c>
      <c r="S252" s="1">
        <f t="shared" si="51"/>
        <v>337</v>
      </c>
      <c r="T252" s="1">
        <f t="shared" si="52"/>
        <v>2381.75</v>
      </c>
      <c r="U252" s="726">
        <v>337</v>
      </c>
      <c r="V252" s="1">
        <v>433.49999999999994</v>
      </c>
      <c r="W252" s="1">
        <f t="shared" si="50"/>
        <v>357.26250000000005</v>
      </c>
      <c r="Y252" s="240">
        <f t="shared" si="53"/>
        <v>0.21339351317308664</v>
      </c>
    </row>
    <row r="253" spans="1:25" x14ac:dyDescent="0.2">
      <c r="A253" s="1139" t="s">
        <v>8593</v>
      </c>
      <c r="B253" s="1153">
        <v>2717.97</v>
      </c>
      <c r="C253" s="1141">
        <v>70</v>
      </c>
      <c r="D253" s="1141">
        <v>20</v>
      </c>
      <c r="S253" s="1">
        <f t="shared" si="51"/>
        <v>338</v>
      </c>
      <c r="T253" s="1">
        <f t="shared" si="52"/>
        <v>2717.97</v>
      </c>
      <c r="U253" s="726">
        <v>338</v>
      </c>
      <c r="V253" s="1">
        <v>480</v>
      </c>
      <c r="W253" s="1">
        <f t="shared" si="50"/>
        <v>407.69550000000004</v>
      </c>
      <c r="Y253" s="240">
        <f t="shared" si="53"/>
        <v>0.17734927169909875</v>
      </c>
    </row>
    <row r="254" spans="1:25" x14ac:dyDescent="0.2">
      <c r="A254" s="1139" t="s">
        <v>8594</v>
      </c>
      <c r="B254" s="1153">
        <v>2777.32</v>
      </c>
      <c r="C254" s="1141">
        <v>70</v>
      </c>
      <c r="D254" s="1141">
        <v>20</v>
      </c>
      <c r="S254" s="1">
        <f t="shared" si="51"/>
        <v>339</v>
      </c>
      <c r="T254" s="1">
        <f t="shared" si="52"/>
        <v>2777.32</v>
      </c>
      <c r="U254" s="726">
        <v>339</v>
      </c>
      <c r="V254" s="1">
        <v>484.5</v>
      </c>
      <c r="W254" s="1">
        <f t="shared" si="50"/>
        <v>416.59800000000007</v>
      </c>
      <c r="Y254" s="240">
        <f t="shared" si="53"/>
        <v>0.16299166102573692</v>
      </c>
    </row>
    <row r="255" spans="1:25" x14ac:dyDescent="0.2">
      <c r="A255" s="1139" t="s">
        <v>8595</v>
      </c>
      <c r="B255" s="1153">
        <v>2826.47</v>
      </c>
      <c r="C255" s="1141">
        <v>70</v>
      </c>
      <c r="D255" s="1141">
        <v>20</v>
      </c>
      <c r="S255" s="1">
        <f t="shared" si="51"/>
        <v>340</v>
      </c>
      <c r="T255" s="1">
        <f t="shared" si="52"/>
        <v>2826.47</v>
      </c>
      <c r="U255" s="726">
        <v>340</v>
      </c>
      <c r="V255" s="1">
        <v>526.5</v>
      </c>
      <c r="W255" s="1">
        <f t="shared" si="50"/>
        <v>423.97050000000002</v>
      </c>
      <c r="Y255" s="240">
        <f t="shared" si="53"/>
        <v>0.24183168404405486</v>
      </c>
    </row>
    <row r="256" spans="1:25" x14ac:dyDescent="0.2">
      <c r="A256" s="1139" t="s">
        <v>8596</v>
      </c>
      <c r="B256" s="1153">
        <v>2874.36</v>
      </c>
      <c r="C256" s="1141">
        <v>70</v>
      </c>
      <c r="D256" s="1141">
        <v>20</v>
      </c>
      <c r="S256" s="1">
        <f t="shared" si="51"/>
        <v>341</v>
      </c>
      <c r="T256" s="1">
        <f t="shared" si="52"/>
        <v>2874.36</v>
      </c>
      <c r="U256" s="726">
        <v>341</v>
      </c>
      <c r="V256" s="1">
        <v>552</v>
      </c>
      <c r="W256" s="1">
        <f t="shared" si="50"/>
        <v>431.15400000000011</v>
      </c>
      <c r="Y256" s="240">
        <f t="shared" si="53"/>
        <v>0.28028500257448585</v>
      </c>
    </row>
    <row r="257" spans="1:25" x14ac:dyDescent="0.2">
      <c r="A257" s="1139" t="s">
        <v>8597</v>
      </c>
      <c r="B257" s="1153">
        <v>2920.32</v>
      </c>
      <c r="C257" s="1141">
        <v>70</v>
      </c>
      <c r="D257" s="1141">
        <v>20</v>
      </c>
      <c r="S257" s="1">
        <f t="shared" si="51"/>
        <v>342</v>
      </c>
      <c r="T257" s="1">
        <f t="shared" si="52"/>
        <v>2920.32</v>
      </c>
      <c r="U257" s="726">
        <v>342</v>
      </c>
      <c r="V257" s="1" t="s">
        <v>8353</v>
      </c>
      <c r="W257" s="1">
        <f t="shared" si="50"/>
        <v>438.04800000000012</v>
      </c>
      <c r="Y257" s="240" t="str">
        <f t="shared" si="53"/>
        <v/>
      </c>
    </row>
    <row r="258" spans="1:25" x14ac:dyDescent="0.2">
      <c r="A258" s="1139" t="s">
        <v>8598</v>
      </c>
      <c r="B258" s="1153">
        <v>3239.72</v>
      </c>
      <c r="C258" s="1141">
        <v>50</v>
      </c>
      <c r="D258" s="1141">
        <v>15</v>
      </c>
      <c r="S258" s="1">
        <f t="shared" si="51"/>
        <v>343</v>
      </c>
      <c r="T258" s="1">
        <f t="shared" si="52"/>
        <v>3239.72</v>
      </c>
      <c r="U258" s="726">
        <v>343</v>
      </c>
      <c r="V258" s="1" t="s">
        <v>8353</v>
      </c>
      <c r="W258" s="1">
        <f t="shared" si="50"/>
        <v>485.95800000000003</v>
      </c>
      <c r="Y258" s="240" t="str">
        <f t="shared" si="53"/>
        <v/>
      </c>
    </row>
    <row r="259" spans="1:25" x14ac:dyDescent="0.2">
      <c r="A259" s="1139" t="s">
        <v>8599</v>
      </c>
      <c r="B259" s="1153">
        <v>3307.31</v>
      </c>
      <c r="C259" s="1141">
        <v>50</v>
      </c>
      <c r="D259" s="1141">
        <v>10</v>
      </c>
      <c r="S259" s="1">
        <f t="shared" si="51"/>
        <v>344</v>
      </c>
      <c r="T259" s="1">
        <f t="shared" si="52"/>
        <v>3307.31</v>
      </c>
      <c r="U259" s="726">
        <v>344</v>
      </c>
      <c r="V259" s="1" t="s">
        <v>8353</v>
      </c>
      <c r="W259" s="1">
        <f t="shared" si="50"/>
        <v>496.09650000000005</v>
      </c>
      <c r="Y259" s="240" t="str">
        <f t="shared" si="53"/>
        <v/>
      </c>
    </row>
    <row r="260" spans="1:25" x14ac:dyDescent="0.2">
      <c r="A260" s="1139" t="s">
        <v>8600</v>
      </c>
      <c r="B260" s="1153">
        <v>3379.51</v>
      </c>
      <c r="C260" s="1141">
        <v>50</v>
      </c>
      <c r="D260" s="1141">
        <v>10</v>
      </c>
      <c r="S260" s="1">
        <f t="shared" si="51"/>
        <v>345</v>
      </c>
      <c r="T260" s="1">
        <f t="shared" si="52"/>
        <v>3379.51</v>
      </c>
      <c r="U260" s="726">
        <v>345</v>
      </c>
      <c r="V260" s="1">
        <v>556.5</v>
      </c>
      <c r="W260" s="1">
        <f t="shared" si="50"/>
        <v>506.92650000000009</v>
      </c>
      <c r="Y260" s="240">
        <f t="shared" si="53"/>
        <v>9.7792283496719756E-2</v>
      </c>
    </row>
    <row r="261" spans="1:25" x14ac:dyDescent="0.2">
      <c r="A261" s="1139" t="s">
        <v>8601</v>
      </c>
      <c r="B261" s="1153">
        <v>3447.1</v>
      </c>
      <c r="C261" s="1141">
        <v>50</v>
      </c>
      <c r="D261" s="1141">
        <v>10</v>
      </c>
      <c r="S261" s="1">
        <f t="shared" si="51"/>
        <v>346</v>
      </c>
      <c r="T261" s="1">
        <f t="shared" si="52"/>
        <v>3447.1</v>
      </c>
      <c r="U261" s="726">
        <v>346</v>
      </c>
      <c r="V261" s="1" t="s">
        <v>8353</v>
      </c>
      <c r="W261" s="1">
        <f t="shared" si="50"/>
        <v>517.06500000000005</v>
      </c>
      <c r="Y261" s="240" t="str">
        <f t="shared" si="53"/>
        <v/>
      </c>
    </row>
    <row r="262" spans="1:25" x14ac:dyDescent="0.2">
      <c r="A262" s="1139" t="s">
        <v>8602</v>
      </c>
      <c r="B262" s="1153">
        <v>3780.65</v>
      </c>
      <c r="C262" s="1141">
        <v>50</v>
      </c>
      <c r="D262" s="1141">
        <v>10</v>
      </c>
      <c r="S262" s="1">
        <f t="shared" ref="S262:S325" si="54">+RIGHT(A262,3)+0</f>
        <v>347</v>
      </c>
      <c r="T262" s="1">
        <f t="shared" ref="T262:T325" si="55">+B262</f>
        <v>3780.65</v>
      </c>
      <c r="U262" s="726">
        <v>347</v>
      </c>
      <c r="V262" s="1" t="s">
        <v>8353</v>
      </c>
      <c r="W262" s="1">
        <f t="shared" si="50"/>
        <v>567.09750000000008</v>
      </c>
      <c r="Y262" s="240" t="str">
        <f t="shared" ref="Y262" si="56">IFERROR(V262/W262-1,"")</f>
        <v/>
      </c>
    </row>
    <row r="263" spans="1:25" x14ac:dyDescent="0.2">
      <c r="S263" s="1" t="e">
        <f t="shared" si="54"/>
        <v>#VALUE!</v>
      </c>
      <c r="T263" s="1">
        <f t="shared" si="55"/>
        <v>0</v>
      </c>
      <c r="U263" s="726"/>
    </row>
    <row r="264" spans="1:25" x14ac:dyDescent="0.2">
      <c r="S264" s="1" t="e">
        <f t="shared" si="54"/>
        <v>#VALUE!</v>
      </c>
      <c r="T264" s="1">
        <f t="shared" si="55"/>
        <v>0</v>
      </c>
      <c r="U264" s="726"/>
    </row>
    <row r="265" spans="1:25" x14ac:dyDescent="0.2">
      <c r="A265" s="1139" t="s">
        <v>8603</v>
      </c>
      <c r="B265" s="1153">
        <v>3858.09</v>
      </c>
      <c r="C265" s="1141">
        <v>50</v>
      </c>
      <c r="D265" s="1141">
        <v>10</v>
      </c>
      <c r="S265" s="1">
        <f t="shared" si="54"/>
        <v>348</v>
      </c>
      <c r="T265" s="1">
        <f t="shared" si="55"/>
        <v>3858.09</v>
      </c>
      <c r="U265" s="726">
        <v>348</v>
      </c>
    </row>
    <row r="266" spans="1:25" x14ac:dyDescent="0.2">
      <c r="A266" s="1139" t="s">
        <v>8604</v>
      </c>
      <c r="B266" s="1153">
        <v>3935.54</v>
      </c>
      <c r="C266" s="1141">
        <v>50</v>
      </c>
      <c r="D266" s="1141">
        <v>10</v>
      </c>
      <c r="S266" s="1">
        <f t="shared" si="54"/>
        <v>349</v>
      </c>
      <c r="T266" s="1">
        <f t="shared" si="55"/>
        <v>3935.54</v>
      </c>
      <c r="U266" s="726">
        <v>349</v>
      </c>
    </row>
    <row r="267" spans="1:25" x14ac:dyDescent="0.2">
      <c r="A267" s="1139" t="s">
        <v>8605</v>
      </c>
      <c r="B267" s="1153">
        <v>4007.87</v>
      </c>
      <c r="C267" s="1141">
        <v>50</v>
      </c>
      <c r="D267" s="1141">
        <v>10</v>
      </c>
      <c r="S267" s="1">
        <f t="shared" si="54"/>
        <v>350</v>
      </c>
      <c r="T267" s="1">
        <f t="shared" si="55"/>
        <v>4007.87</v>
      </c>
      <c r="U267" s="726">
        <v>350</v>
      </c>
    </row>
    <row r="268" spans="1:25" x14ac:dyDescent="0.2">
      <c r="A268" s="1139" t="s">
        <v>8606</v>
      </c>
      <c r="B268" s="1153">
        <v>4085.32</v>
      </c>
      <c r="C268" s="1141">
        <v>50</v>
      </c>
      <c r="D268" s="1141">
        <v>10</v>
      </c>
      <c r="S268" s="1">
        <f t="shared" si="54"/>
        <v>351</v>
      </c>
      <c r="T268" s="1">
        <f t="shared" si="55"/>
        <v>4085.32</v>
      </c>
      <c r="U268" s="726">
        <v>351</v>
      </c>
    </row>
    <row r="269" spans="1:25" x14ac:dyDescent="0.2">
      <c r="A269" s="1139" t="s">
        <v>8607</v>
      </c>
      <c r="B269" s="1153">
        <v>4206.17</v>
      </c>
      <c r="C269" s="1141">
        <v>50</v>
      </c>
      <c r="D269" s="1141">
        <v>10</v>
      </c>
      <c r="S269" s="1">
        <f t="shared" si="54"/>
        <v>352</v>
      </c>
      <c r="T269" s="1">
        <f t="shared" si="55"/>
        <v>4206.17</v>
      </c>
      <c r="U269" s="726">
        <v>352</v>
      </c>
    </row>
    <row r="270" spans="1:25" x14ac:dyDescent="0.2">
      <c r="A270" s="1139" t="s">
        <v>8608</v>
      </c>
      <c r="B270" s="1153">
        <v>4244.75</v>
      </c>
      <c r="C270" s="1141">
        <v>40</v>
      </c>
      <c r="D270" s="1141">
        <v>10</v>
      </c>
      <c r="S270" s="1">
        <f t="shared" si="54"/>
        <v>353</v>
      </c>
      <c r="T270" s="1">
        <f t="shared" si="55"/>
        <v>4244.75</v>
      </c>
      <c r="U270" s="726">
        <v>353</v>
      </c>
    </row>
    <row r="271" spans="1:25" x14ac:dyDescent="0.2">
      <c r="A271" s="1139" t="s">
        <v>8609</v>
      </c>
      <c r="B271" s="1153">
        <v>4317.95</v>
      </c>
      <c r="C271" s="1141">
        <v>40</v>
      </c>
      <c r="D271" s="1141">
        <v>10</v>
      </c>
      <c r="S271" s="1">
        <f t="shared" si="54"/>
        <v>354</v>
      </c>
      <c r="T271" s="1">
        <f t="shared" si="55"/>
        <v>4317.95</v>
      </c>
      <c r="U271" s="726">
        <v>354</v>
      </c>
    </row>
    <row r="272" spans="1:25" x14ac:dyDescent="0.2">
      <c r="A272" s="1139" t="s">
        <v>8610</v>
      </c>
      <c r="B272" s="1153">
        <v>4398.22</v>
      </c>
      <c r="C272" s="1141">
        <v>40</v>
      </c>
      <c r="D272" s="1141">
        <v>10</v>
      </c>
      <c r="S272" s="1">
        <f t="shared" si="54"/>
        <v>355</v>
      </c>
      <c r="T272" s="1">
        <f t="shared" si="55"/>
        <v>4398.22</v>
      </c>
      <c r="U272" s="726">
        <v>355</v>
      </c>
    </row>
    <row r="273" spans="1:21" x14ac:dyDescent="0.2">
      <c r="A273" s="1139" t="s">
        <v>8611</v>
      </c>
      <c r="B273" s="1153">
        <v>5124.7299999999996</v>
      </c>
      <c r="C273" s="1141">
        <v>40</v>
      </c>
      <c r="D273" s="1141">
        <v>10</v>
      </c>
      <c r="S273" s="1">
        <f t="shared" si="54"/>
        <v>356</v>
      </c>
      <c r="T273" s="1">
        <f t="shared" si="55"/>
        <v>5124.7299999999996</v>
      </c>
      <c r="U273" s="726">
        <v>356</v>
      </c>
    </row>
    <row r="274" spans="1:21" x14ac:dyDescent="0.2">
      <c r="A274" s="1139" t="s">
        <v>8612</v>
      </c>
      <c r="B274" s="1153">
        <v>5269.7</v>
      </c>
      <c r="C274" s="1141">
        <v>40</v>
      </c>
      <c r="D274" s="1141">
        <v>10</v>
      </c>
      <c r="S274" s="1">
        <f t="shared" si="54"/>
        <v>357</v>
      </c>
      <c r="T274" s="1">
        <f t="shared" si="55"/>
        <v>5269.7</v>
      </c>
      <c r="U274" s="726">
        <v>357</v>
      </c>
    </row>
    <row r="275" spans="1:21" x14ac:dyDescent="0.2">
      <c r="A275" s="1139" t="s">
        <v>8613</v>
      </c>
      <c r="B275" s="1153">
        <v>5318.21</v>
      </c>
      <c r="C275" s="1141">
        <v>40</v>
      </c>
      <c r="D275" s="1141">
        <v>10</v>
      </c>
      <c r="S275" s="1">
        <f t="shared" si="54"/>
        <v>358</v>
      </c>
      <c r="T275" s="1">
        <f t="shared" si="55"/>
        <v>5318.21</v>
      </c>
      <c r="U275" s="726">
        <v>358</v>
      </c>
    </row>
    <row r="276" spans="1:21" x14ac:dyDescent="0.2">
      <c r="A276" s="1139" t="s">
        <v>8614</v>
      </c>
      <c r="B276" s="1153">
        <v>5414.95</v>
      </c>
      <c r="C276" s="1141">
        <v>30</v>
      </c>
      <c r="D276" s="1141">
        <v>10</v>
      </c>
      <c r="S276" s="1">
        <f t="shared" si="54"/>
        <v>359</v>
      </c>
      <c r="T276" s="1">
        <f t="shared" si="55"/>
        <v>5414.95</v>
      </c>
      <c r="U276" s="726">
        <v>359</v>
      </c>
    </row>
    <row r="277" spans="1:21" x14ac:dyDescent="0.2">
      <c r="A277" s="1139" t="s">
        <v>8615</v>
      </c>
      <c r="B277" s="1153">
        <v>5463.17</v>
      </c>
      <c r="C277" s="1141">
        <v>30</v>
      </c>
      <c r="D277" s="1141">
        <v>10</v>
      </c>
      <c r="S277" s="1">
        <f t="shared" si="54"/>
        <v>360</v>
      </c>
      <c r="T277" s="1">
        <f t="shared" si="55"/>
        <v>5463.17</v>
      </c>
      <c r="U277" s="726">
        <v>360</v>
      </c>
    </row>
    <row r="278" spans="1:21" x14ac:dyDescent="0.2">
      <c r="A278" s="1139" t="s">
        <v>8616</v>
      </c>
      <c r="B278" s="1153">
        <v>5535.8</v>
      </c>
      <c r="C278" s="1141">
        <v>30</v>
      </c>
      <c r="D278" s="1141">
        <v>15</v>
      </c>
      <c r="S278" s="1">
        <f t="shared" si="54"/>
        <v>361</v>
      </c>
      <c r="T278" s="1">
        <f t="shared" si="55"/>
        <v>5535.8</v>
      </c>
      <c r="U278" s="726">
        <v>361</v>
      </c>
    </row>
    <row r="279" spans="1:21" x14ac:dyDescent="0.2">
      <c r="A279" s="1139" t="s">
        <v>8617</v>
      </c>
      <c r="B279" s="1153">
        <v>5704.87</v>
      </c>
      <c r="C279" s="1141">
        <v>30</v>
      </c>
      <c r="D279" s="1141">
        <v>20</v>
      </c>
      <c r="S279" s="1">
        <f t="shared" si="54"/>
        <v>362</v>
      </c>
      <c r="T279" s="1">
        <f t="shared" si="55"/>
        <v>5704.87</v>
      </c>
      <c r="U279" s="726">
        <v>362</v>
      </c>
    </row>
    <row r="280" spans="1:21" x14ac:dyDescent="0.2">
      <c r="A280" s="1139" t="s">
        <v>8618</v>
      </c>
      <c r="B280" s="1153">
        <v>5963.02</v>
      </c>
      <c r="C280" s="1141">
        <v>25</v>
      </c>
      <c r="D280" s="1124"/>
      <c r="S280" s="1">
        <f t="shared" si="54"/>
        <v>363</v>
      </c>
      <c r="T280" s="1">
        <f t="shared" si="55"/>
        <v>5963.02</v>
      </c>
      <c r="U280" s="726">
        <v>363</v>
      </c>
    </row>
    <row r="281" spans="1:21" x14ac:dyDescent="0.2">
      <c r="A281" s="1139" t="s">
        <v>8619</v>
      </c>
      <c r="B281" s="1153">
        <v>6140.04</v>
      </c>
      <c r="C281" s="1141">
        <v>25</v>
      </c>
      <c r="D281" s="1124"/>
      <c r="S281" s="1">
        <f t="shared" si="54"/>
        <v>364</v>
      </c>
      <c r="T281" s="1">
        <f t="shared" si="55"/>
        <v>6140.04</v>
      </c>
      <c r="U281" s="726">
        <v>364</v>
      </c>
    </row>
    <row r="282" spans="1:21" x14ac:dyDescent="0.2">
      <c r="A282" s="1139" t="s">
        <v>8620</v>
      </c>
      <c r="B282" s="1153">
        <v>6623.44</v>
      </c>
      <c r="C282" s="1141">
        <v>25</v>
      </c>
      <c r="D282" s="1141">
        <v>10</v>
      </c>
      <c r="S282" s="1">
        <f t="shared" si="54"/>
        <v>365</v>
      </c>
      <c r="T282" s="1">
        <f t="shared" si="55"/>
        <v>6623.44</v>
      </c>
      <c r="U282" s="726">
        <v>365</v>
      </c>
    </row>
    <row r="283" spans="1:21" x14ac:dyDescent="0.2">
      <c r="A283" s="1139" t="s">
        <v>8621</v>
      </c>
      <c r="B283" s="1153">
        <v>6865.42</v>
      </c>
      <c r="C283" s="1141">
        <v>25</v>
      </c>
      <c r="D283" s="1124"/>
      <c r="S283" s="1">
        <f t="shared" si="54"/>
        <v>366</v>
      </c>
      <c r="T283" s="1">
        <f t="shared" si="55"/>
        <v>6865.42</v>
      </c>
      <c r="U283" s="726">
        <v>366</v>
      </c>
    </row>
    <row r="284" spans="1:21" x14ac:dyDescent="0.2">
      <c r="A284" s="1139" t="s">
        <v>8622</v>
      </c>
      <c r="B284" s="1153">
        <v>8833.0400000000009</v>
      </c>
      <c r="C284" s="1141">
        <v>25</v>
      </c>
      <c r="D284" s="1124"/>
      <c r="S284" s="1">
        <f t="shared" si="54"/>
        <v>367</v>
      </c>
      <c r="T284" s="1">
        <f t="shared" si="55"/>
        <v>8833.0400000000009</v>
      </c>
      <c r="U284" s="726">
        <v>367</v>
      </c>
    </row>
    <row r="285" spans="1:21" x14ac:dyDescent="0.2">
      <c r="A285" s="1139" t="s">
        <v>8623</v>
      </c>
      <c r="B285" s="1153">
        <v>9036.16</v>
      </c>
      <c r="C285" s="1141">
        <v>25</v>
      </c>
      <c r="D285" s="1124"/>
      <c r="S285" s="1">
        <f t="shared" si="54"/>
        <v>368</v>
      </c>
      <c r="T285" s="1">
        <f t="shared" si="55"/>
        <v>9036.16</v>
      </c>
      <c r="U285" s="726">
        <v>368</v>
      </c>
    </row>
    <row r="286" spans="1:21" x14ac:dyDescent="0.2">
      <c r="A286" s="1139" t="s">
        <v>8624</v>
      </c>
      <c r="B286" s="1153">
        <v>9321.26</v>
      </c>
      <c r="C286" s="1141">
        <v>25</v>
      </c>
      <c r="D286" s="1124"/>
      <c r="S286" s="1">
        <f t="shared" si="54"/>
        <v>369</v>
      </c>
      <c r="T286" s="1">
        <f t="shared" si="55"/>
        <v>9321.26</v>
      </c>
      <c r="U286" s="726">
        <v>369</v>
      </c>
    </row>
    <row r="287" spans="1:21" x14ac:dyDescent="0.2">
      <c r="A287" s="1139" t="s">
        <v>8625</v>
      </c>
      <c r="B287" s="1153">
        <v>9514.74</v>
      </c>
      <c r="C287" s="1141">
        <v>25</v>
      </c>
      <c r="D287" s="1124"/>
      <c r="S287" s="1">
        <f t="shared" si="54"/>
        <v>370</v>
      </c>
      <c r="T287" s="1">
        <f t="shared" si="55"/>
        <v>9514.74</v>
      </c>
      <c r="U287" s="726">
        <v>370</v>
      </c>
    </row>
    <row r="288" spans="1:21" x14ac:dyDescent="0.2">
      <c r="A288" s="1139" t="s">
        <v>8626</v>
      </c>
      <c r="B288" s="1153">
        <v>9799.5499999999993</v>
      </c>
      <c r="C288" s="1141">
        <v>25</v>
      </c>
      <c r="D288" s="1124"/>
      <c r="S288" s="1">
        <f t="shared" si="54"/>
        <v>371</v>
      </c>
      <c r="T288" s="1">
        <f t="shared" si="55"/>
        <v>9799.5499999999993</v>
      </c>
      <c r="U288" s="726">
        <v>371</v>
      </c>
    </row>
    <row r="289" spans="1:21" x14ac:dyDescent="0.2">
      <c r="A289" s="1139" t="s">
        <v>8627</v>
      </c>
      <c r="B289" s="1153">
        <v>10181.959999999999</v>
      </c>
      <c r="C289" s="1141">
        <v>20</v>
      </c>
      <c r="D289" s="1124"/>
      <c r="S289" s="1">
        <f t="shared" si="54"/>
        <v>372</v>
      </c>
      <c r="T289" s="1">
        <f t="shared" si="55"/>
        <v>10181.959999999999</v>
      </c>
      <c r="U289" s="726">
        <v>372</v>
      </c>
    </row>
    <row r="290" spans="1:21" x14ac:dyDescent="0.2">
      <c r="A290" s="1139" t="s">
        <v>8628</v>
      </c>
      <c r="B290" s="1153">
        <v>10462.24</v>
      </c>
      <c r="C290" s="1141">
        <v>20</v>
      </c>
      <c r="D290" s="1124"/>
      <c r="S290" s="1">
        <f t="shared" si="54"/>
        <v>373</v>
      </c>
      <c r="T290" s="1">
        <f t="shared" si="55"/>
        <v>10462.24</v>
      </c>
      <c r="U290" s="726">
        <v>373</v>
      </c>
    </row>
    <row r="291" spans="1:21" x14ac:dyDescent="0.2">
      <c r="A291" s="1139" t="s">
        <v>8629</v>
      </c>
      <c r="B291" s="1153">
        <v>10636.42</v>
      </c>
      <c r="C291" s="1141">
        <v>20</v>
      </c>
      <c r="D291" s="1124"/>
      <c r="S291" s="1">
        <f t="shared" si="54"/>
        <v>374</v>
      </c>
      <c r="T291" s="1">
        <f t="shared" si="55"/>
        <v>10636.42</v>
      </c>
      <c r="U291" s="726">
        <v>374</v>
      </c>
    </row>
    <row r="292" spans="1:21" x14ac:dyDescent="0.2">
      <c r="A292" s="1139" t="s">
        <v>8630</v>
      </c>
      <c r="B292" s="1153">
        <v>10733.16</v>
      </c>
      <c r="C292" s="1141">
        <v>20</v>
      </c>
      <c r="D292" s="1124"/>
      <c r="S292" s="1">
        <f t="shared" si="54"/>
        <v>375</v>
      </c>
      <c r="T292" s="1">
        <f t="shared" si="55"/>
        <v>10733.16</v>
      </c>
      <c r="U292" s="726">
        <v>375</v>
      </c>
    </row>
    <row r="293" spans="1:21" x14ac:dyDescent="0.2">
      <c r="A293" s="1139" t="s">
        <v>8631</v>
      </c>
      <c r="B293" s="1153">
        <v>10829.89</v>
      </c>
      <c r="C293" s="1141">
        <v>20</v>
      </c>
      <c r="D293" s="1124"/>
      <c r="S293" s="1">
        <f t="shared" si="54"/>
        <v>376</v>
      </c>
      <c r="T293" s="1">
        <f t="shared" si="55"/>
        <v>10829.89</v>
      </c>
      <c r="U293" s="726">
        <v>376</v>
      </c>
    </row>
    <row r="294" spans="1:21" x14ac:dyDescent="0.2">
      <c r="A294" s="1139" t="s">
        <v>8632</v>
      </c>
      <c r="B294" s="1153">
        <v>10878.12</v>
      </c>
      <c r="C294" s="1141">
        <v>15</v>
      </c>
      <c r="D294" s="1124"/>
      <c r="S294" s="1">
        <f t="shared" si="54"/>
        <v>377</v>
      </c>
      <c r="T294" s="1">
        <f t="shared" si="55"/>
        <v>10878.12</v>
      </c>
      <c r="U294" s="726">
        <v>377</v>
      </c>
    </row>
    <row r="295" spans="1:21" x14ac:dyDescent="0.2">
      <c r="A295" s="1139" t="s">
        <v>8633</v>
      </c>
      <c r="B295" s="1153">
        <v>12831.28</v>
      </c>
      <c r="C295" s="1141">
        <v>15</v>
      </c>
      <c r="D295" s="1124"/>
      <c r="S295" s="1">
        <f t="shared" si="54"/>
        <v>378</v>
      </c>
      <c r="T295" s="1">
        <f t="shared" si="55"/>
        <v>12831.28</v>
      </c>
      <c r="U295" s="726">
        <v>378</v>
      </c>
    </row>
    <row r="296" spans="1:21" x14ac:dyDescent="0.2">
      <c r="A296" s="1139" t="s">
        <v>8634</v>
      </c>
      <c r="B296" s="1153">
        <v>13540.2</v>
      </c>
      <c r="C296" s="1141">
        <v>15</v>
      </c>
      <c r="D296" s="1124"/>
      <c r="S296" s="1">
        <f t="shared" si="54"/>
        <v>379</v>
      </c>
      <c r="T296" s="1">
        <f t="shared" si="55"/>
        <v>13540.2</v>
      </c>
      <c r="U296" s="726">
        <v>379</v>
      </c>
    </row>
    <row r="297" spans="1:21" x14ac:dyDescent="0.2">
      <c r="A297" s="1139" t="s">
        <v>8635</v>
      </c>
      <c r="B297" s="1153">
        <v>17889.169999999998</v>
      </c>
      <c r="C297" s="1141">
        <v>10</v>
      </c>
      <c r="D297" s="1124"/>
      <c r="S297" s="1">
        <f t="shared" si="54"/>
        <v>380</v>
      </c>
      <c r="T297" s="1">
        <f t="shared" si="55"/>
        <v>17889.169999999998</v>
      </c>
      <c r="U297" s="726">
        <v>380</v>
      </c>
    </row>
    <row r="298" spans="1:21" x14ac:dyDescent="0.2">
      <c r="A298" s="1139" t="s">
        <v>8636</v>
      </c>
      <c r="B298" s="1153">
        <v>18078.57</v>
      </c>
      <c r="C298" s="1141">
        <v>10</v>
      </c>
      <c r="D298" s="1124"/>
      <c r="S298" s="1">
        <f t="shared" si="54"/>
        <v>381</v>
      </c>
      <c r="T298" s="1">
        <f t="shared" si="55"/>
        <v>18078.57</v>
      </c>
      <c r="U298" s="726">
        <v>381</v>
      </c>
    </row>
    <row r="299" spans="1:21" x14ac:dyDescent="0.2">
      <c r="A299" s="1139" t="s">
        <v>8637</v>
      </c>
      <c r="B299" s="1153">
        <v>18588.060000000001</v>
      </c>
      <c r="C299" s="1141">
        <v>10</v>
      </c>
      <c r="D299" s="1124"/>
      <c r="S299" s="1">
        <f t="shared" si="54"/>
        <v>382</v>
      </c>
      <c r="T299" s="1">
        <f t="shared" si="55"/>
        <v>18588.060000000001</v>
      </c>
      <c r="U299" s="726">
        <v>382</v>
      </c>
    </row>
    <row r="300" spans="1:21" x14ac:dyDescent="0.2">
      <c r="A300" s="1139" t="s">
        <v>8638</v>
      </c>
      <c r="B300" s="1153">
        <v>19351.38</v>
      </c>
      <c r="C300" s="1141">
        <v>10</v>
      </c>
      <c r="D300" s="1124"/>
      <c r="S300" s="1">
        <f t="shared" si="54"/>
        <v>383</v>
      </c>
      <c r="T300" s="1">
        <f t="shared" si="55"/>
        <v>19351.38</v>
      </c>
      <c r="U300" s="726">
        <v>383</v>
      </c>
    </row>
    <row r="301" spans="1:21" x14ac:dyDescent="0.2">
      <c r="A301" s="1139" t="s">
        <v>8639</v>
      </c>
      <c r="B301" s="1153">
        <v>23738.34</v>
      </c>
      <c r="C301" s="1141">
        <v>5</v>
      </c>
      <c r="D301" s="1124"/>
      <c r="S301" s="1">
        <f t="shared" si="54"/>
        <v>384</v>
      </c>
      <c r="T301" s="1">
        <f t="shared" si="55"/>
        <v>23738.34</v>
      </c>
      <c r="U301" s="726">
        <v>384</v>
      </c>
    </row>
    <row r="302" spans="1:21" x14ac:dyDescent="0.2">
      <c r="A302" s="1139" t="s">
        <v>8640</v>
      </c>
      <c r="B302" s="1153">
        <v>24658.6</v>
      </c>
      <c r="C302" s="1141">
        <v>5</v>
      </c>
      <c r="D302" s="1124"/>
      <c r="S302" s="1">
        <f t="shared" si="54"/>
        <v>385</v>
      </c>
      <c r="T302" s="1">
        <f t="shared" si="55"/>
        <v>24658.6</v>
      </c>
      <c r="U302" s="726">
        <v>385</v>
      </c>
    </row>
    <row r="303" spans="1:21" x14ac:dyDescent="0.2">
      <c r="A303" s="1139" t="s">
        <v>8641</v>
      </c>
      <c r="B303" s="1153">
        <v>26301.7</v>
      </c>
      <c r="C303" s="1141">
        <v>5</v>
      </c>
      <c r="D303" s="1124"/>
      <c r="S303" s="1">
        <f t="shared" si="54"/>
        <v>386</v>
      </c>
      <c r="T303" s="1">
        <f t="shared" si="55"/>
        <v>26301.7</v>
      </c>
      <c r="U303" s="726">
        <v>386</v>
      </c>
    </row>
    <row r="304" spans="1:21" x14ac:dyDescent="0.2">
      <c r="A304" s="1139" t="s">
        <v>8642</v>
      </c>
      <c r="B304" s="1153">
        <v>27124.66</v>
      </c>
      <c r="C304" s="1141">
        <v>5</v>
      </c>
      <c r="D304" s="1124"/>
      <c r="S304" s="1">
        <f t="shared" si="54"/>
        <v>387</v>
      </c>
      <c r="T304" s="1">
        <f t="shared" si="55"/>
        <v>27124.66</v>
      </c>
      <c r="U304" s="726">
        <v>387</v>
      </c>
    </row>
    <row r="305" spans="1:21" x14ac:dyDescent="0.2">
      <c r="A305" s="1139" t="s">
        <v>8643</v>
      </c>
      <c r="B305" s="1153">
        <v>29975.11</v>
      </c>
      <c r="C305" s="1141">
        <v>5</v>
      </c>
      <c r="D305" s="1124"/>
      <c r="S305" s="1">
        <f t="shared" si="54"/>
        <v>388</v>
      </c>
      <c r="T305" s="1">
        <f t="shared" si="55"/>
        <v>29975.11</v>
      </c>
      <c r="U305" s="726">
        <v>388</v>
      </c>
    </row>
    <row r="306" spans="1:21" x14ac:dyDescent="0.2">
      <c r="A306" s="1139" t="s">
        <v>8644</v>
      </c>
      <c r="B306" s="1153">
        <v>33699.300000000003</v>
      </c>
      <c r="C306" s="1141">
        <v>5</v>
      </c>
      <c r="D306" s="1124"/>
      <c r="S306" s="1">
        <f t="shared" si="54"/>
        <v>389</v>
      </c>
      <c r="T306" s="1">
        <f t="shared" si="55"/>
        <v>33699.300000000003</v>
      </c>
      <c r="U306" s="726">
        <v>389</v>
      </c>
    </row>
    <row r="307" spans="1:21" x14ac:dyDescent="0.2">
      <c r="A307" s="1139" t="s">
        <v>8645</v>
      </c>
      <c r="B307" s="1153">
        <v>34247.660000000003</v>
      </c>
      <c r="C307" s="1141">
        <v>5</v>
      </c>
      <c r="D307" s="1124"/>
      <c r="S307" s="1">
        <f t="shared" si="54"/>
        <v>390</v>
      </c>
      <c r="T307" s="1">
        <f t="shared" si="55"/>
        <v>34247.660000000003</v>
      </c>
      <c r="U307" s="726">
        <v>390</v>
      </c>
    </row>
    <row r="308" spans="1:21" x14ac:dyDescent="0.2">
      <c r="A308" s="1139" t="s">
        <v>8646</v>
      </c>
      <c r="B308" s="1153">
        <v>36942.94</v>
      </c>
      <c r="C308" s="1141">
        <v>5</v>
      </c>
      <c r="D308" s="1124"/>
      <c r="S308" s="1">
        <f t="shared" si="54"/>
        <v>391</v>
      </c>
      <c r="T308" s="1">
        <f t="shared" si="55"/>
        <v>36942.94</v>
      </c>
      <c r="U308" s="726">
        <v>391</v>
      </c>
    </row>
    <row r="309" spans="1:21" x14ac:dyDescent="0.2">
      <c r="A309" s="1139" t="s">
        <v>8647</v>
      </c>
      <c r="B309" s="1153">
        <v>37863.199999999997</v>
      </c>
      <c r="C309" s="1141">
        <v>5</v>
      </c>
      <c r="D309" s="1124"/>
      <c r="S309" s="1">
        <f t="shared" si="54"/>
        <v>392</v>
      </c>
      <c r="T309" s="1">
        <f t="shared" si="55"/>
        <v>37863.199999999997</v>
      </c>
      <c r="U309" s="726">
        <v>392</v>
      </c>
    </row>
    <row r="310" spans="1:21" x14ac:dyDescent="0.2">
      <c r="A310" s="1139" t="s">
        <v>8648</v>
      </c>
      <c r="B310" s="1153">
        <v>38590</v>
      </c>
      <c r="C310" s="1141">
        <v>5</v>
      </c>
      <c r="D310" s="1124"/>
      <c r="S310" s="1">
        <f t="shared" si="54"/>
        <v>393</v>
      </c>
      <c r="T310" s="1">
        <f t="shared" si="55"/>
        <v>38590</v>
      </c>
      <c r="U310" s="726">
        <v>393</v>
      </c>
    </row>
    <row r="311" spans="1:21" x14ac:dyDescent="0.2">
      <c r="A311" s="1139" t="s">
        <v>8649</v>
      </c>
      <c r="B311" s="1153">
        <v>39993.660000000003</v>
      </c>
      <c r="C311" s="1141">
        <v>5</v>
      </c>
      <c r="D311" s="1124"/>
      <c r="S311" s="1">
        <f t="shared" si="54"/>
        <v>394</v>
      </c>
      <c r="T311" s="1">
        <f t="shared" si="55"/>
        <v>39993.660000000003</v>
      </c>
      <c r="U311" s="726">
        <v>394</v>
      </c>
    </row>
    <row r="312" spans="1:21" x14ac:dyDescent="0.2">
      <c r="A312" s="1139" t="s">
        <v>8650</v>
      </c>
      <c r="B312" s="1153">
        <v>41088.400000000001</v>
      </c>
      <c r="C312" s="1141">
        <v>5</v>
      </c>
      <c r="D312" s="1124"/>
      <c r="S312" s="1">
        <f t="shared" si="54"/>
        <v>395</v>
      </c>
      <c r="T312" s="1">
        <f t="shared" si="55"/>
        <v>41088.400000000001</v>
      </c>
      <c r="U312" s="726">
        <v>395</v>
      </c>
    </row>
    <row r="313" spans="1:21" x14ac:dyDescent="0.2">
      <c r="A313" s="1139" t="s">
        <v>8651</v>
      </c>
      <c r="B313" s="1153">
        <v>3430.19</v>
      </c>
      <c r="C313" s="1141">
        <v>70</v>
      </c>
      <c r="D313" s="1124"/>
      <c r="S313" s="1">
        <f t="shared" si="54"/>
        <v>400</v>
      </c>
      <c r="T313" s="1">
        <f t="shared" si="55"/>
        <v>3430.19</v>
      </c>
      <c r="U313" s="726">
        <v>400</v>
      </c>
    </row>
    <row r="314" spans="1:21" x14ac:dyDescent="0.2">
      <c r="A314" s="1139" t="s">
        <v>8652</v>
      </c>
      <c r="B314" s="1153">
        <v>3708.15</v>
      </c>
      <c r="C314" s="1141">
        <v>70</v>
      </c>
      <c r="D314" s="1124"/>
      <c r="S314" s="1">
        <f t="shared" si="54"/>
        <v>401</v>
      </c>
      <c r="T314" s="1">
        <f t="shared" si="55"/>
        <v>3708.15</v>
      </c>
      <c r="U314" s="726">
        <v>401</v>
      </c>
    </row>
    <row r="315" spans="1:21" x14ac:dyDescent="0.2">
      <c r="A315" s="1139" t="s">
        <v>8653</v>
      </c>
      <c r="B315" s="1153">
        <v>4080.74</v>
      </c>
      <c r="C315" s="1141">
        <v>70</v>
      </c>
      <c r="D315" s="1124"/>
      <c r="S315" s="1">
        <f t="shared" si="54"/>
        <v>402</v>
      </c>
      <c r="T315" s="1">
        <f t="shared" si="55"/>
        <v>4080.74</v>
      </c>
      <c r="U315" s="726">
        <v>402</v>
      </c>
    </row>
    <row r="316" spans="1:21" x14ac:dyDescent="0.2">
      <c r="S316" s="1" t="e">
        <f t="shared" si="54"/>
        <v>#VALUE!</v>
      </c>
      <c r="T316" s="1">
        <f t="shared" si="55"/>
        <v>0</v>
      </c>
      <c r="U316" s="726"/>
    </row>
    <row r="317" spans="1:21" x14ac:dyDescent="0.2">
      <c r="S317" s="1" t="e">
        <f t="shared" si="54"/>
        <v>#VALUE!</v>
      </c>
      <c r="T317" s="1">
        <f t="shared" si="55"/>
        <v>0</v>
      </c>
      <c r="U317" s="726"/>
    </row>
    <row r="318" spans="1:21" x14ac:dyDescent="0.2">
      <c r="A318" s="1139" t="s">
        <v>8654</v>
      </c>
      <c r="B318" s="1153">
        <v>4264.08</v>
      </c>
      <c r="C318" s="1151">
        <v>70</v>
      </c>
      <c r="D318" s="1124"/>
      <c r="S318" s="1">
        <f t="shared" si="54"/>
        <v>403</v>
      </c>
      <c r="T318" s="1">
        <f t="shared" si="55"/>
        <v>4264.08</v>
      </c>
      <c r="U318" s="726">
        <v>403</v>
      </c>
    </row>
    <row r="319" spans="1:21" x14ac:dyDescent="0.2">
      <c r="A319" s="1139" t="s">
        <v>8655</v>
      </c>
      <c r="B319" s="1153">
        <v>4666.24</v>
      </c>
      <c r="C319" s="1151">
        <v>70</v>
      </c>
      <c r="D319" s="1124"/>
      <c r="S319" s="1">
        <f t="shared" si="54"/>
        <v>404</v>
      </c>
      <c r="T319" s="1">
        <f t="shared" si="55"/>
        <v>4666.24</v>
      </c>
    </row>
    <row r="320" spans="1:21" x14ac:dyDescent="0.2">
      <c r="A320" s="1139" t="s">
        <v>8656</v>
      </c>
      <c r="B320" s="1153">
        <v>4961.9399999999996</v>
      </c>
      <c r="C320" s="1151">
        <v>50</v>
      </c>
      <c r="D320" s="1124"/>
      <c r="S320" s="1">
        <f t="shared" si="54"/>
        <v>405</v>
      </c>
      <c r="T320" s="1">
        <f t="shared" si="55"/>
        <v>4961.9399999999996</v>
      </c>
    </row>
    <row r="321" spans="1:20" x14ac:dyDescent="0.2">
      <c r="A321" s="1139" t="s">
        <v>8657</v>
      </c>
      <c r="B321" s="1153">
        <v>5044.74</v>
      </c>
      <c r="C321" s="1151">
        <v>50</v>
      </c>
      <c r="D321" s="1124"/>
      <c r="S321" s="1">
        <f t="shared" si="54"/>
        <v>406</v>
      </c>
      <c r="T321" s="1">
        <f t="shared" si="55"/>
        <v>5044.74</v>
      </c>
    </row>
    <row r="322" spans="1:20" x14ac:dyDescent="0.2">
      <c r="A322" s="1139" t="s">
        <v>8658</v>
      </c>
      <c r="B322" s="1153">
        <v>5742.61</v>
      </c>
      <c r="C322" s="1151">
        <v>50</v>
      </c>
      <c r="D322" s="1124"/>
      <c r="S322" s="1">
        <f t="shared" si="54"/>
        <v>407</v>
      </c>
      <c r="T322" s="1">
        <f t="shared" si="55"/>
        <v>5742.61</v>
      </c>
    </row>
    <row r="323" spans="1:20" x14ac:dyDescent="0.2">
      <c r="A323" s="1139" t="s">
        <v>8659</v>
      </c>
      <c r="B323" s="1153">
        <v>5973.26</v>
      </c>
      <c r="C323" s="1151">
        <v>50</v>
      </c>
      <c r="D323" s="1124"/>
      <c r="S323" s="1">
        <f t="shared" si="54"/>
        <v>408</v>
      </c>
      <c r="T323" s="1">
        <f t="shared" si="55"/>
        <v>5973.26</v>
      </c>
    </row>
    <row r="324" spans="1:20" x14ac:dyDescent="0.2">
      <c r="A324" s="1139" t="s">
        <v>8660</v>
      </c>
      <c r="B324" s="1153">
        <v>6428.64</v>
      </c>
      <c r="C324" s="1151">
        <v>50</v>
      </c>
      <c r="D324" s="1124"/>
      <c r="S324" s="1">
        <f t="shared" si="54"/>
        <v>409</v>
      </c>
      <c r="T324" s="1">
        <f t="shared" si="55"/>
        <v>6428.64</v>
      </c>
    </row>
    <row r="325" spans="1:20" x14ac:dyDescent="0.2">
      <c r="A325" s="1139" t="s">
        <v>8661</v>
      </c>
      <c r="B325" s="1153">
        <v>6753.92</v>
      </c>
      <c r="C325" s="1151">
        <v>40</v>
      </c>
      <c r="D325" s="1124"/>
      <c r="S325" s="1">
        <f t="shared" si="54"/>
        <v>410</v>
      </c>
      <c r="T325" s="1">
        <f t="shared" si="55"/>
        <v>6753.92</v>
      </c>
    </row>
    <row r="326" spans="1:20" x14ac:dyDescent="0.2">
      <c r="A326" s="1139" t="s">
        <v>8662</v>
      </c>
      <c r="B326" s="1153">
        <v>6960.92</v>
      </c>
      <c r="C326" s="1151">
        <v>40</v>
      </c>
      <c r="D326" s="1124"/>
      <c r="S326" s="1">
        <f t="shared" ref="S326:S389" si="57">+RIGHT(A326,3)+0</f>
        <v>411</v>
      </c>
      <c r="T326" s="1">
        <f t="shared" ref="T326:T389" si="58">+B326</f>
        <v>6960.92</v>
      </c>
    </row>
    <row r="327" spans="1:20" x14ac:dyDescent="0.2">
      <c r="A327" s="1139" t="s">
        <v>8663</v>
      </c>
      <c r="B327" s="1153">
        <v>7587.81</v>
      </c>
      <c r="C327" s="1151">
        <v>40</v>
      </c>
      <c r="D327" s="1124"/>
      <c r="S327" s="1">
        <f t="shared" si="57"/>
        <v>412</v>
      </c>
      <c r="T327" s="1">
        <f t="shared" si="58"/>
        <v>7587.81</v>
      </c>
    </row>
    <row r="328" spans="1:20" x14ac:dyDescent="0.2">
      <c r="A328" s="1139" t="s">
        <v>8664</v>
      </c>
      <c r="B328" s="1153">
        <v>8173.31</v>
      </c>
      <c r="C328" s="1151">
        <v>40</v>
      </c>
      <c r="D328" s="1124"/>
      <c r="S328" s="1">
        <f t="shared" si="57"/>
        <v>413</v>
      </c>
      <c r="T328" s="1">
        <f t="shared" si="58"/>
        <v>8173.31</v>
      </c>
    </row>
    <row r="329" spans="1:20" x14ac:dyDescent="0.2">
      <c r="A329" s="1139" t="s">
        <v>8665</v>
      </c>
      <c r="B329" s="1153">
        <v>8534.07</v>
      </c>
      <c r="C329" s="1151">
        <v>30</v>
      </c>
      <c r="D329" s="1124"/>
      <c r="S329" s="1">
        <f t="shared" si="57"/>
        <v>414</v>
      </c>
      <c r="T329" s="1">
        <f t="shared" si="58"/>
        <v>8534.07</v>
      </c>
    </row>
    <row r="330" spans="1:20" x14ac:dyDescent="0.2">
      <c r="A330" s="1139" t="s">
        <v>8666</v>
      </c>
      <c r="B330" s="1153">
        <v>8717.41</v>
      </c>
      <c r="C330" s="1151">
        <v>30</v>
      </c>
      <c r="D330" s="1124"/>
      <c r="S330" s="1">
        <f t="shared" si="57"/>
        <v>415</v>
      </c>
      <c r="T330" s="1">
        <f t="shared" si="58"/>
        <v>8717.41</v>
      </c>
    </row>
    <row r="331" spans="1:20" x14ac:dyDescent="0.2">
      <c r="A331" s="1139" t="s">
        <v>8667</v>
      </c>
      <c r="B331" s="1153">
        <v>8936.23</v>
      </c>
      <c r="C331" s="1151">
        <v>30</v>
      </c>
      <c r="D331" s="1124"/>
      <c r="S331" s="1">
        <f t="shared" si="57"/>
        <v>416</v>
      </c>
      <c r="T331" s="1">
        <f t="shared" si="58"/>
        <v>8936.23</v>
      </c>
    </row>
    <row r="332" spans="1:20" x14ac:dyDescent="0.2">
      <c r="A332" s="1139" t="s">
        <v>8668</v>
      </c>
      <c r="B332" s="1153">
        <v>9042.68</v>
      </c>
      <c r="C332" s="1151">
        <v>30</v>
      </c>
      <c r="D332" s="1124"/>
      <c r="S332" s="1">
        <f t="shared" si="57"/>
        <v>417</v>
      </c>
      <c r="T332" s="1">
        <f t="shared" si="58"/>
        <v>9042.68</v>
      </c>
    </row>
    <row r="333" spans="1:20" x14ac:dyDescent="0.2">
      <c r="A333" s="1139" t="s">
        <v>8669</v>
      </c>
      <c r="B333" s="1153">
        <v>9160.9599999999991</v>
      </c>
      <c r="C333" s="1151">
        <v>30</v>
      </c>
      <c r="D333" s="1124"/>
      <c r="S333" s="1">
        <f t="shared" si="57"/>
        <v>418</v>
      </c>
      <c r="T333" s="1">
        <f t="shared" si="58"/>
        <v>9160.9599999999991</v>
      </c>
    </row>
    <row r="334" spans="1:20" x14ac:dyDescent="0.2">
      <c r="A334" s="1139" t="s">
        <v>8670</v>
      </c>
      <c r="B334" s="1153">
        <v>9367.9500000000007</v>
      </c>
      <c r="C334" s="1151">
        <v>30</v>
      </c>
      <c r="D334" s="1124"/>
      <c r="S334" s="1">
        <f t="shared" si="57"/>
        <v>419</v>
      </c>
      <c r="T334" s="1">
        <f t="shared" si="58"/>
        <v>9367.9500000000007</v>
      </c>
    </row>
    <row r="335" spans="1:20" x14ac:dyDescent="0.2">
      <c r="A335" s="1139" t="s">
        <v>8671</v>
      </c>
      <c r="B335" s="1153">
        <v>9474.41</v>
      </c>
      <c r="C335" s="1151">
        <v>30</v>
      </c>
      <c r="D335" s="1124"/>
      <c r="S335" s="1">
        <f t="shared" si="57"/>
        <v>420</v>
      </c>
      <c r="T335" s="1">
        <f t="shared" si="58"/>
        <v>9474.41</v>
      </c>
    </row>
    <row r="336" spans="1:20" x14ac:dyDescent="0.2">
      <c r="A336" s="1139" t="s">
        <v>8672</v>
      </c>
      <c r="B336" s="1153">
        <v>9604.52</v>
      </c>
      <c r="C336" s="1151">
        <v>30</v>
      </c>
      <c r="D336" s="1124"/>
      <c r="S336" s="1">
        <f t="shared" si="57"/>
        <v>421</v>
      </c>
      <c r="T336" s="1">
        <f t="shared" si="58"/>
        <v>9604.52</v>
      </c>
    </row>
    <row r="337" spans="1:20" x14ac:dyDescent="0.2">
      <c r="A337" s="1139" t="s">
        <v>8673</v>
      </c>
      <c r="B337" s="1153">
        <v>9675.49</v>
      </c>
      <c r="C337" s="1151">
        <v>30</v>
      </c>
      <c r="D337" s="1124"/>
      <c r="S337" s="1">
        <f t="shared" si="57"/>
        <v>422</v>
      </c>
      <c r="T337" s="1">
        <f t="shared" si="58"/>
        <v>9675.49</v>
      </c>
    </row>
    <row r="338" spans="1:20" x14ac:dyDescent="0.2">
      <c r="A338" s="1139" t="s">
        <v>8674</v>
      </c>
      <c r="B338" s="1153">
        <v>9799.69</v>
      </c>
      <c r="C338" s="1151">
        <v>30</v>
      </c>
      <c r="D338" s="1124"/>
      <c r="S338" s="1">
        <f t="shared" si="57"/>
        <v>423</v>
      </c>
      <c r="T338" s="1">
        <f t="shared" si="58"/>
        <v>9799.69</v>
      </c>
    </row>
    <row r="339" spans="1:20" x14ac:dyDescent="0.2">
      <c r="A339" s="1139" t="s">
        <v>8675</v>
      </c>
      <c r="B339" s="1153">
        <v>9923.89</v>
      </c>
      <c r="C339" s="1151">
        <v>30</v>
      </c>
      <c r="D339" s="1124"/>
      <c r="S339" s="1">
        <f t="shared" si="57"/>
        <v>424</v>
      </c>
      <c r="T339" s="1">
        <f t="shared" si="58"/>
        <v>9923.89</v>
      </c>
    </row>
    <row r="340" spans="1:20" x14ac:dyDescent="0.2">
      <c r="A340" s="1139" t="s">
        <v>8676</v>
      </c>
      <c r="B340" s="1153">
        <v>6032.81</v>
      </c>
      <c r="C340" s="1151">
        <v>30</v>
      </c>
      <c r="D340" s="1124"/>
      <c r="S340" s="1">
        <f t="shared" si="57"/>
        <v>425</v>
      </c>
      <c r="T340" s="1">
        <f t="shared" si="58"/>
        <v>6032.81</v>
      </c>
    </row>
    <row r="341" spans="1:20" x14ac:dyDescent="0.2">
      <c r="A341" s="1139" t="s">
        <v>8677</v>
      </c>
      <c r="B341" s="1153">
        <v>6328.63</v>
      </c>
      <c r="C341" s="1151">
        <v>30</v>
      </c>
      <c r="D341" s="1124"/>
      <c r="S341" s="1">
        <f t="shared" si="57"/>
        <v>426</v>
      </c>
      <c r="T341" s="1">
        <f t="shared" si="58"/>
        <v>6328.63</v>
      </c>
    </row>
    <row r="342" spans="1:20" x14ac:dyDescent="0.2">
      <c r="A342" s="1139" t="s">
        <v>8678</v>
      </c>
      <c r="B342" s="1153">
        <v>6406.09</v>
      </c>
      <c r="C342" s="1151">
        <v>30</v>
      </c>
      <c r="D342" s="1124"/>
      <c r="S342" s="1">
        <f t="shared" si="57"/>
        <v>427</v>
      </c>
      <c r="T342" s="1">
        <f t="shared" si="58"/>
        <v>6406.09</v>
      </c>
    </row>
    <row r="343" spans="1:20" x14ac:dyDescent="0.2">
      <c r="A343" s="1139" t="s">
        <v>8679</v>
      </c>
      <c r="B343" s="1153">
        <v>6482.76</v>
      </c>
      <c r="C343" s="1151">
        <v>30</v>
      </c>
      <c r="D343" s="1124"/>
      <c r="S343" s="1">
        <f t="shared" si="57"/>
        <v>428</v>
      </c>
      <c r="T343" s="1">
        <f t="shared" si="58"/>
        <v>6482.76</v>
      </c>
    </row>
    <row r="344" spans="1:20" x14ac:dyDescent="0.2">
      <c r="A344" s="1139" t="s">
        <v>8680</v>
      </c>
      <c r="B344" s="1153">
        <v>6560.21</v>
      </c>
      <c r="C344" s="1151">
        <v>30</v>
      </c>
      <c r="D344" s="1124"/>
      <c r="S344" s="1">
        <f t="shared" si="57"/>
        <v>429</v>
      </c>
      <c r="T344" s="1">
        <f t="shared" si="58"/>
        <v>6560.21</v>
      </c>
    </row>
    <row r="345" spans="1:20" x14ac:dyDescent="0.2">
      <c r="A345" s="1139" t="s">
        <v>8681</v>
      </c>
      <c r="B345" s="1153">
        <v>6636.9</v>
      </c>
      <c r="C345" s="1151">
        <v>30</v>
      </c>
      <c r="D345" s="1124"/>
      <c r="S345" s="1">
        <f t="shared" si="57"/>
        <v>430</v>
      </c>
      <c r="T345" s="1">
        <f t="shared" si="58"/>
        <v>6636.9</v>
      </c>
    </row>
    <row r="346" spans="1:20" x14ac:dyDescent="0.2">
      <c r="A346" s="1139" t="s">
        <v>8682</v>
      </c>
      <c r="B346" s="1153">
        <v>6713.7</v>
      </c>
      <c r="C346" s="1151">
        <v>30</v>
      </c>
      <c r="D346" s="1124"/>
      <c r="S346" s="1">
        <f t="shared" si="57"/>
        <v>431</v>
      </c>
      <c r="T346" s="1">
        <f t="shared" si="58"/>
        <v>6713.7</v>
      </c>
    </row>
    <row r="347" spans="1:20" x14ac:dyDescent="0.2">
      <c r="A347" s="1139" t="s">
        <v>8683</v>
      </c>
      <c r="B347" s="1153">
        <v>6793.08</v>
      </c>
      <c r="C347" s="1151">
        <v>30</v>
      </c>
      <c r="D347" s="1124"/>
      <c r="S347" s="1">
        <f t="shared" si="57"/>
        <v>432</v>
      </c>
      <c r="T347" s="1">
        <f t="shared" si="58"/>
        <v>6793.08</v>
      </c>
    </row>
    <row r="348" spans="1:20" x14ac:dyDescent="0.2">
      <c r="A348" s="1139" t="s">
        <v>8684</v>
      </c>
      <c r="B348" s="1153">
        <v>6869.76</v>
      </c>
      <c r="C348" s="1151">
        <v>30</v>
      </c>
      <c r="D348" s="1124"/>
      <c r="S348" s="1">
        <f t="shared" si="57"/>
        <v>433</v>
      </c>
      <c r="T348" s="1">
        <f t="shared" si="58"/>
        <v>6869.76</v>
      </c>
    </row>
    <row r="349" spans="1:20" x14ac:dyDescent="0.2">
      <c r="A349" s="1139" t="s">
        <v>8685</v>
      </c>
      <c r="B349" s="1153">
        <v>7293.63</v>
      </c>
      <c r="C349" s="1151">
        <v>25</v>
      </c>
      <c r="D349" s="1124"/>
      <c r="S349" s="1">
        <f t="shared" si="57"/>
        <v>434</v>
      </c>
      <c r="T349" s="1">
        <f t="shared" si="58"/>
        <v>7293.63</v>
      </c>
    </row>
    <row r="350" spans="1:20" x14ac:dyDescent="0.2">
      <c r="A350" s="1139" t="s">
        <v>8686</v>
      </c>
      <c r="B350" s="1153">
        <v>7370.3</v>
      </c>
      <c r="C350" s="1151">
        <v>25</v>
      </c>
      <c r="D350" s="1124"/>
      <c r="S350" s="1">
        <f t="shared" si="57"/>
        <v>435</v>
      </c>
      <c r="T350" s="1">
        <f t="shared" si="58"/>
        <v>7370.3</v>
      </c>
    </row>
    <row r="351" spans="1:20" x14ac:dyDescent="0.2">
      <c r="A351" s="1139" t="s">
        <v>8687</v>
      </c>
      <c r="B351" s="1153">
        <v>7447.75</v>
      </c>
      <c r="C351" s="1151">
        <v>25</v>
      </c>
      <c r="D351" s="1124"/>
      <c r="S351" s="1">
        <f t="shared" si="57"/>
        <v>436</v>
      </c>
      <c r="T351" s="1">
        <f t="shared" si="58"/>
        <v>7447.75</v>
      </c>
    </row>
    <row r="352" spans="1:20" x14ac:dyDescent="0.2">
      <c r="A352" s="1139" t="s">
        <v>8688</v>
      </c>
      <c r="B352" s="1153">
        <v>8054.62</v>
      </c>
      <c r="C352" s="1151">
        <v>25</v>
      </c>
      <c r="D352" s="1124"/>
      <c r="S352" s="1">
        <f t="shared" si="57"/>
        <v>437</v>
      </c>
      <c r="T352" s="1">
        <f t="shared" si="58"/>
        <v>8054.62</v>
      </c>
    </row>
    <row r="353" spans="1:20" x14ac:dyDescent="0.2">
      <c r="A353" s="1139" t="s">
        <v>8689</v>
      </c>
      <c r="B353" s="1153">
        <v>8219.44</v>
      </c>
      <c r="C353" s="1151">
        <v>20</v>
      </c>
      <c r="D353" s="1124"/>
      <c r="S353" s="1">
        <f t="shared" si="57"/>
        <v>438</v>
      </c>
      <c r="T353" s="1">
        <f t="shared" si="58"/>
        <v>8219.44</v>
      </c>
    </row>
    <row r="354" spans="1:20" x14ac:dyDescent="0.2">
      <c r="A354" s="1139" t="s">
        <v>8690</v>
      </c>
      <c r="B354" s="1153">
        <v>8548.23</v>
      </c>
      <c r="C354" s="1151">
        <v>20</v>
      </c>
      <c r="D354" s="1124"/>
      <c r="S354" s="1">
        <f t="shared" si="57"/>
        <v>439</v>
      </c>
      <c r="T354" s="1">
        <f t="shared" si="58"/>
        <v>8548.23</v>
      </c>
    </row>
    <row r="355" spans="1:20" x14ac:dyDescent="0.2">
      <c r="A355" s="1139" t="s">
        <v>8691</v>
      </c>
      <c r="B355" s="1153">
        <v>9205.81</v>
      </c>
      <c r="C355" s="1151">
        <v>20</v>
      </c>
      <c r="D355" s="1124"/>
      <c r="S355" s="1">
        <f t="shared" si="57"/>
        <v>440</v>
      </c>
      <c r="T355" s="1">
        <f t="shared" si="58"/>
        <v>9205.81</v>
      </c>
    </row>
    <row r="356" spans="1:20" x14ac:dyDescent="0.2">
      <c r="A356" s="1139" t="s">
        <v>8692</v>
      </c>
      <c r="B356" s="1153">
        <v>9370.0499999999993</v>
      </c>
      <c r="C356" s="1151">
        <v>20</v>
      </c>
      <c r="D356" s="1124"/>
      <c r="S356" s="1">
        <f t="shared" si="57"/>
        <v>441</v>
      </c>
      <c r="T356" s="1">
        <f t="shared" si="58"/>
        <v>9370.0499999999993</v>
      </c>
    </row>
    <row r="357" spans="1:20" x14ac:dyDescent="0.2">
      <c r="A357" s="1139" t="s">
        <v>8693</v>
      </c>
      <c r="B357" s="1153">
        <v>11531.16</v>
      </c>
      <c r="C357" s="1151">
        <v>20</v>
      </c>
      <c r="D357" s="1124"/>
      <c r="S357" s="1">
        <f t="shared" si="57"/>
        <v>442</v>
      </c>
      <c r="T357" s="1">
        <f t="shared" si="58"/>
        <v>11531.16</v>
      </c>
    </row>
    <row r="358" spans="1:20" x14ac:dyDescent="0.2">
      <c r="A358" s="1139" t="s">
        <v>8694</v>
      </c>
      <c r="B358" s="1153">
        <v>11922.35</v>
      </c>
      <c r="C358" s="1151">
        <v>20</v>
      </c>
      <c r="D358" s="1124"/>
      <c r="S358" s="1">
        <f t="shared" si="57"/>
        <v>443</v>
      </c>
      <c r="T358" s="1">
        <f t="shared" si="58"/>
        <v>11922.35</v>
      </c>
    </row>
    <row r="359" spans="1:20" x14ac:dyDescent="0.2">
      <c r="A359" s="1139" t="s">
        <v>8695</v>
      </c>
      <c r="B359" s="1153">
        <v>12201.4</v>
      </c>
      <c r="C359" s="1151">
        <v>20</v>
      </c>
      <c r="D359" s="1124"/>
      <c r="S359" s="1">
        <f t="shared" si="57"/>
        <v>444</v>
      </c>
      <c r="T359" s="1">
        <f t="shared" si="58"/>
        <v>12201.4</v>
      </c>
    </row>
    <row r="360" spans="1:20" x14ac:dyDescent="0.2">
      <c r="A360" s="1139" t="s">
        <v>8696</v>
      </c>
      <c r="B360" s="1153">
        <v>12360.77</v>
      </c>
      <c r="C360" s="1151">
        <v>15</v>
      </c>
      <c r="D360" s="1124"/>
      <c r="S360" s="1">
        <f t="shared" si="57"/>
        <v>445</v>
      </c>
      <c r="T360" s="1">
        <f t="shared" si="58"/>
        <v>12360.77</v>
      </c>
    </row>
    <row r="361" spans="1:20" x14ac:dyDescent="0.2">
      <c r="A361" s="1139" t="s">
        <v>8697</v>
      </c>
      <c r="B361" s="1153">
        <v>13647.72</v>
      </c>
      <c r="C361" s="1151">
        <v>15</v>
      </c>
      <c r="D361" s="1124"/>
      <c r="S361" s="1">
        <f t="shared" si="57"/>
        <v>446</v>
      </c>
      <c r="T361" s="1">
        <f t="shared" si="58"/>
        <v>13647.72</v>
      </c>
    </row>
    <row r="362" spans="1:20" x14ac:dyDescent="0.2">
      <c r="A362" s="1139" t="s">
        <v>8698</v>
      </c>
      <c r="B362" s="1153">
        <v>14367.44</v>
      </c>
      <c r="C362" s="1151">
        <v>15</v>
      </c>
      <c r="D362" s="1124"/>
      <c r="S362" s="1">
        <f t="shared" si="57"/>
        <v>447</v>
      </c>
      <c r="T362" s="1">
        <f t="shared" si="58"/>
        <v>14367.44</v>
      </c>
    </row>
    <row r="363" spans="1:20" x14ac:dyDescent="0.2">
      <c r="A363" s="1139" t="s">
        <v>8699</v>
      </c>
      <c r="B363" s="1153">
        <v>14544.49</v>
      </c>
      <c r="C363" s="1151">
        <v>15</v>
      </c>
      <c r="D363" s="1124"/>
      <c r="S363" s="1">
        <f t="shared" si="57"/>
        <v>448</v>
      </c>
      <c r="T363" s="1">
        <f t="shared" si="58"/>
        <v>14544.49</v>
      </c>
    </row>
    <row r="364" spans="1:20" x14ac:dyDescent="0.2">
      <c r="A364" s="1139" t="s">
        <v>8700</v>
      </c>
      <c r="B364" s="1153">
        <v>14860.05</v>
      </c>
      <c r="C364" s="1151">
        <v>15</v>
      </c>
      <c r="D364" s="1124"/>
      <c r="S364" s="1">
        <f t="shared" si="57"/>
        <v>449</v>
      </c>
      <c r="T364" s="1">
        <f t="shared" si="58"/>
        <v>14860.05</v>
      </c>
    </row>
    <row r="365" spans="1:20" x14ac:dyDescent="0.2">
      <c r="A365" s="1139" t="s">
        <v>8701</v>
      </c>
      <c r="B365" s="1153">
        <v>20722.95</v>
      </c>
      <c r="C365" s="1151">
        <v>10</v>
      </c>
      <c r="D365" s="1124"/>
      <c r="S365" s="1">
        <f t="shared" si="57"/>
        <v>450</v>
      </c>
      <c r="T365" s="1">
        <f t="shared" si="58"/>
        <v>20722.95</v>
      </c>
    </row>
    <row r="366" spans="1:20" x14ac:dyDescent="0.2">
      <c r="A366" s="1139" t="s">
        <v>8702</v>
      </c>
      <c r="B366" s="1153">
        <v>21185.99</v>
      </c>
      <c r="C366" s="1151">
        <v>10</v>
      </c>
      <c r="D366" s="1124"/>
      <c r="S366" s="1">
        <f t="shared" si="57"/>
        <v>451</v>
      </c>
      <c r="T366" s="1">
        <f t="shared" si="58"/>
        <v>21185.99</v>
      </c>
    </row>
    <row r="367" spans="1:20" x14ac:dyDescent="0.2">
      <c r="A367" s="1139" t="s">
        <v>8703</v>
      </c>
      <c r="B367" s="1153">
        <v>21365.08</v>
      </c>
      <c r="C367" s="1151">
        <v>10</v>
      </c>
      <c r="D367" s="1124"/>
      <c r="S367" s="1">
        <f t="shared" si="57"/>
        <v>452</v>
      </c>
      <c r="T367" s="1">
        <f t="shared" si="58"/>
        <v>21365.08</v>
      </c>
    </row>
    <row r="368" spans="1:20" x14ac:dyDescent="0.2">
      <c r="A368" s="1139" t="s">
        <v>8704</v>
      </c>
      <c r="B368" s="1153">
        <v>21687.18</v>
      </c>
      <c r="C368" s="1151">
        <v>10</v>
      </c>
      <c r="D368" s="1124"/>
      <c r="S368" s="1">
        <f t="shared" si="57"/>
        <v>453</v>
      </c>
      <c r="T368" s="1">
        <f t="shared" si="58"/>
        <v>21687.18</v>
      </c>
    </row>
    <row r="369" spans="1:20" x14ac:dyDescent="0.2">
      <c r="S369" s="1" t="e">
        <f t="shared" si="57"/>
        <v>#VALUE!</v>
      </c>
      <c r="T369" s="1">
        <f t="shared" si="58"/>
        <v>0</v>
      </c>
    </row>
    <row r="370" spans="1:20" x14ac:dyDescent="0.2">
      <c r="S370" s="1" t="e">
        <f t="shared" si="57"/>
        <v>#VALUE!</v>
      </c>
      <c r="T370" s="1">
        <f t="shared" si="58"/>
        <v>0</v>
      </c>
    </row>
    <row r="371" spans="1:20" x14ac:dyDescent="0.2">
      <c r="A371" s="1139" t="s">
        <v>8705</v>
      </c>
      <c r="B371" s="1153">
        <v>22797.72</v>
      </c>
      <c r="C371" s="1141">
        <v>10</v>
      </c>
      <c r="D371" s="1124"/>
      <c r="S371" s="1">
        <f t="shared" si="57"/>
        <v>454</v>
      </c>
      <c r="T371" s="1">
        <f t="shared" si="58"/>
        <v>22797.72</v>
      </c>
    </row>
    <row r="372" spans="1:20" x14ac:dyDescent="0.2">
      <c r="A372" s="1139" t="s">
        <v>8706</v>
      </c>
      <c r="B372" s="1153">
        <v>23100.73</v>
      </c>
      <c r="C372" s="1141">
        <v>10</v>
      </c>
      <c r="D372" s="1124"/>
      <c r="S372" s="1">
        <f t="shared" si="57"/>
        <v>455</v>
      </c>
      <c r="T372" s="1">
        <f t="shared" si="58"/>
        <v>23100.73</v>
      </c>
    </row>
    <row r="373" spans="1:20" x14ac:dyDescent="0.2">
      <c r="A373" s="1139" t="s">
        <v>8707</v>
      </c>
      <c r="B373" s="1153">
        <v>23442.54</v>
      </c>
      <c r="C373" s="1141">
        <v>10</v>
      </c>
      <c r="D373" s="1124"/>
      <c r="S373" s="1">
        <f t="shared" si="57"/>
        <v>456</v>
      </c>
      <c r="T373" s="1">
        <f t="shared" si="58"/>
        <v>23442.54</v>
      </c>
    </row>
    <row r="374" spans="1:20" x14ac:dyDescent="0.2">
      <c r="A374" s="1139" t="s">
        <v>8708</v>
      </c>
      <c r="B374" s="1153">
        <v>23761.94</v>
      </c>
      <c r="C374" s="1141">
        <v>10</v>
      </c>
      <c r="D374" s="1124"/>
      <c r="S374" s="1">
        <f t="shared" si="57"/>
        <v>457</v>
      </c>
      <c r="T374" s="1">
        <f t="shared" si="58"/>
        <v>23761.94</v>
      </c>
    </row>
    <row r="375" spans="1:20" x14ac:dyDescent="0.2">
      <c r="A375" s="1139" t="s">
        <v>8709</v>
      </c>
      <c r="B375" s="1153">
        <v>24084.67</v>
      </c>
      <c r="C375" s="1141">
        <v>10</v>
      </c>
      <c r="D375" s="1124"/>
      <c r="S375" s="1">
        <f t="shared" si="57"/>
        <v>458</v>
      </c>
      <c r="T375" s="1">
        <f t="shared" si="58"/>
        <v>24084.67</v>
      </c>
    </row>
    <row r="376" spans="1:20" x14ac:dyDescent="0.2">
      <c r="A376" s="1139" t="s">
        <v>8710</v>
      </c>
      <c r="B376" s="1153">
        <v>27753.94</v>
      </c>
      <c r="C376" s="1141">
        <v>5</v>
      </c>
      <c r="D376" s="1124"/>
      <c r="S376" s="1">
        <f t="shared" si="57"/>
        <v>459</v>
      </c>
      <c r="T376" s="1">
        <f t="shared" si="58"/>
        <v>27753.94</v>
      </c>
    </row>
    <row r="377" spans="1:20" x14ac:dyDescent="0.2">
      <c r="A377" s="1139" t="s">
        <v>8711</v>
      </c>
      <c r="B377" s="1153">
        <v>30942.18</v>
      </c>
      <c r="C377" s="1141">
        <v>5</v>
      </c>
      <c r="D377" s="1124"/>
      <c r="S377" s="1">
        <f t="shared" si="57"/>
        <v>460</v>
      </c>
      <c r="T377" s="1">
        <f t="shared" si="58"/>
        <v>30942.18</v>
      </c>
    </row>
    <row r="378" spans="1:20" x14ac:dyDescent="0.2">
      <c r="A378" s="1139" t="s">
        <v>8712</v>
      </c>
      <c r="B378" s="1153">
        <v>31425.58</v>
      </c>
      <c r="C378" s="1141">
        <v>5</v>
      </c>
      <c r="D378" s="1124"/>
      <c r="S378" s="1">
        <f t="shared" si="57"/>
        <v>461</v>
      </c>
      <c r="T378" s="1">
        <f t="shared" si="58"/>
        <v>31425.58</v>
      </c>
    </row>
    <row r="379" spans="1:20" x14ac:dyDescent="0.2">
      <c r="A379" s="1139" t="s">
        <v>8713</v>
      </c>
      <c r="B379" s="1153">
        <v>31908.98</v>
      </c>
      <c r="C379" s="1141">
        <v>5</v>
      </c>
      <c r="D379" s="1124"/>
      <c r="S379" s="1">
        <f t="shared" si="57"/>
        <v>462</v>
      </c>
      <c r="T379" s="1">
        <f t="shared" si="58"/>
        <v>31908.98</v>
      </c>
    </row>
    <row r="380" spans="1:20" x14ac:dyDescent="0.2">
      <c r="A380" s="1139" t="s">
        <v>8714</v>
      </c>
      <c r="B380" s="1153">
        <v>32634.36</v>
      </c>
      <c r="C380" s="1141">
        <v>5</v>
      </c>
      <c r="D380" s="1124"/>
      <c r="S380" s="1">
        <f t="shared" si="57"/>
        <v>463</v>
      </c>
      <c r="T380" s="1">
        <f t="shared" si="58"/>
        <v>32634.36</v>
      </c>
    </row>
    <row r="381" spans="1:20" x14ac:dyDescent="0.2">
      <c r="A381" s="1139" t="s">
        <v>8715</v>
      </c>
      <c r="B381" s="1153">
        <v>33737.03</v>
      </c>
      <c r="C381" s="1141">
        <v>5</v>
      </c>
      <c r="D381" s="1124"/>
      <c r="S381" s="1">
        <f t="shared" si="57"/>
        <v>464</v>
      </c>
      <c r="T381" s="1">
        <f t="shared" si="58"/>
        <v>33737.03</v>
      </c>
    </row>
    <row r="382" spans="1:20" x14ac:dyDescent="0.2">
      <c r="A382" s="1139" t="s">
        <v>8716</v>
      </c>
      <c r="B382" s="1153">
        <v>35306.080000000002</v>
      </c>
      <c r="C382" s="1141">
        <v>5</v>
      </c>
      <c r="D382" s="1124"/>
      <c r="S382" s="1">
        <f t="shared" si="57"/>
        <v>465</v>
      </c>
      <c r="T382" s="1">
        <f t="shared" si="58"/>
        <v>35306.080000000002</v>
      </c>
    </row>
    <row r="383" spans="1:20" x14ac:dyDescent="0.2">
      <c r="A383" s="1139" t="s">
        <v>8717</v>
      </c>
      <c r="B383" s="1153">
        <v>38909.71</v>
      </c>
      <c r="C383" s="1141">
        <v>5</v>
      </c>
      <c r="D383" s="1124"/>
      <c r="S383" s="1">
        <f t="shared" si="57"/>
        <v>466</v>
      </c>
      <c r="T383" s="1">
        <f t="shared" si="58"/>
        <v>38909.71</v>
      </c>
    </row>
    <row r="384" spans="1:20" x14ac:dyDescent="0.2">
      <c r="A384" s="1139" t="s">
        <v>8718</v>
      </c>
      <c r="B384" s="1153">
        <v>40369.83</v>
      </c>
      <c r="C384" s="1141">
        <v>5</v>
      </c>
      <c r="D384" s="1124"/>
      <c r="S384" s="1">
        <f t="shared" si="57"/>
        <v>467</v>
      </c>
      <c r="T384" s="1">
        <f t="shared" si="58"/>
        <v>40369.83</v>
      </c>
    </row>
    <row r="385" spans="1:20" x14ac:dyDescent="0.2">
      <c r="A385" s="1139" t="s">
        <v>8719</v>
      </c>
      <c r="B385" s="1153">
        <v>43583.68</v>
      </c>
      <c r="C385" s="1141">
        <v>5</v>
      </c>
      <c r="D385" s="1124"/>
      <c r="S385" s="1">
        <f t="shared" si="57"/>
        <v>468</v>
      </c>
      <c r="T385" s="1">
        <f t="shared" si="58"/>
        <v>43583.68</v>
      </c>
    </row>
    <row r="386" spans="1:20" x14ac:dyDescent="0.2">
      <c r="A386" s="1139" t="s">
        <v>8720</v>
      </c>
      <c r="B386" s="1153">
        <v>44507.63</v>
      </c>
      <c r="C386" s="1141">
        <v>5</v>
      </c>
      <c r="D386" s="1124"/>
      <c r="S386" s="1">
        <f t="shared" si="57"/>
        <v>469</v>
      </c>
      <c r="T386" s="1">
        <f t="shared" si="58"/>
        <v>44507.63</v>
      </c>
    </row>
    <row r="387" spans="1:20" x14ac:dyDescent="0.2">
      <c r="A387" s="1139" t="s">
        <v>8721</v>
      </c>
      <c r="B387" s="1153">
        <v>45336</v>
      </c>
      <c r="C387" s="1141">
        <v>5</v>
      </c>
      <c r="D387" s="1124"/>
      <c r="S387" s="1">
        <f t="shared" si="57"/>
        <v>470</v>
      </c>
      <c r="T387" s="1">
        <f t="shared" si="58"/>
        <v>45336</v>
      </c>
    </row>
    <row r="388" spans="1:20" x14ac:dyDescent="0.2">
      <c r="A388" s="1139" t="s">
        <v>8722</v>
      </c>
      <c r="B388" s="1153">
        <v>45760.1</v>
      </c>
      <c r="C388" s="1141">
        <v>5</v>
      </c>
      <c r="D388" s="1124"/>
      <c r="S388" s="1">
        <f t="shared" si="57"/>
        <v>471</v>
      </c>
      <c r="T388" s="1">
        <f t="shared" si="58"/>
        <v>45760.1</v>
      </c>
    </row>
    <row r="389" spans="1:20" x14ac:dyDescent="0.2">
      <c r="A389" s="1139" t="s">
        <v>8723</v>
      </c>
      <c r="B389" s="1153">
        <v>51040.01</v>
      </c>
      <c r="C389" s="1141">
        <v>5</v>
      </c>
      <c r="D389" s="1124"/>
      <c r="S389" s="1">
        <f t="shared" si="57"/>
        <v>472</v>
      </c>
      <c r="T389" s="1">
        <f t="shared" si="58"/>
        <v>51040.01</v>
      </c>
    </row>
    <row r="390" spans="1:20" x14ac:dyDescent="0.2">
      <c r="A390" s="1139" t="s">
        <v>8724</v>
      </c>
      <c r="B390" s="1153">
        <v>52565.38</v>
      </c>
      <c r="C390" s="1141">
        <v>5</v>
      </c>
      <c r="D390" s="1124"/>
      <c r="S390" s="1">
        <f t="shared" ref="S390:S453" si="59">+RIGHT(A390,3)+0</f>
        <v>473</v>
      </c>
      <c r="T390" s="1">
        <f t="shared" ref="T390:T453" si="60">+B390</f>
        <v>52565.38</v>
      </c>
    </row>
    <row r="391" spans="1:20" x14ac:dyDescent="0.2">
      <c r="A391" s="1139" t="s">
        <v>8725</v>
      </c>
      <c r="B391" s="1153">
        <v>54087.63</v>
      </c>
      <c r="C391" s="1141">
        <v>5</v>
      </c>
      <c r="D391" s="1124"/>
      <c r="S391" s="1">
        <f t="shared" si="59"/>
        <v>474</v>
      </c>
      <c r="T391" s="1">
        <f t="shared" si="60"/>
        <v>54087.63</v>
      </c>
    </row>
    <row r="392" spans="1:20" x14ac:dyDescent="0.2">
      <c r="A392" s="1139" t="s">
        <v>8726</v>
      </c>
      <c r="B392" s="1153">
        <v>55517.66</v>
      </c>
      <c r="C392" s="1141">
        <v>5</v>
      </c>
      <c r="D392" s="1124"/>
      <c r="S392" s="1">
        <f t="shared" si="59"/>
        <v>475</v>
      </c>
      <c r="T392" s="1">
        <f t="shared" si="60"/>
        <v>55517.66</v>
      </c>
    </row>
    <row r="393" spans="1:20" x14ac:dyDescent="0.2">
      <c r="A393" s="1139" t="s">
        <v>8727</v>
      </c>
      <c r="B393" s="1140">
        <v>76.31</v>
      </c>
      <c r="C393" s="1141">
        <v>2000</v>
      </c>
      <c r="D393" s="1124"/>
      <c r="S393" s="1">
        <f t="shared" si="59"/>
        <v>901</v>
      </c>
      <c r="T393" s="1">
        <f t="shared" si="60"/>
        <v>76.31</v>
      </c>
    </row>
    <row r="394" spans="1:20" x14ac:dyDescent="0.2">
      <c r="A394" s="1139" t="s">
        <v>8728</v>
      </c>
      <c r="B394" s="1140">
        <v>77.45</v>
      </c>
      <c r="C394" s="1141">
        <v>2000</v>
      </c>
      <c r="D394" s="1124"/>
      <c r="S394" s="1">
        <f t="shared" si="59"/>
        <v>902</v>
      </c>
      <c r="T394" s="1">
        <f t="shared" si="60"/>
        <v>77.45</v>
      </c>
    </row>
    <row r="395" spans="1:20" x14ac:dyDescent="0.2">
      <c r="A395" s="1139" t="s">
        <v>8729</v>
      </c>
      <c r="B395" s="1140">
        <v>95.76</v>
      </c>
      <c r="C395" s="1141">
        <v>2000</v>
      </c>
      <c r="D395" s="1124"/>
      <c r="S395" s="1">
        <f t="shared" si="59"/>
        <v>903</v>
      </c>
      <c r="T395" s="1">
        <f t="shared" si="60"/>
        <v>95.76</v>
      </c>
    </row>
    <row r="396" spans="1:20" x14ac:dyDescent="0.2">
      <c r="A396" s="1139" t="s">
        <v>8730</v>
      </c>
      <c r="B396" s="1140">
        <v>98.45</v>
      </c>
      <c r="C396" s="1141">
        <v>2000</v>
      </c>
      <c r="D396" s="1124"/>
      <c r="S396" s="1">
        <f t="shared" si="59"/>
        <v>904</v>
      </c>
      <c r="T396" s="1">
        <f t="shared" si="60"/>
        <v>98.45</v>
      </c>
    </row>
    <row r="397" spans="1:20" x14ac:dyDescent="0.2">
      <c r="A397" s="1139" t="s">
        <v>8731</v>
      </c>
      <c r="B397" s="1153">
        <v>108.17</v>
      </c>
      <c r="C397" s="1141">
        <v>2000</v>
      </c>
      <c r="D397" s="1124"/>
      <c r="S397" s="1">
        <f t="shared" si="59"/>
        <v>905</v>
      </c>
      <c r="T397" s="1">
        <f t="shared" si="60"/>
        <v>108.17</v>
      </c>
    </row>
    <row r="398" spans="1:20" x14ac:dyDescent="0.2">
      <c r="A398" s="1139" t="s">
        <v>8732</v>
      </c>
      <c r="B398" s="1153">
        <v>115.47</v>
      </c>
      <c r="C398" s="1141">
        <v>2000</v>
      </c>
      <c r="D398" s="1141">
        <v>30</v>
      </c>
      <c r="S398" s="1">
        <f t="shared" si="59"/>
        <v>906</v>
      </c>
      <c r="T398" s="1">
        <f t="shared" si="60"/>
        <v>115.47</v>
      </c>
    </row>
    <row r="399" spans="1:20" x14ac:dyDescent="0.2">
      <c r="A399" s="1139" t="s">
        <v>8733</v>
      </c>
      <c r="B399" s="1153">
        <v>133.78</v>
      </c>
      <c r="C399" s="1141">
        <v>1500</v>
      </c>
      <c r="D399" s="1124"/>
      <c r="S399" s="1">
        <f t="shared" si="59"/>
        <v>907</v>
      </c>
      <c r="T399" s="1">
        <f t="shared" si="60"/>
        <v>133.78</v>
      </c>
    </row>
    <row r="400" spans="1:20" x14ac:dyDescent="0.2">
      <c r="A400" s="1139" t="s">
        <v>8734</v>
      </c>
      <c r="B400" s="1153">
        <v>195.48</v>
      </c>
      <c r="C400" s="1141">
        <v>1500</v>
      </c>
      <c r="D400" s="1141">
        <v>50</v>
      </c>
      <c r="S400" s="1">
        <f t="shared" si="59"/>
        <v>908</v>
      </c>
      <c r="T400" s="1">
        <f t="shared" si="60"/>
        <v>195.48</v>
      </c>
    </row>
    <row r="401" spans="1:20" x14ac:dyDescent="0.2">
      <c r="A401" s="1139" t="s">
        <v>8735</v>
      </c>
      <c r="B401" s="1153">
        <v>232.86</v>
      </c>
      <c r="C401" s="1141">
        <v>1000</v>
      </c>
      <c r="D401" s="1124"/>
      <c r="S401" s="1">
        <f t="shared" si="59"/>
        <v>909</v>
      </c>
      <c r="T401" s="1">
        <f t="shared" si="60"/>
        <v>232.86</v>
      </c>
    </row>
    <row r="402" spans="1:20" x14ac:dyDescent="0.2">
      <c r="A402" s="1139" t="s">
        <v>8736</v>
      </c>
      <c r="B402" s="1153">
        <v>238.75</v>
      </c>
      <c r="C402" s="1141">
        <v>1000</v>
      </c>
      <c r="D402" s="1141">
        <v>30</v>
      </c>
      <c r="S402" s="1">
        <f t="shared" si="59"/>
        <v>910</v>
      </c>
      <c r="T402" s="1">
        <f t="shared" si="60"/>
        <v>238.75</v>
      </c>
    </row>
    <row r="403" spans="1:20" x14ac:dyDescent="0.2">
      <c r="A403" s="1139" t="s">
        <v>8737</v>
      </c>
      <c r="B403" s="1153">
        <v>355.5</v>
      </c>
      <c r="C403" s="1141">
        <v>700</v>
      </c>
      <c r="D403" s="1124"/>
      <c r="S403" s="1">
        <f t="shared" si="59"/>
        <v>911</v>
      </c>
      <c r="T403" s="1">
        <f t="shared" si="60"/>
        <v>355.5</v>
      </c>
    </row>
    <row r="404" spans="1:20" x14ac:dyDescent="0.2">
      <c r="A404" s="1139" t="s">
        <v>8738</v>
      </c>
      <c r="B404" s="1153">
        <v>373.29</v>
      </c>
      <c r="C404" s="1141">
        <v>700</v>
      </c>
      <c r="D404" s="1141">
        <v>30</v>
      </c>
      <c r="S404" s="1">
        <f t="shared" si="59"/>
        <v>912</v>
      </c>
      <c r="T404" s="1">
        <f t="shared" si="60"/>
        <v>373.29</v>
      </c>
    </row>
    <row r="405" spans="1:20" x14ac:dyDescent="0.2">
      <c r="A405" s="1139" t="s">
        <v>8739</v>
      </c>
      <c r="B405" s="1153">
        <v>413.87</v>
      </c>
      <c r="C405" s="1141">
        <v>500</v>
      </c>
      <c r="D405" s="1124"/>
      <c r="S405" s="1">
        <f t="shared" si="59"/>
        <v>913</v>
      </c>
      <c r="T405" s="1">
        <f t="shared" si="60"/>
        <v>413.87</v>
      </c>
    </row>
    <row r="406" spans="1:20" x14ac:dyDescent="0.2">
      <c r="A406" s="1139" t="s">
        <v>8740</v>
      </c>
      <c r="B406" s="1153">
        <v>419.13</v>
      </c>
      <c r="C406" s="1141">
        <v>500</v>
      </c>
      <c r="D406" s="1124"/>
      <c r="S406" s="1">
        <f t="shared" si="59"/>
        <v>914</v>
      </c>
      <c r="T406" s="1">
        <f t="shared" si="60"/>
        <v>419.13</v>
      </c>
    </row>
    <row r="407" spans="1:20" x14ac:dyDescent="0.2">
      <c r="A407" s="1139" t="s">
        <v>8741</v>
      </c>
      <c r="B407" s="1153">
        <v>409.6</v>
      </c>
      <c r="C407" s="1141">
        <v>500</v>
      </c>
      <c r="D407" s="1124"/>
      <c r="S407" s="1">
        <f t="shared" si="59"/>
        <v>916</v>
      </c>
      <c r="T407" s="1">
        <f t="shared" si="60"/>
        <v>409.6</v>
      </c>
    </row>
    <row r="408" spans="1:20" x14ac:dyDescent="0.2">
      <c r="A408" s="1139" t="s">
        <v>8742</v>
      </c>
      <c r="B408" s="1153">
        <v>544.46</v>
      </c>
      <c r="C408" s="1141">
        <v>400</v>
      </c>
      <c r="D408" s="1124"/>
      <c r="S408" s="1">
        <f t="shared" si="59"/>
        <v>918</v>
      </c>
      <c r="T408" s="1">
        <f t="shared" si="60"/>
        <v>544.46</v>
      </c>
    </row>
    <row r="409" spans="1:20" x14ac:dyDescent="0.2">
      <c r="A409" s="1139" t="s">
        <v>8743</v>
      </c>
      <c r="B409" s="1153">
        <v>625.11</v>
      </c>
      <c r="C409" s="1141">
        <v>400</v>
      </c>
      <c r="D409" s="1124"/>
      <c r="S409" s="1">
        <f t="shared" si="59"/>
        <v>920</v>
      </c>
      <c r="T409" s="1">
        <f t="shared" si="60"/>
        <v>625.11</v>
      </c>
    </row>
    <row r="410" spans="1:20" x14ac:dyDescent="0.2">
      <c r="A410" s="1139" t="s">
        <v>8744</v>
      </c>
      <c r="B410" s="1153">
        <v>3716.31</v>
      </c>
      <c r="C410" s="1124"/>
      <c r="D410" s="1124"/>
      <c r="S410" s="1">
        <f t="shared" si="59"/>
        <v>922</v>
      </c>
      <c r="T410" s="1">
        <f t="shared" si="60"/>
        <v>3716.31</v>
      </c>
    </row>
    <row r="411" spans="1:20" x14ac:dyDescent="0.2">
      <c r="A411" s="1139" t="s">
        <v>8745</v>
      </c>
      <c r="B411" s="1153">
        <v>711.01</v>
      </c>
      <c r="C411" s="1141">
        <v>250</v>
      </c>
      <c r="D411" s="1124"/>
      <c r="S411" s="1">
        <f t="shared" si="59"/>
        <v>924</v>
      </c>
      <c r="T411" s="1">
        <f t="shared" si="60"/>
        <v>711.01</v>
      </c>
    </row>
    <row r="412" spans="1:20" x14ac:dyDescent="0.2">
      <c r="A412" s="1139" t="s">
        <v>8746</v>
      </c>
      <c r="B412" s="1153">
        <v>5361.3</v>
      </c>
      <c r="C412" s="1124"/>
      <c r="D412" s="1124"/>
      <c r="S412" s="1">
        <f t="shared" si="59"/>
        <v>926</v>
      </c>
      <c r="T412" s="1">
        <f t="shared" si="60"/>
        <v>5361.3</v>
      </c>
    </row>
    <row r="413" spans="1:20" x14ac:dyDescent="0.2">
      <c r="A413" s="1139" t="s">
        <v>8747</v>
      </c>
      <c r="B413" s="1153">
        <v>894.71</v>
      </c>
      <c r="C413" s="1141">
        <v>200</v>
      </c>
      <c r="D413" s="1124"/>
      <c r="S413" s="1">
        <f t="shared" si="59"/>
        <v>928</v>
      </c>
      <c r="T413" s="1">
        <f t="shared" si="60"/>
        <v>894.71</v>
      </c>
    </row>
    <row r="414" spans="1:20" x14ac:dyDescent="0.2">
      <c r="A414" s="1139" t="s">
        <v>8748</v>
      </c>
      <c r="B414" s="1153">
        <v>899.95</v>
      </c>
      <c r="C414" s="1141">
        <v>200</v>
      </c>
      <c r="D414" s="1124"/>
      <c r="S414" s="1">
        <f t="shared" si="59"/>
        <v>932</v>
      </c>
      <c r="T414" s="1">
        <f t="shared" si="60"/>
        <v>899.95</v>
      </c>
    </row>
    <row r="415" spans="1:20" x14ac:dyDescent="0.2">
      <c r="S415" s="1" t="e">
        <f t="shared" si="59"/>
        <v>#VALUE!</v>
      </c>
      <c r="T415" s="1">
        <f t="shared" si="60"/>
        <v>0</v>
      </c>
    </row>
    <row r="416" spans="1:20" x14ac:dyDescent="0.2">
      <c r="S416" s="1" t="e">
        <f t="shared" si="59"/>
        <v>#VALUE!</v>
      </c>
      <c r="T416" s="1">
        <f t="shared" si="60"/>
        <v>0</v>
      </c>
    </row>
    <row r="417" spans="19:20" x14ac:dyDescent="0.2">
      <c r="S417" s="1" t="e">
        <f t="shared" si="59"/>
        <v>#VALUE!</v>
      </c>
      <c r="T417" s="1">
        <f t="shared" si="60"/>
        <v>0</v>
      </c>
    </row>
    <row r="418" spans="19:20" x14ac:dyDescent="0.2">
      <c r="S418" s="1" t="e">
        <f t="shared" si="59"/>
        <v>#VALUE!</v>
      </c>
      <c r="T418" s="1">
        <f t="shared" si="60"/>
        <v>0</v>
      </c>
    </row>
    <row r="419" spans="19:20" x14ac:dyDescent="0.2">
      <c r="S419" s="1" t="e">
        <f t="shared" si="59"/>
        <v>#VALUE!</v>
      </c>
      <c r="T419" s="1">
        <f t="shared" si="60"/>
        <v>0</v>
      </c>
    </row>
    <row r="420" spans="19:20" x14ac:dyDescent="0.2">
      <c r="S420" s="1" t="e">
        <f t="shared" si="59"/>
        <v>#VALUE!</v>
      </c>
      <c r="T420" s="1">
        <f t="shared" si="60"/>
        <v>0</v>
      </c>
    </row>
    <row r="421" spans="19:20" x14ac:dyDescent="0.2">
      <c r="S421" s="1" t="e">
        <f t="shared" si="59"/>
        <v>#VALUE!</v>
      </c>
      <c r="T421" s="1">
        <f t="shared" si="60"/>
        <v>0</v>
      </c>
    </row>
    <row r="422" spans="19:20" x14ac:dyDescent="0.2">
      <c r="S422" s="1" t="e">
        <f t="shared" si="59"/>
        <v>#VALUE!</v>
      </c>
      <c r="T422" s="1">
        <f t="shared" si="60"/>
        <v>0</v>
      </c>
    </row>
    <row r="423" spans="19:20" x14ac:dyDescent="0.2">
      <c r="S423" s="1" t="e">
        <f t="shared" si="59"/>
        <v>#VALUE!</v>
      </c>
      <c r="T423" s="1">
        <f t="shared" si="60"/>
        <v>0</v>
      </c>
    </row>
    <row r="424" spans="19:20" x14ac:dyDescent="0.2">
      <c r="S424" s="1" t="e">
        <f t="shared" si="59"/>
        <v>#VALUE!</v>
      </c>
      <c r="T424" s="1">
        <f t="shared" si="60"/>
        <v>0</v>
      </c>
    </row>
    <row r="425" spans="19:20" x14ac:dyDescent="0.2">
      <c r="S425" s="1" t="e">
        <f t="shared" si="59"/>
        <v>#VALUE!</v>
      </c>
      <c r="T425" s="1">
        <f t="shared" si="60"/>
        <v>0</v>
      </c>
    </row>
    <row r="426" spans="19:20" x14ac:dyDescent="0.2">
      <c r="S426" s="1" t="e">
        <f t="shared" si="59"/>
        <v>#VALUE!</v>
      </c>
      <c r="T426" s="1">
        <f t="shared" si="60"/>
        <v>0</v>
      </c>
    </row>
    <row r="427" spans="19:20" x14ac:dyDescent="0.2">
      <c r="S427" s="1" t="e">
        <f t="shared" si="59"/>
        <v>#VALUE!</v>
      </c>
      <c r="T427" s="1">
        <f t="shared" si="60"/>
        <v>0</v>
      </c>
    </row>
    <row r="428" spans="19:20" x14ac:dyDescent="0.2">
      <c r="S428" s="1" t="e">
        <f t="shared" si="59"/>
        <v>#VALUE!</v>
      </c>
      <c r="T428" s="1">
        <f t="shared" si="60"/>
        <v>0</v>
      </c>
    </row>
    <row r="429" spans="19:20" x14ac:dyDescent="0.2">
      <c r="S429" s="1" t="e">
        <f t="shared" si="59"/>
        <v>#VALUE!</v>
      </c>
      <c r="T429" s="1">
        <f t="shared" si="60"/>
        <v>0</v>
      </c>
    </row>
    <row r="430" spans="19:20" x14ac:dyDescent="0.2">
      <c r="S430" s="1" t="e">
        <f t="shared" si="59"/>
        <v>#VALUE!</v>
      </c>
      <c r="T430" s="1">
        <f t="shared" si="60"/>
        <v>0</v>
      </c>
    </row>
    <row r="431" spans="19:20" x14ac:dyDescent="0.2">
      <c r="S431" s="1" t="e">
        <f t="shared" si="59"/>
        <v>#VALUE!</v>
      </c>
      <c r="T431" s="1">
        <f t="shared" si="60"/>
        <v>0</v>
      </c>
    </row>
    <row r="432" spans="19:20" x14ac:dyDescent="0.2">
      <c r="S432" s="1" t="e">
        <f t="shared" si="59"/>
        <v>#VALUE!</v>
      </c>
      <c r="T432" s="1">
        <f t="shared" si="60"/>
        <v>0</v>
      </c>
    </row>
    <row r="433" spans="19:20" x14ac:dyDescent="0.2">
      <c r="S433" s="1" t="e">
        <f t="shared" si="59"/>
        <v>#VALUE!</v>
      </c>
      <c r="T433" s="1">
        <f t="shared" si="60"/>
        <v>0</v>
      </c>
    </row>
    <row r="434" spans="19:20" x14ac:dyDescent="0.2">
      <c r="S434" s="1" t="e">
        <f t="shared" si="59"/>
        <v>#VALUE!</v>
      </c>
      <c r="T434" s="1">
        <f t="shared" si="60"/>
        <v>0</v>
      </c>
    </row>
    <row r="435" spans="19:20" x14ac:dyDescent="0.2">
      <c r="S435" s="1" t="e">
        <f t="shared" si="59"/>
        <v>#VALUE!</v>
      </c>
      <c r="T435" s="1">
        <f t="shared" si="60"/>
        <v>0</v>
      </c>
    </row>
    <row r="436" spans="19:20" x14ac:dyDescent="0.2">
      <c r="S436" s="1" t="e">
        <f t="shared" si="59"/>
        <v>#VALUE!</v>
      </c>
      <c r="T436" s="1">
        <f t="shared" si="60"/>
        <v>0</v>
      </c>
    </row>
    <row r="437" spans="19:20" x14ac:dyDescent="0.2">
      <c r="S437" s="1" t="e">
        <f t="shared" si="59"/>
        <v>#VALUE!</v>
      </c>
      <c r="T437" s="1">
        <f t="shared" si="60"/>
        <v>0</v>
      </c>
    </row>
    <row r="438" spans="19:20" x14ac:dyDescent="0.2">
      <c r="S438" s="1" t="e">
        <f t="shared" si="59"/>
        <v>#VALUE!</v>
      </c>
      <c r="T438" s="1">
        <f t="shared" si="60"/>
        <v>0</v>
      </c>
    </row>
    <row r="439" spans="19:20" x14ac:dyDescent="0.2">
      <c r="S439" s="1" t="e">
        <f t="shared" si="59"/>
        <v>#VALUE!</v>
      </c>
      <c r="T439" s="1">
        <f t="shared" si="60"/>
        <v>0</v>
      </c>
    </row>
    <row r="440" spans="19:20" x14ac:dyDescent="0.2">
      <c r="S440" s="1" t="e">
        <f t="shared" si="59"/>
        <v>#VALUE!</v>
      </c>
      <c r="T440" s="1">
        <f t="shared" si="60"/>
        <v>0</v>
      </c>
    </row>
    <row r="441" spans="19:20" x14ac:dyDescent="0.2">
      <c r="S441" s="1" t="e">
        <f t="shared" si="59"/>
        <v>#VALUE!</v>
      </c>
      <c r="T441" s="1">
        <f t="shared" si="60"/>
        <v>0</v>
      </c>
    </row>
    <row r="442" spans="19:20" x14ac:dyDescent="0.2">
      <c r="S442" s="1" t="e">
        <f t="shared" si="59"/>
        <v>#VALUE!</v>
      </c>
      <c r="T442" s="1">
        <f t="shared" si="60"/>
        <v>0</v>
      </c>
    </row>
    <row r="443" spans="19:20" x14ac:dyDescent="0.2">
      <c r="S443" s="1" t="e">
        <f t="shared" si="59"/>
        <v>#VALUE!</v>
      </c>
      <c r="T443" s="1">
        <f t="shared" si="60"/>
        <v>0</v>
      </c>
    </row>
    <row r="444" spans="19:20" x14ac:dyDescent="0.2">
      <c r="S444" s="1" t="e">
        <f t="shared" si="59"/>
        <v>#VALUE!</v>
      </c>
      <c r="T444" s="1">
        <f t="shared" si="60"/>
        <v>0</v>
      </c>
    </row>
    <row r="445" spans="19:20" x14ac:dyDescent="0.2">
      <c r="S445" s="1" t="e">
        <f t="shared" si="59"/>
        <v>#VALUE!</v>
      </c>
      <c r="T445" s="1">
        <f t="shared" si="60"/>
        <v>0</v>
      </c>
    </row>
    <row r="446" spans="19:20" x14ac:dyDescent="0.2">
      <c r="S446" s="1" t="e">
        <f t="shared" si="59"/>
        <v>#VALUE!</v>
      </c>
      <c r="T446" s="1">
        <f t="shared" si="60"/>
        <v>0</v>
      </c>
    </row>
    <row r="447" spans="19:20" x14ac:dyDescent="0.2">
      <c r="S447" s="1" t="e">
        <f t="shared" si="59"/>
        <v>#VALUE!</v>
      </c>
      <c r="T447" s="1">
        <f t="shared" si="60"/>
        <v>0</v>
      </c>
    </row>
    <row r="448" spans="19:20" x14ac:dyDescent="0.2">
      <c r="S448" s="1" t="e">
        <f t="shared" si="59"/>
        <v>#VALUE!</v>
      </c>
      <c r="T448" s="1">
        <f t="shared" si="60"/>
        <v>0</v>
      </c>
    </row>
    <row r="449" spans="19:20" x14ac:dyDescent="0.2">
      <c r="S449" s="1" t="e">
        <f t="shared" si="59"/>
        <v>#VALUE!</v>
      </c>
      <c r="T449" s="1">
        <f t="shared" si="60"/>
        <v>0</v>
      </c>
    </row>
    <row r="450" spans="19:20" x14ac:dyDescent="0.2">
      <c r="S450" s="1" t="e">
        <f t="shared" si="59"/>
        <v>#VALUE!</v>
      </c>
      <c r="T450" s="1">
        <f t="shared" si="60"/>
        <v>0</v>
      </c>
    </row>
    <row r="451" spans="19:20" x14ac:dyDescent="0.2">
      <c r="S451" s="1" t="e">
        <f t="shared" si="59"/>
        <v>#VALUE!</v>
      </c>
      <c r="T451" s="1">
        <f t="shared" si="60"/>
        <v>0</v>
      </c>
    </row>
    <row r="452" spans="19:20" x14ac:dyDescent="0.2">
      <c r="S452" s="1" t="e">
        <f t="shared" si="59"/>
        <v>#VALUE!</v>
      </c>
      <c r="T452" s="1">
        <f t="shared" si="60"/>
        <v>0</v>
      </c>
    </row>
    <row r="453" spans="19:20" x14ac:dyDescent="0.2">
      <c r="S453" s="1" t="e">
        <f t="shared" si="59"/>
        <v>#VALUE!</v>
      </c>
      <c r="T453" s="1">
        <f t="shared" si="60"/>
        <v>0</v>
      </c>
    </row>
    <row r="454" spans="19:20" x14ac:dyDescent="0.2">
      <c r="S454" s="1" t="e">
        <f t="shared" ref="S454:S485" si="61">+RIGHT(A454,3)+0</f>
        <v>#VALUE!</v>
      </c>
      <c r="T454" s="1">
        <f t="shared" ref="T454:T485" si="62">+B454</f>
        <v>0</v>
      </c>
    </row>
    <row r="455" spans="19:20" x14ac:dyDescent="0.2">
      <c r="S455" s="1" t="e">
        <f t="shared" si="61"/>
        <v>#VALUE!</v>
      </c>
      <c r="T455" s="1">
        <f t="shared" si="62"/>
        <v>0</v>
      </c>
    </row>
    <row r="456" spans="19:20" x14ac:dyDescent="0.2">
      <c r="S456" s="1" t="e">
        <f t="shared" si="61"/>
        <v>#VALUE!</v>
      </c>
      <c r="T456" s="1">
        <f t="shared" si="62"/>
        <v>0</v>
      </c>
    </row>
    <row r="457" spans="19:20" x14ac:dyDescent="0.2">
      <c r="S457" s="1" t="e">
        <f t="shared" si="61"/>
        <v>#VALUE!</v>
      </c>
      <c r="T457" s="1">
        <f t="shared" si="62"/>
        <v>0</v>
      </c>
    </row>
    <row r="458" spans="19:20" x14ac:dyDescent="0.2">
      <c r="S458" s="1" t="e">
        <f t="shared" si="61"/>
        <v>#VALUE!</v>
      </c>
      <c r="T458" s="1">
        <f t="shared" si="62"/>
        <v>0</v>
      </c>
    </row>
    <row r="459" spans="19:20" x14ac:dyDescent="0.2">
      <c r="S459" s="1" t="e">
        <f t="shared" si="61"/>
        <v>#VALUE!</v>
      </c>
      <c r="T459" s="1">
        <f t="shared" si="62"/>
        <v>0</v>
      </c>
    </row>
    <row r="460" spans="19:20" x14ac:dyDescent="0.2">
      <c r="S460" s="1" t="e">
        <f t="shared" si="61"/>
        <v>#VALUE!</v>
      </c>
      <c r="T460" s="1">
        <f t="shared" si="62"/>
        <v>0</v>
      </c>
    </row>
    <row r="461" spans="19:20" x14ac:dyDescent="0.2">
      <c r="S461" s="1" t="e">
        <f t="shared" si="61"/>
        <v>#VALUE!</v>
      </c>
      <c r="T461" s="1">
        <f t="shared" si="62"/>
        <v>0</v>
      </c>
    </row>
    <row r="462" spans="19:20" x14ac:dyDescent="0.2">
      <c r="S462" s="1" t="e">
        <f t="shared" si="61"/>
        <v>#VALUE!</v>
      </c>
      <c r="T462" s="1">
        <f t="shared" si="62"/>
        <v>0</v>
      </c>
    </row>
    <row r="463" spans="19:20" x14ac:dyDescent="0.2">
      <c r="S463" s="1" t="e">
        <f t="shared" si="61"/>
        <v>#VALUE!</v>
      </c>
      <c r="T463" s="1">
        <f t="shared" si="62"/>
        <v>0</v>
      </c>
    </row>
    <row r="464" spans="19:20" x14ac:dyDescent="0.2">
      <c r="S464" s="1" t="e">
        <f t="shared" si="61"/>
        <v>#VALUE!</v>
      </c>
      <c r="T464" s="1">
        <f t="shared" si="62"/>
        <v>0</v>
      </c>
    </row>
    <row r="465" spans="19:20" x14ac:dyDescent="0.2">
      <c r="S465" s="1" t="e">
        <f t="shared" si="61"/>
        <v>#VALUE!</v>
      </c>
      <c r="T465" s="1">
        <f t="shared" si="62"/>
        <v>0</v>
      </c>
    </row>
    <row r="466" spans="19:20" x14ac:dyDescent="0.2">
      <c r="S466" s="1" t="e">
        <f t="shared" si="61"/>
        <v>#VALUE!</v>
      </c>
      <c r="T466" s="1">
        <f t="shared" si="62"/>
        <v>0</v>
      </c>
    </row>
    <row r="467" spans="19:20" x14ac:dyDescent="0.2">
      <c r="S467" s="1" t="e">
        <f t="shared" si="61"/>
        <v>#VALUE!</v>
      </c>
      <c r="T467" s="1">
        <f t="shared" si="62"/>
        <v>0</v>
      </c>
    </row>
    <row r="468" spans="19:20" x14ac:dyDescent="0.2">
      <c r="S468" s="1" t="e">
        <f t="shared" si="61"/>
        <v>#VALUE!</v>
      </c>
      <c r="T468" s="1">
        <f t="shared" si="62"/>
        <v>0</v>
      </c>
    </row>
    <row r="469" spans="19:20" x14ac:dyDescent="0.2">
      <c r="S469" s="1" t="e">
        <f t="shared" si="61"/>
        <v>#VALUE!</v>
      </c>
      <c r="T469" s="1">
        <f t="shared" si="62"/>
        <v>0</v>
      </c>
    </row>
    <row r="470" spans="19:20" x14ac:dyDescent="0.2">
      <c r="S470" s="1" t="e">
        <f t="shared" si="61"/>
        <v>#VALUE!</v>
      </c>
      <c r="T470" s="1">
        <f t="shared" si="62"/>
        <v>0</v>
      </c>
    </row>
    <row r="471" spans="19:20" x14ac:dyDescent="0.2">
      <c r="S471" s="1" t="e">
        <f t="shared" si="61"/>
        <v>#VALUE!</v>
      </c>
      <c r="T471" s="1">
        <f t="shared" si="62"/>
        <v>0</v>
      </c>
    </row>
    <row r="472" spans="19:20" x14ac:dyDescent="0.2">
      <c r="S472" s="1" t="e">
        <f t="shared" si="61"/>
        <v>#VALUE!</v>
      </c>
      <c r="T472" s="1">
        <f t="shared" si="62"/>
        <v>0</v>
      </c>
    </row>
    <row r="473" spans="19:20" x14ac:dyDescent="0.2">
      <c r="S473" s="1" t="e">
        <f t="shared" si="61"/>
        <v>#VALUE!</v>
      </c>
      <c r="T473" s="1">
        <f t="shared" si="62"/>
        <v>0</v>
      </c>
    </row>
    <row r="474" spans="19:20" x14ac:dyDescent="0.2">
      <c r="S474" s="1" t="e">
        <f t="shared" si="61"/>
        <v>#VALUE!</v>
      </c>
      <c r="T474" s="1">
        <f t="shared" si="62"/>
        <v>0</v>
      </c>
    </row>
    <row r="475" spans="19:20" x14ac:dyDescent="0.2">
      <c r="S475" s="1" t="e">
        <f t="shared" si="61"/>
        <v>#VALUE!</v>
      </c>
      <c r="T475" s="1">
        <f t="shared" si="62"/>
        <v>0</v>
      </c>
    </row>
    <row r="476" spans="19:20" x14ac:dyDescent="0.2">
      <c r="S476" s="1" t="e">
        <f t="shared" si="61"/>
        <v>#VALUE!</v>
      </c>
      <c r="T476" s="1">
        <f t="shared" si="62"/>
        <v>0</v>
      </c>
    </row>
    <row r="477" spans="19:20" x14ac:dyDescent="0.2">
      <c r="S477" s="1" t="e">
        <f t="shared" si="61"/>
        <v>#VALUE!</v>
      </c>
      <c r="T477" s="1">
        <f t="shared" si="62"/>
        <v>0</v>
      </c>
    </row>
    <row r="478" spans="19:20" x14ac:dyDescent="0.2">
      <c r="S478" s="1" t="e">
        <f t="shared" si="61"/>
        <v>#VALUE!</v>
      </c>
      <c r="T478" s="1">
        <f t="shared" si="62"/>
        <v>0</v>
      </c>
    </row>
    <row r="479" spans="19:20" x14ac:dyDescent="0.2">
      <c r="S479" s="1" t="e">
        <f t="shared" si="61"/>
        <v>#VALUE!</v>
      </c>
      <c r="T479" s="1">
        <f t="shared" si="62"/>
        <v>0</v>
      </c>
    </row>
    <row r="480" spans="19:20" x14ac:dyDescent="0.2">
      <c r="S480" s="1" t="e">
        <f t="shared" si="61"/>
        <v>#VALUE!</v>
      </c>
      <c r="T480" s="1">
        <f t="shared" si="62"/>
        <v>0</v>
      </c>
    </row>
    <row r="481" spans="19:20" x14ac:dyDescent="0.2">
      <c r="S481" s="1" t="e">
        <f t="shared" si="61"/>
        <v>#VALUE!</v>
      </c>
      <c r="T481" s="1">
        <f t="shared" si="62"/>
        <v>0</v>
      </c>
    </row>
    <row r="482" spans="19:20" x14ac:dyDescent="0.2">
      <c r="S482" s="1" t="e">
        <f t="shared" si="61"/>
        <v>#VALUE!</v>
      </c>
      <c r="T482" s="1">
        <f t="shared" si="62"/>
        <v>0</v>
      </c>
    </row>
    <row r="483" spans="19:20" x14ac:dyDescent="0.2">
      <c r="S483" s="1" t="e">
        <f t="shared" si="61"/>
        <v>#VALUE!</v>
      </c>
      <c r="T483" s="1">
        <f t="shared" si="62"/>
        <v>0</v>
      </c>
    </row>
    <row r="484" spans="19:20" x14ac:dyDescent="0.2">
      <c r="S484" s="1" t="e">
        <f t="shared" si="61"/>
        <v>#VALUE!</v>
      </c>
      <c r="T484" s="1">
        <f t="shared" si="62"/>
        <v>0</v>
      </c>
    </row>
    <row r="485" spans="19:20" x14ac:dyDescent="0.2">
      <c r="S485" s="1" t="e">
        <f t="shared" si="61"/>
        <v>#VALUE!</v>
      </c>
      <c r="T485" s="1">
        <f t="shared" si="62"/>
        <v>0</v>
      </c>
    </row>
  </sheetData>
  <mergeCells count="1">
    <mergeCell ref="A2:D2"/>
  </mergeCells>
  <phoneticPr fontId="11" type="noConversion"/>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085EF-8200-4176-BC53-026D7E0765E9}">
  <sheetPr codeName="Hoja24"/>
  <dimension ref="A1:M26"/>
  <sheetViews>
    <sheetView zoomScale="145" zoomScaleNormal="145" workbookViewId="0">
      <selection activeCell="C6" sqref="C6"/>
    </sheetView>
  </sheetViews>
  <sheetFormatPr baseColWidth="10" defaultColWidth="11.42578125" defaultRowHeight="12.75" x14ac:dyDescent="0.2"/>
  <cols>
    <col min="1" max="1" width="26.85546875" customWidth="1"/>
    <col min="3" max="3" width="7.28515625" style="13" bestFit="1" customWidth="1"/>
    <col min="4" max="4" width="10.85546875" style="13"/>
    <col min="5" max="5" width="14" customWidth="1"/>
    <col min="6" max="6" width="17" customWidth="1"/>
    <col min="7" max="7" width="10.85546875" style="13"/>
    <col min="8" max="8" width="27" bestFit="1" customWidth="1"/>
    <col min="11" max="11" width="18" bestFit="1" customWidth="1"/>
  </cols>
  <sheetData>
    <row r="1" spans="1:13" ht="13.5" thickBot="1" x14ac:dyDescent="0.25">
      <c r="A1" s="1474" t="s">
        <v>8749</v>
      </c>
      <c r="B1" s="1475"/>
      <c r="D1" s="32" t="s">
        <v>8750</v>
      </c>
      <c r="E1" s="650">
        <v>0</v>
      </c>
      <c r="F1" s="649">
        <f>+SUM(E3:E21)</f>
        <v>368160.3</v>
      </c>
      <c r="G1" s="30" t="s">
        <v>2</v>
      </c>
      <c r="H1" s="30" t="s">
        <v>8751</v>
      </c>
      <c r="I1" s="30" t="s">
        <v>8322</v>
      </c>
      <c r="K1" s="647" t="s">
        <v>8752</v>
      </c>
    </row>
    <row r="2" spans="1:13" ht="13.5" thickBot="1" x14ac:dyDescent="0.25">
      <c r="A2" s="648" t="s">
        <v>5</v>
      </c>
      <c r="B2" s="1088" t="s">
        <v>8753</v>
      </c>
      <c r="C2" s="32" t="s">
        <v>21533</v>
      </c>
      <c r="D2" s="633" t="s">
        <v>8189</v>
      </c>
      <c r="E2" s="447" t="s">
        <v>8164</v>
      </c>
      <c r="F2" s="32" t="s">
        <v>8754</v>
      </c>
      <c r="G2" s="13">
        <v>50</v>
      </c>
      <c r="H2" t="s">
        <v>7303</v>
      </c>
      <c r="I2">
        <v>1000</v>
      </c>
      <c r="K2" s="1">
        <f>+VLOOKUP(H2,CODIGOS_Y_COSTOS[[CODIGO]:[COSTO]],2,0)*I2</f>
        <v>42845.100000000006</v>
      </c>
      <c r="M2">
        <f>+IFERROR(VLOOKUP(D3,$G$2:$G$21,1,0),FALSE)</f>
        <v>52</v>
      </c>
    </row>
    <row r="3" spans="1:13" ht="14.25" x14ac:dyDescent="0.2">
      <c r="A3" s="1087" t="str">
        <f>+IFERROR(VLOOKUP(D3,$G$2:$H$21,2,0),0)</f>
        <v>180300081091952100000250</v>
      </c>
      <c r="B3" s="1089">
        <f t="shared" ref="B3:B21" si="0">+IFERROR(VLOOKUP(D3,$G$2:$I$21,3,0),0)*C3</f>
        <v>500</v>
      </c>
      <c r="C3" s="13">
        <v>2</v>
      </c>
      <c r="D3" s="1065">
        <v>52</v>
      </c>
      <c r="E3" s="1">
        <f t="shared" ref="E3:E21" si="1">+F3*B3</f>
        <v>50232.700000000004</v>
      </c>
      <c r="F3" s="1">
        <f t="shared" ref="F3:F21" si="2">IFERROR((IFERROR(VLOOKUP(D3,$G$2:$K$21,5,0)-(VLOOKUP(D3,$G$2:$K$21,5,0)*$E$1),0))/(VLOOKUP(D3,$G$2:$K$21,3,0)),0)</f>
        <v>100.4654</v>
      </c>
      <c r="G3" s="13">
        <v>51</v>
      </c>
      <c r="H3" t="s">
        <v>7306</v>
      </c>
      <c r="I3">
        <v>500</v>
      </c>
      <c r="K3" s="1">
        <f>+VLOOKUP(H3,CODIGOS_Y_COSTOS[[CODIGO]:[COSTO]],2,0)*I3</f>
        <v>32931.800000000003</v>
      </c>
      <c r="M3" t="b">
        <f>+IFERROR(VLOOKUP(G3,$D$3:$D$21,1,0),FALSE)</f>
        <v>0</v>
      </c>
    </row>
    <row r="4" spans="1:13" ht="14.25" x14ac:dyDescent="0.2">
      <c r="A4" s="1087" t="str">
        <f t="shared" ref="A4:A21" si="3">+IFERROR(VLOOKUP(D4,$G$2:$H$21,2,0),0)</f>
        <v>181100101290198010000250</v>
      </c>
      <c r="B4" s="1089">
        <f t="shared" si="0"/>
        <v>250</v>
      </c>
      <c r="C4" s="13">
        <v>1</v>
      </c>
      <c r="D4" s="1065">
        <v>58</v>
      </c>
      <c r="E4" s="1">
        <f t="shared" si="1"/>
        <v>36419.974999999999</v>
      </c>
      <c r="F4" s="1">
        <f t="shared" si="2"/>
        <v>145.6799</v>
      </c>
      <c r="G4" s="13">
        <v>52</v>
      </c>
      <c r="H4" t="s">
        <v>7309</v>
      </c>
      <c r="I4">
        <v>250</v>
      </c>
      <c r="K4" s="1">
        <f>+VLOOKUP(H4,CODIGOS_Y_COSTOS[[CODIGO]:[COSTO]],2,0)*I4</f>
        <v>25116.350000000002</v>
      </c>
      <c r="M4">
        <f t="shared" ref="M4:M21" si="4">+IFERROR(VLOOKUP(G4,$D$3:$D$21,1,0),FALSE)</f>
        <v>52</v>
      </c>
    </row>
    <row r="5" spans="1:13" ht="14.25" x14ac:dyDescent="0.2">
      <c r="A5" s="1087" t="str">
        <f t="shared" si="3"/>
        <v>180300140991502100000500</v>
      </c>
      <c r="B5" s="1089">
        <f t="shared" si="0"/>
        <v>1000</v>
      </c>
      <c r="C5" s="13">
        <v>2</v>
      </c>
      <c r="D5" s="1065">
        <v>60</v>
      </c>
      <c r="E5" s="1">
        <f t="shared" si="1"/>
        <v>95404.700000000012</v>
      </c>
      <c r="F5" s="1">
        <f t="shared" si="2"/>
        <v>95.404700000000005</v>
      </c>
      <c r="G5" s="13">
        <v>53</v>
      </c>
      <c r="H5" t="s">
        <v>7312</v>
      </c>
      <c r="I5">
        <v>200</v>
      </c>
      <c r="K5" s="1">
        <f>+VLOOKUP(H5,CODIGOS_Y_COSTOS[[CODIGO]:[COSTO]],2,0)*I5</f>
        <v>39852.1</v>
      </c>
      <c r="M5" t="b">
        <f t="shared" si="4"/>
        <v>0</v>
      </c>
    </row>
    <row r="6" spans="1:13" ht="14.25" x14ac:dyDescent="0.2">
      <c r="A6" s="1087" t="str">
        <f t="shared" si="3"/>
        <v>180300516109170210000250</v>
      </c>
      <c r="B6" s="1089">
        <f t="shared" si="0"/>
        <v>500</v>
      </c>
      <c r="C6" s="13">
        <v>2</v>
      </c>
      <c r="D6" s="1065">
        <v>62</v>
      </c>
      <c r="E6" s="1">
        <f t="shared" si="1"/>
        <v>71617.2</v>
      </c>
      <c r="F6" s="1">
        <f t="shared" si="2"/>
        <v>143.23439999999999</v>
      </c>
      <c r="G6" s="13">
        <v>54</v>
      </c>
      <c r="H6" t="s">
        <v>7315</v>
      </c>
      <c r="I6">
        <v>150</v>
      </c>
      <c r="K6" s="1">
        <f>+VLOOKUP(H6,CODIGOS_Y_COSTOS[[CODIGO]:[COSTO]],2,0)*I6</f>
        <v>27346.35</v>
      </c>
      <c r="M6" t="b">
        <f t="shared" si="4"/>
        <v>0</v>
      </c>
    </row>
    <row r="7" spans="1:13" ht="14.25" x14ac:dyDescent="0.2">
      <c r="A7" s="1087" t="str">
        <f t="shared" si="3"/>
        <v>180300381291982100000250</v>
      </c>
      <c r="B7" s="1089">
        <f t="shared" si="0"/>
        <v>250</v>
      </c>
      <c r="C7" s="13">
        <v>1</v>
      </c>
      <c r="D7" s="13">
        <v>63</v>
      </c>
      <c r="E7" s="1">
        <f t="shared" si="1"/>
        <v>38575.5</v>
      </c>
      <c r="F7" s="1">
        <f t="shared" si="2"/>
        <v>154.30199999999999</v>
      </c>
      <c r="G7" s="13">
        <v>55</v>
      </c>
      <c r="H7" t="s">
        <v>7318</v>
      </c>
      <c r="I7">
        <v>1000</v>
      </c>
      <c r="K7" s="1">
        <f>+VLOOKUP(H7,CODIGOS_Y_COSTOS[[CODIGO]:[COSTO]],2,0)*I7</f>
        <v>42845.100000000006</v>
      </c>
      <c r="M7" t="b">
        <f t="shared" si="4"/>
        <v>0</v>
      </c>
    </row>
    <row r="8" spans="1:13" ht="14.25" x14ac:dyDescent="0.2">
      <c r="A8" s="1087" t="str">
        <f t="shared" si="3"/>
        <v>180375160892702200000250</v>
      </c>
      <c r="B8" s="1089">
        <f t="shared" si="0"/>
        <v>250</v>
      </c>
      <c r="C8" s="13">
        <v>1</v>
      </c>
      <c r="D8" s="13">
        <v>68</v>
      </c>
      <c r="E8" s="1">
        <f t="shared" si="1"/>
        <v>75910.224999999991</v>
      </c>
      <c r="F8" s="1">
        <f t="shared" si="2"/>
        <v>303.64089999999999</v>
      </c>
      <c r="G8" s="686">
        <v>56</v>
      </c>
      <c r="H8" s="687" t="s">
        <v>7321</v>
      </c>
      <c r="I8">
        <v>500</v>
      </c>
      <c r="K8" s="1">
        <f>+VLOOKUP(H8,CODIGOS_Y_COSTOS[[CODIGO]:[COSTO]],2,0)*I8</f>
        <v>27443.149999999998</v>
      </c>
      <c r="M8" t="b">
        <f t="shared" si="4"/>
        <v>0</v>
      </c>
    </row>
    <row r="9" spans="1:13" ht="14.25" x14ac:dyDescent="0.2">
      <c r="A9" s="1087">
        <f t="shared" si="3"/>
        <v>0</v>
      </c>
      <c r="B9" s="1089">
        <f t="shared" si="0"/>
        <v>0</v>
      </c>
      <c r="C9" s="13">
        <v>1</v>
      </c>
      <c r="E9" s="1">
        <f t="shared" si="1"/>
        <v>0</v>
      </c>
      <c r="F9" s="1">
        <f t="shared" si="2"/>
        <v>0</v>
      </c>
      <c r="G9" s="13">
        <v>57</v>
      </c>
      <c r="H9" t="s">
        <v>7324</v>
      </c>
      <c r="I9">
        <v>250</v>
      </c>
      <c r="K9" s="1">
        <f>+VLOOKUP(H9,CODIGOS_Y_COSTOS[[CODIGO]:[COSTO]],2,0)*I9</f>
        <v>23051.424999999999</v>
      </c>
      <c r="M9" t="b">
        <f t="shared" si="4"/>
        <v>0</v>
      </c>
    </row>
    <row r="10" spans="1:13" ht="14.25" x14ac:dyDescent="0.2">
      <c r="A10" s="1087">
        <f t="shared" si="3"/>
        <v>0</v>
      </c>
      <c r="B10" s="1089">
        <f t="shared" si="0"/>
        <v>0</v>
      </c>
      <c r="C10" s="13">
        <v>1</v>
      </c>
      <c r="E10" s="1">
        <f t="shared" si="1"/>
        <v>0</v>
      </c>
      <c r="F10" s="1">
        <f t="shared" si="2"/>
        <v>0</v>
      </c>
      <c r="G10" s="13">
        <v>58</v>
      </c>
      <c r="H10" t="s">
        <v>7327</v>
      </c>
      <c r="I10">
        <v>250</v>
      </c>
      <c r="K10" s="1">
        <f>+VLOOKUP(H10,CODIGOS_Y_COSTOS[[CODIGO]:[COSTO]],2,0)*I10</f>
        <v>36419.974999999999</v>
      </c>
      <c r="M10">
        <f t="shared" si="4"/>
        <v>58</v>
      </c>
    </row>
    <row r="11" spans="1:13" ht="14.25" x14ac:dyDescent="0.2">
      <c r="A11" s="1087">
        <f t="shared" si="3"/>
        <v>0</v>
      </c>
      <c r="B11" s="1089">
        <f t="shared" si="0"/>
        <v>0</v>
      </c>
      <c r="C11" s="13">
        <v>1</v>
      </c>
      <c r="E11" s="1">
        <f t="shared" si="1"/>
        <v>0</v>
      </c>
      <c r="F11" s="1">
        <f t="shared" si="2"/>
        <v>0</v>
      </c>
      <c r="G11" s="13">
        <v>59</v>
      </c>
      <c r="H11" s="169" t="s">
        <v>7330</v>
      </c>
      <c r="I11">
        <v>1000</v>
      </c>
      <c r="K11" s="1">
        <f>+VLOOKUP(H11,CODIGOS_Y_COSTOS[[CODIGO]:[COSTO]],2,0)*I11</f>
        <v>79659.7</v>
      </c>
      <c r="M11" t="b">
        <f t="shared" si="4"/>
        <v>0</v>
      </c>
    </row>
    <row r="12" spans="1:13" ht="14.25" x14ac:dyDescent="0.2">
      <c r="A12" s="1087">
        <f t="shared" si="3"/>
        <v>0</v>
      </c>
      <c r="B12" s="1089">
        <f t="shared" si="0"/>
        <v>0</v>
      </c>
      <c r="C12" s="13">
        <v>1</v>
      </c>
      <c r="E12" s="1">
        <f t="shared" si="1"/>
        <v>0</v>
      </c>
      <c r="F12" s="1">
        <f t="shared" si="2"/>
        <v>0</v>
      </c>
      <c r="G12" s="13">
        <v>60</v>
      </c>
      <c r="H12" t="s">
        <v>7333</v>
      </c>
      <c r="I12">
        <v>500</v>
      </c>
      <c r="K12" s="1">
        <f>+VLOOKUP(H12,CODIGOS_Y_COSTOS[[CODIGO]:[COSTO]],2,0)*I12</f>
        <v>47702.350000000006</v>
      </c>
      <c r="M12">
        <f t="shared" si="4"/>
        <v>60</v>
      </c>
    </row>
    <row r="13" spans="1:13" ht="14.25" x14ac:dyDescent="0.2">
      <c r="A13" s="1087">
        <f t="shared" si="3"/>
        <v>0</v>
      </c>
      <c r="B13" s="1089">
        <f t="shared" si="0"/>
        <v>0</v>
      </c>
      <c r="C13" s="13">
        <v>1</v>
      </c>
      <c r="E13" s="1">
        <f t="shared" si="1"/>
        <v>0</v>
      </c>
      <c r="F13" s="1">
        <f t="shared" si="2"/>
        <v>0</v>
      </c>
      <c r="G13" s="13">
        <v>61</v>
      </c>
      <c r="H13" t="s">
        <v>7336</v>
      </c>
      <c r="I13">
        <v>250</v>
      </c>
      <c r="K13" s="1">
        <f>+VLOOKUP(H13,CODIGOS_Y_COSTOS[[CODIGO]:[COSTO]],2,0)*I13</f>
        <v>50792.475000000006</v>
      </c>
      <c r="M13" t="b">
        <f t="shared" si="4"/>
        <v>0</v>
      </c>
    </row>
    <row r="14" spans="1:13" ht="14.25" x14ac:dyDescent="0.2">
      <c r="A14" s="1087">
        <f t="shared" si="3"/>
        <v>0</v>
      </c>
      <c r="B14" s="1089">
        <f t="shared" si="0"/>
        <v>0</v>
      </c>
      <c r="C14" s="13">
        <v>1</v>
      </c>
      <c r="E14" s="1">
        <f t="shared" si="1"/>
        <v>0</v>
      </c>
      <c r="F14" s="1">
        <f t="shared" si="2"/>
        <v>0</v>
      </c>
      <c r="G14" s="686">
        <v>62</v>
      </c>
      <c r="H14" s="687" t="s">
        <v>7339</v>
      </c>
      <c r="I14">
        <v>250</v>
      </c>
      <c r="K14" s="1">
        <f>+VLOOKUP(H14,CODIGOS_Y_COSTOS[[CODIGO]:[COSTO]],2,0)*I14</f>
        <v>35808.6</v>
      </c>
      <c r="M14">
        <f t="shared" si="4"/>
        <v>62</v>
      </c>
    </row>
    <row r="15" spans="1:13" ht="14.25" x14ac:dyDescent="0.2">
      <c r="A15" s="1087">
        <f t="shared" si="3"/>
        <v>0</v>
      </c>
      <c r="B15" s="1089">
        <f t="shared" si="0"/>
        <v>0</v>
      </c>
      <c r="C15" s="13">
        <v>1</v>
      </c>
      <c r="E15" s="1">
        <f t="shared" si="1"/>
        <v>0</v>
      </c>
      <c r="F15" s="1">
        <f t="shared" si="2"/>
        <v>0</v>
      </c>
      <c r="G15" s="13">
        <v>63</v>
      </c>
      <c r="H15" t="s">
        <v>7342</v>
      </c>
      <c r="I15">
        <v>250</v>
      </c>
      <c r="K15" s="1">
        <f>+VLOOKUP(H15,CODIGOS_Y_COSTOS[[CODIGO]:[COSTO]],2,0)*I15</f>
        <v>38575.5</v>
      </c>
      <c r="M15">
        <f t="shared" si="4"/>
        <v>63</v>
      </c>
    </row>
    <row r="16" spans="1:13" ht="14.25" x14ac:dyDescent="0.2">
      <c r="A16" s="1087">
        <f t="shared" si="3"/>
        <v>0</v>
      </c>
      <c r="B16" s="1089">
        <f t="shared" si="0"/>
        <v>0</v>
      </c>
      <c r="C16" s="13">
        <v>1</v>
      </c>
      <c r="E16" s="1">
        <f t="shared" si="1"/>
        <v>0</v>
      </c>
      <c r="F16" s="1">
        <f t="shared" si="2"/>
        <v>0</v>
      </c>
      <c r="G16" s="13">
        <v>64</v>
      </c>
      <c r="H16" t="s">
        <v>7345</v>
      </c>
      <c r="I16">
        <v>1000</v>
      </c>
      <c r="K16" s="1">
        <f>+VLOOKUP(H16,CODIGOS_Y_COSTOS[[CODIGO]:[COSTO]],2,0)*I16</f>
        <v>94595.1</v>
      </c>
      <c r="M16" t="b">
        <f t="shared" si="4"/>
        <v>0</v>
      </c>
    </row>
    <row r="17" spans="1:13" ht="14.25" x14ac:dyDescent="0.2">
      <c r="A17" s="1087">
        <f t="shared" si="3"/>
        <v>0</v>
      </c>
      <c r="B17" s="1089">
        <f t="shared" si="0"/>
        <v>0</v>
      </c>
      <c r="C17" s="13">
        <v>1</v>
      </c>
      <c r="E17" s="1">
        <f t="shared" si="1"/>
        <v>0</v>
      </c>
      <c r="F17" s="1">
        <f t="shared" si="2"/>
        <v>0</v>
      </c>
      <c r="G17" s="13">
        <v>65</v>
      </c>
      <c r="H17" t="s">
        <v>7348</v>
      </c>
      <c r="I17">
        <v>500</v>
      </c>
      <c r="K17" s="1">
        <f>+VLOOKUP(H17,CODIGOS_Y_COSTOS[[CODIGO]:[COSTO]],2,0)*I17</f>
        <v>49656.45</v>
      </c>
      <c r="M17" t="b">
        <f t="shared" si="4"/>
        <v>0</v>
      </c>
    </row>
    <row r="18" spans="1:13" ht="14.25" x14ac:dyDescent="0.2">
      <c r="A18" s="1087">
        <f t="shared" si="3"/>
        <v>0</v>
      </c>
      <c r="B18" s="1089">
        <f t="shared" si="0"/>
        <v>0</v>
      </c>
      <c r="C18" s="13">
        <v>1</v>
      </c>
      <c r="E18" s="1">
        <f t="shared" si="1"/>
        <v>0</v>
      </c>
      <c r="F18" s="1">
        <f t="shared" si="2"/>
        <v>0</v>
      </c>
      <c r="G18" s="13">
        <v>66</v>
      </c>
      <c r="H18" t="s">
        <v>7351</v>
      </c>
      <c r="I18">
        <v>250</v>
      </c>
      <c r="K18" s="1">
        <f>+VLOOKUP(H18,CODIGOS_Y_COSTOS[[CODIGO]:[COSTO]],2,0)*I18</f>
        <v>25047.1</v>
      </c>
      <c r="M18" t="b">
        <f t="shared" si="4"/>
        <v>0</v>
      </c>
    </row>
    <row r="19" spans="1:13" ht="14.25" x14ac:dyDescent="0.2">
      <c r="A19" s="1087">
        <f t="shared" si="3"/>
        <v>0</v>
      </c>
      <c r="B19" s="1089">
        <f t="shared" si="0"/>
        <v>0</v>
      </c>
      <c r="C19" s="13">
        <v>1</v>
      </c>
      <c r="E19" s="1">
        <f t="shared" si="1"/>
        <v>0</v>
      </c>
      <c r="F19" s="1">
        <f t="shared" si="2"/>
        <v>0</v>
      </c>
      <c r="G19" s="13">
        <v>67</v>
      </c>
      <c r="H19" t="s">
        <v>7354</v>
      </c>
      <c r="I19">
        <v>250</v>
      </c>
      <c r="K19" s="1">
        <f>+VLOOKUP(H19,CODIGOS_Y_COSTOS[[CODIGO]:[COSTO]],2,0)*I19</f>
        <v>36428.424999999996</v>
      </c>
      <c r="M19" t="b">
        <f t="shared" si="4"/>
        <v>0</v>
      </c>
    </row>
    <row r="20" spans="1:13" ht="14.25" x14ac:dyDescent="0.2">
      <c r="A20" s="1087">
        <f t="shared" si="3"/>
        <v>0</v>
      </c>
      <c r="B20" s="1089">
        <f t="shared" si="0"/>
        <v>0</v>
      </c>
      <c r="C20" s="13">
        <v>1</v>
      </c>
      <c r="E20" s="1">
        <f t="shared" si="1"/>
        <v>0</v>
      </c>
      <c r="F20" s="1">
        <f t="shared" si="2"/>
        <v>0</v>
      </c>
      <c r="G20" s="13">
        <v>68</v>
      </c>
      <c r="H20" t="s">
        <v>7357</v>
      </c>
      <c r="I20">
        <v>250</v>
      </c>
      <c r="K20" s="1">
        <f>+VLOOKUP(H20,CODIGOS_Y_COSTOS[[CODIGO]:[COSTO]],2,0)*I20</f>
        <v>75910.224999999991</v>
      </c>
      <c r="M20">
        <f t="shared" si="4"/>
        <v>68</v>
      </c>
    </row>
    <row r="21" spans="1:13" ht="14.25" x14ac:dyDescent="0.2">
      <c r="A21" s="1087">
        <f t="shared" si="3"/>
        <v>0</v>
      </c>
      <c r="B21" s="1089">
        <f t="shared" si="0"/>
        <v>0</v>
      </c>
      <c r="C21" s="13">
        <v>1</v>
      </c>
      <c r="E21" s="1">
        <f t="shared" si="1"/>
        <v>0</v>
      </c>
      <c r="F21" s="1">
        <f t="shared" si="2"/>
        <v>0</v>
      </c>
      <c r="G21" s="13">
        <v>69</v>
      </c>
      <c r="H21" t="s">
        <v>7360</v>
      </c>
      <c r="I21">
        <v>150</v>
      </c>
      <c r="K21" s="1">
        <f>+VLOOKUP(H21,CODIGOS_Y_COSTOS[[CODIGO]:[COSTO]],2,0)*I21</f>
        <v>49867.17</v>
      </c>
      <c r="M21" t="b">
        <f t="shared" si="4"/>
        <v>0</v>
      </c>
    </row>
    <row r="23" spans="1:13" x14ac:dyDescent="0.2">
      <c r="E23" s="1154"/>
    </row>
    <row r="24" spans="1:13" x14ac:dyDescent="0.2">
      <c r="E24" s="1154"/>
      <c r="F24" s="1154">
        <v>300000</v>
      </c>
      <c r="G24" s="1380" t="s">
        <v>8755</v>
      </c>
    </row>
    <row r="25" spans="1:13" x14ac:dyDescent="0.2">
      <c r="E25" s="1154"/>
    </row>
    <row r="26" spans="1:13" x14ac:dyDescent="0.2">
      <c r="E26" s="1154"/>
    </row>
  </sheetData>
  <mergeCells count="1">
    <mergeCell ref="A1:B1"/>
  </mergeCells>
  <conditionalFormatting sqref="B3:B21">
    <cfRule type="expression" dxfId="136" priority="1">
      <formula>IF(_xlfn.ISFORMULA(B3)=TRUE,FALSE,TRUE)</formula>
    </cfRule>
  </conditionalFormatting>
  <pageMargins left="0.7" right="0.7" top="0.75" bottom="0.75" header="0.3" footer="0.3"/>
  <pageSetup paperSize="9" orientation="portrait" r:id="rId1"/>
  <ignoredErrors>
    <ignoredError sqref="H2:H21"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32B3F-F026-4DF3-B0F7-F79F82377AE0}">
  <sheetPr codeName="Hoja8"/>
  <dimension ref="A1:W75"/>
  <sheetViews>
    <sheetView showGridLines="0" topLeftCell="A49" zoomScaleNormal="100" workbookViewId="0">
      <selection activeCell="A53" sqref="A53"/>
    </sheetView>
  </sheetViews>
  <sheetFormatPr baseColWidth="10" defaultColWidth="11.42578125" defaultRowHeight="12.75" x14ac:dyDescent="0.2"/>
  <cols>
    <col min="1" max="1" width="24.85546875" bestFit="1" customWidth="1"/>
    <col min="2" max="2" width="11.42578125" style="13"/>
    <col min="3" max="3" width="32" customWidth="1"/>
    <col min="4" max="4" width="49.42578125" customWidth="1"/>
    <col min="5" max="5" width="13.5703125" bestFit="1" customWidth="1"/>
    <col min="6" max="7" width="13.5703125" customWidth="1"/>
    <col min="8" max="8" width="16.28515625" customWidth="1"/>
    <col min="9" max="9" width="41.42578125" bestFit="1" customWidth="1"/>
    <col min="10" max="10" width="15.140625" customWidth="1"/>
    <col min="11" max="11" width="12" bestFit="1" customWidth="1"/>
    <col min="12" max="16" width="13" customWidth="1"/>
    <col min="20" max="20" width="15" style="1158" bestFit="1" customWidth="1"/>
  </cols>
  <sheetData>
    <row r="1" spans="1:20" ht="15" x14ac:dyDescent="0.2">
      <c r="A1" s="1156" t="s">
        <v>1</v>
      </c>
      <c r="B1" s="1156" t="s">
        <v>2</v>
      </c>
      <c r="C1" s="1156" t="s">
        <v>8751</v>
      </c>
      <c r="D1" s="1156" t="s">
        <v>8756</v>
      </c>
      <c r="E1" s="1156" t="s">
        <v>6</v>
      </c>
      <c r="F1" s="1156" t="s">
        <v>8757</v>
      </c>
      <c r="G1" s="1156" t="s">
        <v>8758</v>
      </c>
      <c r="H1" s="1157" t="s">
        <v>8759</v>
      </c>
      <c r="I1" s="1156" t="s">
        <v>8760</v>
      </c>
      <c r="T1"/>
    </row>
    <row r="2" spans="1:20" ht="14.25" x14ac:dyDescent="0.2">
      <c r="A2" s="1159" t="s">
        <v>7972</v>
      </c>
      <c r="B2" s="1160">
        <v>100</v>
      </c>
      <c r="C2" s="1160" t="s">
        <v>7974</v>
      </c>
      <c r="D2" s="1159" t="s">
        <v>7975</v>
      </c>
      <c r="E2" s="1161">
        <f>+_xlfn.XLOOKUP(ALCIDES.TESSA[[#This Row],[Producto - ID]],CODIGOS_Y_COSTOS[ID],CODIGOS_Y_COSTOS[COSTO],0,0)</f>
        <v>311.99</v>
      </c>
      <c r="F2" s="1162"/>
      <c r="G2" s="1162"/>
      <c r="H2" s="1163">
        <f t="shared" ref="H2:H46" si="0">+(1-F2)*(1-G2)*E2</f>
        <v>311.99</v>
      </c>
      <c r="I2" s="1164" t="str">
        <f>+ALCIDES.TESSA[[#This Row],[Producto]]&amp;ALCIDES.TESSA[[#This Row],[Numero]]</f>
        <v>INTERRUPTORES Y PULSADORES100</v>
      </c>
      <c r="T2"/>
    </row>
    <row r="3" spans="1:20" ht="14.25" x14ac:dyDescent="0.2">
      <c r="A3" s="1159" t="s">
        <v>7972</v>
      </c>
      <c r="B3" s="1160">
        <v>101</v>
      </c>
      <c r="C3" s="1160" t="s">
        <v>7977</v>
      </c>
      <c r="D3" s="1159" t="s">
        <v>7975</v>
      </c>
      <c r="E3" s="1161">
        <f>+_xlfn.XLOOKUP(ALCIDES.TESSA[[#This Row],[Producto - ID]],CODIGOS_Y_COSTOS[ID],CODIGOS_Y_COSTOS[COSTO],0,0)</f>
        <v>311.99</v>
      </c>
      <c r="F3" s="1162"/>
      <c r="G3" s="1162"/>
      <c r="H3" s="1163">
        <f t="shared" si="0"/>
        <v>311.99</v>
      </c>
      <c r="I3" s="1166" t="str">
        <f>+ALCIDES.TESSA[[#This Row],[Producto]]&amp;ALCIDES.TESSA[[#This Row],[Numero]]</f>
        <v>INTERRUPTORES Y PULSADORES101</v>
      </c>
      <c r="T3"/>
    </row>
    <row r="4" spans="1:20" ht="14.25" x14ac:dyDescent="0.2">
      <c r="A4" s="1159" t="s">
        <v>7972</v>
      </c>
      <c r="B4" s="1167">
        <v>102</v>
      </c>
      <c r="C4" s="1167" t="s">
        <v>7979</v>
      </c>
      <c r="D4" s="1159" t="s">
        <v>7980</v>
      </c>
      <c r="E4" s="1161">
        <f>+_xlfn.XLOOKUP(ALCIDES.TESSA[[#This Row],[Producto - ID]],CODIGOS_Y_COSTOS[ID],CODIGOS_Y_COSTOS[COSTO],0,0)</f>
        <v>345.3</v>
      </c>
      <c r="F4" s="1162"/>
      <c r="G4" s="1168"/>
      <c r="H4" s="1164">
        <f t="shared" si="0"/>
        <v>345.3</v>
      </c>
      <c r="I4" s="1166" t="str">
        <f>+ALCIDES.TESSA[[#This Row],[Producto]]&amp;ALCIDES.TESSA[[#This Row],[Numero]]</f>
        <v>INTERRUPTORES Y PULSADORES102</v>
      </c>
      <c r="T4"/>
    </row>
    <row r="5" spans="1:20" ht="14.25" x14ac:dyDescent="0.2">
      <c r="A5" s="1159" t="s">
        <v>7972</v>
      </c>
      <c r="B5" s="1167">
        <v>103</v>
      </c>
      <c r="C5" s="1167" t="s">
        <v>7982</v>
      </c>
      <c r="D5" s="1159" t="s">
        <v>7983</v>
      </c>
      <c r="E5" s="1161">
        <f>+_xlfn.XLOOKUP(ALCIDES.TESSA[[#This Row],[Producto - ID]],CODIGOS_Y_COSTOS[ID],CODIGOS_Y_COSTOS[COSTO],0,0)</f>
        <v>366.11</v>
      </c>
      <c r="F5" s="1162"/>
      <c r="G5" s="1168"/>
      <c r="H5" s="1164">
        <f t="shared" si="0"/>
        <v>366.11</v>
      </c>
      <c r="I5" s="1166" t="str">
        <f>+ALCIDES.TESSA[[#This Row],[Producto]]&amp;ALCIDES.TESSA[[#This Row],[Numero]]</f>
        <v>INTERRUPTORES Y PULSADORES103</v>
      </c>
      <c r="T5"/>
    </row>
    <row r="6" spans="1:20" ht="14.25" x14ac:dyDescent="0.2">
      <c r="A6" s="1159" t="s">
        <v>7972</v>
      </c>
      <c r="B6" s="1167">
        <v>120</v>
      </c>
      <c r="C6" s="1167" t="s">
        <v>7985</v>
      </c>
      <c r="D6" s="1159" t="s">
        <v>7986</v>
      </c>
      <c r="E6" s="1161">
        <f>+_xlfn.XLOOKUP(ALCIDES.TESSA[[#This Row],[Producto - ID]],CODIGOS_Y_COSTOS[ID],CODIGOS_Y_COSTOS[COSTO],0,0)</f>
        <v>636.55999999999995</v>
      </c>
      <c r="F6" s="1162"/>
      <c r="G6" s="1168"/>
      <c r="H6" s="1164">
        <f t="shared" si="0"/>
        <v>636.55999999999995</v>
      </c>
      <c r="I6" s="1166" t="str">
        <f>+ALCIDES.TESSA[[#This Row],[Producto]]&amp;ALCIDES.TESSA[[#This Row],[Numero]]</f>
        <v>INTERRUPTORES Y PULSADORES120</v>
      </c>
      <c r="T6"/>
    </row>
    <row r="7" spans="1:20" ht="14.25" x14ac:dyDescent="0.2">
      <c r="A7" s="1159" t="s">
        <v>7972</v>
      </c>
      <c r="B7" s="1167">
        <v>121</v>
      </c>
      <c r="C7" s="1167" t="s">
        <v>7988</v>
      </c>
      <c r="D7" s="1159" t="s">
        <v>7989</v>
      </c>
      <c r="E7" s="1161">
        <f>+_xlfn.XLOOKUP(ALCIDES.TESSA[[#This Row],[Producto - ID]],CODIGOS_Y_COSTOS[ID],CODIGOS_Y_COSTOS[COSTO],0,0)</f>
        <v>509.82</v>
      </c>
      <c r="F7" s="1162"/>
      <c r="G7" s="1168"/>
      <c r="H7" s="1164">
        <f t="shared" si="0"/>
        <v>509.82</v>
      </c>
      <c r="I7" s="1166" t="str">
        <f>+ALCIDES.TESSA[[#This Row],[Producto]]&amp;ALCIDES.TESSA[[#This Row],[Numero]]</f>
        <v>INTERRUPTORES Y PULSADORES121</v>
      </c>
      <c r="T7"/>
    </row>
    <row r="8" spans="1:20" ht="14.25" x14ac:dyDescent="0.2">
      <c r="A8" s="1159" t="s">
        <v>7972</v>
      </c>
      <c r="B8" s="1167">
        <v>122</v>
      </c>
      <c r="C8" s="1167" t="s">
        <v>7991</v>
      </c>
      <c r="D8" s="1159" t="s">
        <v>7992</v>
      </c>
      <c r="E8" s="1161">
        <f>+_xlfn.XLOOKUP(ALCIDES.TESSA[[#This Row],[Producto - ID]],CODIGOS_Y_COSTOS[ID],CODIGOS_Y_COSTOS[COSTO],0,0)</f>
        <v>542.01</v>
      </c>
      <c r="F8" s="1162"/>
      <c r="G8" s="1168"/>
      <c r="H8" s="1164">
        <f t="shared" si="0"/>
        <v>542.01</v>
      </c>
      <c r="I8" s="1166" t="str">
        <f>+ALCIDES.TESSA[[#This Row],[Producto]]&amp;ALCIDES.TESSA[[#This Row],[Numero]]</f>
        <v>INTERRUPTORES Y PULSADORES122</v>
      </c>
      <c r="T8"/>
    </row>
    <row r="9" spans="1:20" ht="14.25" x14ac:dyDescent="0.2">
      <c r="A9" s="1159" t="s">
        <v>7972</v>
      </c>
      <c r="B9" s="1167">
        <v>123</v>
      </c>
      <c r="C9" s="1167" t="s">
        <v>7994</v>
      </c>
      <c r="D9" s="1159" t="s">
        <v>7995</v>
      </c>
      <c r="E9" s="1161">
        <f>+_xlfn.XLOOKUP(ALCIDES.TESSA[[#This Row],[Producto - ID]],CODIGOS_Y_COSTOS[ID],CODIGOS_Y_COSTOS[COSTO],0,0)</f>
        <v>1026.1400000000001</v>
      </c>
      <c r="F9" s="1162"/>
      <c r="G9" s="1168"/>
      <c r="H9" s="1164">
        <f t="shared" si="0"/>
        <v>1026.1400000000001</v>
      </c>
      <c r="I9" s="1166" t="str">
        <f>+ALCIDES.TESSA[[#This Row],[Producto]]&amp;ALCIDES.TESSA[[#This Row],[Numero]]</f>
        <v>INTERRUPTORES Y PULSADORES123</v>
      </c>
      <c r="T9"/>
    </row>
    <row r="10" spans="1:20" ht="14.25" x14ac:dyDescent="0.2">
      <c r="A10" s="1159" t="s">
        <v>7972</v>
      </c>
      <c r="B10" s="1167">
        <v>160</v>
      </c>
      <c r="C10" s="1167" t="s">
        <v>7997</v>
      </c>
      <c r="D10" s="1159" t="s">
        <v>7998</v>
      </c>
      <c r="E10" s="1161">
        <f>+_xlfn.XLOOKUP(ALCIDES.TESSA[[#This Row],[Producto - ID]],CODIGOS_Y_COSTOS[ID],CODIGOS_Y_COSTOS[COSTO],0,0)</f>
        <v>569.41999999999996</v>
      </c>
      <c r="F10" s="1162"/>
      <c r="G10" s="1168"/>
      <c r="H10" s="1164">
        <f t="shared" si="0"/>
        <v>569.41999999999996</v>
      </c>
      <c r="I10" s="1166" t="str">
        <f>+ALCIDES.TESSA[[#This Row],[Producto]]&amp;ALCIDES.TESSA[[#This Row],[Numero]]</f>
        <v>INTERRUPTORES Y PULSADORES160</v>
      </c>
      <c r="T10"/>
    </row>
    <row r="11" spans="1:20" ht="14.25" x14ac:dyDescent="0.2">
      <c r="A11" s="1159" t="s">
        <v>7972</v>
      </c>
      <c r="B11" s="1167">
        <v>180</v>
      </c>
      <c r="C11" s="1167" t="s">
        <v>8000</v>
      </c>
      <c r="D11" s="1159" t="s">
        <v>8001</v>
      </c>
      <c r="E11" s="1161">
        <f>+_xlfn.XLOOKUP(ALCIDES.TESSA[[#This Row],[Producto - ID]],CODIGOS_Y_COSTOS[ID],CODIGOS_Y_COSTOS[COSTO],0,0)</f>
        <v>964.37</v>
      </c>
      <c r="F11" s="1162"/>
      <c r="G11" s="1168"/>
      <c r="H11" s="1164">
        <f t="shared" si="0"/>
        <v>964.37</v>
      </c>
      <c r="I11" s="1166" t="str">
        <f>+ALCIDES.TESSA[[#This Row],[Producto]]&amp;ALCIDES.TESSA[[#This Row],[Numero]]</f>
        <v>INTERRUPTORES Y PULSADORES180</v>
      </c>
      <c r="T11"/>
    </row>
    <row r="12" spans="1:20" ht="14.25" x14ac:dyDescent="0.2">
      <c r="A12" s="1159" t="s">
        <v>7972</v>
      </c>
      <c r="B12" s="1167">
        <v>181</v>
      </c>
      <c r="C12" s="1167" t="s">
        <v>8003</v>
      </c>
      <c r="D12" s="1159" t="s">
        <v>8004</v>
      </c>
      <c r="E12" s="1161">
        <f>+_xlfn.XLOOKUP(ALCIDES.TESSA[[#This Row],[Producto - ID]],CODIGOS_Y_COSTOS[ID],CODIGOS_Y_COSTOS[COSTO],0,0)</f>
        <v>2202.4299999999998</v>
      </c>
      <c r="F12" s="1162"/>
      <c r="G12" s="1168"/>
      <c r="H12" s="1164">
        <f t="shared" si="0"/>
        <v>2202.4299999999998</v>
      </c>
      <c r="I12" s="1166" t="str">
        <f>+ALCIDES.TESSA[[#This Row],[Producto]]&amp;ALCIDES.TESSA[[#This Row],[Numero]]</f>
        <v>INTERRUPTORES Y PULSADORES181</v>
      </c>
      <c r="T12"/>
    </row>
    <row r="13" spans="1:20" ht="14.25" x14ac:dyDescent="0.2">
      <c r="A13" s="1159" t="s">
        <v>7972</v>
      </c>
      <c r="B13" s="1167">
        <v>200</v>
      </c>
      <c r="C13" s="1167" t="s">
        <v>8006</v>
      </c>
      <c r="D13" s="1159" t="s">
        <v>8007</v>
      </c>
      <c r="E13" s="1161">
        <f>+_xlfn.XLOOKUP(ALCIDES.TESSA[[#This Row],[Producto - ID]],CODIGOS_Y_COSTOS[ID],CODIGOS_Y_COSTOS[COSTO],0,0)</f>
        <v>450</v>
      </c>
      <c r="F13" s="1162"/>
      <c r="G13" s="1168"/>
      <c r="H13" s="1164">
        <f t="shared" si="0"/>
        <v>450</v>
      </c>
      <c r="I13" s="1166" t="str">
        <f>+ALCIDES.TESSA[[#This Row],[Producto]]&amp;ALCIDES.TESSA[[#This Row],[Numero]]</f>
        <v>INTERRUPTORES Y PULSADORES200</v>
      </c>
      <c r="T13"/>
    </row>
    <row r="14" spans="1:20" ht="14.25" x14ac:dyDescent="0.2">
      <c r="A14" s="1159" t="s">
        <v>7972</v>
      </c>
      <c r="B14" s="1167">
        <v>220</v>
      </c>
      <c r="C14" s="1167" t="s">
        <v>8009</v>
      </c>
      <c r="D14" s="1159" t="s">
        <v>8010</v>
      </c>
      <c r="E14" s="1161">
        <f>+_xlfn.XLOOKUP(ALCIDES.TESSA[[#This Row],[Producto - ID]],CODIGOS_Y_COSTOS[ID],CODIGOS_Y_COSTOS[COSTO],0,0)</f>
        <v>523.03</v>
      </c>
      <c r="F14" s="1162"/>
      <c r="G14" s="1168"/>
      <c r="H14" s="1164">
        <f t="shared" si="0"/>
        <v>523.03</v>
      </c>
      <c r="I14" s="1166" t="str">
        <f>+ALCIDES.TESSA[[#This Row],[Producto]]&amp;ALCIDES.TESSA[[#This Row],[Numero]]</f>
        <v>INTERRUPTORES Y PULSADORES220</v>
      </c>
      <c r="T14"/>
    </row>
    <row r="15" spans="1:20" ht="14.25" x14ac:dyDescent="0.2">
      <c r="A15" s="1159" t="s">
        <v>7972</v>
      </c>
      <c r="B15" s="1167">
        <v>221</v>
      </c>
      <c r="C15" s="1167" t="s">
        <v>8012</v>
      </c>
      <c r="D15" s="1159" t="s">
        <v>8013</v>
      </c>
      <c r="E15" s="1161">
        <f>+_xlfn.XLOOKUP(ALCIDES.TESSA[[#This Row],[Producto - ID]],CODIGOS_Y_COSTOS[ID],CODIGOS_Y_COSTOS[COSTO],0,0)</f>
        <v>639.30999999999995</v>
      </c>
      <c r="F15" s="1162"/>
      <c r="G15" s="1168"/>
      <c r="H15" s="1164">
        <f t="shared" si="0"/>
        <v>639.30999999999995</v>
      </c>
      <c r="I15" s="1166" t="str">
        <f>+ALCIDES.TESSA[[#This Row],[Producto]]&amp;ALCIDES.TESSA[[#This Row],[Numero]]</f>
        <v>INTERRUPTORES Y PULSADORES221</v>
      </c>
      <c r="T15"/>
    </row>
    <row r="16" spans="1:20" ht="14.25" x14ac:dyDescent="0.2">
      <c r="A16" s="1159" t="s">
        <v>7972</v>
      </c>
      <c r="B16" s="1167">
        <v>222</v>
      </c>
      <c r="C16" s="1167" t="s">
        <v>8015</v>
      </c>
      <c r="D16" s="1159" t="s">
        <v>8016</v>
      </c>
      <c r="E16" s="1161">
        <f>+_xlfn.XLOOKUP(ALCIDES.TESSA[[#This Row],[Producto - ID]],CODIGOS_Y_COSTOS[ID],CODIGOS_Y_COSTOS[COSTO],0,0)</f>
        <v>555.79</v>
      </c>
      <c r="F16" s="1162"/>
      <c r="G16" s="1168"/>
      <c r="H16" s="1164">
        <f t="shared" si="0"/>
        <v>555.79</v>
      </c>
      <c r="I16" s="1166" t="str">
        <f>+ALCIDES.TESSA[[#This Row],[Producto]]&amp;ALCIDES.TESSA[[#This Row],[Numero]]</f>
        <v>INTERRUPTORES Y PULSADORES222</v>
      </c>
      <c r="T16"/>
    </row>
    <row r="17" spans="1:20" ht="14.25" x14ac:dyDescent="0.2">
      <c r="A17" s="1159" t="s">
        <v>7972</v>
      </c>
      <c r="B17" s="1167">
        <v>240</v>
      </c>
      <c r="C17" s="1167" t="s">
        <v>8018</v>
      </c>
      <c r="D17" s="1159" t="s">
        <v>8019</v>
      </c>
      <c r="E17" s="1161">
        <f>+_xlfn.XLOOKUP(ALCIDES.TESSA[[#This Row],[Producto - ID]],CODIGOS_Y_COSTOS[ID],CODIGOS_Y_COSTOS[COSTO],0,0)</f>
        <v>899.25</v>
      </c>
      <c r="F17" s="1162"/>
      <c r="G17" s="1168"/>
      <c r="H17" s="1164">
        <f t="shared" si="0"/>
        <v>899.25</v>
      </c>
      <c r="I17" s="1166" t="str">
        <f>+ALCIDES.TESSA[[#This Row],[Producto]]&amp;ALCIDES.TESSA[[#This Row],[Numero]]</f>
        <v>INTERRUPTORES Y PULSADORES240</v>
      </c>
      <c r="T17"/>
    </row>
    <row r="18" spans="1:20" ht="14.25" x14ac:dyDescent="0.2">
      <c r="A18" s="1159" t="s">
        <v>7972</v>
      </c>
      <c r="B18" s="1167">
        <v>241</v>
      </c>
      <c r="C18" s="1167" t="s">
        <v>8021</v>
      </c>
      <c r="D18" s="1159" t="s">
        <v>8022</v>
      </c>
      <c r="E18" s="1161">
        <f>+_xlfn.XLOOKUP(ALCIDES.TESSA[[#This Row],[Producto - ID]],CODIGOS_Y_COSTOS[ID],CODIGOS_Y_COSTOS[COSTO],0,0)</f>
        <v>1118.48</v>
      </c>
      <c r="F18" s="1162"/>
      <c r="G18" s="1168"/>
      <c r="H18" s="1164">
        <f t="shared" si="0"/>
        <v>1118.48</v>
      </c>
      <c r="I18" s="1166" t="str">
        <f>+ALCIDES.TESSA[[#This Row],[Producto]]&amp;ALCIDES.TESSA[[#This Row],[Numero]]</f>
        <v>INTERRUPTORES Y PULSADORES241</v>
      </c>
      <c r="T18"/>
    </row>
    <row r="19" spans="1:20" ht="14.25" x14ac:dyDescent="0.2">
      <c r="A19" s="1159" t="s">
        <v>7972</v>
      </c>
      <c r="B19" s="1167">
        <v>242</v>
      </c>
      <c r="C19" s="1167" t="s">
        <v>8024</v>
      </c>
      <c r="D19" s="1159" t="s">
        <v>8025</v>
      </c>
      <c r="E19" s="1161">
        <f>+_xlfn.XLOOKUP(ALCIDES.TESSA[[#This Row],[Producto - ID]],CODIGOS_Y_COSTOS[ID],CODIGOS_Y_COSTOS[COSTO],0,0)</f>
        <v>1702.54</v>
      </c>
      <c r="F19" s="1162"/>
      <c r="G19" s="1168"/>
      <c r="H19" s="1164">
        <f t="shared" si="0"/>
        <v>1702.54</v>
      </c>
      <c r="I19" s="1166" t="str">
        <f>+ALCIDES.TESSA[[#This Row],[Producto]]&amp;ALCIDES.TESSA[[#This Row],[Numero]]</f>
        <v>INTERRUPTORES Y PULSADORES242</v>
      </c>
      <c r="T19"/>
    </row>
    <row r="20" spans="1:20" ht="14.25" x14ac:dyDescent="0.2">
      <c r="A20" s="1159" t="s">
        <v>7972</v>
      </c>
      <c r="B20" s="1167">
        <v>260</v>
      </c>
      <c r="C20" s="1167" t="s">
        <v>8027</v>
      </c>
      <c r="D20" s="1159" t="s">
        <v>8028</v>
      </c>
      <c r="E20" s="1161">
        <f>+_xlfn.XLOOKUP(ALCIDES.TESSA[[#This Row],[Producto - ID]],CODIGOS_Y_COSTOS[ID],CODIGOS_Y_COSTOS[COSTO],0,0)</f>
        <v>476.32</v>
      </c>
      <c r="F20" s="1162"/>
      <c r="G20" s="1168"/>
      <c r="H20" s="1164">
        <f t="shared" si="0"/>
        <v>476.32</v>
      </c>
      <c r="I20" s="1166" t="str">
        <f>+ALCIDES.TESSA[[#This Row],[Producto]]&amp;ALCIDES.TESSA[[#This Row],[Numero]]</f>
        <v>INTERRUPTORES Y PULSADORES260</v>
      </c>
      <c r="T20"/>
    </row>
    <row r="21" spans="1:20" ht="14.25" x14ac:dyDescent="0.2">
      <c r="A21" s="1159" t="s">
        <v>7972</v>
      </c>
      <c r="B21" s="1160">
        <v>261</v>
      </c>
      <c r="C21" s="1160" t="s">
        <v>8030</v>
      </c>
      <c r="D21" s="1159" t="s">
        <v>8028</v>
      </c>
      <c r="E21" s="1161">
        <f>+_xlfn.XLOOKUP(ALCIDES.TESSA[[#This Row],[Producto - ID]],CODIGOS_Y_COSTOS[ID],CODIGOS_Y_COSTOS[COSTO],0,0)</f>
        <v>476.32</v>
      </c>
      <c r="F21" s="1162"/>
      <c r="G21" s="1162"/>
      <c r="H21" s="1163">
        <f t="shared" si="0"/>
        <v>476.32</v>
      </c>
      <c r="I21" s="1166" t="str">
        <f>+ALCIDES.TESSA[[#This Row],[Producto]]&amp;ALCIDES.TESSA[[#This Row],[Numero]]</f>
        <v>INTERRUPTORES Y PULSADORES261</v>
      </c>
      <c r="T21"/>
    </row>
    <row r="22" spans="1:20" ht="14.25" x14ac:dyDescent="0.2">
      <c r="A22" s="1159" t="s">
        <v>7972</v>
      </c>
      <c r="B22" s="1160">
        <v>262</v>
      </c>
      <c r="C22" s="1160" t="s">
        <v>8032</v>
      </c>
      <c r="D22" s="1169" t="s">
        <v>8033</v>
      </c>
      <c r="E22" s="1161">
        <f>+_xlfn.XLOOKUP(ALCIDES.TESSA[[#This Row],[Producto - ID]],CODIGOS_Y_COSTOS[ID],CODIGOS_Y_COSTOS[COSTO],0,0)</f>
        <v>524.04</v>
      </c>
      <c r="F22" s="1162"/>
      <c r="G22" s="1162"/>
      <c r="H22" s="1163">
        <f t="shared" si="0"/>
        <v>524.04</v>
      </c>
      <c r="I22" s="1166" t="str">
        <f>+ALCIDES.TESSA[[#This Row],[Producto]]&amp;ALCIDES.TESSA[[#This Row],[Numero]]</f>
        <v>INTERRUPTORES Y PULSADORES262</v>
      </c>
      <c r="T22"/>
    </row>
    <row r="23" spans="1:20" ht="14.25" x14ac:dyDescent="0.2">
      <c r="A23" s="1159" t="s">
        <v>7972</v>
      </c>
      <c r="B23" s="1160">
        <v>263</v>
      </c>
      <c r="C23" s="1160" t="s">
        <v>8035</v>
      </c>
      <c r="D23" s="1169" t="s">
        <v>8036</v>
      </c>
      <c r="E23" s="1161">
        <f>+_xlfn.XLOOKUP(ALCIDES.TESSA[[#This Row],[Producto - ID]],CODIGOS_Y_COSTOS[ID],CODIGOS_Y_COSTOS[COSTO],0,0)</f>
        <v>505.12</v>
      </c>
      <c r="F23" s="1162"/>
      <c r="G23" s="1162"/>
      <c r="H23" s="1163">
        <f t="shared" si="0"/>
        <v>505.12</v>
      </c>
      <c r="I23" s="1166" t="str">
        <f>+ALCIDES.TESSA[[#This Row],[Producto]]&amp;ALCIDES.TESSA[[#This Row],[Numero]]</f>
        <v>INTERRUPTORES Y PULSADORES263</v>
      </c>
      <c r="T23"/>
    </row>
    <row r="24" spans="1:20" ht="14.25" x14ac:dyDescent="0.2">
      <c r="A24" s="1159" t="s">
        <v>7972</v>
      </c>
      <c r="B24" s="1160">
        <v>264</v>
      </c>
      <c r="C24" s="1160" t="s">
        <v>8038</v>
      </c>
      <c r="D24" s="1169" t="s">
        <v>8036</v>
      </c>
      <c r="E24" s="1161">
        <f>+_xlfn.XLOOKUP(ALCIDES.TESSA[[#This Row],[Producto - ID]],CODIGOS_Y_COSTOS[ID],CODIGOS_Y_COSTOS[COSTO],0,0)</f>
        <v>505.12</v>
      </c>
      <c r="F24" s="1162"/>
      <c r="G24" s="1162"/>
      <c r="H24" s="1163">
        <f t="shared" si="0"/>
        <v>505.12</v>
      </c>
      <c r="I24" s="1166" t="str">
        <f>+ALCIDES.TESSA[[#This Row],[Producto]]&amp;ALCIDES.TESSA[[#This Row],[Numero]]</f>
        <v>INTERRUPTORES Y PULSADORES264</v>
      </c>
      <c r="T24"/>
    </row>
    <row r="25" spans="1:20" ht="14.25" x14ac:dyDescent="0.2">
      <c r="A25" s="1159" t="s">
        <v>7972</v>
      </c>
      <c r="B25" s="1160">
        <v>280</v>
      </c>
      <c r="C25" s="1160" t="s">
        <v>8040</v>
      </c>
      <c r="D25" s="1169" t="s">
        <v>8041</v>
      </c>
      <c r="E25" s="1161">
        <f>+_xlfn.XLOOKUP(ALCIDES.TESSA[[#This Row],[Producto - ID]],CODIGOS_Y_COSTOS[ID],CODIGOS_Y_COSTOS[COSTO],0,0)</f>
        <v>638.98</v>
      </c>
      <c r="F25" s="1162"/>
      <c r="G25" s="1162"/>
      <c r="H25" s="1163">
        <f t="shared" si="0"/>
        <v>638.98</v>
      </c>
      <c r="I25" s="1166" t="str">
        <f>+ALCIDES.TESSA[[#This Row],[Producto]]&amp;ALCIDES.TESSA[[#This Row],[Numero]]</f>
        <v>INTERRUPTORES Y PULSADORES280</v>
      </c>
      <c r="T25"/>
    </row>
    <row r="26" spans="1:20" ht="14.25" x14ac:dyDescent="0.2">
      <c r="A26" s="1159" t="s">
        <v>7972</v>
      </c>
      <c r="B26" s="1160">
        <v>281</v>
      </c>
      <c r="C26" s="1160" t="s">
        <v>8043</v>
      </c>
      <c r="D26" s="1169" t="s">
        <v>8044</v>
      </c>
      <c r="E26" s="1161">
        <f>+_xlfn.XLOOKUP(ALCIDES.TESSA[[#This Row],[Producto - ID]],CODIGOS_Y_COSTOS[ID],CODIGOS_Y_COSTOS[COSTO],0,0)</f>
        <v>518.65</v>
      </c>
      <c r="F26" s="1162"/>
      <c r="G26" s="1162"/>
      <c r="H26" s="1163">
        <f t="shared" si="0"/>
        <v>518.65</v>
      </c>
      <c r="I26" s="1166" t="str">
        <f>+ALCIDES.TESSA[[#This Row],[Producto]]&amp;ALCIDES.TESSA[[#This Row],[Numero]]</f>
        <v>INTERRUPTORES Y PULSADORES281</v>
      </c>
      <c r="T26"/>
    </row>
    <row r="27" spans="1:20" ht="14.25" x14ac:dyDescent="0.2">
      <c r="A27" s="1159" t="s">
        <v>7972</v>
      </c>
      <c r="B27" s="1160">
        <v>282</v>
      </c>
      <c r="C27" s="1160" t="s">
        <v>8046</v>
      </c>
      <c r="D27" s="1169" t="s">
        <v>8044</v>
      </c>
      <c r="E27" s="1161">
        <f>+_xlfn.XLOOKUP(ALCIDES.TESSA[[#This Row],[Producto - ID]],CODIGOS_Y_COSTOS[ID],CODIGOS_Y_COSTOS[COSTO],0,0)</f>
        <v>518.65</v>
      </c>
      <c r="F27" s="1162"/>
      <c r="G27" s="1162"/>
      <c r="H27" s="1163">
        <f t="shared" si="0"/>
        <v>518.65</v>
      </c>
      <c r="I27" s="1166" t="str">
        <f>+ALCIDES.TESSA[[#This Row],[Producto]]&amp;ALCIDES.TESSA[[#This Row],[Numero]]</f>
        <v>INTERRUPTORES Y PULSADORES282</v>
      </c>
      <c r="T27"/>
    </row>
    <row r="28" spans="1:20" ht="14.25" x14ac:dyDescent="0.2">
      <c r="A28" s="1159" t="s">
        <v>7972</v>
      </c>
      <c r="B28" s="1160">
        <v>283</v>
      </c>
      <c r="C28" s="1160" t="s">
        <v>8048</v>
      </c>
      <c r="D28" s="1169" t="s">
        <v>8049</v>
      </c>
      <c r="E28" s="1161">
        <f>+_xlfn.XLOOKUP(ALCIDES.TESSA[[#This Row],[Producto - ID]],CODIGOS_Y_COSTOS[ID],CODIGOS_Y_COSTOS[COSTO],0,0)</f>
        <v>631.78</v>
      </c>
      <c r="F28" s="1162"/>
      <c r="G28" s="1162"/>
      <c r="H28" s="1163">
        <f t="shared" si="0"/>
        <v>631.78</v>
      </c>
      <c r="I28" s="1166" t="str">
        <f>+ALCIDES.TESSA[[#This Row],[Producto]]&amp;ALCIDES.TESSA[[#This Row],[Numero]]</f>
        <v>INTERRUPTORES Y PULSADORES283</v>
      </c>
      <c r="T28"/>
    </row>
    <row r="29" spans="1:20" ht="14.25" x14ac:dyDescent="0.2">
      <c r="A29" s="1159" t="s">
        <v>7972</v>
      </c>
      <c r="B29" s="1160">
        <v>284</v>
      </c>
      <c r="C29" s="1160" t="s">
        <v>8051</v>
      </c>
      <c r="D29" s="1169" t="s">
        <v>8052</v>
      </c>
      <c r="E29" s="1161">
        <f>+_xlfn.XLOOKUP(ALCIDES.TESSA[[#This Row],[Producto - ID]],CODIGOS_Y_COSTOS[ID],CODIGOS_Y_COSTOS[COSTO],0,0)</f>
        <v>539.79</v>
      </c>
      <c r="F29" s="1162"/>
      <c r="G29" s="1162"/>
      <c r="H29" s="1163">
        <f t="shared" si="0"/>
        <v>539.79</v>
      </c>
      <c r="I29" s="1166" t="str">
        <f>+ALCIDES.TESSA[[#This Row],[Producto]]&amp;ALCIDES.TESSA[[#This Row],[Numero]]</f>
        <v>INTERRUPTORES Y PULSADORES284</v>
      </c>
      <c r="T29"/>
    </row>
    <row r="30" spans="1:20" ht="14.25" x14ac:dyDescent="0.2">
      <c r="A30" s="1159" t="s">
        <v>7972</v>
      </c>
      <c r="B30" s="1160">
        <v>285</v>
      </c>
      <c r="C30" s="1160" t="s">
        <v>8054</v>
      </c>
      <c r="D30" s="1169" t="s">
        <v>8052</v>
      </c>
      <c r="E30" s="1161">
        <f>+_xlfn.XLOOKUP(ALCIDES.TESSA[[#This Row],[Producto - ID]],CODIGOS_Y_COSTOS[ID],CODIGOS_Y_COSTOS[COSTO],0,0)</f>
        <v>539.79</v>
      </c>
      <c r="F30" s="1162"/>
      <c r="G30" s="1162"/>
      <c r="H30" s="1163">
        <f t="shared" si="0"/>
        <v>539.79</v>
      </c>
      <c r="I30" s="1166" t="str">
        <f>+ALCIDES.TESSA[[#This Row],[Producto]]&amp;ALCIDES.TESSA[[#This Row],[Numero]]</f>
        <v>INTERRUPTORES Y PULSADORES285</v>
      </c>
      <c r="T30"/>
    </row>
    <row r="31" spans="1:20" ht="14.25" x14ac:dyDescent="0.2">
      <c r="A31" s="1159" t="s">
        <v>7972</v>
      </c>
      <c r="B31" s="1160">
        <v>300</v>
      </c>
      <c r="C31" s="1160" t="s">
        <v>8056</v>
      </c>
      <c r="D31" s="1169" t="s">
        <v>8057</v>
      </c>
      <c r="E31" s="1161">
        <f>+_xlfn.XLOOKUP(ALCIDES.TESSA[[#This Row],[Producto - ID]],CODIGOS_Y_COSTOS[ID],CODIGOS_Y_COSTOS[COSTO],0,0)</f>
        <v>546.70000000000005</v>
      </c>
      <c r="F31" s="1162"/>
      <c r="G31" s="1162"/>
      <c r="H31" s="1163">
        <f t="shared" si="0"/>
        <v>546.70000000000005</v>
      </c>
      <c r="I31" s="1166" t="str">
        <f>+ALCIDES.TESSA[[#This Row],[Producto]]&amp;ALCIDES.TESSA[[#This Row],[Numero]]</f>
        <v>INTERRUPTORES Y PULSADORES300</v>
      </c>
      <c r="T31"/>
    </row>
    <row r="32" spans="1:20" ht="14.25" x14ac:dyDescent="0.2">
      <c r="A32" s="1159" t="s">
        <v>7972</v>
      </c>
      <c r="B32" s="1160">
        <v>301</v>
      </c>
      <c r="C32" s="1160" t="s">
        <v>8059</v>
      </c>
      <c r="D32" s="1169" t="s">
        <v>8060</v>
      </c>
      <c r="E32" s="1161">
        <f>+_xlfn.XLOOKUP(ALCIDES.TESSA[[#This Row],[Producto - ID]],CODIGOS_Y_COSTOS[ID],CODIGOS_Y_COSTOS[COSTO],0,0)</f>
        <v>659.84</v>
      </c>
      <c r="F32" s="1162"/>
      <c r="G32" s="1162"/>
      <c r="H32" s="1163">
        <f t="shared" si="0"/>
        <v>659.84</v>
      </c>
      <c r="I32" s="1166" t="str">
        <f>+ALCIDES.TESSA[[#This Row],[Producto]]&amp;ALCIDES.TESSA[[#This Row],[Numero]]</f>
        <v>INTERRUPTORES Y PULSADORES301</v>
      </c>
      <c r="T32"/>
    </row>
    <row r="33" spans="1:20" ht="14.25" x14ac:dyDescent="0.2">
      <c r="A33" s="1159" t="s">
        <v>7972</v>
      </c>
      <c r="B33" s="1160">
        <v>302</v>
      </c>
      <c r="C33" s="1160" t="s">
        <v>8062</v>
      </c>
      <c r="D33" s="1169" t="s">
        <v>8063</v>
      </c>
      <c r="E33" s="1161">
        <f>+_xlfn.XLOOKUP(ALCIDES.TESSA[[#This Row],[Producto - ID]],CODIGOS_Y_COSTOS[ID],CODIGOS_Y_COSTOS[COSTO],0,0)</f>
        <v>576.12</v>
      </c>
      <c r="F33" s="1162"/>
      <c r="G33" s="1162"/>
      <c r="H33" s="1163">
        <f t="shared" si="0"/>
        <v>576.12</v>
      </c>
      <c r="I33" s="1166" t="str">
        <f>+ALCIDES.TESSA[[#This Row],[Producto]]&amp;ALCIDES.TESSA[[#This Row],[Numero]]</f>
        <v>INTERRUPTORES Y PULSADORES302</v>
      </c>
      <c r="T33"/>
    </row>
    <row r="34" spans="1:20" ht="14.25" x14ac:dyDescent="0.2">
      <c r="A34" s="1159" t="s">
        <v>7972</v>
      </c>
      <c r="B34" s="1160">
        <v>320</v>
      </c>
      <c r="C34" s="1160" t="s">
        <v>8065</v>
      </c>
      <c r="D34" s="1169" t="s">
        <v>8066</v>
      </c>
      <c r="E34" s="1161">
        <f>+_xlfn.XLOOKUP(ALCIDES.TESSA[[#This Row],[Producto - ID]],CODIGOS_Y_COSTOS[ID],CODIGOS_Y_COSTOS[COSTO],0,0)</f>
        <v>270.45999999999998</v>
      </c>
      <c r="F34" s="1162"/>
      <c r="G34" s="1162"/>
      <c r="H34" s="1163">
        <f t="shared" si="0"/>
        <v>270.45999999999998</v>
      </c>
      <c r="I34" s="1166" t="str">
        <f>+ALCIDES.TESSA[[#This Row],[Producto]]&amp;ALCIDES.TESSA[[#This Row],[Numero]]</f>
        <v>INTERRUPTORES Y PULSADORES320</v>
      </c>
      <c r="T34"/>
    </row>
    <row r="35" spans="1:20" ht="14.25" x14ac:dyDescent="0.2">
      <c r="A35" s="1159" t="s">
        <v>7972</v>
      </c>
      <c r="B35" s="1160">
        <v>321</v>
      </c>
      <c r="C35" s="1160" t="s">
        <v>8068</v>
      </c>
      <c r="D35" s="1169" t="s">
        <v>8066</v>
      </c>
      <c r="E35" s="1161">
        <f>+_xlfn.XLOOKUP(ALCIDES.TESSA[[#This Row],[Producto - ID]],CODIGOS_Y_COSTOS[ID],CODIGOS_Y_COSTOS[COSTO],0,0)</f>
        <v>270.45999999999998</v>
      </c>
      <c r="F35" s="1162"/>
      <c r="G35" s="1162"/>
      <c r="H35" s="1163">
        <f t="shared" si="0"/>
        <v>270.45999999999998</v>
      </c>
      <c r="I35" s="1166" t="str">
        <f>+ALCIDES.TESSA[[#This Row],[Producto]]&amp;ALCIDES.TESSA[[#This Row],[Numero]]</f>
        <v>INTERRUPTORES Y PULSADORES321</v>
      </c>
      <c r="T35"/>
    </row>
    <row r="36" spans="1:20" ht="14.25" x14ac:dyDescent="0.2">
      <c r="A36" s="1159" t="s">
        <v>7972</v>
      </c>
      <c r="B36" s="1160">
        <v>322</v>
      </c>
      <c r="C36" s="1160" t="s">
        <v>8070</v>
      </c>
      <c r="D36" s="1169" t="s">
        <v>8066</v>
      </c>
      <c r="E36" s="1161">
        <f>+_xlfn.XLOOKUP(ALCIDES.TESSA[[#This Row],[Producto - ID]],CODIGOS_Y_COSTOS[ID],CODIGOS_Y_COSTOS[COSTO],0,0)</f>
        <v>270.45999999999998</v>
      </c>
      <c r="F36" s="1162"/>
      <c r="G36" s="1162"/>
      <c r="H36" s="1163">
        <f t="shared" si="0"/>
        <v>270.45999999999998</v>
      </c>
      <c r="I36" s="1166" t="str">
        <f>+ALCIDES.TESSA[[#This Row],[Producto]]&amp;ALCIDES.TESSA[[#This Row],[Numero]]</f>
        <v>INTERRUPTORES Y PULSADORES322</v>
      </c>
      <c r="T36"/>
    </row>
    <row r="37" spans="1:20" ht="14.25" x14ac:dyDescent="0.2">
      <c r="A37" s="1159" t="s">
        <v>7972</v>
      </c>
      <c r="B37" s="1160">
        <v>340</v>
      </c>
      <c r="C37" s="1160" t="s">
        <v>8072</v>
      </c>
      <c r="D37" s="1169" t="s">
        <v>8073</v>
      </c>
      <c r="E37" s="1161">
        <f>+_xlfn.XLOOKUP(ALCIDES.TESSA[[#This Row],[Producto - ID]],CODIGOS_Y_COSTOS[ID],CODIGOS_Y_COSTOS[COSTO],0,0)</f>
        <v>294.70999999999998</v>
      </c>
      <c r="F37" s="1162"/>
      <c r="G37" s="1162"/>
      <c r="H37" s="1163">
        <f t="shared" si="0"/>
        <v>294.70999999999998</v>
      </c>
      <c r="I37" s="1166" t="str">
        <f>+ALCIDES.TESSA[[#This Row],[Producto]]&amp;ALCIDES.TESSA[[#This Row],[Numero]]</f>
        <v>INTERRUPTORES Y PULSADORES340</v>
      </c>
      <c r="T37"/>
    </row>
    <row r="38" spans="1:20" ht="14.25" x14ac:dyDescent="0.2">
      <c r="A38" s="1159" t="s">
        <v>7972</v>
      </c>
      <c r="B38" s="1160">
        <v>341</v>
      </c>
      <c r="C38" s="1160" t="s">
        <v>8075</v>
      </c>
      <c r="D38" s="1169" t="s">
        <v>8076</v>
      </c>
      <c r="E38" s="1161">
        <f>+_xlfn.XLOOKUP(ALCIDES.TESSA[[#This Row],[Producto - ID]],CODIGOS_Y_COSTOS[ID],CODIGOS_Y_COSTOS[COSTO],0,0)</f>
        <v>723.46</v>
      </c>
      <c r="F38" s="1162"/>
      <c r="G38" s="1162"/>
      <c r="H38" s="1163">
        <f t="shared" si="0"/>
        <v>723.46</v>
      </c>
      <c r="I38" s="1166" t="str">
        <f>+ALCIDES.TESSA[[#This Row],[Producto]]&amp;ALCIDES.TESSA[[#This Row],[Numero]]</f>
        <v>INTERRUPTORES Y PULSADORES341</v>
      </c>
      <c r="T38"/>
    </row>
    <row r="39" spans="1:20" ht="14.25" x14ac:dyDescent="0.2">
      <c r="A39" s="1159" t="s">
        <v>7972</v>
      </c>
      <c r="B39" s="1160">
        <v>580</v>
      </c>
      <c r="C39" s="1160" t="s">
        <v>8078</v>
      </c>
      <c r="D39" s="1169" t="s">
        <v>8079</v>
      </c>
      <c r="E39" s="1161">
        <f>+_xlfn.XLOOKUP(ALCIDES.TESSA[[#This Row],[Producto - ID]],CODIGOS_Y_COSTOS[ID],CODIGOS_Y_COSTOS[COSTO],0,0)</f>
        <v>528.17999999999995</v>
      </c>
      <c r="F39" s="1162"/>
      <c r="G39" s="1162"/>
      <c r="H39" s="1163">
        <f t="shared" si="0"/>
        <v>528.17999999999995</v>
      </c>
      <c r="I39" s="1166" t="str">
        <f>+ALCIDES.TESSA[[#This Row],[Producto]]&amp;ALCIDES.TESSA[[#This Row],[Numero]]</f>
        <v>INTERRUPTORES Y PULSADORES580</v>
      </c>
      <c r="T39"/>
    </row>
    <row r="40" spans="1:20" ht="14.25" x14ac:dyDescent="0.2">
      <c r="A40" s="1159" t="s">
        <v>7972</v>
      </c>
      <c r="B40" s="1160">
        <v>600</v>
      </c>
      <c r="C40" s="1160" t="s">
        <v>8081</v>
      </c>
      <c r="D40" s="1169" t="s">
        <v>8082</v>
      </c>
      <c r="E40" s="1161">
        <f>+_xlfn.XLOOKUP(ALCIDES.TESSA[[#This Row],[Producto - ID]],CODIGOS_Y_COSTOS[ID],CODIGOS_Y_COSTOS[COSTO],0,0)</f>
        <v>749.44</v>
      </c>
      <c r="F40" s="1162"/>
      <c r="G40" s="1162"/>
      <c r="H40" s="1163">
        <f t="shared" si="0"/>
        <v>749.44</v>
      </c>
      <c r="I40" s="1166" t="str">
        <f>+ALCIDES.TESSA[[#This Row],[Producto]]&amp;ALCIDES.TESSA[[#This Row],[Numero]]</f>
        <v>INTERRUPTORES Y PULSADORES600</v>
      </c>
      <c r="T40"/>
    </row>
    <row r="41" spans="1:20" ht="14.25" x14ac:dyDescent="0.2">
      <c r="A41" s="1159" t="s">
        <v>7972</v>
      </c>
      <c r="B41" s="1160">
        <v>700</v>
      </c>
      <c r="C41" s="1160" t="s">
        <v>8084</v>
      </c>
      <c r="D41" s="1169" t="s">
        <v>8085</v>
      </c>
      <c r="E41" s="1161">
        <f>+_xlfn.XLOOKUP(ALCIDES.TESSA[[#This Row],[Producto - ID]],CODIGOS_Y_COSTOS[ID],CODIGOS_Y_COSTOS[COSTO],0,0)</f>
        <v>583.22</v>
      </c>
      <c r="F41" s="1162"/>
      <c r="G41" s="1162"/>
      <c r="H41" s="1163">
        <f t="shared" si="0"/>
        <v>583.22</v>
      </c>
      <c r="I41" s="1166" t="str">
        <f>+ALCIDES.TESSA[[#This Row],[Producto]]&amp;ALCIDES.TESSA[[#This Row],[Numero]]</f>
        <v>INTERRUPTORES Y PULSADORES700</v>
      </c>
      <c r="T41"/>
    </row>
    <row r="42" spans="1:20" ht="14.25" x14ac:dyDescent="0.2">
      <c r="A42" s="1159" t="s">
        <v>7972</v>
      </c>
      <c r="B42" s="1160">
        <v>701</v>
      </c>
      <c r="C42" s="1160" t="s">
        <v>8087</v>
      </c>
      <c r="D42" s="1169" t="s">
        <v>8088</v>
      </c>
      <c r="E42" s="1161">
        <f>+_xlfn.XLOOKUP(ALCIDES.TESSA[[#This Row],[Producto - ID]],CODIGOS_Y_COSTOS[ID],CODIGOS_Y_COSTOS[COSTO],0,0)</f>
        <v>433.32</v>
      </c>
      <c r="F42" s="1162"/>
      <c r="G42" s="1162"/>
      <c r="H42" s="1163">
        <f t="shared" si="0"/>
        <v>433.32</v>
      </c>
      <c r="I42" s="1166" t="str">
        <f>+ALCIDES.TESSA[[#This Row],[Producto]]&amp;ALCIDES.TESSA[[#This Row],[Numero]]</f>
        <v>INTERRUPTORES Y PULSADORES701</v>
      </c>
      <c r="T42"/>
    </row>
    <row r="43" spans="1:20" ht="14.25" x14ac:dyDescent="0.2">
      <c r="A43" s="1159" t="s">
        <v>7972</v>
      </c>
      <c r="B43" s="1160">
        <v>850</v>
      </c>
      <c r="C43" s="1160" t="s">
        <v>8090</v>
      </c>
      <c r="D43" s="1169" t="s">
        <v>8091</v>
      </c>
      <c r="E43" s="1161">
        <f>+_xlfn.XLOOKUP(ALCIDES.TESSA[[#This Row],[Producto - ID]],CODIGOS_Y_COSTOS[ID],CODIGOS_Y_COSTOS[COSTO],0,0)</f>
        <v>854.39</v>
      </c>
      <c r="F43" s="1162"/>
      <c r="G43" s="1162"/>
      <c r="H43" s="1163">
        <f t="shared" si="0"/>
        <v>854.39</v>
      </c>
      <c r="I43" s="1166" t="str">
        <f>+ALCIDES.TESSA[[#This Row],[Producto]]&amp;ALCIDES.TESSA[[#This Row],[Numero]]</f>
        <v>INTERRUPTORES Y PULSADORES850</v>
      </c>
      <c r="T43"/>
    </row>
    <row r="44" spans="1:20" ht="14.25" x14ac:dyDescent="0.2">
      <c r="A44" s="1159" t="s">
        <v>7972</v>
      </c>
      <c r="B44" s="1160">
        <v>860</v>
      </c>
      <c r="C44" s="1160" t="s">
        <v>8093</v>
      </c>
      <c r="D44" s="1169" t="s">
        <v>8094</v>
      </c>
      <c r="E44" s="1161">
        <f>+_xlfn.XLOOKUP(ALCIDES.TESSA[[#This Row],[Producto - ID]],CODIGOS_Y_COSTOS[ID],CODIGOS_Y_COSTOS[COSTO],0,0)</f>
        <v>778.4</v>
      </c>
      <c r="F44" s="1162"/>
      <c r="G44" s="1162"/>
      <c r="H44" s="1163">
        <f t="shared" si="0"/>
        <v>778.4</v>
      </c>
      <c r="I44" s="1166" t="str">
        <f>+ALCIDES.TESSA[[#This Row],[Producto]]&amp;ALCIDES.TESSA[[#This Row],[Numero]]</f>
        <v>INTERRUPTORES Y PULSADORES860</v>
      </c>
      <c r="T44"/>
    </row>
    <row r="45" spans="1:20" ht="14.25" x14ac:dyDescent="0.2">
      <c r="A45" s="1159" t="s">
        <v>7972</v>
      </c>
      <c r="B45" s="1160">
        <v>900</v>
      </c>
      <c r="C45" s="1160" t="s">
        <v>8096</v>
      </c>
      <c r="D45" s="1169" t="s">
        <v>8097</v>
      </c>
      <c r="E45" s="1161">
        <f>+_xlfn.XLOOKUP(ALCIDES.TESSA[[#This Row],[Producto - ID]],CODIGOS_Y_COSTOS[ID],CODIGOS_Y_COSTOS[COSTO],0,0)</f>
        <v>552.99</v>
      </c>
      <c r="F45" s="1162"/>
      <c r="G45" s="1162"/>
      <c r="H45" s="1163">
        <f t="shared" si="0"/>
        <v>552.99</v>
      </c>
      <c r="I45" s="1166" t="str">
        <f>+ALCIDES.TESSA[[#This Row],[Producto]]&amp;ALCIDES.TESSA[[#This Row],[Numero]]</f>
        <v>INTERRUPTORES Y PULSADORES900</v>
      </c>
      <c r="T45"/>
    </row>
    <row r="46" spans="1:20" ht="14.25" x14ac:dyDescent="0.2">
      <c r="A46" s="1159" t="s">
        <v>7972</v>
      </c>
      <c r="B46" s="1160">
        <v>901</v>
      </c>
      <c r="C46" s="1160" t="s">
        <v>8099</v>
      </c>
      <c r="D46" s="1169" t="s">
        <v>8100</v>
      </c>
      <c r="E46" s="1161">
        <f>+_xlfn.XLOOKUP(ALCIDES.TESSA[[#This Row],[Producto - ID]],CODIGOS_Y_COSTOS[ID],CODIGOS_Y_COSTOS[COSTO],0,0)</f>
        <v>215</v>
      </c>
      <c r="F46" s="1162"/>
      <c r="G46" s="1162"/>
      <c r="H46" s="1163">
        <f t="shared" si="0"/>
        <v>215</v>
      </c>
      <c r="I46" s="1166" t="str">
        <f>+ALCIDES.TESSA[[#This Row],[Producto]]&amp;ALCIDES.TESSA[[#This Row],[Numero]]</f>
        <v>INTERRUPTORES Y PULSADORES901</v>
      </c>
      <c r="T46"/>
    </row>
    <row r="47" spans="1:20" ht="14.25" x14ac:dyDescent="0.2">
      <c r="A47" s="1159" t="s">
        <v>7972</v>
      </c>
      <c r="B47" s="1160">
        <v>902</v>
      </c>
      <c r="C47" s="1160" t="s">
        <v>8761</v>
      </c>
      <c r="D47" s="1159"/>
      <c r="E47" s="1161">
        <f>+_xlfn.XLOOKUP(ALCIDES.TESSA[[#This Row],[Producto - ID]],CODIGOS_Y_COSTOS[ID],CODIGOS_Y_COSTOS[COSTO],0,0)</f>
        <v>0</v>
      </c>
      <c r="F47" s="1162"/>
      <c r="G47" s="1162"/>
      <c r="H47" s="1163">
        <f>+(1-F47)*(1-G47)*E47</f>
        <v>0</v>
      </c>
      <c r="I47" s="1166" t="str">
        <f>+ALCIDES.TESSA[[#This Row],[Producto]]&amp;ALCIDES.TESSA[[#This Row],[Numero]]</f>
        <v>INTERRUPTORES Y PULSADORES902</v>
      </c>
      <c r="T47"/>
    </row>
    <row r="48" spans="1:20" x14ac:dyDescent="0.2">
      <c r="T48" s="1165"/>
    </row>
    <row r="49" spans="1:23" x14ac:dyDescent="0.2">
      <c r="F49" s="62">
        <v>-0.05</v>
      </c>
      <c r="T49" s="1158">
        <f>+SUM(T2:T47)</f>
        <v>0</v>
      </c>
    </row>
    <row r="52" spans="1:23" ht="15" x14ac:dyDescent="0.2">
      <c r="A52" t="s">
        <v>21608</v>
      </c>
      <c r="C52" s="1170" t="s">
        <v>8751</v>
      </c>
      <c r="D52" s="1170" t="s">
        <v>8756</v>
      </c>
      <c r="E52" s="1170"/>
      <c r="F52" s="1170" t="s">
        <v>8322</v>
      </c>
      <c r="S52" t="s">
        <v>8762</v>
      </c>
      <c r="T52" s="1165">
        <f>+T49*1.21</f>
        <v>0</v>
      </c>
    </row>
    <row r="53" spans="1:23" ht="15" x14ac:dyDescent="0.25">
      <c r="A53" s="387">
        <v>120</v>
      </c>
      <c r="B53" s="13">
        <v>122</v>
      </c>
      <c r="C53" s="13" t="str">
        <f>IFERROR(VLOOKUP(B53,ALCIDES.TESSA[[Numero]:[COSTO]],2,0),"")</f>
        <v>652/00 - NNS</v>
      </c>
      <c r="D53" t="str">
        <f>+IFERROR(VLOOKUP(B53,ALCIDES.TESSA[[Numero]:[COSTO]],3,0),"")</f>
        <v>10 Amper - Unipolar - Llave Electrónica Tecla Pulsador</v>
      </c>
      <c r="F53">
        <v>200</v>
      </c>
      <c r="G53" s="1">
        <f>IFERROR(VLOOKUP(B53,ALCIDES.TESSA[[Numero]:[Precio Unitario]],7,0),0)</f>
        <v>542.01</v>
      </c>
      <c r="H53" s="1165">
        <f>+G53*F53</f>
        <v>108402</v>
      </c>
      <c r="I53" s="1171"/>
      <c r="S53" t="s">
        <v>8763</v>
      </c>
      <c r="T53" s="1172">
        <f>+T52/W55</f>
        <v>0</v>
      </c>
    </row>
    <row r="54" spans="1:23" ht="15" x14ac:dyDescent="0.25">
      <c r="A54" s="387">
        <v>123</v>
      </c>
      <c r="B54" s="13">
        <v>221</v>
      </c>
      <c r="C54" s="13" t="str">
        <f>IFERROR(VLOOKUP(B54,ALCIDES.TESSA[[Numero]:[COSTO]],2,0),"")</f>
        <v>1632/00 - NB3</v>
      </c>
      <c r="D54" t="str">
        <f>+IFERROR(VLOOKUP(B54,ALCIDES.TESSA[[Numero]:[COSTO]],3,0),"")</f>
        <v>10 Amper - Unipolar - Llave Inversora T/PALA 6.35</v>
      </c>
      <c r="F54">
        <v>200</v>
      </c>
      <c r="G54" s="1">
        <f>IFERROR(VLOOKUP(B54,ALCIDES.TESSA[[Numero]:[Precio Unitario]],7,0),0)</f>
        <v>639.30999999999995</v>
      </c>
      <c r="H54" s="1165">
        <f t="shared" ref="H54:H62" si="1">+G54*F54</f>
        <v>127861.99999999999</v>
      </c>
      <c r="I54" s="1171"/>
      <c r="J54" s="1158">
        <f>+SUM($H$53:H54)*1.21</f>
        <v>285879.44</v>
      </c>
      <c r="T54" s="1172"/>
    </row>
    <row r="55" spans="1:23" ht="15" x14ac:dyDescent="0.25">
      <c r="A55" s="387">
        <v>241</v>
      </c>
      <c r="B55" s="13">
        <v>282</v>
      </c>
      <c r="C55" s="13" t="str">
        <f>IFERROR(VLOOKUP(B55,ALCIDES.TESSA[[Numero]:[COSTO]],2,0),"")</f>
        <v>2712/00 - NB0</v>
      </c>
      <c r="D55" t="str">
        <f>+IFERROR(VLOOKUP(B55,ALCIDES.TESSA[[Numero]:[COSTO]],3,0),"")</f>
        <v>10 Amper - Unipolar - Interruptor Redondo T/PALA 6.35</v>
      </c>
      <c r="F55">
        <v>200</v>
      </c>
      <c r="G55" s="1">
        <f>IFERROR(VLOOKUP(B55,ALCIDES.TESSA[[Numero]:[Precio Unitario]],7,0),0)</f>
        <v>518.65</v>
      </c>
      <c r="H55" s="1165">
        <f t="shared" si="1"/>
        <v>103730</v>
      </c>
      <c r="I55" s="1171"/>
      <c r="J55" s="1158">
        <f>+SUM($H$53:H55)*1.21</f>
        <v>411392.74</v>
      </c>
      <c r="T55" s="1172">
        <f>+T53-3000</f>
        <v>-3000</v>
      </c>
      <c r="V55" t="s">
        <v>8763</v>
      </c>
      <c r="W55" s="1173">
        <v>1150</v>
      </c>
    </row>
    <row r="56" spans="1:23" ht="15" x14ac:dyDescent="0.25">
      <c r="A56">
        <v>283</v>
      </c>
      <c r="B56" s="13">
        <v>300</v>
      </c>
      <c r="C56" s="13" t="str">
        <f>IFERROR(VLOOKUP(B56,ALCIDES.TESSA[[Numero]:[COSTO]],2,0),"")</f>
        <v>2812/00 - NRS</v>
      </c>
      <c r="D56" t="str">
        <f>+IFERROR(VLOOKUP(B56,ALCIDES.TESSA[[Numero]:[COSTO]],3,0),"")</f>
        <v>10 Amper - Unipolar - Interruptor Redondo Llave Tecla Frente Cuadrado</v>
      </c>
      <c r="F56">
        <v>200</v>
      </c>
      <c r="G56" s="1">
        <f>IFERROR(VLOOKUP(B56,ALCIDES.TESSA[[Numero]:[Precio Unitario]],7,0),0)</f>
        <v>546.70000000000005</v>
      </c>
      <c r="H56" s="1165">
        <f t="shared" si="1"/>
        <v>109340.00000000001</v>
      </c>
      <c r="I56" s="1171"/>
      <c r="J56" s="1158">
        <f>+SUM($H$53:H56)*1.21</f>
        <v>543694.14</v>
      </c>
      <c r="K56" s="425"/>
      <c r="L56" s="95"/>
      <c r="M56" s="95"/>
    </row>
    <row r="57" spans="1:23" ht="15" x14ac:dyDescent="0.25">
      <c r="A57">
        <v>283</v>
      </c>
      <c r="B57" s="13">
        <v>320</v>
      </c>
      <c r="C57" s="13" t="str">
        <f>IFERROR(VLOOKUP(B57,ALCIDES.TESSA[[Numero]:[COSTO]],2,0),"")</f>
        <v>2912/00 - NRS</v>
      </c>
      <c r="D57" t="str">
        <f>+IFERROR(VLOOKUP(B57,ALCIDES.TESSA[[Numero]:[COSTO]],3,0),"")</f>
        <v>2 Amper - Unipolar - Llave Micro Redondo Interruptor 2a</v>
      </c>
      <c r="F57">
        <v>200</v>
      </c>
      <c r="G57" s="1">
        <f>IFERROR(VLOOKUP(B57,ALCIDES.TESSA[[Numero]:[Precio Unitario]],7,0),0)</f>
        <v>270.45999999999998</v>
      </c>
      <c r="H57" s="1165">
        <f t="shared" si="1"/>
        <v>54091.999999999993</v>
      </c>
      <c r="I57" s="1171"/>
      <c r="J57" s="1158">
        <f>+SUM($H$53:H57)*1.21</f>
        <v>609145.46</v>
      </c>
      <c r="K57" s="425"/>
      <c r="L57" s="95"/>
      <c r="M57" s="95"/>
      <c r="T57" s="1165">
        <f>+T55*W55</f>
        <v>-3450000</v>
      </c>
    </row>
    <row r="58" spans="1:23" ht="15" x14ac:dyDescent="0.25">
      <c r="B58" s="13">
        <v>321</v>
      </c>
      <c r="C58" s="13" t="str">
        <f>IFERROR(VLOOKUP(B58,ALCIDES.TESSA[[Numero]:[COSTO]],2,0),"")</f>
        <v>2912/00 - NB0</v>
      </c>
      <c r="D58" t="str">
        <f>+IFERROR(VLOOKUP(B58,ALCIDES.TESSA[[Numero]:[COSTO]],3,0),"")</f>
        <v>2 Amper - Unipolar - Llave Micro Redondo Interruptor 2a</v>
      </c>
      <c r="F58">
        <v>200</v>
      </c>
      <c r="G58" s="1">
        <f>IFERROR(VLOOKUP(B58,ALCIDES.TESSA[[Numero]:[Precio Unitario]],7,0),0)</f>
        <v>270.45999999999998</v>
      </c>
      <c r="H58" s="1165">
        <f t="shared" si="1"/>
        <v>54091.999999999993</v>
      </c>
      <c r="I58" s="1171"/>
      <c r="J58" s="1158">
        <f>+SUM($H$53:H58)*1.21</f>
        <v>674596.78</v>
      </c>
      <c r="K58" s="425"/>
      <c r="M58" s="95"/>
    </row>
    <row r="59" spans="1:23" ht="15" x14ac:dyDescent="0.25">
      <c r="B59" s="13">
        <v>322</v>
      </c>
      <c r="C59" s="13" t="str">
        <f>IFERROR(VLOOKUP(B59,ALCIDES.TESSA[[Numero]:[COSTO]],2,0),"")</f>
        <v>2912/00 - BB0</v>
      </c>
      <c r="D59" t="str">
        <f>+IFERROR(VLOOKUP(B59,ALCIDES.TESSA[[Numero]:[COSTO]],3,0),"")</f>
        <v>2 Amper - Unipolar - Llave Micro Redondo Interruptor 2a</v>
      </c>
      <c r="F59">
        <v>200</v>
      </c>
      <c r="G59" s="1">
        <f>IFERROR(VLOOKUP(B59,ALCIDES.TESSA[[Numero]:[Precio Unitario]],7,0),0)</f>
        <v>270.45999999999998</v>
      </c>
      <c r="H59" s="1165">
        <f t="shared" si="1"/>
        <v>54091.999999999993</v>
      </c>
      <c r="I59" s="1171"/>
      <c r="J59" s="1158">
        <f>+SUM($H$53:H59)*1.21</f>
        <v>740048.1</v>
      </c>
      <c r="K59" s="425"/>
      <c r="M59" s="95"/>
    </row>
    <row r="60" spans="1:23" ht="15" x14ac:dyDescent="0.25">
      <c r="B60" s="13">
        <v>580</v>
      </c>
      <c r="C60" s="13" t="str">
        <f>IFERROR(VLOOKUP(B60,ALCIDES.TESSA[[Numero]:[COSTO]],2,0),"")</f>
        <v>942/00 - NB</v>
      </c>
      <c r="D60" t="str">
        <f>+IFERROR(VLOOKUP(B60,ALCIDES.TESSA[[Numero]:[COSTO]],3,0),"")</f>
        <v>2 Amper - Unipolar - PULSADOR AUTORR. FTE.RED. A ROSCA</v>
      </c>
      <c r="F60">
        <v>200</v>
      </c>
      <c r="G60" s="1">
        <f>IFERROR(VLOOKUP(B60,ALCIDES.TESSA[[Numero]:[Precio Unitario]],7,0),0)</f>
        <v>528.17999999999995</v>
      </c>
      <c r="H60" s="1165">
        <f t="shared" si="1"/>
        <v>105635.99999999999</v>
      </c>
      <c r="I60" s="1171"/>
      <c r="J60" s="1158">
        <f>+SUM($H$53:H60)*1.21</f>
        <v>867867.66</v>
      </c>
      <c r="K60" s="425"/>
      <c r="M60" s="95"/>
    </row>
    <row r="61" spans="1:23" ht="15" x14ac:dyDescent="0.25">
      <c r="C61" s="13" t="str">
        <f>IFERROR(VLOOKUP(B61,ALCIDES.TESSA[[Numero]:[COSTO]],2,0),"")</f>
        <v/>
      </c>
      <c r="D61" t="str">
        <f>+IFERROR(VLOOKUP(B61,ALCIDES.TESSA[[Numero]:[COSTO]],3,0),"")</f>
        <v/>
      </c>
      <c r="F61">
        <v>200</v>
      </c>
      <c r="G61" s="1">
        <f>IFERROR(VLOOKUP(B61,ALCIDES.TESSA[[Numero]:[Precio Unitario]],7,0),0)</f>
        <v>0</v>
      </c>
      <c r="H61" s="1165">
        <f t="shared" si="1"/>
        <v>0</v>
      </c>
      <c r="I61" s="1171"/>
      <c r="J61" s="1158">
        <f>+SUM($H$53:H61)*1.21</f>
        <v>867867.66</v>
      </c>
    </row>
    <row r="62" spans="1:23" ht="15" x14ac:dyDescent="0.25">
      <c r="C62" s="13" t="str">
        <f>IFERROR(VLOOKUP(B62,ALCIDES.TESSA[[Numero]:[COSTO]],2,0),"")</f>
        <v/>
      </c>
      <c r="D62" t="str">
        <f>+IFERROR(VLOOKUP(B62,ALCIDES.TESSA[[Numero]:[COSTO]],3,0),"")</f>
        <v/>
      </c>
      <c r="F62">
        <v>200</v>
      </c>
      <c r="G62" s="1">
        <f>IFERROR(VLOOKUP(B62,ALCIDES.TESSA[[Numero]:[Precio Unitario]],7,0),0)</f>
        <v>0</v>
      </c>
      <c r="H62" s="1165">
        <f t="shared" si="1"/>
        <v>0</v>
      </c>
      <c r="I62" s="1171"/>
      <c r="J62" s="1158">
        <f>+SUM($H$53:H62)*1.21</f>
        <v>867867.66</v>
      </c>
    </row>
    <row r="63" spans="1:23" ht="15" x14ac:dyDescent="0.25">
      <c r="C63" s="13" t="str">
        <f>IFERROR(VLOOKUP(B63,ALCIDES.TESSA[[Numero]:[COSTO]],2,0),"")</f>
        <v/>
      </c>
      <c r="D63" t="str">
        <f>+IFERROR(VLOOKUP(B63,ALCIDES.TESSA[[Numero]:[COSTO]],3,0),"")</f>
        <v/>
      </c>
      <c r="F63">
        <v>200</v>
      </c>
      <c r="G63" s="1">
        <f>IFERROR(VLOOKUP(B63,ALCIDES.TESSA[[Numero]:[Precio Unitario]],7,0),0)</f>
        <v>0</v>
      </c>
      <c r="H63" s="1165">
        <f t="shared" ref="H63:H70" si="2">+G63*F63</f>
        <v>0</v>
      </c>
      <c r="I63" s="1171"/>
      <c r="J63" s="1158">
        <f>+SUM($H$53:H63)*1.21</f>
        <v>867867.66</v>
      </c>
    </row>
    <row r="64" spans="1:23" ht="15" x14ac:dyDescent="0.25">
      <c r="C64" s="13" t="str">
        <f>IFERROR(VLOOKUP(B64,ALCIDES.TESSA[[Numero]:[COSTO]],2,0),"")</f>
        <v/>
      </c>
      <c r="D64" t="str">
        <f>+IFERROR(VLOOKUP(B64,ALCIDES.TESSA[[Numero]:[COSTO]],3,0),"")</f>
        <v/>
      </c>
      <c r="F64">
        <v>200</v>
      </c>
      <c r="G64" s="1">
        <f>IFERROR(VLOOKUP(B64,ALCIDES.TESSA[[Numero]:[Precio Unitario]],7,0),0)</f>
        <v>0</v>
      </c>
      <c r="H64" s="1165">
        <f t="shared" si="2"/>
        <v>0</v>
      </c>
      <c r="I64" s="1171"/>
      <c r="J64" s="1158">
        <f>+SUM($H$53:H64)*1.21</f>
        <v>867867.66</v>
      </c>
    </row>
    <row r="65" spans="3:10" ht="15" x14ac:dyDescent="0.25">
      <c r="C65" s="13" t="str">
        <f>IFERROR(VLOOKUP(B65,ALCIDES.TESSA[[Numero]:[COSTO]],2,0),"")</f>
        <v/>
      </c>
      <c r="D65" t="str">
        <f>+IFERROR(VLOOKUP(B65,ALCIDES.TESSA[[Numero]:[COSTO]],3,0),"")</f>
        <v/>
      </c>
      <c r="F65">
        <v>200</v>
      </c>
      <c r="G65" s="1">
        <f>IFERROR(VLOOKUP(B65,ALCIDES.TESSA[[Numero]:[Precio Unitario]],7,0),0)</f>
        <v>0</v>
      </c>
      <c r="H65" s="1165">
        <f t="shared" si="2"/>
        <v>0</v>
      </c>
      <c r="I65" s="1171"/>
      <c r="J65" s="1158">
        <f>+SUM($H$53:H65)*1.21</f>
        <v>867867.66</v>
      </c>
    </row>
    <row r="66" spans="3:10" ht="15" x14ac:dyDescent="0.25">
      <c r="C66" s="13" t="str">
        <f>IFERROR(VLOOKUP(B66,ALCIDES.TESSA[[Numero]:[COSTO]],2,0),"")</f>
        <v/>
      </c>
      <c r="D66" t="str">
        <f>+IFERROR(VLOOKUP(B66,ALCIDES.TESSA[[Numero]:[COSTO]],3,0),"")</f>
        <v/>
      </c>
      <c r="F66">
        <v>200</v>
      </c>
      <c r="G66" s="1">
        <f>IFERROR(VLOOKUP(B66,ALCIDES.TESSA[[Numero]:[Precio Unitario]],7,0),0)</f>
        <v>0</v>
      </c>
      <c r="H66" s="1165">
        <f t="shared" si="2"/>
        <v>0</v>
      </c>
      <c r="I66" s="1171"/>
      <c r="J66" s="1158">
        <f>+SUM($H$53:H66)*1.21</f>
        <v>867867.66</v>
      </c>
    </row>
    <row r="67" spans="3:10" ht="15" x14ac:dyDescent="0.25">
      <c r="C67" s="13" t="str">
        <f>IFERROR(VLOOKUP(B67,ALCIDES.TESSA[[Numero]:[COSTO]],2,0),"")</f>
        <v/>
      </c>
      <c r="D67" t="str">
        <f>+IFERROR(VLOOKUP(B67,ALCIDES.TESSA[[Numero]:[COSTO]],3,0),"")</f>
        <v/>
      </c>
      <c r="F67">
        <v>200</v>
      </c>
      <c r="G67" s="1">
        <f>IFERROR(VLOOKUP(B67,ALCIDES.TESSA[[Numero]:[Precio Unitario]],7,0),0)</f>
        <v>0</v>
      </c>
      <c r="H67" s="1165">
        <f t="shared" si="2"/>
        <v>0</v>
      </c>
      <c r="I67" s="1171"/>
      <c r="J67" s="1158">
        <f>+SUM($H$53:H67)*1.21</f>
        <v>867867.66</v>
      </c>
    </row>
    <row r="68" spans="3:10" ht="15" x14ac:dyDescent="0.25">
      <c r="C68" s="13" t="str">
        <f>IFERROR(VLOOKUP(B68,ALCIDES.TESSA[[Numero]:[COSTO]],2,0),"")</f>
        <v/>
      </c>
      <c r="D68" t="str">
        <f>+IFERROR(VLOOKUP(B68,ALCIDES.TESSA[[Numero]:[COSTO]],3,0),"")</f>
        <v/>
      </c>
      <c r="F68">
        <v>200</v>
      </c>
      <c r="G68" s="1">
        <f>IFERROR(VLOOKUP(B68,ALCIDES.TESSA[[Numero]:[Precio Unitario]],7,0),0)</f>
        <v>0</v>
      </c>
      <c r="H68" s="1165">
        <f t="shared" si="2"/>
        <v>0</v>
      </c>
      <c r="I68" s="1171"/>
      <c r="J68" s="1158">
        <f>+SUM($H$53:H68)*1.21</f>
        <v>867867.66</v>
      </c>
    </row>
    <row r="69" spans="3:10" ht="15" x14ac:dyDescent="0.25">
      <c r="C69" s="13" t="str">
        <f>IFERROR(VLOOKUP(B69,ALCIDES.TESSA[[Numero]:[COSTO]],2,0),"")</f>
        <v/>
      </c>
      <c r="D69" t="str">
        <f>+IFERROR(VLOOKUP(B69,ALCIDES.TESSA[[Numero]:[COSTO]],3,0),"")</f>
        <v/>
      </c>
      <c r="F69">
        <v>200</v>
      </c>
      <c r="G69" s="1">
        <f>IFERROR(VLOOKUP(B69,ALCIDES.TESSA[[Numero]:[Precio Unitario]],7,0),0)</f>
        <v>0</v>
      </c>
      <c r="H69" s="1165">
        <f t="shared" si="2"/>
        <v>0</v>
      </c>
      <c r="I69" s="1171"/>
      <c r="J69" s="1158">
        <f>+SUM($H$53:H69)*1.21</f>
        <v>867867.66</v>
      </c>
    </row>
    <row r="70" spans="3:10" ht="15" x14ac:dyDescent="0.25">
      <c r="C70" s="13" t="str">
        <f>IFERROR(VLOOKUP(B70,ALCIDES.TESSA[[Numero]:[COSTO]],2,0),"")</f>
        <v/>
      </c>
      <c r="D70" t="str">
        <f>+IFERROR(VLOOKUP(B70,ALCIDES.TESSA[[Numero]:[COSTO]],3,0),"")</f>
        <v/>
      </c>
      <c r="F70">
        <v>200</v>
      </c>
      <c r="G70" s="1">
        <f>IFERROR(VLOOKUP(B70,ALCIDES.TESSA[[Numero]:[Precio Unitario]],7,0),0)</f>
        <v>0</v>
      </c>
      <c r="H70" s="1165">
        <f t="shared" si="2"/>
        <v>0</v>
      </c>
      <c r="I70" s="1171"/>
      <c r="J70" s="1158">
        <f>+SUM($H$53:H70)*1.21</f>
        <v>867867.66</v>
      </c>
    </row>
    <row r="71" spans="3:10" ht="15" x14ac:dyDescent="0.25">
      <c r="C71" s="13" t="str">
        <f>IFERROR(VLOOKUP(B71,ALCIDES.TESSA[[Numero]:[COSTO]],2,0),"")</f>
        <v/>
      </c>
      <c r="D71" t="str">
        <f>+IFERROR(VLOOKUP(B71,ALCIDES.TESSA[[Numero]:[COSTO]],3,0),"")</f>
        <v/>
      </c>
      <c r="G71" s="1"/>
      <c r="H71" s="1165"/>
      <c r="I71" s="1171"/>
      <c r="J71" s="1158"/>
    </row>
    <row r="72" spans="3:10" ht="15" x14ac:dyDescent="0.25">
      <c r="H72" s="1165">
        <f>+SUM(H53:H71)</f>
        <v>717246</v>
      </c>
      <c r="I72" s="1171" t="s">
        <v>8164</v>
      </c>
    </row>
    <row r="75" spans="3:10" x14ac:dyDescent="0.2">
      <c r="H75" s="1165">
        <f>+H72*1.21</f>
        <v>867867.66</v>
      </c>
      <c r="I75" s="31" t="s">
        <v>8764</v>
      </c>
    </row>
  </sheetData>
  <phoneticPr fontId="11" type="noConversion"/>
  <pageMargins left="0.36" right="0.24"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40608-C2AB-4F18-935A-59D03D7D6F4A}">
  <sheetPr codeName="Hoja27"/>
  <dimension ref="A1:AD305"/>
  <sheetViews>
    <sheetView topLeftCell="T1" zoomScale="145" zoomScaleNormal="145" workbookViewId="0">
      <selection activeCell="Y4" sqref="Y4"/>
    </sheetView>
  </sheetViews>
  <sheetFormatPr baseColWidth="10" defaultColWidth="11.42578125" defaultRowHeight="12.75" outlineLevelCol="1" x14ac:dyDescent="0.2"/>
  <cols>
    <col min="1" max="1" width="0" hidden="1" customWidth="1" outlineLevel="1"/>
    <col min="2" max="2" width="14.140625" hidden="1" customWidth="1" outlineLevel="1"/>
    <col min="3" max="3" width="0" hidden="1" customWidth="1" outlineLevel="1"/>
    <col min="4" max="4" width="26.5703125" hidden="1" customWidth="1" outlineLevel="1"/>
    <col min="5" max="8" width="0" hidden="1" customWidth="1" outlineLevel="1"/>
    <col min="9" max="9" width="5.5703125" hidden="1" customWidth="1" outlineLevel="1"/>
    <col min="10" max="11" width="0" hidden="1" customWidth="1" outlineLevel="1"/>
    <col min="12" max="12" width="41.28515625" hidden="1" customWidth="1" outlineLevel="1"/>
    <col min="13" max="14" width="0" hidden="1" customWidth="1" outlineLevel="1"/>
    <col min="15" max="15" width="2.7109375" hidden="1" customWidth="1" outlineLevel="1"/>
    <col min="16" max="17" width="0" hidden="1" customWidth="1" outlineLevel="1"/>
    <col min="18" max="18" width="2.85546875" hidden="1" customWidth="1" outlineLevel="1"/>
    <col min="19" max="19" width="0" hidden="1" customWidth="1" outlineLevel="1"/>
    <col min="20" max="20" width="4.5703125" customWidth="1" collapsed="1"/>
    <col min="23" max="23" width="1.5703125" customWidth="1"/>
    <col min="24" max="24" width="9" bestFit="1" customWidth="1"/>
    <col min="25" max="25" width="12.7109375" bestFit="1" customWidth="1"/>
    <col min="27" max="27" width="12.85546875" bestFit="1" customWidth="1"/>
    <col min="31" max="31" width="23.28515625" bestFit="1" customWidth="1"/>
  </cols>
  <sheetData>
    <row r="1" spans="1:30" ht="19.5" thickBot="1" x14ac:dyDescent="0.35">
      <c r="A1" s="516" t="s">
        <v>8765</v>
      </c>
      <c r="D1" s="562" t="s">
        <v>8766</v>
      </c>
      <c r="F1">
        <v>2</v>
      </c>
      <c r="G1" s="517"/>
      <c r="H1" s="14"/>
      <c r="J1" t="s">
        <v>8767</v>
      </c>
      <c r="K1" s="1476" t="s">
        <v>3093</v>
      </c>
      <c r="L1" s="1476"/>
      <c r="M1" s="1476"/>
      <c r="N1" s="317">
        <v>0.57999999999999996</v>
      </c>
      <c r="U1" s="1477" t="s">
        <v>8768</v>
      </c>
      <c r="V1" s="1478"/>
      <c r="Y1" s="102">
        <f>+SUM(Y3:Y9)</f>
        <v>161321.45260000002</v>
      </c>
      <c r="Z1" t="s">
        <v>8769</v>
      </c>
      <c r="AA1" s="102">
        <f>+Y1+Y10</f>
        <v>183784.35108000002</v>
      </c>
      <c r="AC1" s="1477" t="s">
        <v>8768</v>
      </c>
      <c r="AD1" s="1478"/>
    </row>
    <row r="2" spans="1:30" ht="15.75" thickBot="1" x14ac:dyDescent="0.3">
      <c r="A2" t="s">
        <v>8770</v>
      </c>
      <c r="G2" s="518"/>
      <c r="H2" s="15"/>
      <c r="J2" s="388">
        <v>-8.6999999999999994E-2</v>
      </c>
      <c r="K2" s="30" t="s">
        <v>8189</v>
      </c>
      <c r="L2" s="30" t="s">
        <v>8756</v>
      </c>
      <c r="M2" s="30" t="s">
        <v>8771</v>
      </c>
      <c r="N2" s="554" t="s">
        <v>8772</v>
      </c>
      <c r="P2" s="30" t="s">
        <v>8751</v>
      </c>
      <c r="Q2" s="30" t="s">
        <v>8773</v>
      </c>
      <c r="S2" s="30" t="s">
        <v>8774</v>
      </c>
      <c r="T2" s="30" t="s">
        <v>8189</v>
      </c>
      <c r="U2" s="315" t="s">
        <v>8775</v>
      </c>
      <c r="V2" s="191" t="s">
        <v>8160</v>
      </c>
      <c r="W2" s="32"/>
      <c r="X2" s="32" t="s">
        <v>8776</v>
      </c>
      <c r="Y2" s="32" t="s">
        <v>8162</v>
      </c>
      <c r="AC2" s="315" t="s">
        <v>8775</v>
      </c>
      <c r="AD2" s="191" t="s">
        <v>8160</v>
      </c>
    </row>
    <row r="3" spans="1:30" x14ac:dyDescent="0.2">
      <c r="A3" s="519" t="s">
        <v>8777</v>
      </c>
      <c r="B3" s="520"/>
      <c r="C3" s="520"/>
      <c r="D3" s="520"/>
      <c r="E3" s="520"/>
      <c r="F3" s="520"/>
      <c r="G3" s="518"/>
      <c r="H3" s="15"/>
      <c r="K3" s="399">
        <v>53</v>
      </c>
      <c r="L3" s="156" t="s">
        <v>4860</v>
      </c>
      <c r="M3" s="157">
        <v>2636.12</v>
      </c>
      <c r="N3" s="2">
        <f>+(1-$N$1)*M3</f>
        <v>1107.1704</v>
      </c>
      <c r="P3" s="13" t="s">
        <v>8778</v>
      </c>
      <c r="Q3" s="1">
        <f>IF(P3=0,0,IFERROR(+IFERROR(IFERROR(IFERROR(VLOOKUP(P3,$A$1:$B$305,2,0),VLOOKUP(P3,$C$1:$D$305,2,0)),VLOOKUP(P3,$E$1:$F$305,2,0)),VLOOKUP(P3,$G$1:$H$305,2,0))*(1-$J$2)*(1-$J$5),0))</f>
        <v>439.71758799999998</v>
      </c>
      <c r="S3" s="555">
        <f>+N3/Q3-1</f>
        <v>1.5179124743129448</v>
      </c>
      <c r="T3" s="597">
        <v>55</v>
      </c>
      <c r="U3" s="560" t="str">
        <f>IF(T3=0,0,+VLOOKUP(T3,$K$3:$P$9,6,0))</f>
        <v>1235 epdm</v>
      </c>
      <c r="V3" s="558">
        <v>100</v>
      </c>
      <c r="X3" s="1">
        <f t="shared" ref="X3:X9" si="0">IFERROR(VLOOKUP(U3,$P$3:$Q$9,2,0),0)</f>
        <v>664.24656880000009</v>
      </c>
      <c r="Y3" s="1">
        <f>+X3*V3</f>
        <v>66424.65688000001</v>
      </c>
      <c r="AC3" s="560" t="s">
        <v>8779</v>
      </c>
      <c r="AD3" s="558">
        <v>100</v>
      </c>
    </row>
    <row r="4" spans="1:30" ht="15" x14ac:dyDescent="0.2">
      <c r="A4" s="817" t="s">
        <v>8780</v>
      </c>
      <c r="B4" s="818" t="s">
        <v>8177</v>
      </c>
      <c r="C4" s="818" t="s">
        <v>8780</v>
      </c>
      <c r="D4" s="818" t="s">
        <v>8177</v>
      </c>
      <c r="E4" s="818" t="s">
        <v>8780</v>
      </c>
      <c r="F4" s="819" t="s">
        <v>8177</v>
      </c>
      <c r="G4" s="818" t="s">
        <v>8780</v>
      </c>
      <c r="H4" s="820" t="s">
        <v>8177</v>
      </c>
      <c r="J4" s="874" t="s">
        <v>8781</v>
      </c>
      <c r="K4" s="402">
        <v>54</v>
      </c>
      <c r="L4" s="158" t="s">
        <v>4862</v>
      </c>
      <c r="M4" s="159">
        <v>2636.12</v>
      </c>
      <c r="N4" s="2">
        <f t="shared" ref="N4:N53" si="1">+(1-$N$1)*M4</f>
        <v>1107.1704</v>
      </c>
      <c r="P4" s="13" t="s">
        <v>8782</v>
      </c>
      <c r="Q4" s="1">
        <f t="shared" ref="Q4:Q53" si="2">IF(P4=0,0,IFERROR(+IFERROR(IFERROR(IFERROR(VLOOKUP(P4,$A$1:$B$305,2,0),VLOOKUP(P4,$C$1:$D$305,2,0)),VLOOKUP(P4,$E$1:$F$305,2,0)),VLOOKUP(P4,$G$1:$H$305,2,0))*(1-$J$2)*(1-$J$5),0))</f>
        <v>439.71758799999998</v>
      </c>
      <c r="S4" s="556">
        <f t="shared" ref="S4:S9" si="3">+N4/Q4-1</f>
        <v>1.5179124743129448</v>
      </c>
      <c r="T4" s="597">
        <v>56</v>
      </c>
      <c r="U4" s="560" t="str">
        <f t="shared" ref="U4:U9" si="4">IF(T4=0,0,+VLOOKUP(T4,$K$3:$P$9,6,0))</f>
        <v>1236 epdm</v>
      </c>
      <c r="V4" s="558">
        <v>100</v>
      </c>
      <c r="X4" s="1">
        <f t="shared" si="0"/>
        <v>664.24656880000009</v>
      </c>
      <c r="Y4" s="1">
        <f t="shared" ref="Y4:Y9" si="5">+X4*V4</f>
        <v>66424.65688000001</v>
      </c>
      <c r="AC4" s="560" t="s">
        <v>8783</v>
      </c>
      <c r="AD4" s="558">
        <v>100</v>
      </c>
    </row>
    <row r="5" spans="1:30" ht="15" x14ac:dyDescent="0.2">
      <c r="A5" s="821">
        <v>500</v>
      </c>
      <c r="B5" s="822">
        <v>2352.2399999999998</v>
      </c>
      <c r="C5" s="823">
        <v>542</v>
      </c>
      <c r="D5" s="824">
        <v>3275.82</v>
      </c>
      <c r="E5" s="823">
        <v>586</v>
      </c>
      <c r="F5" s="825">
        <v>159.38</v>
      </c>
      <c r="G5" s="823">
        <v>630</v>
      </c>
      <c r="H5" s="825">
        <v>159.38</v>
      </c>
      <c r="J5" s="388">
        <v>0.08</v>
      </c>
      <c r="K5" s="156">
        <v>55</v>
      </c>
      <c r="L5" s="156" t="s">
        <v>4864</v>
      </c>
      <c r="M5" s="157">
        <v>2636.12</v>
      </c>
      <c r="N5" s="2">
        <f t="shared" si="1"/>
        <v>1107.1704</v>
      </c>
      <c r="P5" s="13" t="s">
        <v>8779</v>
      </c>
      <c r="Q5" s="1">
        <f t="shared" si="2"/>
        <v>664.24656880000009</v>
      </c>
      <c r="S5" s="556">
        <f t="shared" si="3"/>
        <v>0.66680635174400282</v>
      </c>
      <c r="T5" s="597">
        <v>59</v>
      </c>
      <c r="U5" s="560" t="str">
        <f t="shared" si="4"/>
        <v>1490epdm</v>
      </c>
      <c r="V5" s="558">
        <v>50</v>
      </c>
      <c r="X5" s="1">
        <f t="shared" si="0"/>
        <v>569.44277679999993</v>
      </c>
      <c r="Y5" s="1">
        <f t="shared" si="5"/>
        <v>28472.138839999996</v>
      </c>
      <c r="AC5" s="560" t="s">
        <v>3154</v>
      </c>
      <c r="AD5" s="558">
        <v>50</v>
      </c>
    </row>
    <row r="6" spans="1:30" ht="15" x14ac:dyDescent="0.2">
      <c r="A6" s="826">
        <v>501</v>
      </c>
      <c r="B6" s="825">
        <v>302.52</v>
      </c>
      <c r="C6" s="827">
        <v>543</v>
      </c>
      <c r="D6" s="828">
        <v>11952.2</v>
      </c>
      <c r="E6" s="827">
        <v>587</v>
      </c>
      <c r="F6" s="825">
        <v>159.38</v>
      </c>
      <c r="G6" s="827">
        <v>631</v>
      </c>
      <c r="H6" s="825">
        <v>159.38</v>
      </c>
      <c r="K6" s="158">
        <v>56</v>
      </c>
      <c r="L6" s="158" t="s">
        <v>4866</v>
      </c>
      <c r="M6" s="159">
        <v>2636.12</v>
      </c>
      <c r="N6" s="2">
        <f t="shared" si="1"/>
        <v>1107.1704</v>
      </c>
      <c r="P6" s="13" t="s">
        <v>8783</v>
      </c>
      <c r="Q6" s="1">
        <f t="shared" si="2"/>
        <v>664.24656880000009</v>
      </c>
      <c r="S6" s="556">
        <f t="shared" si="3"/>
        <v>0.66680635174400282</v>
      </c>
      <c r="T6" s="597"/>
      <c r="U6" s="560">
        <f t="shared" si="4"/>
        <v>0</v>
      </c>
      <c r="V6" s="558">
        <v>50</v>
      </c>
      <c r="X6" s="1">
        <f t="shared" si="0"/>
        <v>0</v>
      </c>
      <c r="Y6" s="1">
        <f t="shared" si="5"/>
        <v>0</v>
      </c>
      <c r="AC6" s="560"/>
      <c r="AD6" s="558"/>
    </row>
    <row r="7" spans="1:30" ht="15" x14ac:dyDescent="0.2">
      <c r="A7" s="826">
        <v>502</v>
      </c>
      <c r="B7" s="825">
        <v>305.54000000000002</v>
      </c>
      <c r="C7" s="827">
        <v>544</v>
      </c>
      <c r="D7" s="825">
        <v>12939.74</v>
      </c>
      <c r="E7" s="827">
        <v>588</v>
      </c>
      <c r="F7" s="825">
        <v>159.38</v>
      </c>
      <c r="G7" s="827">
        <v>632</v>
      </c>
      <c r="H7" s="825">
        <v>159.38</v>
      </c>
      <c r="K7" s="399">
        <v>57</v>
      </c>
      <c r="L7" s="156" t="s">
        <v>3149</v>
      </c>
      <c r="M7" s="157">
        <v>2636.12</v>
      </c>
      <c r="N7" s="2">
        <f t="shared" si="1"/>
        <v>1107.1704</v>
      </c>
      <c r="P7" s="13" t="s">
        <v>3148</v>
      </c>
      <c r="Q7" s="1">
        <f t="shared" si="2"/>
        <v>664.24656880000009</v>
      </c>
      <c r="S7" s="556">
        <f t="shared" si="3"/>
        <v>0.66680635174400282</v>
      </c>
      <c r="T7" s="597"/>
      <c r="U7" s="560">
        <f t="shared" si="4"/>
        <v>0</v>
      </c>
      <c r="V7" s="558">
        <v>50</v>
      </c>
      <c r="X7" s="1">
        <f t="shared" si="0"/>
        <v>0</v>
      </c>
      <c r="Y7" s="1">
        <f t="shared" si="5"/>
        <v>0</v>
      </c>
      <c r="AC7" s="560"/>
      <c r="AD7" s="558"/>
    </row>
    <row r="8" spans="1:30" ht="15" x14ac:dyDescent="0.2">
      <c r="A8" s="826">
        <v>503</v>
      </c>
      <c r="B8" s="825">
        <v>613.16</v>
      </c>
      <c r="C8" s="827">
        <v>545</v>
      </c>
      <c r="D8" s="825">
        <v>12042.44</v>
      </c>
      <c r="E8" s="827">
        <v>589</v>
      </c>
      <c r="F8" s="825">
        <v>159.38</v>
      </c>
      <c r="G8" s="827">
        <v>633</v>
      </c>
      <c r="H8" s="825">
        <v>159.38</v>
      </c>
      <c r="K8" s="402">
        <v>58</v>
      </c>
      <c r="L8" s="158" t="s">
        <v>3152</v>
      </c>
      <c r="M8" s="159">
        <v>2636.12</v>
      </c>
      <c r="N8" s="2">
        <f t="shared" si="1"/>
        <v>1107.1704</v>
      </c>
      <c r="P8" s="13" t="s">
        <v>3151</v>
      </c>
      <c r="Q8" s="1">
        <f t="shared" si="2"/>
        <v>664.24656880000009</v>
      </c>
      <c r="S8" s="556">
        <f t="shared" si="3"/>
        <v>0.66680635174400282</v>
      </c>
      <c r="T8" s="597"/>
      <c r="U8" s="560">
        <f t="shared" si="4"/>
        <v>0</v>
      </c>
      <c r="V8" s="558"/>
      <c r="X8" s="1">
        <f t="shared" si="0"/>
        <v>0</v>
      </c>
      <c r="Y8" s="1">
        <f t="shared" si="5"/>
        <v>0</v>
      </c>
      <c r="AA8">
        <v>55</v>
      </c>
    </row>
    <row r="9" spans="1:30" ht="15.75" thickBot="1" x14ac:dyDescent="0.25">
      <c r="A9" s="826">
        <v>504</v>
      </c>
      <c r="B9" s="825">
        <v>352.62</v>
      </c>
      <c r="C9" s="827">
        <v>546</v>
      </c>
      <c r="D9" s="825">
        <v>6660.8</v>
      </c>
      <c r="E9" s="827">
        <v>590</v>
      </c>
      <c r="F9" s="825">
        <v>159.38</v>
      </c>
      <c r="G9" s="827">
        <v>634</v>
      </c>
      <c r="H9" s="825">
        <v>159.38</v>
      </c>
      <c r="K9" s="399">
        <v>59</v>
      </c>
      <c r="L9" s="156" t="s">
        <v>3155</v>
      </c>
      <c r="M9" s="157">
        <v>2636.12</v>
      </c>
      <c r="N9" s="2">
        <f t="shared" si="1"/>
        <v>1107.1704</v>
      </c>
      <c r="P9" s="13" t="s">
        <v>3154</v>
      </c>
      <c r="Q9" s="1">
        <f t="shared" si="2"/>
        <v>569.44277679999993</v>
      </c>
      <c r="S9" s="557">
        <f t="shared" si="3"/>
        <v>0.94430493301148877</v>
      </c>
      <c r="T9" s="597"/>
      <c r="U9" s="560">
        <f t="shared" si="4"/>
        <v>0</v>
      </c>
      <c r="V9" s="559"/>
      <c r="X9" s="1">
        <f t="shared" si="0"/>
        <v>0</v>
      </c>
      <c r="Y9" s="1">
        <f t="shared" si="5"/>
        <v>0</v>
      </c>
      <c r="AA9">
        <v>59</v>
      </c>
    </row>
    <row r="10" spans="1:30" ht="15" x14ac:dyDescent="0.2">
      <c r="A10" s="826">
        <v>505</v>
      </c>
      <c r="B10" s="825">
        <v>354.78</v>
      </c>
      <c r="C10" s="827">
        <v>547</v>
      </c>
      <c r="D10" s="825">
        <v>269.10000000000002</v>
      </c>
      <c r="E10" s="827">
        <v>591</v>
      </c>
      <c r="F10" s="825">
        <v>159.38</v>
      </c>
      <c r="G10" s="827">
        <v>635</v>
      </c>
      <c r="H10" s="825">
        <v>159.38</v>
      </c>
      <c r="K10" s="1479" t="s">
        <v>8784</v>
      </c>
      <c r="L10" s="1479"/>
      <c r="M10" s="1479"/>
      <c r="Q10" s="1"/>
      <c r="Y10" s="61">
        <f>+SUM(Y11:Y37)</f>
        <v>22462.89848</v>
      </c>
      <c r="AA10">
        <v>59</v>
      </c>
    </row>
    <row r="11" spans="1:30" ht="15.75" thickBot="1" x14ac:dyDescent="0.25">
      <c r="A11" s="826">
        <v>506</v>
      </c>
      <c r="B11" s="825">
        <v>399.9</v>
      </c>
      <c r="C11" s="827">
        <v>548</v>
      </c>
      <c r="D11" s="825">
        <v>11767.44</v>
      </c>
      <c r="E11" s="827">
        <v>592</v>
      </c>
      <c r="F11" s="825">
        <v>159.38</v>
      </c>
      <c r="G11" s="827">
        <v>636</v>
      </c>
      <c r="H11" s="825">
        <v>159.38</v>
      </c>
      <c r="K11" s="158">
        <v>1</v>
      </c>
      <c r="L11" s="158" t="s">
        <v>5827</v>
      </c>
      <c r="M11" s="159">
        <v>923.36</v>
      </c>
      <c r="N11" s="2">
        <f t="shared" si="1"/>
        <v>387.81120000000004</v>
      </c>
      <c r="P11" s="589"/>
      <c r="Q11" s="1">
        <f t="shared" si="2"/>
        <v>0</v>
      </c>
      <c r="S11" s="557">
        <f t="shared" ref="S11:S37" si="6">+IFERROR(N11/Q11-1,0)</f>
        <v>0</v>
      </c>
      <c r="T11" s="32">
        <f t="shared" ref="T11:T37" si="7">+K11</f>
        <v>1</v>
      </c>
      <c r="U11" s="561">
        <f t="shared" ref="U11:U37" si="8">+VLOOKUP(T11,$K$11:$P$37,6,0)</f>
        <v>0</v>
      </c>
      <c r="V11" s="559">
        <v>50</v>
      </c>
      <c r="X11" s="1">
        <f>+IFERROR(VLOOKUP(U11,$P$11:$Q$37,2,0),0)</f>
        <v>0</v>
      </c>
      <c r="Y11" s="1">
        <f t="shared" ref="Y11:Y37" si="9">+X11*V11</f>
        <v>0</v>
      </c>
    </row>
    <row r="12" spans="1:30" ht="15.75" thickBot="1" x14ac:dyDescent="0.25">
      <c r="A12" s="826">
        <v>507</v>
      </c>
      <c r="B12" s="825">
        <v>406.38</v>
      </c>
      <c r="C12" s="827">
        <v>549</v>
      </c>
      <c r="D12" s="825">
        <v>20042.82</v>
      </c>
      <c r="E12" s="827">
        <v>593</v>
      </c>
      <c r="F12" s="825">
        <v>159.38</v>
      </c>
      <c r="G12" s="827">
        <v>637</v>
      </c>
      <c r="H12" s="825">
        <v>159.38</v>
      </c>
      <c r="K12" s="156">
        <v>2</v>
      </c>
      <c r="L12" s="156" t="s">
        <v>5830</v>
      </c>
      <c r="M12" s="157">
        <v>826.88</v>
      </c>
      <c r="N12" s="2">
        <f t="shared" si="1"/>
        <v>347.28960000000001</v>
      </c>
      <c r="P12" s="13" t="s">
        <v>5829</v>
      </c>
      <c r="Q12" s="1">
        <f t="shared" si="2"/>
        <v>96.843873599999995</v>
      </c>
      <c r="S12" s="557">
        <f t="shared" si="6"/>
        <v>2.5860771269273148</v>
      </c>
      <c r="T12" s="32">
        <f t="shared" si="7"/>
        <v>2</v>
      </c>
      <c r="U12" s="561" t="str">
        <f t="shared" si="8"/>
        <v>1167 N</v>
      </c>
      <c r="V12" s="559">
        <v>100</v>
      </c>
      <c r="X12" s="1">
        <f t="shared" ref="X12:X37" si="10">+IFERROR(VLOOKUP(U12,$P$11:$Q$37,2,0),0)</f>
        <v>96.843873599999995</v>
      </c>
      <c r="Y12" s="1">
        <f t="shared" si="9"/>
        <v>9684.3873599999988</v>
      </c>
    </row>
    <row r="13" spans="1:30" ht="15.75" thickBot="1" x14ac:dyDescent="0.25">
      <c r="A13" s="826">
        <v>508</v>
      </c>
      <c r="B13" s="825">
        <v>697.04</v>
      </c>
      <c r="C13" s="827">
        <v>550</v>
      </c>
      <c r="D13" s="825">
        <v>20269.439999999999</v>
      </c>
      <c r="E13" s="827">
        <v>594</v>
      </c>
      <c r="F13" s="825">
        <v>159.38</v>
      </c>
      <c r="G13" s="827">
        <v>638</v>
      </c>
      <c r="H13" s="825">
        <v>159.38</v>
      </c>
      <c r="K13" s="158">
        <v>3</v>
      </c>
      <c r="L13" s="158" t="s">
        <v>5833</v>
      </c>
      <c r="M13" s="159">
        <v>532.4</v>
      </c>
      <c r="N13" s="2">
        <f t="shared" si="1"/>
        <v>223.608</v>
      </c>
      <c r="P13" s="13" t="s">
        <v>5832</v>
      </c>
      <c r="Q13" s="1">
        <f t="shared" si="2"/>
        <v>92.343693600000009</v>
      </c>
      <c r="S13" s="557">
        <f t="shared" si="6"/>
        <v>1.421475590619</v>
      </c>
      <c r="T13" s="32">
        <f t="shared" si="7"/>
        <v>3</v>
      </c>
      <c r="U13" s="561" t="str">
        <f t="shared" si="8"/>
        <v>1076 B</v>
      </c>
      <c r="V13" s="559">
        <v>0</v>
      </c>
      <c r="X13" s="1">
        <f t="shared" si="10"/>
        <v>92.343693600000009</v>
      </c>
      <c r="Y13" s="1">
        <f t="shared" si="9"/>
        <v>0</v>
      </c>
    </row>
    <row r="14" spans="1:30" ht="15.75" thickBot="1" x14ac:dyDescent="0.25">
      <c r="A14" s="826">
        <v>509</v>
      </c>
      <c r="B14" s="825">
        <v>918.98</v>
      </c>
      <c r="C14" s="827">
        <v>551</v>
      </c>
      <c r="D14" s="825">
        <v>6447.06</v>
      </c>
      <c r="E14" s="827">
        <v>595</v>
      </c>
      <c r="F14" s="825">
        <v>159.38</v>
      </c>
      <c r="G14" s="827">
        <v>639</v>
      </c>
      <c r="H14" s="825">
        <v>159.38</v>
      </c>
      <c r="K14" s="156">
        <v>4</v>
      </c>
      <c r="L14" s="156" t="s">
        <v>5835</v>
      </c>
      <c r="M14" s="157">
        <v>715.4</v>
      </c>
      <c r="N14" s="2">
        <f t="shared" si="1"/>
        <v>300.46800000000002</v>
      </c>
      <c r="P14" s="589">
        <v>1167</v>
      </c>
      <c r="Q14" s="1">
        <f t="shared" si="2"/>
        <v>0</v>
      </c>
      <c r="S14" s="557">
        <f t="shared" si="6"/>
        <v>0</v>
      </c>
      <c r="T14" s="32">
        <f t="shared" si="7"/>
        <v>4</v>
      </c>
      <c r="U14" s="561">
        <f t="shared" si="8"/>
        <v>1167</v>
      </c>
      <c r="V14" s="559">
        <v>50</v>
      </c>
      <c r="X14" s="1">
        <f t="shared" si="10"/>
        <v>0</v>
      </c>
      <c r="Y14" s="1">
        <f t="shared" si="9"/>
        <v>0</v>
      </c>
    </row>
    <row r="15" spans="1:30" ht="15.75" thickBot="1" x14ac:dyDescent="0.25">
      <c r="A15" s="826">
        <v>510</v>
      </c>
      <c r="B15" s="825">
        <v>772.74</v>
      </c>
      <c r="C15" s="827">
        <v>552</v>
      </c>
      <c r="D15" s="825">
        <v>8410.2199999999993</v>
      </c>
      <c r="E15" s="827">
        <v>596</v>
      </c>
      <c r="F15" s="825">
        <v>159.38</v>
      </c>
      <c r="G15" s="827">
        <v>640</v>
      </c>
      <c r="H15" s="825">
        <v>159.38</v>
      </c>
      <c r="K15" s="158">
        <v>5</v>
      </c>
      <c r="L15" s="158" t="s">
        <v>5837</v>
      </c>
      <c r="M15" s="159">
        <v>587.32000000000005</v>
      </c>
      <c r="N15" s="2">
        <f t="shared" si="1"/>
        <v>246.67440000000005</v>
      </c>
      <c r="P15" s="13">
        <v>1075</v>
      </c>
      <c r="Q15" s="1">
        <f t="shared" si="2"/>
        <v>80.463218399999988</v>
      </c>
      <c r="S15" s="557">
        <f t="shared" si="6"/>
        <v>2.0656790134062062</v>
      </c>
      <c r="T15" s="32">
        <f t="shared" si="7"/>
        <v>5</v>
      </c>
      <c r="U15" s="561">
        <f t="shared" si="8"/>
        <v>1075</v>
      </c>
      <c r="V15" s="559">
        <v>0</v>
      </c>
      <c r="X15" s="1">
        <f t="shared" si="10"/>
        <v>80.463218399999988</v>
      </c>
      <c r="Y15" s="1">
        <f t="shared" si="9"/>
        <v>0</v>
      </c>
    </row>
    <row r="16" spans="1:30" ht="15.75" thickBot="1" x14ac:dyDescent="0.25">
      <c r="A16" s="826">
        <v>511</v>
      </c>
      <c r="B16" s="825">
        <v>854.66</v>
      </c>
      <c r="C16" s="827">
        <v>553</v>
      </c>
      <c r="D16" s="825">
        <v>7499.16</v>
      </c>
      <c r="E16" s="827">
        <v>597</v>
      </c>
      <c r="F16" s="825">
        <v>159.38</v>
      </c>
      <c r="G16" s="827">
        <v>641</v>
      </c>
      <c r="H16" s="825">
        <v>159.38</v>
      </c>
      <c r="K16" s="156">
        <v>6</v>
      </c>
      <c r="L16" s="156" t="s">
        <v>5840</v>
      </c>
      <c r="M16" s="157">
        <v>743.68</v>
      </c>
      <c r="N16" s="2">
        <f t="shared" si="1"/>
        <v>312.34559999999999</v>
      </c>
      <c r="P16" s="13" t="s">
        <v>5839</v>
      </c>
      <c r="Q16" s="1">
        <f t="shared" si="2"/>
        <v>101.904076</v>
      </c>
      <c r="S16" s="557">
        <f t="shared" si="6"/>
        <v>2.0650942755224038</v>
      </c>
      <c r="T16" s="32">
        <f t="shared" si="7"/>
        <v>6</v>
      </c>
      <c r="U16" s="561" t="str">
        <f t="shared" si="8"/>
        <v>1153 N</v>
      </c>
      <c r="V16" s="559">
        <v>0</v>
      </c>
      <c r="X16" s="1">
        <f t="shared" si="10"/>
        <v>101.904076</v>
      </c>
      <c r="Y16" s="1">
        <f t="shared" si="9"/>
        <v>0</v>
      </c>
    </row>
    <row r="17" spans="1:25" ht="15.75" thickBot="1" x14ac:dyDescent="0.25">
      <c r="A17" s="826">
        <v>512</v>
      </c>
      <c r="B17" s="825">
        <v>1535.76</v>
      </c>
      <c r="C17" s="827">
        <v>554</v>
      </c>
      <c r="D17" s="825">
        <v>6790.62</v>
      </c>
      <c r="E17" s="827">
        <v>598</v>
      </c>
      <c r="F17" s="825">
        <v>159.38</v>
      </c>
      <c r="G17" s="827">
        <v>642</v>
      </c>
      <c r="H17" s="825">
        <v>159.38</v>
      </c>
      <c r="K17" s="158">
        <v>7</v>
      </c>
      <c r="L17" s="158" t="s">
        <v>5843</v>
      </c>
      <c r="M17" s="159">
        <v>532.4</v>
      </c>
      <c r="N17" s="2">
        <f t="shared" si="1"/>
        <v>223.608</v>
      </c>
      <c r="P17" s="13" t="s">
        <v>5842</v>
      </c>
      <c r="Q17" s="1">
        <f t="shared" si="2"/>
        <v>72.902916000000005</v>
      </c>
      <c r="S17" s="557">
        <f t="shared" si="6"/>
        <v>2.0672024147840671</v>
      </c>
      <c r="T17" s="32">
        <f t="shared" si="7"/>
        <v>7</v>
      </c>
      <c r="U17" s="561" t="str">
        <f t="shared" si="8"/>
        <v>1076 N</v>
      </c>
      <c r="V17" s="559">
        <v>0</v>
      </c>
      <c r="X17" s="1">
        <f t="shared" si="10"/>
        <v>72.902916000000005</v>
      </c>
      <c r="Y17" s="1">
        <f t="shared" si="9"/>
        <v>0</v>
      </c>
    </row>
    <row r="18" spans="1:25" ht="15.75" thickBot="1" x14ac:dyDescent="0.25">
      <c r="A18" s="826">
        <v>513</v>
      </c>
      <c r="B18" s="825">
        <v>1989.12</v>
      </c>
      <c r="C18" s="827">
        <v>555</v>
      </c>
      <c r="D18" s="825">
        <v>7811.66</v>
      </c>
      <c r="E18" s="827">
        <v>599</v>
      </c>
      <c r="F18" s="825">
        <v>159.38</v>
      </c>
      <c r="G18" s="827">
        <v>643</v>
      </c>
      <c r="H18" s="825">
        <v>159.38</v>
      </c>
      <c r="K18" s="156">
        <v>8</v>
      </c>
      <c r="L18" s="156" t="s">
        <v>5845</v>
      </c>
      <c r="M18" s="157">
        <v>690.44</v>
      </c>
      <c r="N18" s="2">
        <f t="shared" si="1"/>
        <v>289.98480000000006</v>
      </c>
      <c r="P18" s="13">
        <v>747</v>
      </c>
      <c r="Q18" s="1">
        <f t="shared" si="2"/>
        <v>94.62378480000001</v>
      </c>
      <c r="S18" s="557">
        <f t="shared" si="6"/>
        <v>2.0646079166345079</v>
      </c>
      <c r="T18" s="32">
        <f t="shared" si="7"/>
        <v>8</v>
      </c>
      <c r="U18" s="561">
        <f t="shared" si="8"/>
        <v>747</v>
      </c>
      <c r="V18" s="559">
        <v>0</v>
      </c>
      <c r="X18" s="1">
        <f t="shared" si="10"/>
        <v>94.62378480000001</v>
      </c>
      <c r="Y18" s="1">
        <f t="shared" si="9"/>
        <v>0</v>
      </c>
    </row>
    <row r="19" spans="1:25" ht="15.75" thickBot="1" x14ac:dyDescent="0.25">
      <c r="A19" s="826">
        <v>514</v>
      </c>
      <c r="B19" s="825">
        <v>1532.28</v>
      </c>
      <c r="C19" s="827">
        <v>556</v>
      </c>
      <c r="D19" s="825">
        <v>3547.02</v>
      </c>
      <c r="E19" s="827">
        <v>600</v>
      </c>
      <c r="F19" s="825">
        <v>159.38</v>
      </c>
      <c r="G19" s="827">
        <v>644</v>
      </c>
      <c r="H19" s="825">
        <v>159.38</v>
      </c>
      <c r="K19" s="158">
        <v>9</v>
      </c>
      <c r="L19" s="158" t="s">
        <v>5847</v>
      </c>
      <c r="M19" s="159">
        <v>1146.32</v>
      </c>
      <c r="N19" s="2">
        <f t="shared" si="1"/>
        <v>481.45440000000002</v>
      </c>
      <c r="P19" s="13">
        <v>950</v>
      </c>
      <c r="Q19" s="1">
        <f t="shared" si="2"/>
        <v>156.98627920000001</v>
      </c>
      <c r="S19" s="557">
        <f t="shared" si="6"/>
        <v>2.0668565587609646</v>
      </c>
      <c r="T19" s="32">
        <f t="shared" si="7"/>
        <v>9</v>
      </c>
      <c r="U19" s="561">
        <f t="shared" si="8"/>
        <v>950</v>
      </c>
      <c r="V19" s="559">
        <v>0</v>
      </c>
      <c r="X19" s="1">
        <f t="shared" si="10"/>
        <v>156.98627920000001</v>
      </c>
      <c r="Y19" s="1">
        <f t="shared" si="9"/>
        <v>0</v>
      </c>
    </row>
    <row r="20" spans="1:25" ht="15.75" thickBot="1" x14ac:dyDescent="0.25">
      <c r="A20" s="826">
        <v>515</v>
      </c>
      <c r="B20" s="825">
        <v>177.12</v>
      </c>
      <c r="C20" s="827">
        <v>557</v>
      </c>
      <c r="D20" s="825">
        <v>3276.2</v>
      </c>
      <c r="E20" s="827">
        <v>601</v>
      </c>
      <c r="F20" s="825">
        <v>159.38</v>
      </c>
      <c r="G20" s="827">
        <v>645</v>
      </c>
      <c r="H20" s="825">
        <v>159.38</v>
      </c>
      <c r="K20" s="156">
        <v>10</v>
      </c>
      <c r="L20" s="156" t="s">
        <v>5850</v>
      </c>
      <c r="M20" s="157">
        <v>1099.72</v>
      </c>
      <c r="N20" s="2">
        <f t="shared" si="1"/>
        <v>461.88240000000008</v>
      </c>
      <c r="P20" s="13" t="s">
        <v>5849</v>
      </c>
      <c r="Q20" s="1">
        <f t="shared" si="2"/>
        <v>150.66602639999999</v>
      </c>
      <c r="S20" s="557">
        <f t="shared" si="6"/>
        <v>2.0656041779037726</v>
      </c>
      <c r="T20" s="32">
        <f t="shared" si="7"/>
        <v>10</v>
      </c>
      <c r="U20" s="561" t="str">
        <f t="shared" si="8"/>
        <v>1079 N</v>
      </c>
      <c r="V20" s="559">
        <v>0</v>
      </c>
      <c r="X20" s="1">
        <f t="shared" si="10"/>
        <v>150.66602639999999</v>
      </c>
      <c r="Y20" s="1">
        <f t="shared" si="9"/>
        <v>0</v>
      </c>
    </row>
    <row r="21" spans="1:25" ht="15.75" thickBot="1" x14ac:dyDescent="0.25">
      <c r="A21" s="826">
        <v>516</v>
      </c>
      <c r="B21" s="825">
        <v>270.56</v>
      </c>
      <c r="C21" s="827">
        <v>558</v>
      </c>
      <c r="D21" s="825">
        <v>1201.8800000000001</v>
      </c>
      <c r="E21" s="827">
        <v>602</v>
      </c>
      <c r="F21" s="825">
        <v>159.38</v>
      </c>
      <c r="G21" s="827">
        <v>646</v>
      </c>
      <c r="H21" s="825">
        <v>159.38</v>
      </c>
      <c r="K21" s="158">
        <v>11</v>
      </c>
      <c r="L21" s="158" t="s">
        <v>5852</v>
      </c>
      <c r="M21" s="159">
        <v>776.96</v>
      </c>
      <c r="N21" s="2">
        <f t="shared" si="1"/>
        <v>326.32320000000004</v>
      </c>
      <c r="P21" s="13">
        <v>1395</v>
      </c>
      <c r="Q21" s="1">
        <f t="shared" si="2"/>
        <v>106.50426</v>
      </c>
      <c r="S21" s="557">
        <f t="shared" si="6"/>
        <v>2.0639450478318899</v>
      </c>
      <c r="T21" s="32">
        <f t="shared" si="7"/>
        <v>11</v>
      </c>
      <c r="U21" s="561">
        <f t="shared" si="8"/>
        <v>1395</v>
      </c>
      <c r="V21" s="559">
        <v>0</v>
      </c>
      <c r="X21" s="1">
        <f t="shared" si="10"/>
        <v>106.50426</v>
      </c>
      <c r="Y21" s="1">
        <f t="shared" si="9"/>
        <v>0</v>
      </c>
    </row>
    <row r="22" spans="1:25" ht="15.75" thickBot="1" x14ac:dyDescent="0.25">
      <c r="A22" s="826">
        <v>517</v>
      </c>
      <c r="B22" s="825">
        <v>289.7</v>
      </c>
      <c r="C22" s="827" t="s">
        <v>8785</v>
      </c>
      <c r="D22" s="825">
        <v>782.64</v>
      </c>
      <c r="E22" s="827">
        <v>603</v>
      </c>
      <c r="F22" s="825">
        <v>159.38</v>
      </c>
      <c r="G22" s="827">
        <v>647</v>
      </c>
      <c r="H22" s="825">
        <v>159.38</v>
      </c>
      <c r="K22" s="156">
        <v>12</v>
      </c>
      <c r="L22" s="156" t="s">
        <v>5854</v>
      </c>
      <c r="M22" s="157">
        <v>1081.44</v>
      </c>
      <c r="N22" s="2">
        <f t="shared" si="1"/>
        <v>454.20480000000009</v>
      </c>
      <c r="P22" s="13">
        <v>1420</v>
      </c>
      <c r="Q22" s="1">
        <f t="shared" si="2"/>
        <v>140.78563120000001</v>
      </c>
      <c r="S22" s="557">
        <f t="shared" si="6"/>
        <v>2.2262156026047641</v>
      </c>
      <c r="T22" s="32">
        <f t="shared" si="7"/>
        <v>12</v>
      </c>
      <c r="U22" s="561">
        <f t="shared" si="8"/>
        <v>1420</v>
      </c>
      <c r="V22" s="559">
        <v>0</v>
      </c>
      <c r="X22" s="1">
        <f t="shared" si="10"/>
        <v>140.78563120000001</v>
      </c>
      <c r="Y22" s="1">
        <f t="shared" si="9"/>
        <v>0</v>
      </c>
    </row>
    <row r="23" spans="1:25" ht="15.75" thickBot="1" x14ac:dyDescent="0.25">
      <c r="A23" s="826">
        <v>518</v>
      </c>
      <c r="B23" s="825">
        <v>438.32</v>
      </c>
      <c r="C23" s="827" t="s">
        <v>8786</v>
      </c>
      <c r="D23" s="825">
        <v>782.64</v>
      </c>
      <c r="E23" s="827">
        <v>604</v>
      </c>
      <c r="F23" s="825">
        <v>159.38</v>
      </c>
      <c r="G23" s="827">
        <v>648</v>
      </c>
      <c r="H23" s="825">
        <v>159.38</v>
      </c>
      <c r="K23" s="158">
        <v>13</v>
      </c>
      <c r="L23" s="158" t="s">
        <v>5856</v>
      </c>
      <c r="M23" s="159">
        <v>831.88</v>
      </c>
      <c r="N23" s="2">
        <f t="shared" si="1"/>
        <v>349.38960000000003</v>
      </c>
      <c r="P23" s="13">
        <v>976</v>
      </c>
      <c r="Q23" s="1">
        <f t="shared" si="2"/>
        <v>113.8445536</v>
      </c>
      <c r="S23" s="557">
        <f t="shared" si="6"/>
        <v>2.0690058413123773</v>
      </c>
      <c r="T23" s="32">
        <f t="shared" si="7"/>
        <v>13</v>
      </c>
      <c r="U23" s="561">
        <f t="shared" si="8"/>
        <v>976</v>
      </c>
      <c r="V23" s="559">
        <v>0</v>
      </c>
      <c r="X23" s="1">
        <f t="shared" si="10"/>
        <v>113.8445536</v>
      </c>
      <c r="Y23" s="1">
        <f t="shared" si="9"/>
        <v>0</v>
      </c>
    </row>
    <row r="24" spans="1:25" ht="15.75" thickBot="1" x14ac:dyDescent="0.25">
      <c r="A24" s="826">
        <v>519</v>
      </c>
      <c r="B24" s="825">
        <v>291.86</v>
      </c>
      <c r="C24" s="827" t="s">
        <v>8787</v>
      </c>
      <c r="D24" s="825">
        <v>808.76</v>
      </c>
      <c r="E24" s="827">
        <v>605</v>
      </c>
      <c r="F24" s="825">
        <v>159.38</v>
      </c>
      <c r="G24" s="827">
        <v>649</v>
      </c>
      <c r="H24" s="825">
        <v>159.38</v>
      </c>
      <c r="K24" s="156">
        <v>14</v>
      </c>
      <c r="L24" s="156" t="s">
        <v>5858</v>
      </c>
      <c r="M24" s="157">
        <v>891.76</v>
      </c>
      <c r="N24" s="2">
        <f t="shared" si="1"/>
        <v>374.53920000000005</v>
      </c>
      <c r="P24" s="13">
        <v>743</v>
      </c>
      <c r="Q24" s="1">
        <f t="shared" si="2"/>
        <v>122.06488239999999</v>
      </c>
      <c r="S24" s="557">
        <f t="shared" si="6"/>
        <v>2.0683616174933546</v>
      </c>
      <c r="T24" s="32">
        <f t="shared" si="7"/>
        <v>14</v>
      </c>
      <c r="U24" s="561">
        <f t="shared" si="8"/>
        <v>743</v>
      </c>
      <c r="V24" s="559">
        <v>0</v>
      </c>
      <c r="X24" s="1">
        <f t="shared" si="10"/>
        <v>122.06488239999999</v>
      </c>
      <c r="Y24" s="1">
        <f t="shared" si="9"/>
        <v>0</v>
      </c>
    </row>
    <row r="25" spans="1:25" ht="15.75" thickBot="1" x14ac:dyDescent="0.25">
      <c r="A25" s="826">
        <v>520</v>
      </c>
      <c r="B25" s="825">
        <v>415.38</v>
      </c>
      <c r="C25" s="827" t="s">
        <v>8788</v>
      </c>
      <c r="D25" s="825">
        <v>1178.1199999999999</v>
      </c>
      <c r="E25" s="827">
        <v>606</v>
      </c>
      <c r="F25" s="825">
        <v>159.38</v>
      </c>
      <c r="G25" s="827">
        <v>650</v>
      </c>
      <c r="H25" s="825">
        <v>159.38</v>
      </c>
      <c r="K25" s="158">
        <v>15</v>
      </c>
      <c r="L25" s="158" t="s">
        <v>5860</v>
      </c>
      <c r="M25" s="159">
        <v>1048.1600000000001</v>
      </c>
      <c r="N25" s="2">
        <f t="shared" si="1"/>
        <v>440.2272000000001</v>
      </c>
      <c r="P25" s="13">
        <v>1147</v>
      </c>
      <c r="Q25" s="1">
        <f t="shared" si="2"/>
        <v>156.08624320000001</v>
      </c>
      <c r="S25" s="557">
        <f t="shared" si="6"/>
        <v>1.8204099924162955</v>
      </c>
      <c r="T25" s="32">
        <f t="shared" si="7"/>
        <v>15</v>
      </c>
      <c r="U25" s="561">
        <f t="shared" si="8"/>
        <v>1147</v>
      </c>
      <c r="V25" s="559">
        <v>0</v>
      </c>
      <c r="X25" s="1">
        <f t="shared" si="10"/>
        <v>156.08624320000001</v>
      </c>
      <c r="Y25" s="1">
        <f t="shared" si="9"/>
        <v>0</v>
      </c>
    </row>
    <row r="26" spans="1:25" ht="15.75" thickBot="1" x14ac:dyDescent="0.25">
      <c r="A26" s="826">
        <v>521</v>
      </c>
      <c r="B26" s="825">
        <v>384.5</v>
      </c>
      <c r="C26" s="827" t="s">
        <v>8789</v>
      </c>
      <c r="D26" s="825">
        <v>1207.7</v>
      </c>
      <c r="E26" s="827">
        <v>607</v>
      </c>
      <c r="F26" s="825">
        <v>159.38</v>
      </c>
      <c r="G26" s="827">
        <v>651</v>
      </c>
      <c r="H26" s="825">
        <v>159.38</v>
      </c>
      <c r="K26" s="156">
        <v>16</v>
      </c>
      <c r="L26" s="156" t="s">
        <v>5862</v>
      </c>
      <c r="M26" s="157">
        <v>1330.64</v>
      </c>
      <c r="N26" s="2">
        <f t="shared" si="1"/>
        <v>558.86880000000008</v>
      </c>
      <c r="P26" s="13">
        <v>749</v>
      </c>
      <c r="Q26" s="1">
        <f t="shared" si="2"/>
        <v>182.10728399999999</v>
      </c>
      <c r="S26" s="557">
        <f t="shared" si="6"/>
        <v>2.0688986608575202</v>
      </c>
      <c r="T26" s="32">
        <f t="shared" si="7"/>
        <v>16</v>
      </c>
      <c r="U26" s="561">
        <f t="shared" si="8"/>
        <v>749</v>
      </c>
      <c r="V26" s="559">
        <v>0</v>
      </c>
      <c r="X26" s="1">
        <f t="shared" si="10"/>
        <v>182.10728399999999</v>
      </c>
      <c r="Y26" s="1">
        <f t="shared" si="9"/>
        <v>0</v>
      </c>
    </row>
    <row r="27" spans="1:25" ht="15.75" thickBot="1" x14ac:dyDescent="0.25">
      <c r="A27" s="826" t="s">
        <v>8790</v>
      </c>
      <c r="B27" s="825">
        <v>113.24</v>
      </c>
      <c r="C27" s="827">
        <v>564</v>
      </c>
      <c r="D27" s="825">
        <v>159.38</v>
      </c>
      <c r="E27" s="827">
        <v>608</v>
      </c>
      <c r="F27" s="825">
        <v>159.38</v>
      </c>
      <c r="G27" s="827">
        <v>652</v>
      </c>
      <c r="H27" s="825">
        <v>159.38</v>
      </c>
      <c r="K27" s="158">
        <v>17</v>
      </c>
      <c r="L27" s="158" t="s">
        <v>5864</v>
      </c>
      <c r="M27" s="159">
        <v>667.16</v>
      </c>
      <c r="N27" s="2">
        <f t="shared" si="1"/>
        <v>280.2072</v>
      </c>
      <c r="P27" s="13">
        <v>985</v>
      </c>
      <c r="Q27" s="1">
        <f t="shared" si="2"/>
        <v>91.383655199999993</v>
      </c>
      <c r="S27" s="557">
        <f t="shared" si="6"/>
        <v>2.0662726215836464</v>
      </c>
      <c r="T27" s="32">
        <f t="shared" si="7"/>
        <v>17</v>
      </c>
      <c r="U27" s="561">
        <f t="shared" si="8"/>
        <v>985</v>
      </c>
      <c r="V27" s="559">
        <v>0</v>
      </c>
      <c r="X27" s="1">
        <f t="shared" si="10"/>
        <v>91.383655199999993</v>
      </c>
      <c r="Y27" s="1">
        <f t="shared" si="9"/>
        <v>0</v>
      </c>
    </row>
    <row r="28" spans="1:25" ht="15.75" thickBot="1" x14ac:dyDescent="0.25">
      <c r="A28" s="826">
        <v>523</v>
      </c>
      <c r="B28" s="825">
        <v>371.16</v>
      </c>
      <c r="C28" s="827">
        <v>565</v>
      </c>
      <c r="D28" s="825">
        <v>159.38</v>
      </c>
      <c r="E28" s="827">
        <v>609</v>
      </c>
      <c r="F28" s="825">
        <v>159.38</v>
      </c>
      <c r="G28" s="827">
        <v>653</v>
      </c>
      <c r="H28" s="825">
        <v>159.38</v>
      </c>
      <c r="K28" s="156">
        <v>18</v>
      </c>
      <c r="L28" s="156" t="s">
        <v>5866</v>
      </c>
      <c r="M28" s="157">
        <v>1487.4</v>
      </c>
      <c r="N28" s="2">
        <f t="shared" si="1"/>
        <v>624.70800000000008</v>
      </c>
      <c r="P28" s="13">
        <v>744</v>
      </c>
      <c r="Q28" s="1">
        <f t="shared" si="2"/>
        <v>203.70814799999999</v>
      </c>
      <c r="S28" s="557">
        <f t="shared" si="6"/>
        <v>2.0666814564530824</v>
      </c>
      <c r="T28" s="32">
        <f t="shared" si="7"/>
        <v>18</v>
      </c>
      <c r="U28" s="561">
        <f t="shared" si="8"/>
        <v>744</v>
      </c>
      <c r="V28" s="559">
        <v>0</v>
      </c>
      <c r="X28" s="1">
        <f t="shared" si="10"/>
        <v>203.70814799999999</v>
      </c>
      <c r="Y28" s="1">
        <f t="shared" si="9"/>
        <v>0</v>
      </c>
    </row>
    <row r="29" spans="1:25" ht="15.75" thickBot="1" x14ac:dyDescent="0.25">
      <c r="A29" s="826">
        <v>524</v>
      </c>
      <c r="B29" s="825">
        <v>567.02</v>
      </c>
      <c r="C29" s="827">
        <v>566</v>
      </c>
      <c r="D29" s="825">
        <v>159.38</v>
      </c>
      <c r="E29" s="827">
        <v>610</v>
      </c>
      <c r="F29" s="825">
        <v>159.38</v>
      </c>
      <c r="G29" s="827">
        <v>654</v>
      </c>
      <c r="H29" s="825">
        <v>159.38</v>
      </c>
      <c r="K29" s="158">
        <v>19</v>
      </c>
      <c r="L29" s="158" t="s">
        <v>5837</v>
      </c>
      <c r="M29" s="159">
        <v>828.56</v>
      </c>
      <c r="N29" s="2">
        <f t="shared" si="1"/>
        <v>347.99520000000001</v>
      </c>
      <c r="P29" s="13">
        <v>1360</v>
      </c>
      <c r="Q29" s="1">
        <f t="shared" si="2"/>
        <v>113.4245368</v>
      </c>
      <c r="S29" s="557">
        <f t="shared" si="6"/>
        <v>2.0680768889858054</v>
      </c>
      <c r="T29" s="32">
        <f t="shared" si="7"/>
        <v>19</v>
      </c>
      <c r="U29" s="561">
        <f t="shared" si="8"/>
        <v>1360</v>
      </c>
      <c r="V29" s="559">
        <v>0</v>
      </c>
      <c r="X29" s="1">
        <f t="shared" si="10"/>
        <v>113.4245368</v>
      </c>
      <c r="Y29" s="1">
        <f t="shared" si="9"/>
        <v>0</v>
      </c>
    </row>
    <row r="30" spans="1:25" ht="15.75" thickBot="1" x14ac:dyDescent="0.25">
      <c r="A30" s="826">
        <v>525</v>
      </c>
      <c r="B30" s="825">
        <v>573.91999999999996</v>
      </c>
      <c r="C30" s="827">
        <v>567</v>
      </c>
      <c r="D30" s="825">
        <v>159.38</v>
      </c>
      <c r="E30" s="827">
        <v>611</v>
      </c>
      <c r="F30" s="825">
        <v>159.38</v>
      </c>
      <c r="G30" s="827">
        <v>655</v>
      </c>
      <c r="H30" s="825">
        <v>159.38</v>
      </c>
      <c r="K30" s="156">
        <v>20</v>
      </c>
      <c r="L30" s="156" t="s">
        <v>5869</v>
      </c>
      <c r="M30" s="157">
        <v>775.32</v>
      </c>
      <c r="N30" s="2">
        <f t="shared" si="1"/>
        <v>325.63440000000003</v>
      </c>
      <c r="P30" s="13">
        <v>855</v>
      </c>
      <c r="Q30" s="1">
        <f t="shared" si="2"/>
        <v>106.1442456</v>
      </c>
      <c r="S30" s="557">
        <f t="shared" si="6"/>
        <v>2.067847890945866</v>
      </c>
      <c r="T30" s="32">
        <f t="shared" si="7"/>
        <v>20</v>
      </c>
      <c r="U30" s="561">
        <f t="shared" si="8"/>
        <v>855</v>
      </c>
      <c r="V30" s="559">
        <v>0</v>
      </c>
      <c r="X30" s="1">
        <f t="shared" si="10"/>
        <v>106.1442456</v>
      </c>
      <c r="Y30" s="1">
        <f t="shared" si="9"/>
        <v>0</v>
      </c>
    </row>
    <row r="31" spans="1:25" ht="15.75" thickBot="1" x14ac:dyDescent="0.25">
      <c r="A31" s="826">
        <v>526</v>
      </c>
      <c r="B31" s="825">
        <v>579.79999999999995</v>
      </c>
      <c r="C31" s="827">
        <v>568</v>
      </c>
      <c r="D31" s="825">
        <v>159.38</v>
      </c>
      <c r="E31" s="827">
        <v>612</v>
      </c>
      <c r="F31" s="825">
        <v>159.38</v>
      </c>
      <c r="G31" s="827">
        <v>656</v>
      </c>
      <c r="H31" s="825">
        <v>159.38</v>
      </c>
      <c r="K31" s="158">
        <v>21</v>
      </c>
      <c r="L31" s="158" t="s">
        <v>5871</v>
      </c>
      <c r="M31" s="159">
        <v>1019.88</v>
      </c>
      <c r="N31" s="2">
        <f t="shared" si="1"/>
        <v>428.34960000000007</v>
      </c>
      <c r="P31" s="13">
        <v>1322</v>
      </c>
      <c r="Q31" s="1">
        <f t="shared" si="2"/>
        <v>139.70558799999998</v>
      </c>
      <c r="S31" s="557">
        <f t="shared" si="6"/>
        <v>2.0660878074540592</v>
      </c>
      <c r="T31" s="32">
        <f t="shared" si="7"/>
        <v>21</v>
      </c>
      <c r="U31" s="561">
        <f t="shared" si="8"/>
        <v>1322</v>
      </c>
      <c r="V31" s="559">
        <v>0</v>
      </c>
      <c r="X31" s="1">
        <f t="shared" si="10"/>
        <v>139.70558799999998</v>
      </c>
      <c r="Y31" s="1">
        <f t="shared" si="9"/>
        <v>0</v>
      </c>
    </row>
    <row r="32" spans="1:25" ht="15.75" thickBot="1" x14ac:dyDescent="0.25">
      <c r="A32" s="826">
        <v>527</v>
      </c>
      <c r="B32" s="825">
        <v>513.91999999999996</v>
      </c>
      <c r="C32" s="827">
        <v>569</v>
      </c>
      <c r="D32" s="825">
        <v>159.38</v>
      </c>
      <c r="E32" s="827">
        <v>613</v>
      </c>
      <c r="F32" s="825">
        <v>159.38</v>
      </c>
      <c r="G32" s="827">
        <v>657</v>
      </c>
      <c r="H32" s="825">
        <v>159.38</v>
      </c>
      <c r="K32" s="156">
        <v>22</v>
      </c>
      <c r="L32" s="156" t="s">
        <v>5873</v>
      </c>
      <c r="M32" s="157">
        <v>1019.88</v>
      </c>
      <c r="N32" s="2">
        <f t="shared" si="1"/>
        <v>428.34960000000007</v>
      </c>
      <c r="P32" s="13">
        <v>1230</v>
      </c>
      <c r="Q32" s="1">
        <f t="shared" si="2"/>
        <v>126.54506160000001</v>
      </c>
      <c r="S32" s="557">
        <f t="shared" si="6"/>
        <v>2.384957062599431</v>
      </c>
      <c r="T32" s="32">
        <f t="shared" si="7"/>
        <v>22</v>
      </c>
      <c r="U32" s="561">
        <f t="shared" si="8"/>
        <v>1230</v>
      </c>
      <c r="V32" s="559">
        <v>0</v>
      </c>
      <c r="X32" s="1">
        <f t="shared" si="10"/>
        <v>126.54506160000001</v>
      </c>
      <c r="Y32" s="1">
        <f t="shared" si="9"/>
        <v>0</v>
      </c>
    </row>
    <row r="33" spans="1:25" ht="15.75" thickBot="1" x14ac:dyDescent="0.25">
      <c r="A33" s="826">
        <v>528</v>
      </c>
      <c r="B33" s="825">
        <v>513.91999999999996</v>
      </c>
      <c r="C33" s="827">
        <v>570</v>
      </c>
      <c r="D33" s="825">
        <v>159.38</v>
      </c>
      <c r="E33" s="827">
        <v>614</v>
      </c>
      <c r="F33" s="825">
        <v>159.38</v>
      </c>
      <c r="G33" s="827">
        <v>658</v>
      </c>
      <c r="H33" s="825">
        <v>159.38</v>
      </c>
      <c r="K33" s="158">
        <v>23</v>
      </c>
      <c r="L33" s="158" t="s">
        <v>5875</v>
      </c>
      <c r="M33" s="159">
        <v>823.56</v>
      </c>
      <c r="N33" s="2">
        <f t="shared" si="1"/>
        <v>345.89519999999999</v>
      </c>
      <c r="P33" s="13">
        <v>795</v>
      </c>
      <c r="Q33" s="1">
        <f t="shared" si="2"/>
        <v>111.96447839999999</v>
      </c>
      <c r="S33" s="557">
        <f t="shared" si="6"/>
        <v>2.0893298030136673</v>
      </c>
      <c r="T33" s="32">
        <f t="shared" si="7"/>
        <v>23</v>
      </c>
      <c r="U33" s="561">
        <f t="shared" si="8"/>
        <v>795</v>
      </c>
      <c r="V33" s="559">
        <v>0</v>
      </c>
      <c r="X33" s="1">
        <f t="shared" si="10"/>
        <v>111.96447839999999</v>
      </c>
      <c r="Y33" s="1">
        <f t="shared" si="9"/>
        <v>0</v>
      </c>
    </row>
    <row r="34" spans="1:25" ht="15.75" thickBot="1" x14ac:dyDescent="0.25">
      <c r="A34" s="826">
        <v>529</v>
      </c>
      <c r="B34" s="825">
        <v>735.32</v>
      </c>
      <c r="C34" s="827">
        <v>571</v>
      </c>
      <c r="D34" s="825">
        <v>159.38</v>
      </c>
      <c r="E34" s="827">
        <v>615</v>
      </c>
      <c r="F34" s="825">
        <v>159.38</v>
      </c>
      <c r="G34" s="827">
        <v>659</v>
      </c>
      <c r="H34" s="825">
        <v>159.38</v>
      </c>
      <c r="K34" s="156">
        <v>24</v>
      </c>
      <c r="L34" s="156" t="s">
        <v>5877</v>
      </c>
      <c r="M34" s="157">
        <v>676.6</v>
      </c>
      <c r="N34" s="2">
        <f t="shared" si="1"/>
        <v>284.17200000000003</v>
      </c>
      <c r="P34" s="13">
        <v>1112</v>
      </c>
      <c r="Q34" s="1">
        <f t="shared" si="2"/>
        <v>111.1444456</v>
      </c>
      <c r="S34" s="557">
        <f t="shared" si="6"/>
        <v>1.5567809391277403</v>
      </c>
      <c r="T34" s="32">
        <f t="shared" si="7"/>
        <v>24</v>
      </c>
      <c r="U34" s="561">
        <f t="shared" si="8"/>
        <v>1112</v>
      </c>
      <c r="V34" s="559">
        <v>0</v>
      </c>
      <c r="X34" s="1">
        <f t="shared" si="10"/>
        <v>111.1444456</v>
      </c>
      <c r="Y34" s="1">
        <f t="shared" si="9"/>
        <v>0</v>
      </c>
    </row>
    <row r="35" spans="1:25" ht="15.75" thickBot="1" x14ac:dyDescent="0.25">
      <c r="A35" s="826">
        <v>530</v>
      </c>
      <c r="B35" s="825">
        <v>876</v>
      </c>
      <c r="C35" s="827">
        <v>572</v>
      </c>
      <c r="D35" s="825">
        <v>159.38</v>
      </c>
      <c r="E35" s="827">
        <v>616</v>
      </c>
      <c r="F35" s="825">
        <v>159.38</v>
      </c>
      <c r="G35" s="827">
        <v>660</v>
      </c>
      <c r="H35" s="825">
        <v>159.38</v>
      </c>
      <c r="K35" s="158">
        <v>25</v>
      </c>
      <c r="L35" s="158" t="s">
        <v>5879</v>
      </c>
      <c r="M35" s="159">
        <v>676.6</v>
      </c>
      <c r="N35" s="2">
        <f t="shared" si="1"/>
        <v>284.17200000000003</v>
      </c>
      <c r="P35" s="13">
        <v>984</v>
      </c>
      <c r="Q35" s="1">
        <f t="shared" si="2"/>
        <v>112.98451919999999</v>
      </c>
      <c r="S35" s="557">
        <f t="shared" si="6"/>
        <v>1.5151410300465309</v>
      </c>
      <c r="T35" s="32">
        <f t="shared" si="7"/>
        <v>25</v>
      </c>
      <c r="U35" s="561">
        <f t="shared" si="8"/>
        <v>984</v>
      </c>
      <c r="V35" s="559">
        <v>50</v>
      </c>
      <c r="X35" s="1">
        <f t="shared" si="10"/>
        <v>112.98451919999999</v>
      </c>
      <c r="Y35" s="1">
        <f t="shared" si="9"/>
        <v>5649.2259599999998</v>
      </c>
    </row>
    <row r="36" spans="1:25" ht="15.75" thickBot="1" x14ac:dyDescent="0.25">
      <c r="A36" s="826">
        <v>531</v>
      </c>
      <c r="B36" s="825">
        <v>1072.82</v>
      </c>
      <c r="C36" s="827">
        <v>573</v>
      </c>
      <c r="D36" s="825">
        <v>159.38</v>
      </c>
      <c r="E36" s="827">
        <v>617</v>
      </c>
      <c r="F36" s="825">
        <v>159.38</v>
      </c>
      <c r="G36" s="827">
        <v>661</v>
      </c>
      <c r="H36" s="825">
        <v>159.38</v>
      </c>
      <c r="K36" s="156">
        <v>26</v>
      </c>
      <c r="L36" s="156" t="s">
        <v>5881</v>
      </c>
      <c r="M36" s="157">
        <v>911.36</v>
      </c>
      <c r="N36" s="2">
        <f t="shared" si="1"/>
        <v>382.77120000000002</v>
      </c>
      <c r="P36" s="13">
        <v>1113</v>
      </c>
      <c r="Q36" s="1">
        <f t="shared" si="2"/>
        <v>142.58570320000001</v>
      </c>
      <c r="S36" s="557">
        <f t="shared" si="6"/>
        <v>1.6844991567148928</v>
      </c>
      <c r="T36" s="32">
        <f t="shared" si="7"/>
        <v>26</v>
      </c>
      <c r="U36" s="561">
        <f t="shared" si="8"/>
        <v>1113</v>
      </c>
      <c r="V36" s="559">
        <v>50</v>
      </c>
      <c r="X36" s="1">
        <f t="shared" si="10"/>
        <v>142.58570320000001</v>
      </c>
      <c r="Y36" s="1">
        <f t="shared" si="9"/>
        <v>7129.2851600000004</v>
      </c>
    </row>
    <row r="37" spans="1:25" ht="15.75" thickBot="1" x14ac:dyDescent="0.25">
      <c r="A37" s="826">
        <v>532</v>
      </c>
      <c r="B37" s="825">
        <v>2432.88</v>
      </c>
      <c r="C37" s="827">
        <v>574</v>
      </c>
      <c r="D37" s="825">
        <v>159.38</v>
      </c>
      <c r="E37" s="827">
        <v>618</v>
      </c>
      <c r="F37" s="825">
        <v>159.38</v>
      </c>
      <c r="G37" s="827">
        <v>662</v>
      </c>
      <c r="H37" s="825">
        <v>159.38</v>
      </c>
      <c r="K37" s="158">
        <v>27</v>
      </c>
      <c r="L37" s="158" t="s">
        <v>5883</v>
      </c>
      <c r="M37" s="159">
        <v>635.91999999999996</v>
      </c>
      <c r="N37" s="2">
        <f t="shared" si="1"/>
        <v>267.08640000000003</v>
      </c>
      <c r="P37" s="13">
        <v>1212</v>
      </c>
      <c r="Q37" s="1">
        <f t="shared" si="2"/>
        <v>104.7641904</v>
      </c>
      <c r="S37" s="557">
        <f t="shared" si="6"/>
        <v>1.5494054693711452</v>
      </c>
      <c r="T37" s="32">
        <f t="shared" si="7"/>
        <v>27</v>
      </c>
      <c r="U37" s="561">
        <f t="shared" si="8"/>
        <v>1212</v>
      </c>
      <c r="V37" s="559">
        <v>0</v>
      </c>
      <c r="X37" s="1">
        <f t="shared" si="10"/>
        <v>104.7641904</v>
      </c>
      <c r="Y37" s="1">
        <f t="shared" si="9"/>
        <v>0</v>
      </c>
    </row>
    <row r="38" spans="1:25" ht="16.5" thickBot="1" x14ac:dyDescent="0.3">
      <c r="A38" s="826">
        <v>533</v>
      </c>
      <c r="B38" s="829">
        <v>27351.119999999999</v>
      </c>
      <c r="C38" s="827">
        <v>575</v>
      </c>
      <c r="D38" s="825">
        <v>159.38</v>
      </c>
      <c r="E38" s="827">
        <v>619</v>
      </c>
      <c r="F38" s="825">
        <v>159.38</v>
      </c>
      <c r="G38" s="827">
        <v>663</v>
      </c>
      <c r="H38" s="825">
        <v>159.38</v>
      </c>
      <c r="K38" s="30" t="s">
        <v>8189</v>
      </c>
      <c r="L38" s="30" t="s">
        <v>8756</v>
      </c>
      <c r="M38" s="30" t="s">
        <v>8771</v>
      </c>
      <c r="N38" s="554" t="s">
        <v>8772</v>
      </c>
      <c r="P38" s="30" t="s">
        <v>8751</v>
      </c>
      <c r="Q38" s="30" t="s">
        <v>8773</v>
      </c>
      <c r="S38" s="30" t="s">
        <v>8774</v>
      </c>
      <c r="T38" s="30" t="s">
        <v>8189</v>
      </c>
      <c r="U38" s="315" t="s">
        <v>8775</v>
      </c>
      <c r="V38" s="191" t="s">
        <v>8160</v>
      </c>
    </row>
    <row r="39" spans="1:25" ht="15" x14ac:dyDescent="0.2">
      <c r="A39" s="826">
        <v>534</v>
      </c>
      <c r="B39" s="825">
        <v>15096.62</v>
      </c>
      <c r="C39" s="827">
        <v>576</v>
      </c>
      <c r="D39" s="825">
        <v>159.38</v>
      </c>
      <c r="E39" s="827">
        <v>620</v>
      </c>
      <c r="F39" s="825">
        <v>159.38</v>
      </c>
      <c r="G39" s="827">
        <v>664</v>
      </c>
      <c r="H39" s="825">
        <v>159.38</v>
      </c>
      <c r="K39">
        <v>75</v>
      </c>
      <c r="L39" t="s">
        <v>6740</v>
      </c>
      <c r="M39" s="159">
        <v>742.5</v>
      </c>
      <c r="N39" s="2">
        <f t="shared" si="1"/>
        <v>311.85000000000002</v>
      </c>
      <c r="P39" s="13">
        <v>1347</v>
      </c>
      <c r="Q39" s="1">
        <f t="shared" si="2"/>
        <v>394.11576400000001</v>
      </c>
      <c r="S39" s="556">
        <f t="shared" ref="S39:S49" si="11">+N39/Q39-1</f>
        <v>-0.20873502537695998</v>
      </c>
      <c r="U39" t="s">
        <v>6739</v>
      </c>
      <c r="V39" s="1">
        <v>135</v>
      </c>
    </row>
    <row r="40" spans="1:25" ht="15" x14ac:dyDescent="0.2">
      <c r="A40" s="826" t="s">
        <v>8791</v>
      </c>
      <c r="B40" s="830">
        <v>16258.98</v>
      </c>
      <c r="C40" s="827">
        <v>577</v>
      </c>
      <c r="D40" s="825">
        <v>159.38</v>
      </c>
      <c r="E40" s="827">
        <v>621</v>
      </c>
      <c r="F40" s="825">
        <v>159.38</v>
      </c>
      <c r="G40" s="827">
        <v>665</v>
      </c>
      <c r="H40" s="825">
        <v>159.38</v>
      </c>
      <c r="K40">
        <v>76</v>
      </c>
      <c r="L40" t="s">
        <v>6743</v>
      </c>
      <c r="M40" s="159">
        <v>1072.5</v>
      </c>
      <c r="N40" s="2">
        <f t="shared" si="1"/>
        <v>450.45000000000005</v>
      </c>
      <c r="P40" s="13">
        <v>1348</v>
      </c>
      <c r="Q40" s="1">
        <f t="shared" si="2"/>
        <v>453.63814480000002</v>
      </c>
      <c r="S40" s="556">
        <f t="shared" si="11"/>
        <v>-7.0279469143971207E-3</v>
      </c>
      <c r="U40" t="s">
        <v>6742</v>
      </c>
      <c r="V40" s="1">
        <v>200</v>
      </c>
    </row>
    <row r="41" spans="1:25" ht="15" x14ac:dyDescent="0.2">
      <c r="A41" s="826">
        <v>535</v>
      </c>
      <c r="B41" s="825">
        <v>15270.68</v>
      </c>
      <c r="C41" s="827">
        <v>578</v>
      </c>
      <c r="D41" s="825">
        <v>159.38</v>
      </c>
      <c r="E41" s="827">
        <v>622</v>
      </c>
      <c r="F41" s="825">
        <v>159.38</v>
      </c>
      <c r="G41" s="827">
        <v>666</v>
      </c>
      <c r="H41" s="825">
        <v>159.38</v>
      </c>
      <c r="K41">
        <v>77</v>
      </c>
      <c r="L41" t="s">
        <v>6746</v>
      </c>
      <c r="M41" s="159">
        <v>1402.5</v>
      </c>
      <c r="N41" s="2">
        <f t="shared" si="1"/>
        <v>589.05000000000007</v>
      </c>
      <c r="P41" s="13">
        <v>1349</v>
      </c>
      <c r="Q41" s="1">
        <f t="shared" si="2"/>
        <v>456.43825680000003</v>
      </c>
      <c r="S41" s="556">
        <f t="shared" si="11"/>
        <v>0.29053599522904849</v>
      </c>
      <c r="U41" t="s">
        <v>6745</v>
      </c>
      <c r="V41" s="1">
        <v>255</v>
      </c>
    </row>
    <row r="42" spans="1:25" ht="15" x14ac:dyDescent="0.2">
      <c r="A42" s="826">
        <v>536</v>
      </c>
      <c r="B42" s="825">
        <v>6249.6</v>
      </c>
      <c r="C42" s="827">
        <v>579</v>
      </c>
      <c r="D42" s="825">
        <v>159.38</v>
      </c>
      <c r="E42" s="827">
        <v>623</v>
      </c>
      <c r="F42" s="825">
        <v>159.38</v>
      </c>
      <c r="G42" s="827">
        <v>667</v>
      </c>
      <c r="H42" s="825">
        <v>159.38</v>
      </c>
      <c r="K42">
        <v>78</v>
      </c>
      <c r="L42" t="s">
        <v>6749</v>
      </c>
      <c r="M42" s="159">
        <v>1815</v>
      </c>
      <c r="N42" s="2">
        <f t="shared" si="1"/>
        <v>762.30000000000007</v>
      </c>
      <c r="P42" s="13">
        <v>1350</v>
      </c>
      <c r="Q42" s="1">
        <f t="shared" si="2"/>
        <v>686.92747600000007</v>
      </c>
      <c r="S42" s="556">
        <f t="shared" si="11"/>
        <v>0.10972413629295552</v>
      </c>
      <c r="U42" t="s">
        <v>6748</v>
      </c>
      <c r="V42" s="1">
        <v>330</v>
      </c>
    </row>
    <row r="43" spans="1:25" ht="15" x14ac:dyDescent="0.2">
      <c r="A43" s="826">
        <v>537</v>
      </c>
      <c r="B43" s="825">
        <v>12669.06</v>
      </c>
      <c r="C43" s="827">
        <v>580</v>
      </c>
      <c r="D43" s="825">
        <v>159.38</v>
      </c>
      <c r="E43" s="827">
        <v>624</v>
      </c>
      <c r="F43" s="825">
        <v>159.38</v>
      </c>
      <c r="G43" s="827">
        <v>668</v>
      </c>
      <c r="H43" s="825">
        <v>159.38</v>
      </c>
      <c r="K43">
        <v>120</v>
      </c>
      <c r="L43" t="s">
        <v>6752</v>
      </c>
      <c r="M43" s="159">
        <v>297</v>
      </c>
      <c r="N43" s="2">
        <f t="shared" si="1"/>
        <v>124.74000000000001</v>
      </c>
      <c r="P43" s="13">
        <v>1303</v>
      </c>
      <c r="Q43" s="1">
        <f t="shared" si="2"/>
        <v>164.00656000000001</v>
      </c>
      <c r="S43" s="556">
        <f t="shared" si="11"/>
        <v>-0.23942066707575593</v>
      </c>
      <c r="U43" t="s">
        <v>6751</v>
      </c>
      <c r="V43" s="1">
        <v>45</v>
      </c>
    </row>
    <row r="44" spans="1:25" ht="15" x14ac:dyDescent="0.2">
      <c r="A44" s="826">
        <v>538</v>
      </c>
      <c r="B44" s="825">
        <v>9374.94</v>
      </c>
      <c r="C44" s="827">
        <v>581</v>
      </c>
      <c r="D44" s="825">
        <v>159.38</v>
      </c>
      <c r="E44" s="827">
        <v>625</v>
      </c>
      <c r="F44" s="825">
        <v>159.38</v>
      </c>
      <c r="G44" s="827">
        <v>669</v>
      </c>
      <c r="H44" s="825">
        <v>159.38</v>
      </c>
      <c r="K44">
        <v>121</v>
      </c>
      <c r="L44" t="s">
        <v>6755</v>
      </c>
      <c r="M44" s="159">
        <v>338.25</v>
      </c>
      <c r="N44" s="2">
        <f t="shared" si="1"/>
        <v>142.06500000000003</v>
      </c>
      <c r="P44" s="13">
        <v>1143</v>
      </c>
      <c r="Q44" s="1">
        <f t="shared" si="2"/>
        <v>259.05036160000003</v>
      </c>
      <c r="S44" s="556">
        <f t="shared" si="11"/>
        <v>-0.45159312219234515</v>
      </c>
      <c r="U44" t="s">
        <v>6754</v>
      </c>
      <c r="V44" s="1">
        <v>61</v>
      </c>
    </row>
    <row r="45" spans="1:25" ht="15" x14ac:dyDescent="0.2">
      <c r="A45" s="826" t="s">
        <v>8792</v>
      </c>
      <c r="B45" s="825">
        <v>10004.16</v>
      </c>
      <c r="C45" s="827">
        <v>582</v>
      </c>
      <c r="D45" s="825">
        <v>159.38</v>
      </c>
      <c r="E45" s="827">
        <v>626</v>
      </c>
      <c r="F45" s="825">
        <v>159.38</v>
      </c>
      <c r="G45" s="827">
        <v>670</v>
      </c>
      <c r="H45" s="825">
        <v>159.38</v>
      </c>
      <c r="K45">
        <v>122</v>
      </c>
      <c r="L45" t="s">
        <v>6758</v>
      </c>
      <c r="M45" s="159">
        <v>371.25</v>
      </c>
      <c r="N45" s="2">
        <f t="shared" si="1"/>
        <v>155.92500000000001</v>
      </c>
      <c r="P45" s="13">
        <v>1186</v>
      </c>
      <c r="Q45" s="1">
        <f t="shared" si="2"/>
        <v>250.15000559999999</v>
      </c>
      <c r="S45" s="556">
        <f t="shared" si="11"/>
        <v>-0.376674009556768</v>
      </c>
      <c r="U45" t="s">
        <v>6757</v>
      </c>
      <c r="V45" s="1">
        <v>67</v>
      </c>
    </row>
    <row r="46" spans="1:25" ht="15" x14ac:dyDescent="0.2">
      <c r="A46" s="826">
        <v>539</v>
      </c>
      <c r="B46" s="825">
        <v>9241.74</v>
      </c>
      <c r="C46" s="827">
        <v>583</v>
      </c>
      <c r="D46" s="825">
        <v>159.38</v>
      </c>
      <c r="E46" s="827">
        <v>627</v>
      </c>
      <c r="F46" s="825">
        <v>159.38</v>
      </c>
      <c r="G46" s="827">
        <v>671</v>
      </c>
      <c r="H46" s="825">
        <v>159.38</v>
      </c>
      <c r="K46">
        <v>123</v>
      </c>
      <c r="L46" t="s">
        <v>6761</v>
      </c>
      <c r="M46" s="159">
        <v>412.5</v>
      </c>
      <c r="N46" s="2">
        <f t="shared" si="1"/>
        <v>173.25000000000003</v>
      </c>
      <c r="P46" s="13">
        <v>1188</v>
      </c>
      <c r="Q46" s="1">
        <f t="shared" si="2"/>
        <v>246.00984</v>
      </c>
      <c r="S46" s="556">
        <f t="shared" si="11"/>
        <v>-0.29575987692199612</v>
      </c>
      <c r="U46" t="s">
        <v>6760</v>
      </c>
      <c r="V46" s="1">
        <v>75</v>
      </c>
    </row>
    <row r="47" spans="1:25" ht="15" x14ac:dyDescent="0.2">
      <c r="A47" s="826">
        <v>540</v>
      </c>
      <c r="B47" s="825">
        <v>9310.16</v>
      </c>
      <c r="C47" s="827">
        <v>584</v>
      </c>
      <c r="D47" s="825">
        <v>159.38</v>
      </c>
      <c r="E47" s="827">
        <v>628</v>
      </c>
      <c r="F47" s="825">
        <v>159.38</v>
      </c>
      <c r="G47" s="827">
        <v>672</v>
      </c>
      <c r="H47" s="825">
        <v>159.38</v>
      </c>
      <c r="K47">
        <v>124</v>
      </c>
      <c r="L47" t="s">
        <v>6764</v>
      </c>
      <c r="M47" s="159">
        <v>495</v>
      </c>
      <c r="N47" s="2">
        <f t="shared" si="1"/>
        <v>207.9</v>
      </c>
      <c r="P47" s="13">
        <v>1185</v>
      </c>
      <c r="Q47" s="1">
        <f t="shared" si="2"/>
        <v>293.25172960000003</v>
      </c>
      <c r="S47" s="556">
        <f t="shared" si="11"/>
        <v>-0.29105277474892011</v>
      </c>
      <c r="U47" t="s">
        <v>6763</v>
      </c>
      <c r="V47" s="1">
        <v>90</v>
      </c>
    </row>
    <row r="48" spans="1:25" ht="15" x14ac:dyDescent="0.2">
      <c r="A48" s="826">
        <v>541</v>
      </c>
      <c r="B48" s="825">
        <v>3275.82</v>
      </c>
      <c r="C48" s="827">
        <v>585</v>
      </c>
      <c r="D48" s="825">
        <v>159.38</v>
      </c>
      <c r="E48" s="827">
        <v>629</v>
      </c>
      <c r="F48" s="825">
        <v>159.38</v>
      </c>
      <c r="G48" s="827">
        <v>673</v>
      </c>
      <c r="H48" s="521">
        <v>159.38</v>
      </c>
      <c r="K48">
        <v>125</v>
      </c>
      <c r="L48" t="s">
        <v>6767</v>
      </c>
      <c r="M48" s="159">
        <v>643.5</v>
      </c>
      <c r="N48" s="2">
        <f t="shared" si="1"/>
        <v>270.27000000000004</v>
      </c>
      <c r="P48" s="13">
        <v>1187</v>
      </c>
      <c r="Q48" s="1">
        <f t="shared" si="2"/>
        <v>358.87435440000002</v>
      </c>
      <c r="S48" s="556">
        <f t="shared" si="11"/>
        <v>-0.24689519692243567</v>
      </c>
      <c r="U48" t="s">
        <v>6766</v>
      </c>
      <c r="V48" s="1">
        <v>117</v>
      </c>
    </row>
    <row r="49" spans="1:28" ht="15" x14ac:dyDescent="0.2">
      <c r="A49" s="525"/>
      <c r="B49" s="565"/>
      <c r="C49" s="525"/>
      <c r="D49" s="528"/>
      <c r="E49" s="525"/>
      <c r="F49" s="527"/>
      <c r="G49" s="525"/>
      <c r="H49" s="528"/>
      <c r="K49">
        <v>65</v>
      </c>
      <c r="L49" t="s">
        <v>6725</v>
      </c>
      <c r="M49" s="159">
        <v>1621.13</v>
      </c>
      <c r="N49" s="2">
        <f t="shared" si="1"/>
        <v>680.8746000000001</v>
      </c>
      <c r="P49" s="13">
        <v>878</v>
      </c>
      <c r="Q49" s="1">
        <f t="shared" si="2"/>
        <v>918.85675280000009</v>
      </c>
      <c r="S49" s="873">
        <f t="shared" si="11"/>
        <v>-0.25899809962195441</v>
      </c>
    </row>
    <row r="50" spans="1:28" ht="15" x14ac:dyDescent="0.2">
      <c r="A50" s="525"/>
      <c r="B50" s="565"/>
      <c r="C50" s="525"/>
      <c r="D50" s="528"/>
      <c r="E50" s="525"/>
      <c r="F50" s="527"/>
      <c r="G50" s="525"/>
      <c r="H50" s="528"/>
      <c r="K50">
        <v>64</v>
      </c>
      <c r="L50" t="s">
        <v>6722</v>
      </c>
      <c r="M50" s="159">
        <v>1307.6300000000001</v>
      </c>
      <c r="N50" s="2">
        <f t="shared" si="1"/>
        <v>549.20460000000014</v>
      </c>
      <c r="P50" s="13">
        <v>788</v>
      </c>
      <c r="Q50" s="1">
        <f t="shared" si="2"/>
        <v>571.24284880000005</v>
      </c>
      <c r="S50" s="873">
        <f>+N50/Q50-1</f>
        <v>-3.8579474292405158E-2</v>
      </c>
    </row>
    <row r="51" spans="1:28" ht="18.75" x14ac:dyDescent="0.3">
      <c r="A51" s="523" t="s">
        <v>8793</v>
      </c>
      <c r="B51" s="524"/>
      <c r="C51" s="525"/>
      <c r="D51" s="526" t="s">
        <v>8794</v>
      </c>
      <c r="E51" s="525"/>
      <c r="F51" s="527"/>
      <c r="G51" s="525"/>
      <c r="H51" s="528"/>
      <c r="K51">
        <v>66</v>
      </c>
      <c r="L51" t="s">
        <v>6728</v>
      </c>
      <c r="M51" s="159">
        <v>1914</v>
      </c>
      <c r="N51" s="2">
        <f t="shared" si="1"/>
        <v>803.88000000000011</v>
      </c>
      <c r="P51" s="13">
        <v>1142</v>
      </c>
      <c r="Q51" s="1">
        <f t="shared" si="2"/>
        <v>1093.8037503999999</v>
      </c>
      <c r="S51" s="873">
        <f>+N51/Q51-1</f>
        <v>-0.26506011731444123</v>
      </c>
    </row>
    <row r="52" spans="1:28" ht="15.75" x14ac:dyDescent="0.25">
      <c r="A52" s="529" t="s">
        <v>8770</v>
      </c>
      <c r="B52" s="524"/>
      <c r="C52" s="525"/>
      <c r="D52" s="528"/>
      <c r="E52" s="525"/>
      <c r="F52" s="527"/>
      <c r="G52" s="525"/>
      <c r="H52" s="528"/>
      <c r="K52">
        <v>61</v>
      </c>
      <c r="L52" t="s">
        <v>6716</v>
      </c>
      <c r="M52" s="159">
        <v>1608.75</v>
      </c>
      <c r="N52" s="2">
        <f t="shared" si="1"/>
        <v>675.67500000000007</v>
      </c>
      <c r="P52" s="13">
        <v>1467</v>
      </c>
      <c r="Q52" s="1">
        <f t="shared" si="2"/>
        <v>1775.171004</v>
      </c>
      <c r="S52" s="873">
        <f>+N52/Q52-1</f>
        <v>-0.61937469771785425</v>
      </c>
    </row>
    <row r="53" spans="1:28" ht="15" x14ac:dyDescent="0.2">
      <c r="A53" s="530" t="s">
        <v>8795</v>
      </c>
      <c r="B53" s="531"/>
      <c r="C53" s="531"/>
      <c r="D53" s="531"/>
      <c r="E53" s="531"/>
      <c r="F53" s="531"/>
      <c r="G53" s="531"/>
      <c r="H53" s="532"/>
      <c r="K53">
        <v>60</v>
      </c>
      <c r="L53" t="s">
        <v>6713</v>
      </c>
      <c r="M53" s="159">
        <v>1357.13</v>
      </c>
      <c r="N53" s="2">
        <f t="shared" si="1"/>
        <v>569.9946000000001</v>
      </c>
      <c r="P53" s="13">
        <v>1489</v>
      </c>
      <c r="Q53" s="1">
        <f t="shared" si="2"/>
        <v>2013.9205535999997</v>
      </c>
      <c r="S53" s="873">
        <f>+N53/Q53-1</f>
        <v>-0.71697264870697031</v>
      </c>
    </row>
    <row r="54" spans="1:28" ht="15" x14ac:dyDescent="0.2">
      <c r="A54" s="817" t="s">
        <v>8780</v>
      </c>
      <c r="B54" s="818" t="s">
        <v>8177</v>
      </c>
      <c r="C54" s="818" t="s">
        <v>8780</v>
      </c>
      <c r="D54" s="818" t="s">
        <v>8177</v>
      </c>
      <c r="E54" s="818" t="s">
        <v>8780</v>
      </c>
      <c r="F54" s="819" t="s">
        <v>8177</v>
      </c>
      <c r="G54" s="818" t="s">
        <v>8780</v>
      </c>
      <c r="H54" s="820" t="s">
        <v>8177</v>
      </c>
    </row>
    <row r="55" spans="1:28" ht="15" x14ac:dyDescent="0.2">
      <c r="A55" s="826">
        <v>674</v>
      </c>
      <c r="B55" s="825">
        <v>159.38</v>
      </c>
      <c r="C55" s="827">
        <v>718</v>
      </c>
      <c r="D55" s="825">
        <v>159.38</v>
      </c>
      <c r="E55" s="827">
        <v>762</v>
      </c>
      <c r="F55" s="831">
        <v>113.42</v>
      </c>
      <c r="G55" s="827" t="s">
        <v>8796</v>
      </c>
      <c r="H55" s="832">
        <v>144.74</v>
      </c>
    </row>
    <row r="56" spans="1:28" ht="15.75" thickBot="1" x14ac:dyDescent="0.25">
      <c r="A56" s="826">
        <v>675</v>
      </c>
      <c r="B56" s="825">
        <v>159.38</v>
      </c>
      <c r="C56" s="827">
        <v>719</v>
      </c>
      <c r="D56" s="825">
        <v>159.38</v>
      </c>
      <c r="E56" s="827">
        <v>763</v>
      </c>
      <c r="F56" s="831">
        <v>158.78</v>
      </c>
      <c r="G56" s="827" t="s">
        <v>8797</v>
      </c>
      <c r="H56" s="833">
        <v>72.48</v>
      </c>
    </row>
    <row r="57" spans="1:28" ht="15" x14ac:dyDescent="0.2">
      <c r="A57" s="826">
        <v>676</v>
      </c>
      <c r="B57" s="825">
        <v>159.38</v>
      </c>
      <c r="C57" s="827">
        <v>720</v>
      </c>
      <c r="D57" s="825">
        <v>159.38</v>
      </c>
      <c r="E57" s="827">
        <v>764</v>
      </c>
      <c r="F57" s="831">
        <v>248.12</v>
      </c>
      <c r="G57" s="827" t="s">
        <v>8798</v>
      </c>
      <c r="H57" s="832">
        <v>74.959999999999994</v>
      </c>
      <c r="U57" s="870" t="s">
        <v>8799</v>
      </c>
      <c r="V57" s="871" t="s">
        <v>8800</v>
      </c>
      <c r="W57" s="871"/>
      <c r="X57" s="871"/>
      <c r="Y57" s="871" t="s">
        <v>8801</v>
      </c>
      <c r="Z57" s="870" t="s">
        <v>8123</v>
      </c>
      <c r="AA57" s="872" t="s">
        <v>3147</v>
      </c>
      <c r="AB57" s="872" t="s">
        <v>8802</v>
      </c>
    </row>
    <row r="58" spans="1:28" ht="15" x14ac:dyDescent="0.2">
      <c r="A58" s="826">
        <v>677</v>
      </c>
      <c r="B58" s="825">
        <v>159.38</v>
      </c>
      <c r="C58" s="827">
        <v>721</v>
      </c>
      <c r="D58" s="825">
        <v>159.38</v>
      </c>
      <c r="E58" s="827">
        <v>765</v>
      </c>
      <c r="F58" s="831">
        <v>142.4</v>
      </c>
      <c r="G58" s="827" t="s">
        <v>8803</v>
      </c>
      <c r="H58" s="832">
        <v>102.86</v>
      </c>
      <c r="U58" s="67">
        <v>75</v>
      </c>
      <c r="V58" t="s">
        <v>6740</v>
      </c>
      <c r="Y58" s="13">
        <v>1347</v>
      </c>
      <c r="Z58" s="379">
        <v>135</v>
      </c>
      <c r="AA58" s="64">
        <v>308.18620000000004</v>
      </c>
      <c r="AB58" s="64">
        <v>274.72500000000002</v>
      </c>
    </row>
    <row r="59" spans="1:28" ht="15" x14ac:dyDescent="0.2">
      <c r="A59" s="826">
        <v>678</v>
      </c>
      <c r="B59" s="825">
        <v>159.38</v>
      </c>
      <c r="C59" s="827">
        <v>722</v>
      </c>
      <c r="D59" s="825">
        <v>159.38</v>
      </c>
      <c r="E59" s="827">
        <v>766</v>
      </c>
      <c r="F59" s="831">
        <v>1877.76</v>
      </c>
      <c r="G59" s="827">
        <v>808</v>
      </c>
      <c r="H59" s="832">
        <v>159.32</v>
      </c>
      <c r="K59" s="592" t="s">
        <v>8188</v>
      </c>
      <c r="L59" s="592" t="s">
        <v>8756</v>
      </c>
      <c r="M59" s="592" t="s">
        <v>3</v>
      </c>
      <c r="U59" s="67">
        <v>76</v>
      </c>
      <c r="V59" t="s">
        <v>6743</v>
      </c>
      <c r="Y59" s="13">
        <v>1348</v>
      </c>
      <c r="Z59" s="379">
        <v>200</v>
      </c>
      <c r="AA59" s="64">
        <v>354.73084</v>
      </c>
      <c r="AB59" s="64">
        <v>396.82499999999999</v>
      </c>
    </row>
    <row r="60" spans="1:28" ht="15" x14ac:dyDescent="0.2">
      <c r="A60" s="826">
        <v>679</v>
      </c>
      <c r="B60" s="825">
        <v>159.38</v>
      </c>
      <c r="C60" s="827">
        <v>723</v>
      </c>
      <c r="D60" s="825">
        <v>159.38</v>
      </c>
      <c r="E60" s="827">
        <v>767</v>
      </c>
      <c r="F60" s="831">
        <v>180.9</v>
      </c>
      <c r="G60" s="827">
        <v>809</v>
      </c>
      <c r="H60" s="832">
        <v>224.4</v>
      </c>
      <c r="K60" s="593">
        <v>743</v>
      </c>
      <c r="L60" s="594" t="s">
        <v>8804</v>
      </c>
      <c r="M60" s="595">
        <v>21.13</v>
      </c>
      <c r="N60" s="13">
        <f t="shared" ref="N60:N95" si="12">+IFERROR(VLOOKUP(K60,$P$11:$P$37,1,0),",")</f>
        <v>743</v>
      </c>
      <c r="P60" s="13">
        <f>+_xlfn.XLOOKUP(N60,$P$11:$P$37,$K$11:$K$37,"",0)</f>
        <v>14</v>
      </c>
      <c r="U60" s="67">
        <v>77</v>
      </c>
      <c r="V60" t="s">
        <v>6746</v>
      </c>
      <c r="Y60" s="13">
        <v>1349</v>
      </c>
      <c r="Z60" s="379">
        <v>255</v>
      </c>
      <c r="AA60" s="64">
        <v>356.92043999999999</v>
      </c>
      <c r="AB60" s="64">
        <v>518.92499999999995</v>
      </c>
    </row>
    <row r="61" spans="1:28" ht="15" x14ac:dyDescent="0.2">
      <c r="A61" s="826">
        <v>680</v>
      </c>
      <c r="B61" s="825">
        <v>159.38</v>
      </c>
      <c r="C61" s="827">
        <v>724</v>
      </c>
      <c r="D61" s="825">
        <v>159.38</v>
      </c>
      <c r="E61" s="827">
        <v>768</v>
      </c>
      <c r="F61" s="831">
        <v>112.34</v>
      </c>
      <c r="G61" s="827">
        <v>810</v>
      </c>
      <c r="H61" s="832">
        <v>642.36</v>
      </c>
      <c r="K61" s="593">
        <v>744</v>
      </c>
      <c r="L61" s="594" t="s">
        <v>8804</v>
      </c>
      <c r="M61" s="595">
        <v>45.27</v>
      </c>
      <c r="N61" s="13">
        <f t="shared" si="12"/>
        <v>744</v>
      </c>
      <c r="P61" s="13">
        <f t="shared" ref="P61:P95" si="13">+_xlfn.XLOOKUP(N61,$P$11:$P$37,$K$11:$K$37,"",0)</f>
        <v>18</v>
      </c>
      <c r="U61" s="67">
        <v>78</v>
      </c>
      <c r="V61" t="s">
        <v>6749</v>
      </c>
      <c r="Y61" s="13">
        <v>1350</v>
      </c>
      <c r="Z61" s="379">
        <v>330</v>
      </c>
      <c r="AA61" s="64">
        <v>537.1558</v>
      </c>
      <c r="AB61" s="64">
        <v>671.55</v>
      </c>
    </row>
    <row r="62" spans="1:28" ht="15" x14ac:dyDescent="0.2">
      <c r="A62" s="826">
        <v>681</v>
      </c>
      <c r="B62" s="825">
        <v>159.38</v>
      </c>
      <c r="C62" s="827">
        <v>725</v>
      </c>
      <c r="D62" s="825">
        <v>159.38</v>
      </c>
      <c r="E62" s="827">
        <v>769</v>
      </c>
      <c r="F62" s="831">
        <v>229.88</v>
      </c>
      <c r="G62" s="827">
        <v>811</v>
      </c>
      <c r="H62" s="832">
        <v>868.88</v>
      </c>
      <c r="K62" s="593">
        <v>746</v>
      </c>
      <c r="L62" s="594" t="s">
        <v>8804</v>
      </c>
      <c r="M62" s="595">
        <v>82.81</v>
      </c>
      <c r="N62" s="13" t="str">
        <f t="shared" si="12"/>
        <v>,</v>
      </c>
      <c r="P62" s="13" t="str">
        <f t="shared" si="13"/>
        <v/>
      </c>
      <c r="U62" s="67">
        <v>120</v>
      </c>
      <c r="V62" s="3" t="s">
        <v>8805</v>
      </c>
      <c r="Y62" s="13">
        <v>1303</v>
      </c>
      <c r="Z62" s="379">
        <v>45</v>
      </c>
      <c r="AA62" s="64">
        <v>128.24800000000002</v>
      </c>
      <c r="AB62" s="64">
        <v>109.89</v>
      </c>
    </row>
    <row r="63" spans="1:28" ht="15" x14ac:dyDescent="0.2">
      <c r="A63" s="826">
        <v>682</v>
      </c>
      <c r="B63" s="825">
        <v>159.38</v>
      </c>
      <c r="C63" s="827">
        <v>726</v>
      </c>
      <c r="D63" s="825">
        <v>159.38</v>
      </c>
      <c r="E63" s="827">
        <v>770</v>
      </c>
      <c r="F63" s="831">
        <v>156.08000000000001</v>
      </c>
      <c r="G63" s="827">
        <v>812</v>
      </c>
      <c r="H63" s="832">
        <v>159.32</v>
      </c>
      <c r="K63" s="593">
        <v>747</v>
      </c>
      <c r="L63" s="594" t="s">
        <v>8804</v>
      </c>
      <c r="M63" s="595">
        <v>21.03</v>
      </c>
      <c r="N63" s="13">
        <f t="shared" si="12"/>
        <v>747</v>
      </c>
      <c r="P63" s="13">
        <f t="shared" si="13"/>
        <v>8</v>
      </c>
      <c r="U63" s="67">
        <v>121</v>
      </c>
      <c r="V63" s="3" t="s">
        <v>8806</v>
      </c>
      <c r="Y63" s="13">
        <v>1143</v>
      </c>
      <c r="Z63" s="379">
        <v>61</v>
      </c>
      <c r="AA63" s="64">
        <v>202.56928000000002</v>
      </c>
      <c r="AB63" s="64">
        <v>125.1525</v>
      </c>
    </row>
    <row r="64" spans="1:28" ht="15" x14ac:dyDescent="0.2">
      <c r="A64" s="826">
        <v>683</v>
      </c>
      <c r="B64" s="825">
        <v>159.38</v>
      </c>
      <c r="C64" s="827">
        <v>727</v>
      </c>
      <c r="D64" s="825">
        <v>159.38</v>
      </c>
      <c r="E64" s="827">
        <v>771</v>
      </c>
      <c r="F64" s="831">
        <v>394.5</v>
      </c>
      <c r="G64" s="827" t="s">
        <v>8807</v>
      </c>
      <c r="H64" s="834">
        <v>139.88</v>
      </c>
      <c r="K64" s="593">
        <v>748</v>
      </c>
      <c r="L64" s="594" t="s">
        <v>8804</v>
      </c>
      <c r="M64" s="595">
        <v>26.1</v>
      </c>
      <c r="N64" s="13" t="str">
        <f t="shared" si="12"/>
        <v>,</v>
      </c>
      <c r="P64" s="13" t="str">
        <f t="shared" si="13"/>
        <v/>
      </c>
      <c r="U64" s="67">
        <v>122</v>
      </c>
      <c r="V64" s="3" t="s">
        <v>8808</v>
      </c>
      <c r="Y64" s="13">
        <v>1186</v>
      </c>
      <c r="Z64" s="379">
        <v>67</v>
      </c>
      <c r="AA64" s="64">
        <v>195.60947999999999</v>
      </c>
      <c r="AB64" s="64">
        <v>137.36250000000001</v>
      </c>
    </row>
    <row r="65" spans="1:28" ht="15" x14ac:dyDescent="0.2">
      <c r="A65" s="826">
        <v>684</v>
      </c>
      <c r="B65" s="825">
        <v>159.38</v>
      </c>
      <c r="C65" s="827">
        <v>728</v>
      </c>
      <c r="D65" s="825">
        <v>159.38</v>
      </c>
      <c r="E65" s="827">
        <v>772</v>
      </c>
      <c r="F65" s="831">
        <v>272.95999999999998</v>
      </c>
      <c r="G65" s="827" t="s">
        <v>8809</v>
      </c>
      <c r="H65" s="832">
        <v>170.36</v>
      </c>
      <c r="K65" s="593">
        <v>749</v>
      </c>
      <c r="L65" s="594" t="s">
        <v>8804</v>
      </c>
      <c r="M65" s="595">
        <v>40.47</v>
      </c>
      <c r="N65" s="13">
        <f t="shared" si="12"/>
        <v>749</v>
      </c>
      <c r="P65" s="13">
        <f t="shared" si="13"/>
        <v>16</v>
      </c>
      <c r="U65" s="67">
        <v>123</v>
      </c>
      <c r="V65" s="3" t="s">
        <v>8810</v>
      </c>
      <c r="Y65" s="13">
        <v>1188</v>
      </c>
      <c r="Z65" s="379">
        <v>75</v>
      </c>
      <c r="AA65" s="64">
        <v>192.37200000000001</v>
      </c>
      <c r="AB65" s="64">
        <v>152.625</v>
      </c>
    </row>
    <row r="66" spans="1:28" ht="15" x14ac:dyDescent="0.2">
      <c r="A66" s="826">
        <v>685</v>
      </c>
      <c r="B66" s="825">
        <v>159.38</v>
      </c>
      <c r="C66" s="827">
        <v>729</v>
      </c>
      <c r="D66" s="825">
        <v>159.38</v>
      </c>
      <c r="E66" s="827">
        <v>773</v>
      </c>
      <c r="F66" s="831">
        <v>368.12</v>
      </c>
      <c r="G66" s="827">
        <v>814</v>
      </c>
      <c r="H66" s="832">
        <v>1270.2</v>
      </c>
      <c r="K66" s="593">
        <v>750</v>
      </c>
      <c r="L66" s="594" t="s">
        <v>8804</v>
      </c>
      <c r="M66" s="595">
        <v>41.49</v>
      </c>
      <c r="N66" s="13" t="str">
        <f t="shared" si="12"/>
        <v>,</v>
      </c>
      <c r="P66" s="13" t="str">
        <f t="shared" si="13"/>
        <v/>
      </c>
      <c r="U66" s="67">
        <v>124</v>
      </c>
      <c r="V66" s="3" t="s">
        <v>8811</v>
      </c>
      <c r="Y66" s="13">
        <v>1185</v>
      </c>
      <c r="Z66" s="379">
        <v>90</v>
      </c>
      <c r="AA66" s="64">
        <v>229.31368000000001</v>
      </c>
      <c r="AB66" s="64">
        <v>183.15</v>
      </c>
    </row>
    <row r="67" spans="1:28" ht="15.75" thickBot="1" x14ac:dyDescent="0.25">
      <c r="A67" s="826">
        <v>686</v>
      </c>
      <c r="B67" s="825">
        <v>159.38</v>
      </c>
      <c r="C67" s="827">
        <v>730</v>
      </c>
      <c r="D67" s="825">
        <v>159.38</v>
      </c>
      <c r="E67" s="827">
        <v>774</v>
      </c>
      <c r="F67" s="831">
        <v>563.94000000000005</v>
      </c>
      <c r="G67" s="827">
        <v>815</v>
      </c>
      <c r="H67" s="832">
        <v>1163.18</v>
      </c>
      <c r="K67" s="593">
        <v>795</v>
      </c>
      <c r="L67" s="594" t="s">
        <v>8804</v>
      </c>
      <c r="M67" s="595">
        <v>24.88</v>
      </c>
      <c r="N67" s="13">
        <f t="shared" si="12"/>
        <v>795</v>
      </c>
      <c r="P67" s="13">
        <f t="shared" si="13"/>
        <v>23</v>
      </c>
      <c r="U67" s="66">
        <v>125</v>
      </c>
      <c r="V67" s="875" t="s">
        <v>8812</v>
      </c>
      <c r="W67" s="190"/>
      <c r="X67" s="190"/>
      <c r="Y67" s="643">
        <v>1187</v>
      </c>
      <c r="Z67" s="381">
        <v>117</v>
      </c>
      <c r="AA67" s="65">
        <v>280.62852000000004</v>
      </c>
      <c r="AB67" s="65">
        <v>238.095</v>
      </c>
    </row>
    <row r="68" spans="1:28" ht="15" x14ac:dyDescent="0.2">
      <c r="A68" s="826">
        <v>687</v>
      </c>
      <c r="B68" s="825">
        <v>159.38</v>
      </c>
      <c r="C68" s="827">
        <v>731</v>
      </c>
      <c r="D68" s="825">
        <v>159.38</v>
      </c>
      <c r="E68" s="827">
        <v>775</v>
      </c>
      <c r="F68" s="831">
        <v>130.26</v>
      </c>
      <c r="G68" s="827">
        <v>816</v>
      </c>
      <c r="H68" s="832">
        <v>956.64</v>
      </c>
      <c r="K68" s="593">
        <v>809</v>
      </c>
      <c r="L68" s="594" t="s">
        <v>8804</v>
      </c>
      <c r="M68" s="595">
        <v>49.87</v>
      </c>
      <c r="N68" s="13" t="str">
        <f t="shared" si="12"/>
        <v>,</v>
      </c>
      <c r="P68" s="13" t="str">
        <f t="shared" si="13"/>
        <v/>
      </c>
    </row>
    <row r="69" spans="1:28" ht="15" x14ac:dyDescent="0.2">
      <c r="A69" s="826">
        <v>688</v>
      </c>
      <c r="B69" s="825">
        <v>159.38</v>
      </c>
      <c r="C69" s="827">
        <v>732</v>
      </c>
      <c r="D69" s="825">
        <v>159.38</v>
      </c>
      <c r="E69" s="827">
        <v>776</v>
      </c>
      <c r="F69" s="831">
        <v>303.74</v>
      </c>
      <c r="G69" s="827">
        <v>817</v>
      </c>
      <c r="H69" s="832">
        <v>2864.96</v>
      </c>
      <c r="K69" s="593">
        <v>855</v>
      </c>
      <c r="L69" s="594" t="s">
        <v>8804</v>
      </c>
      <c r="M69" s="595">
        <v>23.59</v>
      </c>
      <c r="N69" s="13">
        <f t="shared" si="12"/>
        <v>855</v>
      </c>
      <c r="P69" s="13">
        <f t="shared" si="13"/>
        <v>20</v>
      </c>
    </row>
    <row r="70" spans="1:28" ht="15" x14ac:dyDescent="0.2">
      <c r="A70" s="826">
        <v>689</v>
      </c>
      <c r="B70" s="825">
        <v>159.38</v>
      </c>
      <c r="C70" s="827">
        <v>733</v>
      </c>
      <c r="D70" s="825">
        <v>159.38</v>
      </c>
      <c r="E70" s="827">
        <v>777</v>
      </c>
      <c r="F70" s="831">
        <v>392.34</v>
      </c>
      <c r="G70" s="827">
        <v>818</v>
      </c>
      <c r="H70" s="832">
        <v>178.46</v>
      </c>
      <c r="K70" s="593">
        <v>876</v>
      </c>
      <c r="L70" s="594" t="s">
        <v>8804</v>
      </c>
      <c r="M70" s="595">
        <v>130.18</v>
      </c>
      <c r="N70" s="13" t="str">
        <f t="shared" si="12"/>
        <v>,</v>
      </c>
      <c r="P70" s="13" t="str">
        <f t="shared" si="13"/>
        <v/>
      </c>
    </row>
    <row r="71" spans="1:28" ht="15" x14ac:dyDescent="0.2">
      <c r="A71" s="826">
        <v>690</v>
      </c>
      <c r="B71" s="825">
        <v>159.38</v>
      </c>
      <c r="C71" s="827">
        <v>734</v>
      </c>
      <c r="D71" s="825">
        <v>159.38</v>
      </c>
      <c r="E71" s="827">
        <v>778</v>
      </c>
      <c r="F71" s="831">
        <v>159.36000000000001</v>
      </c>
      <c r="G71" s="827" t="s">
        <v>8813</v>
      </c>
      <c r="H71" s="832">
        <v>773</v>
      </c>
      <c r="K71" s="593">
        <v>901</v>
      </c>
      <c r="L71" s="594" t="s">
        <v>8804</v>
      </c>
      <c r="M71" s="595">
        <v>18.420000000000002</v>
      </c>
      <c r="N71" s="13" t="str">
        <f t="shared" si="12"/>
        <v>,</v>
      </c>
      <c r="P71" s="13" t="str">
        <f t="shared" si="13"/>
        <v/>
      </c>
    </row>
    <row r="72" spans="1:28" ht="15" x14ac:dyDescent="0.2">
      <c r="A72" s="826">
        <v>691</v>
      </c>
      <c r="B72" s="825">
        <v>159.38</v>
      </c>
      <c r="C72" s="827">
        <v>735</v>
      </c>
      <c r="D72" s="825">
        <v>159.38</v>
      </c>
      <c r="E72" s="827">
        <v>779</v>
      </c>
      <c r="F72" s="831">
        <v>183.9</v>
      </c>
      <c r="G72" s="827" t="s">
        <v>8814</v>
      </c>
      <c r="H72" s="832">
        <v>880.5</v>
      </c>
      <c r="K72" s="593">
        <v>911</v>
      </c>
      <c r="L72" s="594" t="s">
        <v>8804</v>
      </c>
      <c r="M72" s="595">
        <v>30.34</v>
      </c>
      <c r="N72" s="13" t="str">
        <f t="shared" si="12"/>
        <v>,</v>
      </c>
      <c r="P72" s="13" t="str">
        <f t="shared" si="13"/>
        <v/>
      </c>
    </row>
    <row r="73" spans="1:28" ht="15" x14ac:dyDescent="0.2">
      <c r="A73" s="826">
        <v>692</v>
      </c>
      <c r="B73" s="825">
        <v>159.38</v>
      </c>
      <c r="C73" s="827">
        <v>736</v>
      </c>
      <c r="D73" s="825">
        <v>159.38</v>
      </c>
      <c r="E73" s="827" t="s">
        <v>8815</v>
      </c>
      <c r="F73" s="831">
        <v>183.44</v>
      </c>
      <c r="G73" s="827">
        <v>821</v>
      </c>
      <c r="H73" s="832">
        <v>214.64</v>
      </c>
      <c r="K73" s="593">
        <v>950</v>
      </c>
      <c r="L73" s="594" t="s">
        <v>8816</v>
      </c>
      <c r="M73" s="595">
        <v>34.89</v>
      </c>
      <c r="N73" s="13">
        <f t="shared" si="12"/>
        <v>950</v>
      </c>
      <c r="P73" s="13">
        <f t="shared" si="13"/>
        <v>9</v>
      </c>
    </row>
    <row r="74" spans="1:28" ht="15" x14ac:dyDescent="0.2">
      <c r="A74" s="826">
        <v>693</v>
      </c>
      <c r="B74" s="825">
        <v>159.38</v>
      </c>
      <c r="C74" s="827">
        <v>737</v>
      </c>
      <c r="D74" s="825">
        <v>159.38</v>
      </c>
      <c r="E74" s="827">
        <v>781</v>
      </c>
      <c r="F74" s="831">
        <v>143.94</v>
      </c>
      <c r="G74" s="827" t="s">
        <v>8817</v>
      </c>
      <c r="H74" s="832">
        <v>957.6</v>
      </c>
      <c r="K74" s="593">
        <v>976</v>
      </c>
      <c r="L74" s="594" t="s">
        <v>8804</v>
      </c>
      <c r="M74" s="595">
        <v>25.3</v>
      </c>
      <c r="N74" s="13">
        <f t="shared" si="12"/>
        <v>976</v>
      </c>
      <c r="P74" s="13">
        <f t="shared" si="13"/>
        <v>13</v>
      </c>
    </row>
    <row r="75" spans="1:28" ht="15" x14ac:dyDescent="0.2">
      <c r="A75" s="826">
        <v>694</v>
      </c>
      <c r="B75" s="825">
        <v>159.38</v>
      </c>
      <c r="C75" s="827">
        <v>738</v>
      </c>
      <c r="D75" s="825">
        <v>159.38</v>
      </c>
      <c r="E75" s="827">
        <v>782</v>
      </c>
      <c r="F75" s="831">
        <v>93.72</v>
      </c>
      <c r="G75" s="827" t="s">
        <v>8818</v>
      </c>
      <c r="H75" s="832">
        <v>1362.26</v>
      </c>
      <c r="K75" s="593">
        <v>985</v>
      </c>
      <c r="L75" s="594" t="s">
        <v>8819</v>
      </c>
      <c r="M75" s="595">
        <v>20.309999999999999</v>
      </c>
      <c r="N75" s="13">
        <f t="shared" si="12"/>
        <v>985</v>
      </c>
      <c r="P75" s="13">
        <f t="shared" si="13"/>
        <v>17</v>
      </c>
    </row>
    <row r="76" spans="1:28" ht="15" x14ac:dyDescent="0.2">
      <c r="A76" s="826">
        <v>695</v>
      </c>
      <c r="B76" s="825">
        <v>159.38</v>
      </c>
      <c r="C76" s="827">
        <v>739</v>
      </c>
      <c r="D76" s="825">
        <v>159.38</v>
      </c>
      <c r="E76" s="827">
        <v>783</v>
      </c>
      <c r="F76" s="831">
        <v>683.4</v>
      </c>
      <c r="G76" s="827" t="s">
        <v>8820</v>
      </c>
      <c r="H76" s="832">
        <v>1069.3800000000001</v>
      </c>
      <c r="K76" s="593">
        <v>1073</v>
      </c>
      <c r="L76" s="594" t="s">
        <v>8821</v>
      </c>
      <c r="M76" s="595">
        <v>63.78</v>
      </c>
      <c r="N76" s="13" t="str">
        <f t="shared" si="12"/>
        <v>,</v>
      </c>
      <c r="P76" s="13" t="str">
        <f t="shared" si="13"/>
        <v/>
      </c>
    </row>
    <row r="77" spans="1:28" ht="15" x14ac:dyDescent="0.2">
      <c r="A77" s="826">
        <v>696</v>
      </c>
      <c r="B77" s="825">
        <v>159.38</v>
      </c>
      <c r="C77" s="827">
        <v>740</v>
      </c>
      <c r="D77" s="825">
        <v>159.38</v>
      </c>
      <c r="E77" s="827" t="s">
        <v>8822</v>
      </c>
      <c r="F77" s="831">
        <v>150.84</v>
      </c>
      <c r="G77" s="827">
        <v>824</v>
      </c>
      <c r="H77" s="832">
        <v>288.2</v>
      </c>
      <c r="K77" s="593">
        <v>1074</v>
      </c>
      <c r="L77" s="594" t="s">
        <v>8804</v>
      </c>
      <c r="M77" s="595">
        <v>37.86</v>
      </c>
      <c r="N77" s="13" t="str">
        <f t="shared" si="12"/>
        <v>,</v>
      </c>
      <c r="P77" s="13" t="str">
        <f t="shared" si="13"/>
        <v/>
      </c>
    </row>
    <row r="78" spans="1:28" ht="15" x14ac:dyDescent="0.2">
      <c r="A78" s="826">
        <v>697</v>
      </c>
      <c r="B78" s="825">
        <v>159.38</v>
      </c>
      <c r="C78" s="827">
        <v>741</v>
      </c>
      <c r="D78" s="825">
        <v>159.38</v>
      </c>
      <c r="E78" s="827">
        <v>785</v>
      </c>
      <c r="F78" s="831">
        <v>233.72</v>
      </c>
      <c r="G78" s="827">
        <v>825</v>
      </c>
      <c r="H78" s="832">
        <v>3830.24</v>
      </c>
      <c r="K78" s="593">
        <v>1075</v>
      </c>
      <c r="L78" s="594" t="s">
        <v>8823</v>
      </c>
      <c r="M78" s="595">
        <v>17.88</v>
      </c>
      <c r="N78" s="13">
        <f t="shared" si="12"/>
        <v>1075</v>
      </c>
      <c r="P78" s="13">
        <f t="shared" si="13"/>
        <v>5</v>
      </c>
    </row>
    <row r="79" spans="1:28" ht="15" x14ac:dyDescent="0.2">
      <c r="A79" s="826">
        <v>698</v>
      </c>
      <c r="B79" s="825">
        <v>159.38</v>
      </c>
      <c r="C79" s="827">
        <v>742</v>
      </c>
      <c r="D79" s="829">
        <v>544.32000000000005</v>
      </c>
      <c r="E79" s="827">
        <v>786</v>
      </c>
      <c r="F79" s="831">
        <v>211.8</v>
      </c>
      <c r="G79" s="827">
        <v>826</v>
      </c>
      <c r="H79" s="832">
        <v>461.88</v>
      </c>
      <c r="K79" s="593" t="s">
        <v>5842</v>
      </c>
      <c r="L79" s="594" t="s">
        <v>8804</v>
      </c>
      <c r="M79" s="595">
        <v>16.2</v>
      </c>
      <c r="N79" s="13" t="str">
        <f t="shared" si="12"/>
        <v>1076 N</v>
      </c>
      <c r="P79" s="13">
        <f t="shared" si="13"/>
        <v>7</v>
      </c>
    </row>
    <row r="80" spans="1:28" ht="15" x14ac:dyDescent="0.2">
      <c r="A80" s="826">
        <v>699</v>
      </c>
      <c r="B80" s="825">
        <v>159.38</v>
      </c>
      <c r="C80" s="827">
        <v>743</v>
      </c>
      <c r="D80" s="825">
        <v>122.06</v>
      </c>
      <c r="E80" s="827">
        <v>787</v>
      </c>
      <c r="F80" s="831">
        <v>128</v>
      </c>
      <c r="G80" s="827">
        <v>827</v>
      </c>
      <c r="H80" s="832">
        <v>189.98</v>
      </c>
      <c r="K80" s="593" t="s">
        <v>5832</v>
      </c>
      <c r="L80" s="594" t="s">
        <v>8824</v>
      </c>
      <c r="M80" s="595">
        <v>20.52</v>
      </c>
      <c r="N80" s="13" t="str">
        <f t="shared" si="12"/>
        <v>1076 B</v>
      </c>
      <c r="P80" s="13">
        <f t="shared" si="13"/>
        <v>3</v>
      </c>
    </row>
    <row r="81" spans="1:16" ht="15" x14ac:dyDescent="0.2">
      <c r="A81" s="826">
        <v>700</v>
      </c>
      <c r="B81" s="825">
        <v>159.38</v>
      </c>
      <c r="C81" s="827">
        <v>744</v>
      </c>
      <c r="D81" s="825">
        <v>203.7</v>
      </c>
      <c r="E81" s="827">
        <v>788</v>
      </c>
      <c r="F81" s="831">
        <v>571.22</v>
      </c>
      <c r="G81" s="827">
        <v>828</v>
      </c>
      <c r="H81" s="832">
        <v>2388.2600000000002</v>
      </c>
      <c r="K81" s="593" t="s">
        <v>5849</v>
      </c>
      <c r="L81" s="594" t="s">
        <v>8804</v>
      </c>
      <c r="M81" s="595">
        <v>33.479999999999997</v>
      </c>
      <c r="N81" s="13" t="str">
        <f t="shared" si="12"/>
        <v>1079 N</v>
      </c>
      <c r="P81" s="13">
        <f t="shared" si="13"/>
        <v>10</v>
      </c>
    </row>
    <row r="82" spans="1:16" ht="15" x14ac:dyDescent="0.2">
      <c r="A82" s="826">
        <v>701</v>
      </c>
      <c r="B82" s="825">
        <v>159.38</v>
      </c>
      <c r="C82" s="827">
        <v>745</v>
      </c>
      <c r="D82" s="825">
        <v>287.82</v>
      </c>
      <c r="E82" s="827" t="s">
        <v>8825</v>
      </c>
      <c r="F82" s="831">
        <v>611.12</v>
      </c>
      <c r="G82" s="827">
        <v>829</v>
      </c>
      <c r="H82" s="832">
        <v>1116.56</v>
      </c>
      <c r="K82" s="593" t="s">
        <v>8826</v>
      </c>
      <c r="L82" s="594" t="s">
        <v>8827</v>
      </c>
      <c r="M82" s="595">
        <v>35.200000000000003</v>
      </c>
      <c r="N82" s="13" t="str">
        <f t="shared" si="12"/>
        <v>,</v>
      </c>
      <c r="P82" s="13" t="str">
        <f t="shared" si="13"/>
        <v/>
      </c>
    </row>
    <row r="83" spans="1:16" ht="15" x14ac:dyDescent="0.2">
      <c r="A83" s="826">
        <v>702</v>
      </c>
      <c r="B83" s="825">
        <v>159.38</v>
      </c>
      <c r="C83" s="827">
        <v>746</v>
      </c>
      <c r="D83" s="825">
        <v>372.62</v>
      </c>
      <c r="E83" s="827">
        <v>789</v>
      </c>
      <c r="F83" s="831">
        <v>213.06</v>
      </c>
      <c r="G83" s="827">
        <v>830</v>
      </c>
      <c r="H83" s="832">
        <v>422.4</v>
      </c>
      <c r="K83" s="593">
        <v>1091</v>
      </c>
      <c r="L83" s="594" t="s">
        <v>8804</v>
      </c>
      <c r="M83" s="595">
        <v>25.17</v>
      </c>
      <c r="N83" s="13" t="str">
        <f t="shared" si="12"/>
        <v>,</v>
      </c>
      <c r="P83" s="13" t="str">
        <f t="shared" si="13"/>
        <v/>
      </c>
    </row>
    <row r="84" spans="1:16" ht="15" x14ac:dyDescent="0.2">
      <c r="A84" s="826">
        <v>703</v>
      </c>
      <c r="B84" s="825">
        <v>159.38</v>
      </c>
      <c r="C84" s="827">
        <v>747</v>
      </c>
      <c r="D84" s="825">
        <v>94.62</v>
      </c>
      <c r="E84" s="827">
        <v>790</v>
      </c>
      <c r="F84" s="831">
        <v>235.98</v>
      </c>
      <c r="G84" s="827">
        <v>831</v>
      </c>
      <c r="H84" s="832">
        <v>582.78</v>
      </c>
      <c r="K84" s="593">
        <v>1147</v>
      </c>
      <c r="L84" s="594" t="s">
        <v>8804</v>
      </c>
      <c r="M84" s="595">
        <v>34.69</v>
      </c>
      <c r="N84" s="13">
        <f t="shared" si="12"/>
        <v>1147</v>
      </c>
      <c r="P84" s="13">
        <f t="shared" si="13"/>
        <v>15</v>
      </c>
    </row>
    <row r="85" spans="1:16" ht="15" x14ac:dyDescent="0.2">
      <c r="A85" s="826">
        <v>704</v>
      </c>
      <c r="B85" s="825">
        <v>159.38</v>
      </c>
      <c r="C85" s="827">
        <v>748</v>
      </c>
      <c r="D85" s="825">
        <v>117.44</v>
      </c>
      <c r="E85" s="827">
        <v>791</v>
      </c>
      <c r="F85" s="831">
        <v>371.16</v>
      </c>
      <c r="G85" s="827">
        <v>832</v>
      </c>
      <c r="H85" s="832">
        <v>507.44</v>
      </c>
      <c r="K85" s="593" t="s">
        <v>5839</v>
      </c>
      <c r="L85" s="594" t="s">
        <v>8804</v>
      </c>
      <c r="M85" s="595">
        <v>22.65</v>
      </c>
      <c r="N85" s="13" t="str">
        <f t="shared" si="12"/>
        <v>1153 N</v>
      </c>
      <c r="P85" s="13">
        <f t="shared" si="13"/>
        <v>6</v>
      </c>
    </row>
    <row r="86" spans="1:16" ht="15" x14ac:dyDescent="0.2">
      <c r="A86" s="826">
        <v>705</v>
      </c>
      <c r="B86" s="825">
        <v>159.38</v>
      </c>
      <c r="C86" s="827">
        <v>749</v>
      </c>
      <c r="D86" s="825">
        <v>182.1</v>
      </c>
      <c r="E86" s="827">
        <v>792</v>
      </c>
      <c r="F86" s="831">
        <v>302.39999999999998</v>
      </c>
      <c r="G86" s="827">
        <v>833</v>
      </c>
      <c r="H86" s="832">
        <v>1006.4</v>
      </c>
      <c r="K86" s="593" t="s">
        <v>8828</v>
      </c>
      <c r="L86" s="594" t="s">
        <v>8824</v>
      </c>
      <c r="M86" s="595">
        <v>27.13</v>
      </c>
      <c r="N86" s="13" t="str">
        <f t="shared" si="12"/>
        <v>,</v>
      </c>
      <c r="P86" s="13" t="str">
        <f t="shared" si="13"/>
        <v/>
      </c>
    </row>
    <row r="87" spans="1:16" ht="15" x14ac:dyDescent="0.2">
      <c r="A87" s="826">
        <v>706</v>
      </c>
      <c r="B87" s="825">
        <v>159.38</v>
      </c>
      <c r="C87" s="827">
        <v>750</v>
      </c>
      <c r="D87" s="825">
        <v>186.68</v>
      </c>
      <c r="E87" s="827">
        <v>793</v>
      </c>
      <c r="F87" s="831">
        <v>85.04</v>
      </c>
      <c r="G87" s="835" t="s">
        <v>8829</v>
      </c>
      <c r="H87" s="832">
        <v>367.1</v>
      </c>
      <c r="K87" s="593" t="s">
        <v>5829</v>
      </c>
      <c r="L87" s="594" t="s">
        <v>8804</v>
      </c>
      <c r="M87" s="595">
        <v>21.52</v>
      </c>
      <c r="N87" s="13" t="str">
        <f t="shared" si="12"/>
        <v>1167 N</v>
      </c>
      <c r="P87" s="13">
        <f t="shared" si="13"/>
        <v>2</v>
      </c>
    </row>
    <row r="88" spans="1:16" ht="15" x14ac:dyDescent="0.2">
      <c r="A88" s="826">
        <v>707</v>
      </c>
      <c r="B88" s="825">
        <v>159.38</v>
      </c>
      <c r="C88" s="827">
        <v>751</v>
      </c>
      <c r="D88" s="825">
        <v>491.04</v>
      </c>
      <c r="E88" s="827">
        <v>794</v>
      </c>
      <c r="F88" s="831">
        <v>383.58</v>
      </c>
      <c r="G88" s="835" t="s">
        <v>8830</v>
      </c>
      <c r="H88" s="832">
        <v>489.24</v>
      </c>
      <c r="K88" s="593" t="s">
        <v>8831</v>
      </c>
      <c r="L88" s="594" t="s">
        <v>8827</v>
      </c>
      <c r="M88" s="595">
        <v>22.18</v>
      </c>
      <c r="N88" s="13" t="str">
        <f t="shared" si="12"/>
        <v>,</v>
      </c>
      <c r="P88" s="13" t="str">
        <f t="shared" si="13"/>
        <v/>
      </c>
    </row>
    <row r="89" spans="1:16" ht="15" x14ac:dyDescent="0.2">
      <c r="A89" s="826">
        <v>708</v>
      </c>
      <c r="B89" s="825">
        <v>159.38</v>
      </c>
      <c r="C89" s="827">
        <v>752</v>
      </c>
      <c r="D89" s="825">
        <v>484.64</v>
      </c>
      <c r="E89" s="827">
        <v>795</v>
      </c>
      <c r="F89" s="831">
        <v>111.96</v>
      </c>
      <c r="G89" s="827">
        <v>836</v>
      </c>
      <c r="H89" s="832">
        <v>90.48</v>
      </c>
      <c r="K89" s="593">
        <v>1230</v>
      </c>
      <c r="L89" s="594" t="s">
        <v>8804</v>
      </c>
      <c r="M89" s="595">
        <v>28.12</v>
      </c>
      <c r="N89" s="13">
        <f t="shared" si="12"/>
        <v>1230</v>
      </c>
      <c r="P89" s="13">
        <f t="shared" si="13"/>
        <v>22</v>
      </c>
    </row>
    <row r="90" spans="1:16" ht="15" x14ac:dyDescent="0.2">
      <c r="A90" s="826">
        <v>709</v>
      </c>
      <c r="B90" s="825">
        <v>159.38</v>
      </c>
      <c r="C90" s="827">
        <v>753</v>
      </c>
      <c r="D90" s="825">
        <v>177.02</v>
      </c>
      <c r="E90" s="827">
        <v>796</v>
      </c>
      <c r="F90" s="831">
        <v>85.5</v>
      </c>
      <c r="G90" s="827">
        <v>837</v>
      </c>
      <c r="H90" s="832">
        <v>475.04</v>
      </c>
      <c r="K90" s="593">
        <v>1322</v>
      </c>
      <c r="L90" s="594" t="s">
        <v>8804</v>
      </c>
      <c r="M90" s="595">
        <v>31.05</v>
      </c>
      <c r="N90" s="13">
        <f t="shared" si="12"/>
        <v>1322</v>
      </c>
      <c r="P90" s="13">
        <f t="shared" si="13"/>
        <v>21</v>
      </c>
    </row>
    <row r="91" spans="1:16" ht="15" x14ac:dyDescent="0.2">
      <c r="A91" s="826">
        <v>710</v>
      </c>
      <c r="B91" s="825">
        <v>159.38</v>
      </c>
      <c r="C91" s="827">
        <v>754</v>
      </c>
      <c r="D91" s="825">
        <v>172.16</v>
      </c>
      <c r="E91" s="827">
        <v>797</v>
      </c>
      <c r="F91" s="831">
        <v>210.98</v>
      </c>
      <c r="G91" s="835" t="s">
        <v>8832</v>
      </c>
      <c r="H91" s="832">
        <v>536.05999999999995</v>
      </c>
      <c r="K91" s="593">
        <v>1360</v>
      </c>
      <c r="L91" s="594" t="s">
        <v>8816</v>
      </c>
      <c r="M91" s="595">
        <v>25.21</v>
      </c>
      <c r="N91" s="13">
        <f t="shared" si="12"/>
        <v>1360</v>
      </c>
      <c r="P91" s="13">
        <f t="shared" si="13"/>
        <v>19</v>
      </c>
    </row>
    <row r="92" spans="1:16" ht="15" x14ac:dyDescent="0.2">
      <c r="A92" s="826">
        <v>711</v>
      </c>
      <c r="B92" s="825">
        <v>159.38</v>
      </c>
      <c r="C92" s="827">
        <v>755</v>
      </c>
      <c r="D92" s="825">
        <v>215.48</v>
      </c>
      <c r="E92" s="827">
        <v>798</v>
      </c>
      <c r="F92" s="831">
        <v>1754.1</v>
      </c>
      <c r="G92" s="827">
        <v>839</v>
      </c>
      <c r="H92" s="832">
        <v>295.68</v>
      </c>
      <c r="K92" s="593">
        <v>1361</v>
      </c>
      <c r="L92" s="594" t="s">
        <v>8816</v>
      </c>
      <c r="M92" s="595">
        <v>37.840000000000003</v>
      </c>
      <c r="N92" s="13" t="str">
        <f t="shared" si="12"/>
        <v>,</v>
      </c>
      <c r="P92" s="13" t="str">
        <f t="shared" si="13"/>
        <v/>
      </c>
    </row>
    <row r="93" spans="1:16" ht="15" x14ac:dyDescent="0.2">
      <c r="A93" s="826">
        <v>712</v>
      </c>
      <c r="B93" s="825">
        <v>159.38</v>
      </c>
      <c r="C93" s="827">
        <v>756</v>
      </c>
      <c r="D93" s="825">
        <v>173.1</v>
      </c>
      <c r="E93" s="827" t="s">
        <v>8833</v>
      </c>
      <c r="F93" s="831">
        <v>158.4</v>
      </c>
      <c r="G93" s="827">
        <v>840</v>
      </c>
      <c r="H93" s="832">
        <v>1966.04</v>
      </c>
      <c r="K93" s="593">
        <v>1362</v>
      </c>
      <c r="L93" s="594" t="s">
        <v>8804</v>
      </c>
      <c r="M93" s="595">
        <v>38.85</v>
      </c>
      <c r="N93" s="13" t="str">
        <f t="shared" si="12"/>
        <v>,</v>
      </c>
      <c r="P93" s="13" t="str">
        <f t="shared" si="13"/>
        <v/>
      </c>
    </row>
    <row r="94" spans="1:16" ht="15" x14ac:dyDescent="0.2">
      <c r="A94" s="826">
        <v>713</v>
      </c>
      <c r="B94" s="825">
        <v>159.38</v>
      </c>
      <c r="C94" s="827">
        <v>757</v>
      </c>
      <c r="D94" s="825">
        <v>191.34</v>
      </c>
      <c r="E94" s="827">
        <v>800</v>
      </c>
      <c r="F94" s="831">
        <v>2316.86</v>
      </c>
      <c r="G94" s="827">
        <v>841</v>
      </c>
      <c r="H94" s="832">
        <v>1476.2</v>
      </c>
      <c r="K94" s="593">
        <v>1395</v>
      </c>
      <c r="L94" s="594" t="s">
        <v>8804</v>
      </c>
      <c r="M94" s="595">
        <v>23.67</v>
      </c>
      <c r="N94" s="13">
        <f t="shared" si="12"/>
        <v>1395</v>
      </c>
      <c r="P94" s="13">
        <f t="shared" si="13"/>
        <v>11</v>
      </c>
    </row>
    <row r="95" spans="1:16" ht="15" x14ac:dyDescent="0.2">
      <c r="A95" s="826">
        <v>714</v>
      </c>
      <c r="B95" s="825">
        <v>159.38</v>
      </c>
      <c r="C95" s="827">
        <v>758</v>
      </c>
      <c r="D95" s="825">
        <v>1724.88</v>
      </c>
      <c r="E95" s="827">
        <v>801</v>
      </c>
      <c r="F95" s="831">
        <v>77.400000000000006</v>
      </c>
      <c r="G95" s="827">
        <v>842</v>
      </c>
      <c r="H95" s="832">
        <v>1503.54</v>
      </c>
      <c r="K95" s="593">
        <v>1420</v>
      </c>
      <c r="L95" s="594" t="s">
        <v>8804</v>
      </c>
      <c r="M95" s="595">
        <v>31.29</v>
      </c>
      <c r="N95" s="13">
        <f t="shared" si="12"/>
        <v>1420</v>
      </c>
      <c r="P95" s="13">
        <f t="shared" si="13"/>
        <v>12</v>
      </c>
    </row>
    <row r="96" spans="1:16" ht="15" x14ac:dyDescent="0.2">
      <c r="A96" s="827">
        <v>715</v>
      </c>
      <c r="B96" s="825">
        <v>159.38</v>
      </c>
      <c r="C96" s="827">
        <v>759</v>
      </c>
      <c r="D96" s="825">
        <v>99.8</v>
      </c>
      <c r="E96" s="827" t="s">
        <v>8834</v>
      </c>
      <c r="F96" s="831">
        <v>582.24</v>
      </c>
      <c r="G96" s="827">
        <v>843</v>
      </c>
      <c r="H96" s="836" t="s">
        <v>8835</v>
      </c>
    </row>
    <row r="97" spans="1:8" ht="15" x14ac:dyDescent="0.2">
      <c r="A97" s="827">
        <v>716</v>
      </c>
      <c r="B97" s="825">
        <v>159.38</v>
      </c>
      <c r="C97" s="827">
        <v>760</v>
      </c>
      <c r="D97" s="825">
        <v>151.22</v>
      </c>
      <c r="E97" s="827" t="s">
        <v>8836</v>
      </c>
      <c r="F97" s="831">
        <v>515.34</v>
      </c>
      <c r="G97" s="827">
        <v>844</v>
      </c>
      <c r="H97" s="825">
        <v>740.36</v>
      </c>
    </row>
    <row r="98" spans="1:8" ht="15" x14ac:dyDescent="0.2">
      <c r="A98" s="827">
        <v>717</v>
      </c>
      <c r="B98" s="825">
        <v>159.38</v>
      </c>
      <c r="C98" s="827">
        <v>761</v>
      </c>
      <c r="D98" s="825">
        <v>405.18</v>
      </c>
      <c r="E98" s="827">
        <v>804</v>
      </c>
      <c r="F98" s="831">
        <v>71.040000000000006</v>
      </c>
      <c r="G98" s="835" t="s">
        <v>8837</v>
      </c>
      <c r="H98" s="825">
        <v>792.18</v>
      </c>
    </row>
    <row r="99" spans="1:8" ht="15" x14ac:dyDescent="0.2">
      <c r="A99" s="525"/>
      <c r="B99" s="528"/>
      <c r="C99" s="525"/>
      <c r="D99" s="528"/>
      <c r="E99" s="525"/>
      <c r="F99" s="527"/>
      <c r="G99" s="535"/>
      <c r="H99" s="528"/>
    </row>
    <row r="100" spans="1:8" ht="15" x14ac:dyDescent="0.2">
      <c r="A100" s="525"/>
      <c r="B100" s="528"/>
      <c r="C100" s="525"/>
      <c r="D100" s="528"/>
      <c r="E100" s="525"/>
      <c r="F100" s="527"/>
      <c r="G100" s="535"/>
      <c r="H100" s="528"/>
    </row>
    <row r="101" spans="1:8" ht="18.75" x14ac:dyDescent="0.3">
      <c r="A101" s="523" t="s">
        <v>8793</v>
      </c>
      <c r="B101" s="528"/>
      <c r="C101" s="525"/>
      <c r="D101" s="526" t="s">
        <v>8794</v>
      </c>
      <c r="E101" s="525"/>
      <c r="F101" s="527"/>
      <c r="G101" s="533"/>
      <c r="H101" s="534"/>
    </row>
    <row r="102" spans="1:8" ht="15.75" x14ac:dyDescent="0.25">
      <c r="A102" s="529" t="s">
        <v>8770</v>
      </c>
      <c r="B102" s="528"/>
      <c r="C102" s="525"/>
      <c r="D102" s="528"/>
      <c r="E102" s="525"/>
      <c r="F102" s="527"/>
      <c r="G102" s="535"/>
      <c r="H102" s="534"/>
    </row>
    <row r="103" spans="1:8" ht="15" x14ac:dyDescent="0.2">
      <c r="A103" s="536" t="s">
        <v>8795</v>
      </c>
      <c r="B103" s="537"/>
      <c r="C103" s="525"/>
      <c r="D103" s="528"/>
      <c r="E103" s="525"/>
      <c r="F103" s="527"/>
      <c r="G103" s="538"/>
      <c r="H103" s="539"/>
    </row>
    <row r="104" spans="1:8" ht="15" x14ac:dyDescent="0.2">
      <c r="A104" s="817" t="s">
        <v>8780</v>
      </c>
      <c r="B104" s="818" t="s">
        <v>8177</v>
      </c>
      <c r="C104" s="837" t="s">
        <v>8780</v>
      </c>
      <c r="D104" s="837" t="s">
        <v>8177</v>
      </c>
      <c r="E104" s="837" t="s">
        <v>8780</v>
      </c>
      <c r="F104" s="838" t="s">
        <v>8177</v>
      </c>
      <c r="G104" s="818" t="s">
        <v>8780</v>
      </c>
      <c r="H104" s="820" t="s">
        <v>8177</v>
      </c>
    </row>
    <row r="105" spans="1:8" ht="15" x14ac:dyDescent="0.2">
      <c r="A105" s="826">
        <v>845</v>
      </c>
      <c r="B105" s="839" t="s">
        <v>8835</v>
      </c>
      <c r="C105" s="827">
        <v>889</v>
      </c>
      <c r="D105" s="825">
        <v>1545.06</v>
      </c>
      <c r="E105" s="827">
        <v>931</v>
      </c>
      <c r="F105" s="825">
        <v>1241.72</v>
      </c>
      <c r="G105" s="827">
        <v>975</v>
      </c>
      <c r="H105" s="832">
        <v>7621.02</v>
      </c>
    </row>
    <row r="106" spans="1:8" ht="15" x14ac:dyDescent="0.2">
      <c r="A106" s="826">
        <v>846</v>
      </c>
      <c r="B106" s="825">
        <v>14774.4</v>
      </c>
      <c r="C106" s="827">
        <v>890</v>
      </c>
      <c r="D106" s="836" t="s">
        <v>8835</v>
      </c>
      <c r="E106" s="827">
        <v>932</v>
      </c>
      <c r="F106" s="831">
        <v>457.82</v>
      </c>
      <c r="G106" s="827">
        <v>976</v>
      </c>
      <c r="H106" s="832">
        <v>113.84</v>
      </c>
    </row>
    <row r="107" spans="1:8" ht="15" x14ac:dyDescent="0.2">
      <c r="A107" s="826">
        <v>847</v>
      </c>
      <c r="B107" s="825">
        <v>807.2</v>
      </c>
      <c r="C107" s="827">
        <v>891</v>
      </c>
      <c r="D107" s="836" t="s">
        <v>8835</v>
      </c>
      <c r="E107" s="827">
        <v>933</v>
      </c>
      <c r="F107" s="831">
        <v>457.82</v>
      </c>
      <c r="G107" s="827">
        <v>977</v>
      </c>
      <c r="H107" s="832">
        <v>563.94000000000005</v>
      </c>
    </row>
    <row r="108" spans="1:8" ht="15" x14ac:dyDescent="0.2">
      <c r="A108" s="826">
        <v>848</v>
      </c>
      <c r="B108" s="825">
        <v>349.28</v>
      </c>
      <c r="C108" s="827">
        <v>892</v>
      </c>
      <c r="D108" s="825">
        <v>4418.54</v>
      </c>
      <c r="E108" s="827">
        <v>934</v>
      </c>
      <c r="F108" s="831">
        <v>457.82</v>
      </c>
      <c r="G108" s="827">
        <v>978</v>
      </c>
      <c r="H108" s="832">
        <v>563.94000000000005</v>
      </c>
    </row>
    <row r="109" spans="1:8" ht="15" x14ac:dyDescent="0.2">
      <c r="A109" s="826">
        <v>849</v>
      </c>
      <c r="B109" s="825">
        <v>63.36</v>
      </c>
      <c r="C109" s="827">
        <v>893</v>
      </c>
      <c r="D109" s="825">
        <v>4432.04</v>
      </c>
      <c r="E109" s="827">
        <v>935</v>
      </c>
      <c r="F109" s="831">
        <v>457.82</v>
      </c>
      <c r="G109" s="827">
        <v>979</v>
      </c>
      <c r="H109" s="832">
        <v>254.18</v>
      </c>
    </row>
    <row r="110" spans="1:8" ht="15" x14ac:dyDescent="0.2">
      <c r="A110" s="826">
        <v>850</v>
      </c>
      <c r="B110" s="825">
        <v>250.46</v>
      </c>
      <c r="C110" s="827">
        <v>894</v>
      </c>
      <c r="D110" s="829">
        <v>233.28</v>
      </c>
      <c r="E110" s="827">
        <v>936</v>
      </c>
      <c r="F110" s="831">
        <v>457.82</v>
      </c>
      <c r="G110" s="827">
        <v>980</v>
      </c>
      <c r="H110" s="832">
        <v>635.6</v>
      </c>
    </row>
    <row r="111" spans="1:8" ht="15" x14ac:dyDescent="0.2">
      <c r="A111" s="826">
        <v>851</v>
      </c>
      <c r="B111" s="836" t="s">
        <v>8835</v>
      </c>
      <c r="C111" s="827">
        <v>895</v>
      </c>
      <c r="D111" s="825">
        <v>1902.26</v>
      </c>
      <c r="E111" s="827">
        <v>937</v>
      </c>
      <c r="F111" s="831">
        <v>457.82</v>
      </c>
      <c r="G111" s="827">
        <v>981</v>
      </c>
      <c r="H111" s="832">
        <v>430.54</v>
      </c>
    </row>
    <row r="112" spans="1:8" ht="15" x14ac:dyDescent="0.2">
      <c r="A112" s="826">
        <v>852</v>
      </c>
      <c r="B112" s="836" t="s">
        <v>8835</v>
      </c>
      <c r="C112" s="827">
        <v>896</v>
      </c>
      <c r="D112" s="836" t="s">
        <v>8835</v>
      </c>
      <c r="E112" s="827">
        <v>938</v>
      </c>
      <c r="F112" s="831">
        <v>457.82</v>
      </c>
      <c r="G112" s="827">
        <v>982</v>
      </c>
      <c r="H112" s="832">
        <v>531.12</v>
      </c>
    </row>
    <row r="113" spans="1:8" ht="15" x14ac:dyDescent="0.2">
      <c r="A113" s="826">
        <v>853</v>
      </c>
      <c r="B113" s="825">
        <v>2403.02</v>
      </c>
      <c r="C113" s="827">
        <v>897</v>
      </c>
      <c r="D113" s="825">
        <v>1722.24</v>
      </c>
      <c r="E113" s="827">
        <v>939</v>
      </c>
      <c r="F113" s="831">
        <v>457.82</v>
      </c>
      <c r="G113" s="827">
        <v>983</v>
      </c>
      <c r="H113" s="832">
        <v>672.48</v>
      </c>
    </row>
    <row r="114" spans="1:8" ht="15" x14ac:dyDescent="0.2">
      <c r="A114" s="826">
        <v>854</v>
      </c>
      <c r="B114" s="836" t="s">
        <v>8835</v>
      </c>
      <c r="C114" s="827">
        <v>898</v>
      </c>
      <c r="D114" s="825">
        <v>1722.24</v>
      </c>
      <c r="E114" s="827">
        <v>940</v>
      </c>
      <c r="F114" s="831">
        <v>457.82</v>
      </c>
      <c r="G114" s="827">
        <v>984</v>
      </c>
      <c r="H114" s="832">
        <v>112.98</v>
      </c>
    </row>
    <row r="115" spans="1:8" ht="15" x14ac:dyDescent="0.2">
      <c r="A115" s="826">
        <v>855</v>
      </c>
      <c r="B115" s="825">
        <v>106.14</v>
      </c>
      <c r="C115" s="827">
        <v>899</v>
      </c>
      <c r="D115" s="825">
        <v>9750.6200000000008</v>
      </c>
      <c r="E115" s="827">
        <v>941</v>
      </c>
      <c r="F115" s="831">
        <v>457.82</v>
      </c>
      <c r="G115" s="827">
        <v>985</v>
      </c>
      <c r="H115" s="832">
        <v>91.38</v>
      </c>
    </row>
    <row r="116" spans="1:8" ht="15" x14ac:dyDescent="0.2">
      <c r="A116" s="826">
        <v>856</v>
      </c>
      <c r="B116" s="836" t="s">
        <v>8835</v>
      </c>
      <c r="C116" s="827">
        <v>900</v>
      </c>
      <c r="D116" s="825">
        <v>10337.06</v>
      </c>
      <c r="E116" s="827">
        <v>942</v>
      </c>
      <c r="F116" s="831">
        <v>963.78</v>
      </c>
      <c r="G116" s="827">
        <v>986</v>
      </c>
      <c r="H116" s="832">
        <v>225.56</v>
      </c>
    </row>
    <row r="117" spans="1:8" ht="15" x14ac:dyDescent="0.2">
      <c r="A117" s="826">
        <v>857</v>
      </c>
      <c r="B117" s="825">
        <v>213.2</v>
      </c>
      <c r="C117" s="827">
        <v>901</v>
      </c>
      <c r="D117" s="825">
        <v>82.88</v>
      </c>
      <c r="E117" s="827">
        <v>943</v>
      </c>
      <c r="F117" s="831">
        <v>1261.02</v>
      </c>
      <c r="G117" s="827">
        <v>987</v>
      </c>
      <c r="H117" s="832">
        <v>3383</v>
      </c>
    </row>
    <row r="118" spans="1:8" ht="15" x14ac:dyDescent="0.2">
      <c r="A118" s="826">
        <v>858</v>
      </c>
      <c r="B118" s="825">
        <v>950.3</v>
      </c>
      <c r="C118" s="827">
        <v>902</v>
      </c>
      <c r="D118" s="825">
        <v>4328.3999999999996</v>
      </c>
      <c r="E118" s="827">
        <v>944</v>
      </c>
      <c r="F118" s="831">
        <v>1096.74</v>
      </c>
      <c r="G118" s="827">
        <v>988</v>
      </c>
      <c r="H118" s="832">
        <v>3291.48</v>
      </c>
    </row>
    <row r="119" spans="1:8" ht="15" x14ac:dyDescent="0.2">
      <c r="A119" s="826">
        <v>859</v>
      </c>
      <c r="B119" s="825">
        <v>3167.94</v>
      </c>
      <c r="C119" s="827">
        <v>903</v>
      </c>
      <c r="D119" s="825">
        <v>5399.1</v>
      </c>
      <c r="E119" s="827">
        <v>945</v>
      </c>
      <c r="F119" s="831">
        <v>1581.92</v>
      </c>
      <c r="G119" s="827">
        <v>989</v>
      </c>
      <c r="H119" s="832">
        <v>3495.8</v>
      </c>
    </row>
    <row r="120" spans="1:8" ht="15" x14ac:dyDescent="0.2">
      <c r="A120" s="826">
        <v>860</v>
      </c>
      <c r="B120" s="836" t="s">
        <v>8835</v>
      </c>
      <c r="C120" s="827">
        <v>904</v>
      </c>
      <c r="D120" s="825">
        <v>5399.1</v>
      </c>
      <c r="E120" s="827">
        <v>946</v>
      </c>
      <c r="F120" s="840" t="s">
        <v>8835</v>
      </c>
      <c r="G120" s="827">
        <v>990</v>
      </c>
      <c r="H120" s="832">
        <v>4137.0200000000004</v>
      </c>
    </row>
    <row r="121" spans="1:8" ht="15" x14ac:dyDescent="0.2">
      <c r="A121" s="826">
        <v>861</v>
      </c>
      <c r="B121" s="825">
        <v>176.34</v>
      </c>
      <c r="C121" s="827">
        <v>905</v>
      </c>
      <c r="D121" s="825">
        <v>5399.1</v>
      </c>
      <c r="E121" s="827">
        <v>947</v>
      </c>
      <c r="F121" s="831">
        <v>399.9</v>
      </c>
      <c r="G121" s="827">
        <v>991</v>
      </c>
      <c r="H121" s="832">
        <v>3949.32</v>
      </c>
    </row>
    <row r="122" spans="1:8" ht="15" x14ac:dyDescent="0.2">
      <c r="A122" s="826">
        <v>862</v>
      </c>
      <c r="B122" s="836" t="s">
        <v>8835</v>
      </c>
      <c r="C122" s="827">
        <v>906</v>
      </c>
      <c r="D122" s="825">
        <v>472.8</v>
      </c>
      <c r="E122" s="827">
        <v>948</v>
      </c>
      <c r="F122" s="831">
        <v>399.9</v>
      </c>
      <c r="G122" s="827">
        <v>992</v>
      </c>
      <c r="H122" s="832">
        <v>7176.06</v>
      </c>
    </row>
    <row r="123" spans="1:8" ht="15" x14ac:dyDescent="0.2">
      <c r="A123" s="826">
        <v>863</v>
      </c>
      <c r="B123" s="825">
        <v>2685.06</v>
      </c>
      <c r="C123" s="827">
        <v>907</v>
      </c>
      <c r="D123" s="825">
        <v>4082.4</v>
      </c>
      <c r="E123" s="827">
        <v>949</v>
      </c>
      <c r="F123" s="831">
        <v>410.04</v>
      </c>
      <c r="G123" s="827">
        <v>993</v>
      </c>
      <c r="H123" s="832">
        <v>4942.88</v>
      </c>
    </row>
    <row r="124" spans="1:8" ht="15" x14ac:dyDescent="0.2">
      <c r="A124" s="826">
        <v>864</v>
      </c>
      <c r="B124" s="825">
        <v>4027.58</v>
      </c>
      <c r="C124" s="827">
        <v>908</v>
      </c>
      <c r="D124" s="825">
        <v>4660.74</v>
      </c>
      <c r="E124" s="827">
        <v>950</v>
      </c>
      <c r="F124" s="831">
        <v>156.97999999999999</v>
      </c>
      <c r="G124" s="827">
        <v>994</v>
      </c>
      <c r="H124" s="832">
        <v>7641.98</v>
      </c>
    </row>
    <row r="125" spans="1:8" ht="15" x14ac:dyDescent="0.2">
      <c r="A125" s="826">
        <v>865</v>
      </c>
      <c r="B125" s="836" t="s">
        <v>8835</v>
      </c>
      <c r="C125" s="827">
        <v>909</v>
      </c>
      <c r="D125" s="825">
        <v>895.08</v>
      </c>
      <c r="E125" s="827">
        <v>951</v>
      </c>
      <c r="F125" s="831">
        <v>567.55999999999995</v>
      </c>
      <c r="G125" s="827">
        <v>995</v>
      </c>
      <c r="H125" s="832">
        <v>8913.3799999999992</v>
      </c>
    </row>
    <row r="126" spans="1:8" ht="15" x14ac:dyDescent="0.2">
      <c r="A126" s="826">
        <v>866</v>
      </c>
      <c r="B126" s="836" t="s">
        <v>8835</v>
      </c>
      <c r="C126" s="827">
        <v>910</v>
      </c>
      <c r="D126" s="825">
        <v>863.84</v>
      </c>
      <c r="E126" s="827">
        <v>952</v>
      </c>
      <c r="F126" s="831">
        <v>567.55999999999995</v>
      </c>
      <c r="G126" s="827">
        <v>996</v>
      </c>
      <c r="H126" s="832">
        <v>10710.12</v>
      </c>
    </row>
    <row r="127" spans="1:8" ht="15" x14ac:dyDescent="0.2">
      <c r="A127" s="826">
        <v>867</v>
      </c>
      <c r="B127" s="825">
        <v>3044.42</v>
      </c>
      <c r="C127" s="827">
        <v>911</v>
      </c>
      <c r="D127" s="825">
        <v>136.52000000000001</v>
      </c>
      <c r="E127" s="827">
        <v>953</v>
      </c>
      <c r="F127" s="831">
        <v>210.44</v>
      </c>
      <c r="G127" s="827">
        <v>997</v>
      </c>
      <c r="H127" s="832">
        <v>10727.66</v>
      </c>
    </row>
    <row r="128" spans="1:8" ht="15" x14ac:dyDescent="0.2">
      <c r="A128" s="841" t="s">
        <v>8838</v>
      </c>
      <c r="B128" s="825">
        <v>368.58</v>
      </c>
      <c r="C128" s="827">
        <v>912</v>
      </c>
      <c r="D128" s="825">
        <v>824.22</v>
      </c>
      <c r="E128" s="827">
        <v>954</v>
      </c>
      <c r="F128" s="831">
        <v>210.98</v>
      </c>
      <c r="G128" s="827">
        <v>998</v>
      </c>
      <c r="H128" s="832">
        <v>276.86</v>
      </c>
    </row>
    <row r="129" spans="1:8" ht="15" x14ac:dyDescent="0.2">
      <c r="A129" s="841" t="s">
        <v>8839</v>
      </c>
      <c r="B129" s="825">
        <v>349.28</v>
      </c>
      <c r="C129" s="827">
        <v>913</v>
      </c>
      <c r="D129" s="825">
        <v>1214.3599999999999</v>
      </c>
      <c r="E129" s="827">
        <v>955</v>
      </c>
      <c r="F129" s="831">
        <v>249.06</v>
      </c>
      <c r="G129" s="827">
        <v>999</v>
      </c>
      <c r="H129" s="832">
        <v>1244.1600000000001</v>
      </c>
    </row>
    <row r="130" spans="1:8" ht="15" x14ac:dyDescent="0.2">
      <c r="A130" s="826">
        <v>870</v>
      </c>
      <c r="B130" s="825">
        <v>5399.22</v>
      </c>
      <c r="C130" s="827">
        <v>914</v>
      </c>
      <c r="D130" s="825">
        <v>2524.14</v>
      </c>
      <c r="E130" s="827">
        <v>956</v>
      </c>
      <c r="F130" s="831">
        <v>250.76</v>
      </c>
      <c r="G130" s="827">
        <v>1000</v>
      </c>
      <c r="H130" s="832">
        <v>3326.52</v>
      </c>
    </row>
    <row r="131" spans="1:8" ht="15" x14ac:dyDescent="0.2">
      <c r="A131" s="826">
        <v>871</v>
      </c>
      <c r="B131" s="825">
        <v>162.18</v>
      </c>
      <c r="C131" s="827">
        <v>915</v>
      </c>
      <c r="D131" s="825">
        <v>632.64</v>
      </c>
      <c r="E131" s="827">
        <v>957</v>
      </c>
      <c r="F131" s="842" t="s">
        <v>8835</v>
      </c>
      <c r="G131" s="827">
        <v>1001</v>
      </c>
      <c r="H131" s="832">
        <v>57.68</v>
      </c>
    </row>
    <row r="132" spans="1:8" ht="15" x14ac:dyDescent="0.2">
      <c r="A132" s="826">
        <v>872</v>
      </c>
      <c r="B132" s="825">
        <v>711.56</v>
      </c>
      <c r="C132" s="827">
        <v>916</v>
      </c>
      <c r="D132" s="825">
        <v>1125.92</v>
      </c>
      <c r="E132" s="827">
        <v>958</v>
      </c>
      <c r="F132" s="831">
        <v>1231.04</v>
      </c>
      <c r="G132" s="827">
        <v>1002</v>
      </c>
      <c r="H132" s="832">
        <v>56.46</v>
      </c>
    </row>
    <row r="133" spans="1:8" ht="15" x14ac:dyDescent="0.2">
      <c r="A133" s="826">
        <v>873</v>
      </c>
      <c r="B133" s="836" t="s">
        <v>8835</v>
      </c>
      <c r="C133" s="827">
        <v>917</v>
      </c>
      <c r="D133" s="825">
        <v>353.72</v>
      </c>
      <c r="E133" s="827">
        <v>959</v>
      </c>
      <c r="F133" s="831">
        <v>1372.94</v>
      </c>
      <c r="G133" s="827">
        <v>1003</v>
      </c>
      <c r="H133" s="832">
        <v>261.38</v>
      </c>
    </row>
    <row r="134" spans="1:8" ht="15" x14ac:dyDescent="0.2">
      <c r="A134" s="826">
        <v>874</v>
      </c>
      <c r="B134" s="825">
        <v>736.14</v>
      </c>
      <c r="C134" s="827">
        <v>918</v>
      </c>
      <c r="D134" s="825">
        <v>1073.02</v>
      </c>
      <c r="E134" s="827">
        <v>960</v>
      </c>
      <c r="F134" s="828">
        <v>1122.6600000000001</v>
      </c>
      <c r="G134" s="827">
        <v>1004</v>
      </c>
      <c r="H134" s="832">
        <v>358.86</v>
      </c>
    </row>
    <row r="135" spans="1:8" ht="15" x14ac:dyDescent="0.2">
      <c r="A135" s="826">
        <v>875</v>
      </c>
      <c r="B135" s="836" t="s">
        <v>8835</v>
      </c>
      <c r="C135" s="827" t="s">
        <v>8840</v>
      </c>
      <c r="D135" s="825">
        <v>1148.1600000000001</v>
      </c>
      <c r="E135" s="827">
        <v>961</v>
      </c>
      <c r="F135" s="831">
        <v>778.98</v>
      </c>
      <c r="G135" s="835" t="s">
        <v>8841</v>
      </c>
      <c r="H135" s="832">
        <v>212.6</v>
      </c>
    </row>
    <row r="136" spans="1:8" ht="15" x14ac:dyDescent="0.2">
      <c r="A136" s="826">
        <v>876</v>
      </c>
      <c r="B136" s="825">
        <v>585.79999999999995</v>
      </c>
      <c r="C136" s="827">
        <v>919</v>
      </c>
      <c r="D136" s="825">
        <v>698.48</v>
      </c>
      <c r="E136" s="827">
        <v>962</v>
      </c>
      <c r="F136" s="831">
        <v>836.76</v>
      </c>
      <c r="G136" s="827">
        <v>1006</v>
      </c>
      <c r="H136" s="832">
        <v>420.38</v>
      </c>
    </row>
    <row r="137" spans="1:8" ht="15" x14ac:dyDescent="0.2">
      <c r="A137" s="826">
        <v>877</v>
      </c>
      <c r="B137" s="836">
        <v>712.26</v>
      </c>
      <c r="C137" s="827" t="s">
        <v>8842</v>
      </c>
      <c r="D137" s="825">
        <v>758.6</v>
      </c>
      <c r="E137" s="827">
        <v>963</v>
      </c>
      <c r="F137" s="831">
        <v>1030.76</v>
      </c>
      <c r="G137" s="827">
        <v>1007</v>
      </c>
      <c r="H137" s="832">
        <v>189.54</v>
      </c>
    </row>
    <row r="138" spans="1:8" ht="15" x14ac:dyDescent="0.2">
      <c r="A138" s="826">
        <v>878</v>
      </c>
      <c r="B138" s="836">
        <v>918.82</v>
      </c>
      <c r="C138" s="827">
        <v>920</v>
      </c>
      <c r="D138" s="825">
        <v>1683.98</v>
      </c>
      <c r="E138" s="827">
        <v>964</v>
      </c>
      <c r="F138" s="831">
        <v>5987.52</v>
      </c>
      <c r="G138" s="827" t="s">
        <v>8843</v>
      </c>
      <c r="H138" s="832">
        <v>133.28</v>
      </c>
    </row>
    <row r="139" spans="1:8" ht="15" x14ac:dyDescent="0.2">
      <c r="A139" s="826">
        <v>879</v>
      </c>
      <c r="B139" s="836" t="s">
        <v>8835</v>
      </c>
      <c r="C139" s="827">
        <v>921</v>
      </c>
      <c r="D139" s="825">
        <v>1677.14</v>
      </c>
      <c r="E139" s="827">
        <v>965</v>
      </c>
      <c r="F139" s="831">
        <v>8164.8</v>
      </c>
      <c r="G139" s="827" t="s">
        <v>8844</v>
      </c>
      <c r="H139" s="843" t="s">
        <v>8835</v>
      </c>
    </row>
    <row r="140" spans="1:8" ht="15" x14ac:dyDescent="0.2">
      <c r="A140" s="826">
        <v>880</v>
      </c>
      <c r="B140" s="836" t="s">
        <v>8835</v>
      </c>
      <c r="C140" s="827">
        <v>922</v>
      </c>
      <c r="D140" s="836" t="s">
        <v>8835</v>
      </c>
      <c r="E140" s="827">
        <v>966</v>
      </c>
      <c r="F140" s="831">
        <v>215.3</v>
      </c>
      <c r="G140" s="827">
        <v>1009</v>
      </c>
      <c r="H140" s="832">
        <v>194.84</v>
      </c>
    </row>
    <row r="141" spans="1:8" ht="15" x14ac:dyDescent="0.2">
      <c r="A141" s="841" t="s">
        <v>8845</v>
      </c>
      <c r="B141" s="825">
        <v>430.56</v>
      </c>
      <c r="C141" s="827">
        <v>923</v>
      </c>
      <c r="D141" s="825">
        <v>1877.76</v>
      </c>
      <c r="E141" s="827">
        <v>967</v>
      </c>
      <c r="F141" s="831">
        <v>1221.1199999999999</v>
      </c>
      <c r="G141" s="827">
        <v>1010</v>
      </c>
      <c r="H141" s="832">
        <v>427.32</v>
      </c>
    </row>
    <row r="142" spans="1:8" ht="15" x14ac:dyDescent="0.2">
      <c r="A142" s="841" t="s">
        <v>8846</v>
      </c>
      <c r="B142" s="825">
        <v>143.54</v>
      </c>
      <c r="C142" s="827">
        <v>924</v>
      </c>
      <c r="D142" s="825">
        <v>4796.82</v>
      </c>
      <c r="E142" s="827">
        <v>968</v>
      </c>
      <c r="F142" s="831">
        <v>1255.26</v>
      </c>
      <c r="G142" s="827">
        <v>1011</v>
      </c>
      <c r="H142" s="832">
        <v>164.28</v>
      </c>
    </row>
    <row r="143" spans="1:8" ht="15" x14ac:dyDescent="0.2">
      <c r="A143" s="841" t="s">
        <v>8847</v>
      </c>
      <c r="B143" s="825">
        <v>215.3</v>
      </c>
      <c r="C143" s="827">
        <v>925</v>
      </c>
      <c r="D143" s="825">
        <v>1241.72</v>
      </c>
      <c r="E143" s="827">
        <v>969</v>
      </c>
      <c r="F143" s="831">
        <v>1309.76</v>
      </c>
      <c r="G143" s="827">
        <v>1012</v>
      </c>
      <c r="H143" s="832">
        <v>153.9</v>
      </c>
    </row>
    <row r="144" spans="1:8" ht="15" x14ac:dyDescent="0.2">
      <c r="A144" s="826">
        <v>884</v>
      </c>
      <c r="B144" s="825">
        <v>10996.02</v>
      </c>
      <c r="C144" s="827">
        <v>926</v>
      </c>
      <c r="D144" s="825">
        <v>1241.72</v>
      </c>
      <c r="E144" s="827">
        <v>970</v>
      </c>
      <c r="F144" s="831">
        <v>1353.96</v>
      </c>
      <c r="G144" s="835" t="s">
        <v>8848</v>
      </c>
      <c r="H144" s="832">
        <v>550.38</v>
      </c>
    </row>
    <row r="145" spans="1:8" ht="15" x14ac:dyDescent="0.2">
      <c r="A145" s="827">
        <v>885</v>
      </c>
      <c r="B145" s="836" t="s">
        <v>8835</v>
      </c>
      <c r="C145" s="827">
        <v>927</v>
      </c>
      <c r="D145" s="825">
        <v>1241.72</v>
      </c>
      <c r="E145" s="827">
        <v>971</v>
      </c>
      <c r="F145" s="831">
        <v>94.4</v>
      </c>
      <c r="G145" s="827">
        <v>1014</v>
      </c>
      <c r="H145" s="842" t="s">
        <v>8835</v>
      </c>
    </row>
    <row r="146" spans="1:8" ht="15" x14ac:dyDescent="0.2">
      <c r="A146" s="827">
        <v>886</v>
      </c>
      <c r="B146" s="836" t="s">
        <v>8835</v>
      </c>
      <c r="C146" s="827">
        <v>928</v>
      </c>
      <c r="D146" s="825">
        <v>1241.72</v>
      </c>
      <c r="E146" s="827">
        <v>972</v>
      </c>
      <c r="F146" s="831">
        <v>707.3</v>
      </c>
      <c r="G146" s="827">
        <v>1015</v>
      </c>
      <c r="H146" s="825">
        <v>138.5</v>
      </c>
    </row>
    <row r="147" spans="1:8" ht="15" x14ac:dyDescent="0.2">
      <c r="A147" s="827">
        <v>887</v>
      </c>
      <c r="B147" s="836" t="s">
        <v>8835</v>
      </c>
      <c r="C147" s="827">
        <v>929</v>
      </c>
      <c r="D147" s="825">
        <v>1241.72</v>
      </c>
      <c r="E147" s="827">
        <v>973</v>
      </c>
      <c r="F147" s="831">
        <v>271.52</v>
      </c>
      <c r="G147" s="827">
        <v>1016</v>
      </c>
      <c r="H147" s="825">
        <v>301.32</v>
      </c>
    </row>
    <row r="148" spans="1:8" ht="15" x14ac:dyDescent="0.2">
      <c r="A148" s="827">
        <v>888</v>
      </c>
      <c r="B148" s="836" t="s">
        <v>8835</v>
      </c>
      <c r="C148" s="827">
        <v>930</v>
      </c>
      <c r="D148" s="825">
        <v>1241.72</v>
      </c>
      <c r="E148" s="827">
        <v>974</v>
      </c>
      <c r="F148" s="831">
        <v>2070.8000000000002</v>
      </c>
      <c r="G148" s="827">
        <v>1017</v>
      </c>
      <c r="H148" s="825">
        <v>345.32</v>
      </c>
    </row>
    <row r="149" spans="1:8" ht="15" x14ac:dyDescent="0.2">
      <c r="A149" s="543"/>
      <c r="B149" s="1224"/>
      <c r="C149" s="543"/>
      <c r="D149" s="1225"/>
      <c r="E149" s="543"/>
      <c r="F149" s="1226"/>
      <c r="G149" s="543"/>
      <c r="H149" s="1225"/>
    </row>
    <row r="150" spans="1:8" ht="15" x14ac:dyDescent="0.2">
      <c r="A150" s="543"/>
      <c r="B150" s="1224"/>
      <c r="C150" s="543"/>
      <c r="D150" s="1225"/>
      <c r="E150" s="543"/>
      <c r="F150" s="1226"/>
      <c r="G150" s="543"/>
      <c r="H150" s="1225"/>
    </row>
    <row r="151" spans="1:8" ht="18.75" x14ac:dyDescent="0.3">
      <c r="A151" s="540" t="s">
        <v>8793</v>
      </c>
      <c r="B151" s="541"/>
      <c r="C151" s="541"/>
      <c r="D151" s="542" t="s">
        <v>8849</v>
      </c>
      <c r="E151" s="541"/>
      <c r="F151" s="541"/>
      <c r="G151" s="541"/>
      <c r="H151" s="543"/>
    </row>
    <row r="152" spans="1:8" ht="15.75" x14ac:dyDescent="0.25">
      <c r="A152" s="542" t="s">
        <v>8770</v>
      </c>
      <c r="B152" s="541"/>
      <c r="C152" s="541"/>
      <c r="D152" s="541"/>
      <c r="E152" s="541"/>
      <c r="F152" s="541"/>
      <c r="G152" s="541"/>
      <c r="H152" s="543"/>
    </row>
    <row r="153" spans="1:8" ht="15" x14ac:dyDescent="0.2">
      <c r="A153" s="544" t="s">
        <v>8795</v>
      </c>
      <c r="B153" s="545"/>
      <c r="C153" s="545"/>
      <c r="D153" s="545"/>
      <c r="E153" s="545"/>
      <c r="F153" s="545"/>
      <c r="G153" s="545"/>
      <c r="H153" s="546"/>
    </row>
    <row r="154" spans="1:8" ht="15" x14ac:dyDescent="0.2">
      <c r="A154" s="817" t="s">
        <v>8780</v>
      </c>
      <c r="B154" s="818" t="s">
        <v>8177</v>
      </c>
      <c r="C154" s="818" t="s">
        <v>8780</v>
      </c>
      <c r="D154" s="818" t="s">
        <v>8177</v>
      </c>
      <c r="E154" s="818" t="s">
        <v>8780</v>
      </c>
      <c r="F154" s="819" t="s">
        <v>8177</v>
      </c>
      <c r="G154" s="818" t="s">
        <v>8780</v>
      </c>
      <c r="H154" s="820" t="s">
        <v>8177</v>
      </c>
    </row>
    <row r="155" spans="1:8" ht="15" x14ac:dyDescent="0.2">
      <c r="A155" s="826">
        <v>1018</v>
      </c>
      <c r="B155" s="829">
        <v>635.6</v>
      </c>
      <c r="C155" s="827">
        <v>1060</v>
      </c>
      <c r="D155" s="825">
        <v>292.04000000000002</v>
      </c>
      <c r="E155" s="827">
        <v>1099</v>
      </c>
      <c r="F155" s="840" t="s">
        <v>8835</v>
      </c>
      <c r="G155" s="827">
        <v>1142</v>
      </c>
      <c r="H155" s="832">
        <v>1093.76</v>
      </c>
    </row>
    <row r="156" spans="1:8" ht="15" x14ac:dyDescent="0.2">
      <c r="A156" s="826">
        <v>1019</v>
      </c>
      <c r="B156" s="825">
        <v>625.34</v>
      </c>
      <c r="C156" s="827" t="s">
        <v>8850</v>
      </c>
      <c r="D156" s="825">
        <v>1845.2</v>
      </c>
      <c r="E156" s="827">
        <v>1100</v>
      </c>
      <c r="F156" s="831">
        <v>282.95999999999998</v>
      </c>
      <c r="G156" s="827" t="s">
        <v>8851</v>
      </c>
      <c r="H156" s="832">
        <v>1170.3</v>
      </c>
    </row>
    <row r="157" spans="1:8" ht="15" x14ac:dyDescent="0.2">
      <c r="A157" s="826">
        <v>1020</v>
      </c>
      <c r="B157" s="825">
        <v>212.22</v>
      </c>
      <c r="C157" s="827" t="s">
        <v>8852</v>
      </c>
      <c r="D157" s="825">
        <v>4510.6400000000003</v>
      </c>
      <c r="E157" s="827">
        <v>1101</v>
      </c>
      <c r="F157" s="831">
        <v>294.2</v>
      </c>
      <c r="G157" s="827">
        <v>1143</v>
      </c>
      <c r="H157" s="832">
        <v>259.04000000000002</v>
      </c>
    </row>
    <row r="158" spans="1:8" ht="15" x14ac:dyDescent="0.2">
      <c r="A158" s="826">
        <v>1021</v>
      </c>
      <c r="B158" s="836" t="s">
        <v>8835</v>
      </c>
      <c r="C158" s="827">
        <v>1062</v>
      </c>
      <c r="D158" s="825">
        <v>1391.04</v>
      </c>
      <c r="E158" s="835" t="s">
        <v>8853</v>
      </c>
      <c r="F158" s="831">
        <v>119.64</v>
      </c>
      <c r="G158" s="827">
        <v>1144</v>
      </c>
      <c r="H158" s="832">
        <v>1486.52</v>
      </c>
    </row>
    <row r="159" spans="1:8" ht="15" x14ac:dyDescent="0.2">
      <c r="A159" s="826">
        <v>1022</v>
      </c>
      <c r="B159" s="836" t="s">
        <v>8835</v>
      </c>
      <c r="C159" s="827">
        <v>1063</v>
      </c>
      <c r="D159" s="825">
        <v>1342.2</v>
      </c>
      <c r="E159" s="827">
        <v>1103</v>
      </c>
      <c r="F159" s="844" t="s">
        <v>8835</v>
      </c>
      <c r="G159" s="827">
        <v>1145</v>
      </c>
      <c r="H159" s="832">
        <v>1414.7</v>
      </c>
    </row>
    <row r="160" spans="1:8" ht="15" x14ac:dyDescent="0.2">
      <c r="A160" s="826" t="s">
        <v>8854</v>
      </c>
      <c r="B160" s="825">
        <v>895.62</v>
      </c>
      <c r="C160" s="827">
        <v>1064</v>
      </c>
      <c r="D160" s="825">
        <v>800.72</v>
      </c>
      <c r="E160" s="827">
        <v>1104</v>
      </c>
      <c r="F160" s="844" t="s">
        <v>8835</v>
      </c>
      <c r="G160" s="827">
        <v>1146</v>
      </c>
      <c r="H160" s="832">
        <v>2224.64</v>
      </c>
    </row>
    <row r="161" spans="1:8" ht="15" x14ac:dyDescent="0.2">
      <c r="A161" s="826" t="s">
        <v>8855</v>
      </c>
      <c r="B161" s="825">
        <v>1240.5</v>
      </c>
      <c r="C161" s="827">
        <v>1065</v>
      </c>
      <c r="D161" s="825">
        <v>1416.44</v>
      </c>
      <c r="E161" s="835" t="s">
        <v>8856</v>
      </c>
      <c r="F161" s="831">
        <v>4900.26</v>
      </c>
      <c r="G161" s="827">
        <v>1147</v>
      </c>
      <c r="H161" s="832">
        <v>156.08000000000001</v>
      </c>
    </row>
    <row r="162" spans="1:8" ht="15" x14ac:dyDescent="0.2">
      <c r="A162" s="826" t="s">
        <v>8857</v>
      </c>
      <c r="B162" s="825">
        <v>511.14</v>
      </c>
      <c r="C162" s="827">
        <v>1066</v>
      </c>
      <c r="D162" s="825">
        <v>2600.66</v>
      </c>
      <c r="E162" s="827">
        <v>1106</v>
      </c>
      <c r="F162" s="831">
        <v>3153.36</v>
      </c>
      <c r="G162" s="827">
        <v>1148</v>
      </c>
      <c r="H162" s="832">
        <v>6725</v>
      </c>
    </row>
    <row r="163" spans="1:8" ht="15" x14ac:dyDescent="0.2">
      <c r="A163" s="826" t="s">
        <v>8858</v>
      </c>
      <c r="B163" s="836" t="s">
        <v>8835</v>
      </c>
      <c r="C163" s="827" t="s">
        <v>8859</v>
      </c>
      <c r="D163" s="825">
        <v>3604.5</v>
      </c>
      <c r="E163" s="827">
        <v>1107</v>
      </c>
      <c r="F163" s="844" t="s">
        <v>8835</v>
      </c>
      <c r="G163" s="827">
        <v>1149</v>
      </c>
      <c r="H163" s="832">
        <v>7770.72</v>
      </c>
    </row>
    <row r="164" spans="1:8" ht="15" x14ac:dyDescent="0.2">
      <c r="A164" s="826">
        <v>1026</v>
      </c>
      <c r="B164" s="836" t="s">
        <v>8835</v>
      </c>
      <c r="C164" s="827">
        <v>1068</v>
      </c>
      <c r="D164" s="836" t="s">
        <v>8860</v>
      </c>
      <c r="E164" s="835" t="s">
        <v>8861</v>
      </c>
      <c r="F164" s="831">
        <v>142.4</v>
      </c>
      <c r="G164" s="827">
        <v>1150</v>
      </c>
      <c r="H164" s="832">
        <v>4340.7</v>
      </c>
    </row>
    <row r="165" spans="1:8" ht="15" x14ac:dyDescent="0.2">
      <c r="A165" s="826">
        <v>1027</v>
      </c>
      <c r="B165" s="836" t="s">
        <v>8835</v>
      </c>
      <c r="C165" s="827">
        <v>1069</v>
      </c>
      <c r="D165" s="825">
        <v>3310.1</v>
      </c>
      <c r="E165" s="835" t="s">
        <v>8862</v>
      </c>
      <c r="F165" s="831">
        <v>111.14</v>
      </c>
      <c r="G165" s="827">
        <v>1151</v>
      </c>
      <c r="H165" s="832">
        <v>3208.04</v>
      </c>
    </row>
    <row r="166" spans="1:8" ht="15" x14ac:dyDescent="0.2">
      <c r="A166" s="826">
        <v>1028</v>
      </c>
      <c r="B166" s="836" t="s">
        <v>8835</v>
      </c>
      <c r="C166" s="827">
        <v>1070</v>
      </c>
      <c r="D166" s="825">
        <v>3310.1</v>
      </c>
      <c r="E166" s="827">
        <v>1110</v>
      </c>
      <c r="F166" s="831">
        <v>342.9</v>
      </c>
      <c r="G166" s="827" t="s">
        <v>8863</v>
      </c>
      <c r="H166" s="832">
        <v>220.34</v>
      </c>
    </row>
    <row r="167" spans="1:8" ht="15" x14ac:dyDescent="0.2">
      <c r="A167" s="826">
        <v>1029</v>
      </c>
      <c r="B167" s="829">
        <v>1244.1600000000001</v>
      </c>
      <c r="C167" s="827">
        <v>1071</v>
      </c>
      <c r="D167" s="825">
        <v>244.08</v>
      </c>
      <c r="E167" s="827">
        <v>1111</v>
      </c>
      <c r="F167" s="831">
        <v>1609.5</v>
      </c>
      <c r="G167" s="827" t="s">
        <v>8864</v>
      </c>
      <c r="H167" s="832">
        <v>338.34</v>
      </c>
    </row>
    <row r="168" spans="1:8" ht="15" x14ac:dyDescent="0.2">
      <c r="A168" s="826">
        <v>1030</v>
      </c>
      <c r="B168" s="836" t="s">
        <v>8835</v>
      </c>
      <c r="C168" s="827" t="s">
        <v>8865</v>
      </c>
      <c r="D168" s="836" t="s">
        <v>8835</v>
      </c>
      <c r="E168" s="827">
        <v>1112</v>
      </c>
      <c r="F168" s="831">
        <v>111.14</v>
      </c>
      <c r="G168" s="827" t="s">
        <v>5839</v>
      </c>
      <c r="H168" s="832">
        <v>101.9</v>
      </c>
    </row>
    <row r="169" spans="1:8" ht="15" x14ac:dyDescent="0.2">
      <c r="A169" s="826" t="s">
        <v>8866</v>
      </c>
      <c r="B169" s="825">
        <v>1343</v>
      </c>
      <c r="C169" s="827">
        <v>1073</v>
      </c>
      <c r="D169" s="825">
        <v>287.02</v>
      </c>
      <c r="E169" s="827">
        <v>1113</v>
      </c>
      <c r="F169" s="831">
        <v>142.58000000000001</v>
      </c>
      <c r="G169" s="827" t="s">
        <v>8828</v>
      </c>
      <c r="H169" s="832">
        <v>122.06</v>
      </c>
    </row>
    <row r="170" spans="1:8" ht="15" x14ac:dyDescent="0.2">
      <c r="A170" s="826">
        <v>1032</v>
      </c>
      <c r="B170" s="825">
        <v>638.66</v>
      </c>
      <c r="C170" s="827">
        <v>1074</v>
      </c>
      <c r="D170" s="825">
        <v>170.36</v>
      </c>
      <c r="E170" s="827">
        <v>1114</v>
      </c>
      <c r="F170" s="831">
        <v>351.56</v>
      </c>
      <c r="G170" s="827">
        <v>1154</v>
      </c>
      <c r="H170" s="832">
        <v>11500.76</v>
      </c>
    </row>
    <row r="171" spans="1:8" ht="15" x14ac:dyDescent="0.2">
      <c r="A171" s="826">
        <v>1033</v>
      </c>
      <c r="B171" s="836" t="s">
        <v>8835</v>
      </c>
      <c r="C171" s="827">
        <v>1075</v>
      </c>
      <c r="D171" s="825">
        <v>80.459999999999994</v>
      </c>
      <c r="E171" s="827">
        <v>1115</v>
      </c>
      <c r="F171" s="845">
        <v>762.66</v>
      </c>
      <c r="G171" s="827">
        <v>1155</v>
      </c>
      <c r="H171" s="832">
        <v>4252.5</v>
      </c>
    </row>
    <row r="172" spans="1:8" ht="15" x14ac:dyDescent="0.2">
      <c r="A172" s="826">
        <v>1034</v>
      </c>
      <c r="B172" s="825">
        <v>847.7</v>
      </c>
      <c r="C172" s="827" t="s">
        <v>5842</v>
      </c>
      <c r="D172" s="825">
        <v>72.900000000000006</v>
      </c>
      <c r="E172" s="827">
        <v>1116</v>
      </c>
      <c r="F172" s="844" t="s">
        <v>8835</v>
      </c>
      <c r="G172" s="827">
        <v>1156</v>
      </c>
      <c r="H172" s="832">
        <v>4456.62</v>
      </c>
    </row>
    <row r="173" spans="1:8" ht="15" x14ac:dyDescent="0.2">
      <c r="A173" s="826">
        <v>1035</v>
      </c>
      <c r="B173" s="825">
        <v>855.92</v>
      </c>
      <c r="C173" s="827" t="s">
        <v>5832</v>
      </c>
      <c r="D173" s="825">
        <v>92.34</v>
      </c>
      <c r="E173" s="827">
        <v>1117</v>
      </c>
      <c r="F173" s="831">
        <v>2490.38</v>
      </c>
      <c r="G173" s="827">
        <v>1157</v>
      </c>
      <c r="H173" s="832">
        <v>153.9</v>
      </c>
    </row>
    <row r="174" spans="1:8" ht="15" x14ac:dyDescent="0.2">
      <c r="A174" s="826">
        <v>1036</v>
      </c>
      <c r="B174" s="825">
        <v>847.7</v>
      </c>
      <c r="C174" s="827">
        <v>1077</v>
      </c>
      <c r="D174" s="825">
        <v>145.80000000000001</v>
      </c>
      <c r="E174" s="827">
        <v>1118</v>
      </c>
      <c r="F174" s="831">
        <v>3080</v>
      </c>
      <c r="G174" s="827" t="s">
        <v>8867</v>
      </c>
      <c r="H174" s="832">
        <v>63.74</v>
      </c>
    </row>
    <row r="175" spans="1:8" ht="15" x14ac:dyDescent="0.2">
      <c r="A175" s="826">
        <v>1037</v>
      </c>
      <c r="B175" s="836" t="s">
        <v>8835</v>
      </c>
      <c r="C175" s="827">
        <v>1078</v>
      </c>
      <c r="D175" s="825">
        <v>916.94</v>
      </c>
      <c r="E175" s="827">
        <v>1119</v>
      </c>
      <c r="F175" s="831">
        <v>102.06</v>
      </c>
      <c r="G175" s="827" t="s">
        <v>8868</v>
      </c>
      <c r="H175" s="832">
        <v>65</v>
      </c>
    </row>
    <row r="176" spans="1:8" ht="15" x14ac:dyDescent="0.2">
      <c r="A176" s="826">
        <v>1038</v>
      </c>
      <c r="B176" s="836" t="s">
        <v>8835</v>
      </c>
      <c r="C176" s="827" t="s">
        <v>5849</v>
      </c>
      <c r="D176" s="825">
        <v>150.66</v>
      </c>
      <c r="E176" s="827">
        <v>1120</v>
      </c>
      <c r="F176" s="831">
        <v>348.74</v>
      </c>
      <c r="G176" s="827" t="s">
        <v>8869</v>
      </c>
      <c r="H176" s="832">
        <v>79.760000000000005</v>
      </c>
    </row>
    <row r="177" spans="1:8" ht="15" x14ac:dyDescent="0.2">
      <c r="A177" s="826">
        <v>1039</v>
      </c>
      <c r="B177" s="825">
        <v>5443.64</v>
      </c>
      <c r="C177" s="827" t="s">
        <v>8826</v>
      </c>
      <c r="D177" s="825">
        <v>158.4</v>
      </c>
      <c r="E177" s="827" t="s">
        <v>8870</v>
      </c>
      <c r="F177" s="831">
        <v>183.9</v>
      </c>
      <c r="G177" s="827" t="s">
        <v>8871</v>
      </c>
      <c r="H177" s="832">
        <v>86.52</v>
      </c>
    </row>
    <row r="178" spans="1:8" ht="15" x14ac:dyDescent="0.2">
      <c r="A178" s="826">
        <v>1040</v>
      </c>
      <c r="B178" s="825">
        <v>1506.24</v>
      </c>
      <c r="C178" s="827">
        <v>1080</v>
      </c>
      <c r="D178" s="825">
        <v>120.26</v>
      </c>
      <c r="E178" s="827" t="s">
        <v>8872</v>
      </c>
      <c r="F178" s="831">
        <v>273.24</v>
      </c>
      <c r="G178" s="827">
        <v>1160</v>
      </c>
      <c r="H178" s="832">
        <v>10254.6</v>
      </c>
    </row>
    <row r="179" spans="1:8" ht="15" x14ac:dyDescent="0.2">
      <c r="A179" s="826">
        <v>1041</v>
      </c>
      <c r="B179" s="825">
        <v>354.96</v>
      </c>
      <c r="C179" s="827" t="s">
        <v>8873</v>
      </c>
      <c r="D179" s="825">
        <v>7442.66</v>
      </c>
      <c r="E179" s="827">
        <v>1122</v>
      </c>
      <c r="F179" s="831">
        <v>244.08</v>
      </c>
      <c r="G179" s="827">
        <v>1161</v>
      </c>
      <c r="H179" s="832">
        <v>1057.5</v>
      </c>
    </row>
    <row r="180" spans="1:8" ht="15" x14ac:dyDescent="0.2">
      <c r="A180" s="826">
        <v>1042</v>
      </c>
      <c r="B180" s="828">
        <v>3769.76</v>
      </c>
      <c r="C180" s="827" t="s">
        <v>8874</v>
      </c>
      <c r="D180" s="825">
        <v>7904</v>
      </c>
      <c r="E180" s="827">
        <v>1123</v>
      </c>
      <c r="F180" s="831">
        <v>2410.1999999999998</v>
      </c>
      <c r="G180" s="827">
        <v>1162</v>
      </c>
      <c r="H180" s="832">
        <v>1988.82</v>
      </c>
    </row>
    <row r="181" spans="1:8" ht="15" x14ac:dyDescent="0.2">
      <c r="A181" s="826">
        <v>1043</v>
      </c>
      <c r="B181" s="825">
        <v>3810.24</v>
      </c>
      <c r="C181" s="827" t="s">
        <v>8875</v>
      </c>
      <c r="D181" s="825">
        <v>8037.22</v>
      </c>
      <c r="E181" s="827">
        <v>1124</v>
      </c>
      <c r="F181" s="831">
        <v>2902.62</v>
      </c>
      <c r="G181" s="827">
        <v>1163</v>
      </c>
      <c r="H181" s="832">
        <v>2081.16</v>
      </c>
    </row>
    <row r="182" spans="1:8" ht="15" x14ac:dyDescent="0.2">
      <c r="A182" s="826">
        <v>1044</v>
      </c>
      <c r="B182" s="825">
        <v>16740.84</v>
      </c>
      <c r="C182" s="827" t="s">
        <v>8876</v>
      </c>
      <c r="D182" s="825">
        <v>8385.7800000000007</v>
      </c>
      <c r="E182" s="827">
        <v>1125</v>
      </c>
      <c r="F182" s="831">
        <v>177.26</v>
      </c>
      <c r="G182" s="827">
        <v>1164</v>
      </c>
      <c r="H182" s="832">
        <v>758.6</v>
      </c>
    </row>
    <row r="183" spans="1:8" ht="15" x14ac:dyDescent="0.2">
      <c r="A183" s="826">
        <v>1045</v>
      </c>
      <c r="B183" s="825">
        <v>17325.12</v>
      </c>
      <c r="C183" s="827">
        <v>1083</v>
      </c>
      <c r="D183" s="825">
        <v>950.16</v>
      </c>
      <c r="E183" s="827">
        <v>1126</v>
      </c>
      <c r="F183" s="831">
        <v>584.4</v>
      </c>
      <c r="G183" s="827">
        <v>1165</v>
      </c>
      <c r="H183" s="832">
        <v>3929.3</v>
      </c>
    </row>
    <row r="184" spans="1:8" ht="15" x14ac:dyDescent="0.2">
      <c r="A184" s="826">
        <v>1046</v>
      </c>
      <c r="B184" s="825">
        <v>5566.7</v>
      </c>
      <c r="C184" s="827">
        <v>1084</v>
      </c>
      <c r="D184" s="825">
        <v>877.5</v>
      </c>
      <c r="E184" s="827">
        <v>1127</v>
      </c>
      <c r="F184" s="831">
        <v>263.27999999999997</v>
      </c>
      <c r="G184" s="827">
        <v>1166</v>
      </c>
      <c r="H184" s="846" t="s">
        <v>8835</v>
      </c>
    </row>
    <row r="185" spans="1:8" ht="15" x14ac:dyDescent="0.2">
      <c r="A185" s="826">
        <v>1047</v>
      </c>
      <c r="B185" s="825">
        <v>3864.9</v>
      </c>
      <c r="C185" s="827">
        <v>1085</v>
      </c>
      <c r="D185" s="825">
        <v>2726.9</v>
      </c>
      <c r="E185" s="827">
        <v>1128</v>
      </c>
      <c r="F185" s="831">
        <v>1257.78</v>
      </c>
      <c r="G185" s="827" t="s">
        <v>5829</v>
      </c>
      <c r="H185" s="832">
        <v>96.84</v>
      </c>
    </row>
    <row r="186" spans="1:8" ht="15" x14ac:dyDescent="0.2">
      <c r="A186" s="826">
        <v>1048</v>
      </c>
      <c r="B186" s="825">
        <v>134.72</v>
      </c>
      <c r="C186" s="827">
        <v>1086</v>
      </c>
      <c r="D186" s="825">
        <v>164</v>
      </c>
      <c r="E186" s="835" t="s">
        <v>8877</v>
      </c>
      <c r="F186" s="847">
        <v>615.05999999999995</v>
      </c>
      <c r="G186" s="827" t="s">
        <v>8831</v>
      </c>
      <c r="H186" s="832">
        <v>99.8</v>
      </c>
    </row>
    <row r="187" spans="1:8" ht="15" x14ac:dyDescent="0.2">
      <c r="A187" s="826">
        <v>1049</v>
      </c>
      <c r="B187" s="825">
        <v>3946.88</v>
      </c>
      <c r="C187" s="827">
        <v>1087</v>
      </c>
      <c r="D187" s="825">
        <v>348.96</v>
      </c>
      <c r="E187" s="827">
        <v>1130</v>
      </c>
      <c r="F187" s="831">
        <v>1425.06</v>
      </c>
      <c r="G187" s="827">
        <v>1168</v>
      </c>
      <c r="H187" s="832">
        <v>1062.08</v>
      </c>
    </row>
    <row r="188" spans="1:8" ht="15" x14ac:dyDescent="0.2">
      <c r="A188" s="826">
        <v>1050</v>
      </c>
      <c r="B188" s="825">
        <v>4121.12</v>
      </c>
      <c r="C188" s="827">
        <v>1088</v>
      </c>
      <c r="D188" s="825">
        <v>1975.44</v>
      </c>
      <c r="E188" s="827">
        <v>1131</v>
      </c>
      <c r="F188" s="831">
        <v>2347.64</v>
      </c>
      <c r="G188" s="827">
        <v>1169</v>
      </c>
      <c r="H188" s="832">
        <v>227.78</v>
      </c>
    </row>
    <row r="189" spans="1:8" ht="15" x14ac:dyDescent="0.2">
      <c r="A189" s="841" t="s">
        <v>8878</v>
      </c>
      <c r="B189" s="825">
        <v>5588.22</v>
      </c>
      <c r="C189" s="827">
        <v>1089</v>
      </c>
      <c r="D189" s="825">
        <v>2573.2199999999998</v>
      </c>
      <c r="E189" s="827">
        <v>1132</v>
      </c>
      <c r="F189" s="831">
        <v>2111.84</v>
      </c>
      <c r="G189" s="827">
        <v>1170</v>
      </c>
      <c r="H189" s="832">
        <v>279.72000000000003</v>
      </c>
    </row>
    <row r="190" spans="1:8" ht="15" x14ac:dyDescent="0.2">
      <c r="A190" s="826">
        <v>1051</v>
      </c>
      <c r="B190" s="825">
        <v>120.14</v>
      </c>
      <c r="C190" s="827">
        <v>1090</v>
      </c>
      <c r="D190" s="825">
        <v>5399.1</v>
      </c>
      <c r="E190" s="827">
        <v>1133</v>
      </c>
      <c r="F190" s="831">
        <v>1951.38</v>
      </c>
      <c r="G190" s="827">
        <v>1171</v>
      </c>
      <c r="H190" s="832">
        <v>354.96</v>
      </c>
    </row>
    <row r="191" spans="1:8" ht="15" x14ac:dyDescent="0.2">
      <c r="A191" s="826">
        <v>1052</v>
      </c>
      <c r="B191" s="829">
        <v>4328.3999999999996</v>
      </c>
      <c r="C191" s="827">
        <v>1091</v>
      </c>
      <c r="D191" s="825">
        <v>113.24</v>
      </c>
      <c r="E191" s="827">
        <v>1134</v>
      </c>
      <c r="F191" s="831">
        <v>1394.18</v>
      </c>
      <c r="G191" s="827">
        <v>1172</v>
      </c>
      <c r="H191" s="832">
        <v>2397.7800000000002</v>
      </c>
    </row>
    <row r="192" spans="1:8" ht="15" x14ac:dyDescent="0.2">
      <c r="A192" s="826">
        <v>1053</v>
      </c>
      <c r="B192" s="825">
        <v>7996.16</v>
      </c>
      <c r="C192" s="827">
        <v>1092</v>
      </c>
      <c r="D192" s="825">
        <v>5399.1</v>
      </c>
      <c r="E192" s="827">
        <v>1135</v>
      </c>
      <c r="F192" s="840" t="s">
        <v>8835</v>
      </c>
      <c r="G192" s="827">
        <v>1173</v>
      </c>
      <c r="H192" s="832">
        <v>153.9</v>
      </c>
    </row>
    <row r="193" spans="1:8" ht="15" x14ac:dyDescent="0.2">
      <c r="A193" s="826">
        <v>1054</v>
      </c>
      <c r="B193" s="825">
        <v>5399.1</v>
      </c>
      <c r="C193" s="827">
        <v>1093</v>
      </c>
      <c r="D193" s="836" t="s">
        <v>8835</v>
      </c>
      <c r="E193" s="827">
        <v>1136</v>
      </c>
      <c r="F193" s="831">
        <v>1281.44</v>
      </c>
      <c r="G193" s="827">
        <v>1174</v>
      </c>
      <c r="H193" s="832">
        <v>5443.64</v>
      </c>
    </row>
    <row r="194" spans="1:8" ht="15" x14ac:dyDescent="0.2">
      <c r="A194" s="826">
        <v>1055</v>
      </c>
      <c r="B194" s="825">
        <v>1199.46</v>
      </c>
      <c r="C194" s="827">
        <v>1094</v>
      </c>
      <c r="D194" s="836" t="s">
        <v>8835</v>
      </c>
      <c r="E194" s="827">
        <v>1137</v>
      </c>
      <c r="F194" s="831">
        <v>4328.3999999999996</v>
      </c>
      <c r="G194" s="827">
        <v>1175</v>
      </c>
      <c r="H194" s="832">
        <v>1090.98</v>
      </c>
    </row>
    <row r="195" spans="1:8" ht="15" x14ac:dyDescent="0.2">
      <c r="A195" s="826">
        <v>1056</v>
      </c>
      <c r="B195" s="825">
        <v>5399.1</v>
      </c>
      <c r="C195" s="827">
        <v>1095</v>
      </c>
      <c r="D195" s="825">
        <v>2378.34</v>
      </c>
      <c r="E195" s="827">
        <v>1138</v>
      </c>
      <c r="F195" s="831">
        <v>4328.3999999999996</v>
      </c>
      <c r="G195" s="827">
        <v>1176</v>
      </c>
      <c r="H195" s="832">
        <v>5399.1</v>
      </c>
    </row>
    <row r="196" spans="1:8" ht="15" x14ac:dyDescent="0.2">
      <c r="A196" s="835" t="s">
        <v>8879</v>
      </c>
      <c r="B196" s="825">
        <v>3604.5</v>
      </c>
      <c r="C196" s="827">
        <v>1096</v>
      </c>
      <c r="D196" s="825">
        <v>4184.46</v>
      </c>
      <c r="E196" s="827">
        <v>1139</v>
      </c>
      <c r="F196" s="831">
        <v>656.1</v>
      </c>
      <c r="G196" s="827">
        <v>1177</v>
      </c>
      <c r="H196" s="832">
        <v>5399.1</v>
      </c>
    </row>
    <row r="197" spans="1:8" ht="15" x14ac:dyDescent="0.2">
      <c r="A197" s="827">
        <v>1058</v>
      </c>
      <c r="B197" s="825">
        <v>4328.3999999999996</v>
      </c>
      <c r="C197" s="827">
        <v>1097</v>
      </c>
      <c r="D197" s="825">
        <v>5399.1</v>
      </c>
      <c r="E197" s="827">
        <v>1140</v>
      </c>
      <c r="F197" s="831">
        <v>4328.3999999999996</v>
      </c>
      <c r="G197" s="827">
        <v>1178</v>
      </c>
      <c r="H197" s="825">
        <v>2905.22</v>
      </c>
    </row>
    <row r="198" spans="1:8" ht="15" x14ac:dyDescent="0.2">
      <c r="A198" s="827">
        <v>1059</v>
      </c>
      <c r="B198" s="825">
        <v>5399.1</v>
      </c>
      <c r="C198" s="827">
        <v>1098</v>
      </c>
      <c r="D198" s="825">
        <v>2952.44</v>
      </c>
      <c r="E198" s="827">
        <v>1141</v>
      </c>
      <c r="F198" s="831">
        <v>4328.3999999999996</v>
      </c>
      <c r="G198" s="827">
        <v>1179</v>
      </c>
      <c r="H198" s="825">
        <v>2905.22</v>
      </c>
    </row>
    <row r="199" spans="1:8" ht="15" x14ac:dyDescent="0.2">
      <c r="A199" s="543"/>
      <c r="B199" s="1225"/>
      <c r="C199" s="543"/>
      <c r="D199" s="1225"/>
      <c r="E199" s="543"/>
      <c r="F199" s="1226"/>
      <c r="G199" s="543"/>
      <c r="H199" s="1225"/>
    </row>
    <row r="200" spans="1:8" ht="15" x14ac:dyDescent="0.2">
      <c r="A200" s="543"/>
      <c r="B200" s="1225"/>
      <c r="C200" s="543"/>
      <c r="D200" s="1225"/>
      <c r="E200" s="543"/>
      <c r="F200" s="1226"/>
      <c r="G200" s="543"/>
      <c r="H200" s="1225"/>
    </row>
    <row r="201" spans="1:8" ht="18.75" x14ac:dyDescent="0.3">
      <c r="A201" s="540" t="s">
        <v>8793</v>
      </c>
      <c r="B201" s="541"/>
      <c r="C201" s="541"/>
      <c r="D201" s="542" t="s">
        <v>8849</v>
      </c>
      <c r="E201" s="541"/>
      <c r="F201" s="541"/>
      <c r="G201" s="541"/>
      <c r="H201" s="543"/>
    </row>
    <row r="202" spans="1:8" ht="15.75" x14ac:dyDescent="0.25">
      <c r="A202" s="542" t="s">
        <v>8770</v>
      </c>
      <c r="B202" s="541"/>
      <c r="C202" s="541"/>
      <c r="D202" s="541"/>
      <c r="E202" s="541"/>
      <c r="F202" s="541"/>
      <c r="G202" s="541"/>
      <c r="H202" s="543"/>
    </row>
    <row r="203" spans="1:8" ht="15" x14ac:dyDescent="0.2">
      <c r="A203" s="544" t="s">
        <v>8795</v>
      </c>
      <c r="B203" s="545"/>
      <c r="C203" s="545"/>
      <c r="D203" s="545"/>
      <c r="E203" s="545"/>
      <c r="F203" s="545"/>
      <c r="G203" s="545"/>
      <c r="H203" s="546"/>
    </row>
    <row r="204" spans="1:8" ht="15" x14ac:dyDescent="0.2">
      <c r="A204" s="817" t="s">
        <v>8780</v>
      </c>
      <c r="B204" s="818" t="s">
        <v>8177</v>
      </c>
      <c r="C204" s="818" t="s">
        <v>8780</v>
      </c>
      <c r="D204" s="818" t="s">
        <v>8177</v>
      </c>
      <c r="E204" s="818" t="s">
        <v>8780</v>
      </c>
      <c r="F204" s="819" t="s">
        <v>8177</v>
      </c>
      <c r="G204" s="818" t="s">
        <v>8780</v>
      </c>
      <c r="H204" s="820" t="s">
        <v>8177</v>
      </c>
    </row>
    <row r="205" spans="1:8" ht="15" x14ac:dyDescent="0.2">
      <c r="A205" s="826">
        <v>1180</v>
      </c>
      <c r="B205" s="825">
        <v>4592.7</v>
      </c>
      <c r="C205" s="827">
        <v>1219</v>
      </c>
      <c r="D205" s="825">
        <v>108.3</v>
      </c>
      <c r="E205" s="827">
        <v>1263</v>
      </c>
      <c r="F205" s="825">
        <v>567.55999999999995</v>
      </c>
      <c r="G205" s="827">
        <v>1307</v>
      </c>
      <c r="H205" s="832">
        <v>152.46</v>
      </c>
    </row>
    <row r="206" spans="1:8" ht="15" x14ac:dyDescent="0.2">
      <c r="A206" s="826">
        <v>1181</v>
      </c>
      <c r="B206" s="825">
        <v>9636.42</v>
      </c>
      <c r="C206" s="827">
        <v>1220</v>
      </c>
      <c r="D206" s="825">
        <v>207.36</v>
      </c>
      <c r="E206" s="827">
        <v>1264</v>
      </c>
      <c r="F206" s="825">
        <v>567.55999999999995</v>
      </c>
      <c r="G206" s="827">
        <v>1308</v>
      </c>
      <c r="H206" s="832">
        <v>834.56</v>
      </c>
    </row>
    <row r="207" spans="1:8" ht="15" x14ac:dyDescent="0.2">
      <c r="A207" s="826">
        <v>1182</v>
      </c>
      <c r="B207" s="825">
        <v>1332.72</v>
      </c>
      <c r="C207" s="827">
        <v>1221</v>
      </c>
      <c r="D207" s="836" t="s">
        <v>8835</v>
      </c>
      <c r="E207" s="827">
        <v>1265</v>
      </c>
      <c r="F207" s="825">
        <v>567.55999999999995</v>
      </c>
      <c r="G207" s="827">
        <v>1309</v>
      </c>
      <c r="H207" s="832">
        <v>583.22</v>
      </c>
    </row>
    <row r="208" spans="1:8" ht="15" x14ac:dyDescent="0.2">
      <c r="A208" s="826">
        <v>1183</v>
      </c>
      <c r="B208" s="825">
        <v>3034.44</v>
      </c>
      <c r="C208" s="827">
        <v>1222</v>
      </c>
      <c r="D208" s="825">
        <v>2993.4</v>
      </c>
      <c r="E208" s="827">
        <v>1266</v>
      </c>
      <c r="F208" s="825">
        <v>567.55999999999995</v>
      </c>
      <c r="G208" s="827">
        <v>1310</v>
      </c>
      <c r="H208" s="832">
        <v>164</v>
      </c>
    </row>
    <row r="209" spans="1:8" ht="15" x14ac:dyDescent="0.2">
      <c r="A209" s="826">
        <v>1184</v>
      </c>
      <c r="B209" s="825">
        <v>1296.26</v>
      </c>
      <c r="C209" s="827">
        <v>1223</v>
      </c>
      <c r="D209" s="825">
        <v>3006.74</v>
      </c>
      <c r="E209" s="827">
        <v>1267</v>
      </c>
      <c r="F209" s="825">
        <v>567.55999999999995</v>
      </c>
      <c r="G209" s="827">
        <v>1311</v>
      </c>
      <c r="H209" s="832">
        <v>567.55999999999995</v>
      </c>
    </row>
    <row r="210" spans="1:8" ht="15" x14ac:dyDescent="0.2">
      <c r="A210" s="826">
        <v>1185</v>
      </c>
      <c r="B210" s="825">
        <v>293.24</v>
      </c>
      <c r="C210" s="827">
        <v>1224</v>
      </c>
      <c r="D210" s="825">
        <v>810</v>
      </c>
      <c r="E210" s="827">
        <v>1268</v>
      </c>
      <c r="F210" s="825">
        <v>567.55999999999995</v>
      </c>
      <c r="G210" s="827">
        <v>1312</v>
      </c>
      <c r="H210" s="832">
        <v>567.55999999999995</v>
      </c>
    </row>
    <row r="211" spans="1:8" ht="15" x14ac:dyDescent="0.2">
      <c r="A211" s="826">
        <v>1186</v>
      </c>
      <c r="B211" s="825">
        <v>250.14</v>
      </c>
      <c r="C211" s="827">
        <v>1225</v>
      </c>
      <c r="D211" s="825">
        <v>290</v>
      </c>
      <c r="E211" s="827">
        <v>1269</v>
      </c>
      <c r="F211" s="825">
        <v>567.55999999999995</v>
      </c>
      <c r="G211" s="827">
        <v>1313</v>
      </c>
      <c r="H211" s="832">
        <v>567.55999999999995</v>
      </c>
    </row>
    <row r="212" spans="1:8" ht="15" x14ac:dyDescent="0.2">
      <c r="A212" s="826">
        <v>1187</v>
      </c>
      <c r="B212" s="825">
        <v>358.86</v>
      </c>
      <c r="C212" s="827">
        <v>1226</v>
      </c>
      <c r="D212" s="825">
        <v>1640.24</v>
      </c>
      <c r="E212" s="827">
        <v>1270</v>
      </c>
      <c r="F212" s="825">
        <v>567.55999999999995</v>
      </c>
      <c r="G212" s="827">
        <v>1314</v>
      </c>
      <c r="H212" s="832">
        <v>567.55999999999995</v>
      </c>
    </row>
    <row r="213" spans="1:8" ht="15" x14ac:dyDescent="0.2">
      <c r="A213" s="826">
        <v>1188</v>
      </c>
      <c r="B213" s="825">
        <v>246</v>
      </c>
      <c r="C213" s="827">
        <v>1227</v>
      </c>
      <c r="D213" s="825">
        <v>408.08</v>
      </c>
      <c r="E213" s="827">
        <v>1271</v>
      </c>
      <c r="F213" s="825">
        <v>567.55999999999995</v>
      </c>
      <c r="G213" s="827">
        <v>1315</v>
      </c>
      <c r="H213" s="832">
        <v>567.55999999999995</v>
      </c>
    </row>
    <row r="214" spans="1:8" ht="15" x14ac:dyDescent="0.2">
      <c r="A214" s="826">
        <v>1189</v>
      </c>
      <c r="B214" s="825">
        <v>1062.08</v>
      </c>
      <c r="C214" s="827">
        <v>1228</v>
      </c>
      <c r="D214" s="825">
        <v>3003.74</v>
      </c>
      <c r="E214" s="827">
        <v>1272</v>
      </c>
      <c r="F214" s="825">
        <v>567.55999999999995</v>
      </c>
      <c r="G214" s="827">
        <v>1316</v>
      </c>
      <c r="H214" s="832">
        <v>1021.98</v>
      </c>
    </row>
    <row r="215" spans="1:8" ht="15" x14ac:dyDescent="0.2">
      <c r="A215" s="826">
        <v>1190</v>
      </c>
      <c r="B215" s="825">
        <v>625.34</v>
      </c>
      <c r="C215" s="827">
        <v>1229</v>
      </c>
      <c r="D215" s="825">
        <v>330.12</v>
      </c>
      <c r="E215" s="827">
        <v>1273</v>
      </c>
      <c r="F215" s="825">
        <v>567.55999999999995</v>
      </c>
      <c r="G215" s="827">
        <v>1317</v>
      </c>
      <c r="H215" s="832">
        <v>1021.98</v>
      </c>
    </row>
    <row r="216" spans="1:8" ht="15" x14ac:dyDescent="0.2">
      <c r="A216" s="826" t="s">
        <v>8880</v>
      </c>
      <c r="B216" s="825">
        <v>84.26</v>
      </c>
      <c r="C216" s="827">
        <v>1230</v>
      </c>
      <c r="D216" s="825">
        <v>126.54</v>
      </c>
      <c r="E216" s="827">
        <v>1274</v>
      </c>
      <c r="F216" s="825">
        <v>567.55999999999995</v>
      </c>
      <c r="G216" s="827">
        <v>1318</v>
      </c>
      <c r="H216" s="832">
        <v>1021.98</v>
      </c>
    </row>
    <row r="217" spans="1:8" ht="15" x14ac:dyDescent="0.2">
      <c r="A217" s="826" t="s">
        <v>8881</v>
      </c>
      <c r="B217" s="825">
        <v>85.22</v>
      </c>
      <c r="C217" s="827">
        <v>1231</v>
      </c>
      <c r="D217" s="836" t="s">
        <v>8835</v>
      </c>
      <c r="E217" s="827">
        <v>1275</v>
      </c>
      <c r="F217" s="825">
        <v>567.55999999999995</v>
      </c>
      <c r="G217" s="827">
        <v>1319</v>
      </c>
      <c r="H217" s="832">
        <v>7975.7</v>
      </c>
    </row>
    <row r="218" spans="1:8" ht="15" x14ac:dyDescent="0.2">
      <c r="A218" s="826" t="s">
        <v>8882</v>
      </c>
      <c r="B218" s="825">
        <v>59.16</v>
      </c>
      <c r="C218" s="827">
        <v>1232</v>
      </c>
      <c r="D218" s="836" t="s">
        <v>8835</v>
      </c>
      <c r="E218" s="827">
        <v>1276</v>
      </c>
      <c r="F218" s="825">
        <v>567.55999999999995</v>
      </c>
      <c r="G218" s="827">
        <v>1320</v>
      </c>
      <c r="H218" s="832">
        <v>201.68</v>
      </c>
    </row>
    <row r="219" spans="1:8" ht="15" x14ac:dyDescent="0.2">
      <c r="A219" s="826" t="s">
        <v>8883</v>
      </c>
      <c r="B219" s="825">
        <v>59.76</v>
      </c>
      <c r="C219" s="827">
        <v>1233</v>
      </c>
      <c r="D219" s="836" t="s">
        <v>8835</v>
      </c>
      <c r="E219" s="827">
        <v>1277</v>
      </c>
      <c r="F219" s="825">
        <v>567.55999999999995</v>
      </c>
      <c r="G219" s="827">
        <v>1321</v>
      </c>
      <c r="H219" s="846" t="s">
        <v>8835</v>
      </c>
    </row>
    <row r="220" spans="1:8" ht="15" x14ac:dyDescent="0.2">
      <c r="A220" s="826" t="s">
        <v>8884</v>
      </c>
      <c r="B220" s="825">
        <v>90.48</v>
      </c>
      <c r="C220" s="827">
        <v>1234</v>
      </c>
      <c r="D220" s="825">
        <v>214.1</v>
      </c>
      <c r="E220" s="827">
        <v>1278</v>
      </c>
      <c r="F220" s="825">
        <v>567.55999999999995</v>
      </c>
      <c r="G220" s="827">
        <v>1322</v>
      </c>
      <c r="H220" s="832">
        <v>139.69999999999999</v>
      </c>
    </row>
    <row r="221" spans="1:8" ht="15" x14ac:dyDescent="0.2">
      <c r="A221" s="826" t="s">
        <v>8885</v>
      </c>
      <c r="B221" s="825">
        <v>91.98</v>
      </c>
      <c r="C221" s="848" t="s">
        <v>8779</v>
      </c>
      <c r="D221" s="825">
        <v>664.22</v>
      </c>
      <c r="E221" s="827">
        <v>1279</v>
      </c>
      <c r="F221" s="825">
        <v>567.55999999999995</v>
      </c>
      <c r="G221" s="827">
        <v>1323</v>
      </c>
      <c r="H221" s="832">
        <v>15071.94</v>
      </c>
    </row>
    <row r="222" spans="1:8" ht="15" x14ac:dyDescent="0.2">
      <c r="A222" s="826">
        <v>1194</v>
      </c>
      <c r="B222" s="825">
        <v>156.97999999999999</v>
      </c>
      <c r="C222" s="848" t="s">
        <v>8783</v>
      </c>
      <c r="D222" s="825">
        <v>664.22</v>
      </c>
      <c r="E222" s="827">
        <v>1280</v>
      </c>
      <c r="F222" s="825">
        <v>567.55999999999995</v>
      </c>
      <c r="G222" s="827">
        <v>1324</v>
      </c>
      <c r="H222" s="832">
        <v>15071.94</v>
      </c>
    </row>
    <row r="223" spans="1:8" ht="15" x14ac:dyDescent="0.2">
      <c r="A223" s="826" t="s">
        <v>8886</v>
      </c>
      <c r="B223" s="825">
        <v>143.54</v>
      </c>
      <c r="C223" s="848" t="s">
        <v>3148</v>
      </c>
      <c r="D223" s="825">
        <v>664.22</v>
      </c>
      <c r="E223" s="827">
        <v>1281</v>
      </c>
      <c r="F223" s="831">
        <v>758.96</v>
      </c>
      <c r="G223" s="827">
        <v>1325</v>
      </c>
      <c r="H223" s="832">
        <v>14650.46</v>
      </c>
    </row>
    <row r="224" spans="1:8" ht="15" x14ac:dyDescent="0.2">
      <c r="A224" s="826" t="s">
        <v>8887</v>
      </c>
      <c r="B224" s="825">
        <v>150.84</v>
      </c>
      <c r="C224" s="848" t="s">
        <v>3151</v>
      </c>
      <c r="D224" s="825">
        <v>664.22</v>
      </c>
      <c r="E224" s="827">
        <v>1282</v>
      </c>
      <c r="F224" s="831">
        <v>758.96</v>
      </c>
      <c r="G224" s="827">
        <v>1326</v>
      </c>
      <c r="H224" s="846" t="s">
        <v>8860</v>
      </c>
    </row>
    <row r="225" spans="1:8" ht="15" x14ac:dyDescent="0.2">
      <c r="A225" s="826" t="s">
        <v>8888</v>
      </c>
      <c r="B225" s="825">
        <v>224.82</v>
      </c>
      <c r="C225" s="827">
        <v>1239</v>
      </c>
      <c r="D225" s="825">
        <v>567.55999999999995</v>
      </c>
      <c r="E225" s="827">
        <v>1283</v>
      </c>
      <c r="F225" s="831">
        <v>274.76</v>
      </c>
      <c r="G225" s="827">
        <v>1327</v>
      </c>
      <c r="H225" s="846" t="s">
        <v>8860</v>
      </c>
    </row>
    <row r="226" spans="1:8" ht="15" x14ac:dyDescent="0.2">
      <c r="A226" s="826" t="s">
        <v>8889</v>
      </c>
      <c r="B226" s="825">
        <v>324.83999999999997</v>
      </c>
      <c r="C226" s="827">
        <v>1240</v>
      </c>
      <c r="D226" s="825">
        <v>567.55999999999995</v>
      </c>
      <c r="E226" s="827">
        <v>1284</v>
      </c>
      <c r="F226" s="831">
        <v>233.72</v>
      </c>
      <c r="G226" s="827">
        <v>1328</v>
      </c>
      <c r="H226" s="832">
        <v>5399.1</v>
      </c>
    </row>
    <row r="227" spans="1:8" ht="15" x14ac:dyDescent="0.2">
      <c r="A227" s="826">
        <v>1197</v>
      </c>
      <c r="B227" s="825">
        <v>4328.3999999999996</v>
      </c>
      <c r="C227" s="827">
        <v>1241</v>
      </c>
      <c r="D227" s="825">
        <v>567.55999999999995</v>
      </c>
      <c r="E227" s="827">
        <v>1285</v>
      </c>
      <c r="F227" s="831">
        <v>328.04</v>
      </c>
      <c r="G227" s="827">
        <v>1329</v>
      </c>
      <c r="H227" s="832">
        <v>189.38</v>
      </c>
    </row>
    <row r="228" spans="1:8" ht="15" x14ac:dyDescent="0.2">
      <c r="A228" s="826">
        <v>1198</v>
      </c>
      <c r="B228" s="825">
        <v>4328.3999999999996</v>
      </c>
      <c r="C228" s="827">
        <v>1242</v>
      </c>
      <c r="D228" s="825">
        <v>567.55999999999995</v>
      </c>
      <c r="E228" s="827">
        <v>1286</v>
      </c>
      <c r="F228" s="831">
        <v>388.44</v>
      </c>
      <c r="G228" s="827">
        <v>1330</v>
      </c>
      <c r="H228" s="832">
        <v>2018.28</v>
      </c>
    </row>
    <row r="229" spans="1:8" ht="15" x14ac:dyDescent="0.2">
      <c r="A229" s="826">
        <v>1199</v>
      </c>
      <c r="B229" s="825">
        <v>4328.3999999999996</v>
      </c>
      <c r="C229" s="827">
        <v>1243</v>
      </c>
      <c r="D229" s="825">
        <v>567.55999999999995</v>
      </c>
      <c r="E229" s="827">
        <v>1287</v>
      </c>
      <c r="F229" s="831">
        <v>526.94000000000005</v>
      </c>
      <c r="G229" s="827" t="s">
        <v>8890</v>
      </c>
      <c r="H229" s="832">
        <v>27622.62</v>
      </c>
    </row>
    <row r="230" spans="1:8" ht="15" x14ac:dyDescent="0.2">
      <c r="A230" s="826">
        <v>1200</v>
      </c>
      <c r="B230" s="825">
        <v>414.9</v>
      </c>
      <c r="C230" s="827">
        <v>1244</v>
      </c>
      <c r="D230" s="825">
        <v>567.55999999999995</v>
      </c>
      <c r="E230" s="827">
        <v>1288</v>
      </c>
      <c r="F230" s="831">
        <v>608.96</v>
      </c>
      <c r="G230" s="827" t="s">
        <v>8891</v>
      </c>
      <c r="H230" s="832">
        <v>29392.22</v>
      </c>
    </row>
    <row r="231" spans="1:8" ht="15" x14ac:dyDescent="0.2">
      <c r="A231" s="826">
        <v>1201</v>
      </c>
      <c r="B231" s="825">
        <v>6578.28</v>
      </c>
      <c r="C231" s="827">
        <v>1245</v>
      </c>
      <c r="D231" s="825">
        <v>567.55999999999995</v>
      </c>
      <c r="E231" s="827">
        <v>1289</v>
      </c>
      <c r="F231" s="831">
        <v>10374.5</v>
      </c>
      <c r="G231" s="827">
        <v>1332</v>
      </c>
      <c r="H231" s="832">
        <v>8042.94</v>
      </c>
    </row>
    <row r="232" spans="1:8" ht="15" x14ac:dyDescent="0.2">
      <c r="A232" s="826">
        <v>1202</v>
      </c>
      <c r="B232" s="825">
        <v>362.9</v>
      </c>
      <c r="C232" s="827">
        <v>1246</v>
      </c>
      <c r="D232" s="825">
        <v>567.55999999999995</v>
      </c>
      <c r="E232" s="827">
        <v>1290</v>
      </c>
      <c r="F232" s="831">
        <v>10374.5</v>
      </c>
      <c r="G232" s="827">
        <v>1333</v>
      </c>
      <c r="H232" s="832">
        <v>26315.54</v>
      </c>
    </row>
    <row r="233" spans="1:8" ht="15" x14ac:dyDescent="0.2">
      <c r="A233" s="826">
        <v>1203</v>
      </c>
      <c r="B233" s="825">
        <v>263.27999999999997</v>
      </c>
      <c r="C233" s="827">
        <v>1247</v>
      </c>
      <c r="D233" s="825">
        <v>567.55999999999995</v>
      </c>
      <c r="E233" s="827">
        <v>1291</v>
      </c>
      <c r="F233" s="831">
        <v>101</v>
      </c>
      <c r="G233" s="827">
        <v>1334</v>
      </c>
      <c r="H233" s="832">
        <v>27532.46</v>
      </c>
    </row>
    <row r="234" spans="1:8" ht="15" x14ac:dyDescent="0.2">
      <c r="A234" s="826">
        <v>1204</v>
      </c>
      <c r="B234" s="825">
        <v>244.08</v>
      </c>
      <c r="C234" s="827">
        <v>1248</v>
      </c>
      <c r="D234" s="825">
        <v>567.55999999999995</v>
      </c>
      <c r="E234" s="827">
        <v>1292</v>
      </c>
      <c r="F234" s="831">
        <v>476.54</v>
      </c>
      <c r="G234" s="827">
        <v>1335</v>
      </c>
      <c r="H234" s="832">
        <v>619.02</v>
      </c>
    </row>
    <row r="235" spans="1:8" ht="15" x14ac:dyDescent="0.2">
      <c r="A235" s="826">
        <v>1205</v>
      </c>
      <c r="B235" s="836" t="s">
        <v>8835</v>
      </c>
      <c r="C235" s="827">
        <v>1249</v>
      </c>
      <c r="D235" s="825">
        <v>567.55999999999995</v>
      </c>
      <c r="E235" s="827">
        <v>1293</v>
      </c>
      <c r="F235" s="831">
        <v>502.38</v>
      </c>
      <c r="G235" s="827">
        <v>1336</v>
      </c>
      <c r="H235" s="832">
        <v>708.78</v>
      </c>
    </row>
    <row r="236" spans="1:8" ht="15" x14ac:dyDescent="0.2">
      <c r="A236" s="826">
        <v>1206</v>
      </c>
      <c r="B236" s="825">
        <v>6027.86</v>
      </c>
      <c r="C236" s="827">
        <v>1250</v>
      </c>
      <c r="D236" s="825">
        <v>567.55999999999995</v>
      </c>
      <c r="E236" s="827">
        <v>1294</v>
      </c>
      <c r="F236" s="831">
        <v>1093.76</v>
      </c>
      <c r="G236" s="827">
        <v>1337</v>
      </c>
      <c r="H236" s="832">
        <v>9340.2800000000007</v>
      </c>
    </row>
    <row r="237" spans="1:8" ht="15" x14ac:dyDescent="0.2">
      <c r="A237" s="826" t="s">
        <v>8892</v>
      </c>
      <c r="B237" s="825">
        <v>153.9</v>
      </c>
      <c r="C237" s="827">
        <v>1251</v>
      </c>
      <c r="D237" s="825">
        <v>567.55999999999995</v>
      </c>
      <c r="E237" s="827">
        <v>1295</v>
      </c>
      <c r="F237" s="831">
        <v>3834.12</v>
      </c>
      <c r="G237" s="827" t="s">
        <v>8893</v>
      </c>
      <c r="H237" s="832">
        <v>3091.22</v>
      </c>
    </row>
    <row r="238" spans="1:8" ht="15" x14ac:dyDescent="0.2">
      <c r="A238" s="826">
        <v>1208</v>
      </c>
      <c r="B238" s="825">
        <v>147</v>
      </c>
      <c r="C238" s="827">
        <v>1252</v>
      </c>
      <c r="D238" s="825">
        <v>567.55999999999995</v>
      </c>
      <c r="E238" s="827">
        <v>1296</v>
      </c>
      <c r="F238" s="831">
        <v>3834.12</v>
      </c>
      <c r="G238" s="827" t="s">
        <v>8894</v>
      </c>
      <c r="H238" s="832">
        <v>3273.48</v>
      </c>
    </row>
    <row r="239" spans="1:8" ht="15" x14ac:dyDescent="0.2">
      <c r="A239" s="826" t="s">
        <v>8895</v>
      </c>
      <c r="B239" s="825">
        <v>137.88</v>
      </c>
      <c r="C239" s="827">
        <v>1253</v>
      </c>
      <c r="D239" s="825">
        <v>567.55999999999995</v>
      </c>
      <c r="E239" s="827">
        <v>1297</v>
      </c>
      <c r="F239" s="831">
        <v>3834.12</v>
      </c>
      <c r="G239" s="827">
        <v>1339</v>
      </c>
      <c r="H239" s="832">
        <v>983.72</v>
      </c>
    </row>
    <row r="240" spans="1:8" ht="15" x14ac:dyDescent="0.2">
      <c r="A240" s="826">
        <v>1210</v>
      </c>
      <c r="B240" s="825">
        <v>4449.18</v>
      </c>
      <c r="C240" s="827">
        <v>1254</v>
      </c>
      <c r="D240" s="825">
        <v>567.55999999999995</v>
      </c>
      <c r="E240" s="827">
        <v>1298</v>
      </c>
      <c r="F240" s="831">
        <v>466.56</v>
      </c>
      <c r="G240" s="827">
        <v>1340</v>
      </c>
      <c r="H240" s="832">
        <v>2490.92</v>
      </c>
    </row>
    <row r="241" spans="1:8" ht="15" x14ac:dyDescent="0.2">
      <c r="A241" s="826">
        <v>1211</v>
      </c>
      <c r="B241" s="825">
        <v>276.86</v>
      </c>
      <c r="C241" s="827">
        <v>1255</v>
      </c>
      <c r="D241" s="825">
        <v>567.55999999999995</v>
      </c>
      <c r="E241" s="827">
        <v>1299</v>
      </c>
      <c r="F241" s="831">
        <v>466.56</v>
      </c>
      <c r="G241" s="827">
        <v>1341</v>
      </c>
      <c r="H241" s="832">
        <v>2511.62</v>
      </c>
    </row>
    <row r="242" spans="1:8" ht="15" x14ac:dyDescent="0.2">
      <c r="A242" s="826">
        <v>1212</v>
      </c>
      <c r="B242" s="825">
        <v>104.76</v>
      </c>
      <c r="C242" s="827">
        <v>1256</v>
      </c>
      <c r="D242" s="825">
        <v>567.55999999999995</v>
      </c>
      <c r="E242" s="827">
        <v>1300</v>
      </c>
      <c r="F242" s="831">
        <v>466.56</v>
      </c>
      <c r="G242" s="827">
        <v>1342</v>
      </c>
      <c r="H242" s="832">
        <v>2511.66</v>
      </c>
    </row>
    <row r="243" spans="1:8" ht="15" x14ac:dyDescent="0.2">
      <c r="A243" s="826">
        <v>1213</v>
      </c>
      <c r="B243" s="825">
        <v>94.62</v>
      </c>
      <c r="C243" s="827">
        <v>1257</v>
      </c>
      <c r="D243" s="825">
        <v>567.55999999999995</v>
      </c>
      <c r="E243" s="827">
        <v>1301</v>
      </c>
      <c r="F243" s="831">
        <v>466.56</v>
      </c>
      <c r="G243" s="827">
        <v>1343</v>
      </c>
      <c r="H243" s="832">
        <v>15260.66</v>
      </c>
    </row>
    <row r="244" spans="1:8" ht="15" x14ac:dyDescent="0.2">
      <c r="A244" s="826">
        <v>1214</v>
      </c>
      <c r="B244" s="825">
        <v>1244.1600000000001</v>
      </c>
      <c r="C244" s="827">
        <v>1258</v>
      </c>
      <c r="D244" s="825">
        <v>567.55999999999995</v>
      </c>
      <c r="E244" s="827">
        <v>1302</v>
      </c>
      <c r="F244" s="831">
        <v>78.2</v>
      </c>
      <c r="G244" s="827">
        <v>1344</v>
      </c>
      <c r="H244" s="832">
        <v>13609.46</v>
      </c>
    </row>
    <row r="245" spans="1:8" ht="15" x14ac:dyDescent="0.2">
      <c r="A245" s="827">
        <v>1215</v>
      </c>
      <c r="B245" s="825">
        <v>358.86</v>
      </c>
      <c r="C245" s="827">
        <v>1259</v>
      </c>
      <c r="D245" s="825">
        <v>567.55999999999995</v>
      </c>
      <c r="E245" s="827">
        <v>1303</v>
      </c>
      <c r="F245" s="831">
        <v>164</v>
      </c>
      <c r="G245" s="827">
        <v>1345</v>
      </c>
      <c r="H245" s="825">
        <v>25211.52</v>
      </c>
    </row>
    <row r="246" spans="1:8" ht="15" x14ac:dyDescent="0.2">
      <c r="A246" s="827">
        <v>1216</v>
      </c>
      <c r="B246" s="825">
        <v>768.06</v>
      </c>
      <c r="C246" s="827">
        <v>1260</v>
      </c>
      <c r="D246" s="825">
        <v>567.55999999999995</v>
      </c>
      <c r="E246" s="827">
        <v>1304</v>
      </c>
      <c r="F246" s="831">
        <v>235.88</v>
      </c>
      <c r="G246" s="827">
        <v>1346</v>
      </c>
      <c r="H246" s="825">
        <v>361.64</v>
      </c>
    </row>
    <row r="247" spans="1:8" ht="15" x14ac:dyDescent="0.2">
      <c r="A247" s="827">
        <v>1217</v>
      </c>
      <c r="B247" s="825">
        <v>378.12</v>
      </c>
      <c r="C247" s="827">
        <v>1261</v>
      </c>
      <c r="D247" s="825">
        <v>567.55999999999995</v>
      </c>
      <c r="E247" s="827">
        <v>1305</v>
      </c>
      <c r="F247" s="831">
        <v>1091.9000000000001</v>
      </c>
      <c r="G247" s="827" t="s">
        <v>8896</v>
      </c>
      <c r="H247" s="825">
        <v>387.56</v>
      </c>
    </row>
    <row r="248" spans="1:8" ht="15" x14ac:dyDescent="0.2">
      <c r="A248" s="827">
        <v>1218</v>
      </c>
      <c r="B248" s="825">
        <v>3569.22</v>
      </c>
      <c r="C248" s="827">
        <v>1262</v>
      </c>
      <c r="D248" s="825">
        <v>567.55999999999995</v>
      </c>
      <c r="E248" s="827">
        <v>1306</v>
      </c>
      <c r="F248" s="831">
        <v>208.02</v>
      </c>
      <c r="G248" s="827">
        <v>1347</v>
      </c>
      <c r="H248" s="825">
        <v>394.1</v>
      </c>
    </row>
    <row r="249" spans="1:8" ht="15" x14ac:dyDescent="0.2">
      <c r="A249" s="543"/>
      <c r="B249" s="1225"/>
      <c r="C249" s="543"/>
      <c r="D249" s="1225"/>
      <c r="E249" s="543"/>
      <c r="F249" s="1226"/>
      <c r="G249" s="543"/>
      <c r="H249" s="1227"/>
    </row>
    <row r="250" spans="1:8" ht="15" x14ac:dyDescent="0.2">
      <c r="A250" s="543"/>
      <c r="B250" s="1225"/>
      <c r="C250" s="543"/>
      <c r="D250" s="1225"/>
      <c r="E250" s="543"/>
      <c r="F250" s="1226"/>
      <c r="G250" s="543"/>
      <c r="H250" s="1227"/>
    </row>
    <row r="251" spans="1:8" ht="18.75" x14ac:dyDescent="0.3">
      <c r="A251" s="540" t="s">
        <v>8793</v>
      </c>
      <c r="B251" s="541"/>
      <c r="C251" s="541"/>
      <c r="D251" s="542" t="s">
        <v>8794</v>
      </c>
      <c r="E251" s="541"/>
      <c r="F251" s="541"/>
      <c r="G251" s="541"/>
      <c r="H251" s="547"/>
    </row>
    <row r="252" spans="1:8" ht="15.75" x14ac:dyDescent="0.25">
      <c r="A252" s="542" t="s">
        <v>8770</v>
      </c>
      <c r="B252" s="541"/>
      <c r="C252" s="541"/>
      <c r="D252" s="541"/>
      <c r="E252" s="541"/>
      <c r="F252" s="541"/>
      <c r="G252" s="541"/>
      <c r="H252" s="547"/>
    </row>
    <row r="253" spans="1:8" ht="15" x14ac:dyDescent="0.2">
      <c r="A253" s="544" t="s">
        <v>8795</v>
      </c>
      <c r="B253" s="545"/>
      <c r="C253" s="545"/>
      <c r="D253" s="545"/>
      <c r="E253" s="545"/>
      <c r="F253" s="545"/>
      <c r="G253" s="545"/>
      <c r="H253" s="548"/>
    </row>
    <row r="254" spans="1:8" ht="15" x14ac:dyDescent="0.2">
      <c r="A254" s="817" t="s">
        <v>8780</v>
      </c>
      <c r="B254" s="818" t="s">
        <v>8177</v>
      </c>
      <c r="C254" s="818" t="s">
        <v>8780</v>
      </c>
      <c r="D254" s="818" t="s">
        <v>8177</v>
      </c>
      <c r="E254" s="818" t="s">
        <v>8780</v>
      </c>
      <c r="F254" s="819" t="s">
        <v>8177</v>
      </c>
      <c r="G254" s="818" t="s">
        <v>8780</v>
      </c>
      <c r="H254" s="820" t="s">
        <v>8177</v>
      </c>
    </row>
    <row r="255" spans="1:8" ht="15" x14ac:dyDescent="0.2">
      <c r="A255" s="841" t="s">
        <v>8897</v>
      </c>
      <c r="B255" s="828">
        <v>423.26</v>
      </c>
      <c r="C255" s="827">
        <v>1386</v>
      </c>
      <c r="D255" s="828">
        <v>41006.239999999998</v>
      </c>
      <c r="E255" s="827" t="s">
        <v>8898</v>
      </c>
      <c r="F255" s="849">
        <v>1321.28</v>
      </c>
      <c r="G255" s="827">
        <v>1473</v>
      </c>
      <c r="H255" s="832">
        <v>567.55999999999995</v>
      </c>
    </row>
    <row r="256" spans="1:8" ht="15" x14ac:dyDescent="0.2">
      <c r="A256" s="826">
        <v>1348</v>
      </c>
      <c r="B256" s="828">
        <v>453.62</v>
      </c>
      <c r="C256" s="827">
        <v>1387</v>
      </c>
      <c r="D256" s="828">
        <v>46701.54</v>
      </c>
      <c r="E256" s="827" t="s">
        <v>8899</v>
      </c>
      <c r="F256" s="849">
        <v>1321.28</v>
      </c>
      <c r="G256" s="827">
        <v>1474</v>
      </c>
      <c r="H256" s="832">
        <v>812.82</v>
      </c>
    </row>
    <row r="257" spans="1:8" ht="15" x14ac:dyDescent="0.2">
      <c r="A257" s="841" t="s">
        <v>8900</v>
      </c>
      <c r="B257" s="828">
        <v>490.08</v>
      </c>
      <c r="C257" s="827">
        <v>1388</v>
      </c>
      <c r="D257" s="828">
        <v>44302.7</v>
      </c>
      <c r="E257" s="827" t="s">
        <v>8901</v>
      </c>
      <c r="F257" s="849">
        <v>1321.28</v>
      </c>
      <c r="G257" s="827">
        <v>1475</v>
      </c>
      <c r="H257" s="832">
        <v>1591.02</v>
      </c>
    </row>
    <row r="258" spans="1:8" ht="15" x14ac:dyDescent="0.2">
      <c r="A258" s="826">
        <v>1349</v>
      </c>
      <c r="B258" s="828">
        <v>456.42</v>
      </c>
      <c r="C258" s="827">
        <v>1389</v>
      </c>
      <c r="D258" s="828">
        <v>46131.96</v>
      </c>
      <c r="E258" s="827" t="s">
        <v>8902</v>
      </c>
      <c r="F258" s="849">
        <v>1321.28</v>
      </c>
      <c r="G258" s="827">
        <v>1476</v>
      </c>
      <c r="H258" s="832">
        <v>2112.7399999999998</v>
      </c>
    </row>
    <row r="259" spans="1:8" ht="15" x14ac:dyDescent="0.2">
      <c r="A259" s="841" t="s">
        <v>8903</v>
      </c>
      <c r="B259" s="850">
        <v>492.06</v>
      </c>
      <c r="C259" s="827">
        <v>1390</v>
      </c>
      <c r="D259" s="828">
        <v>61080.14</v>
      </c>
      <c r="E259" s="827" t="s">
        <v>8904</v>
      </c>
      <c r="F259" s="849">
        <v>1321.28</v>
      </c>
      <c r="G259" s="827">
        <v>1477</v>
      </c>
      <c r="H259" s="832">
        <v>360.44</v>
      </c>
    </row>
    <row r="260" spans="1:8" ht="15" x14ac:dyDescent="0.2">
      <c r="A260" s="826">
        <v>1350</v>
      </c>
      <c r="B260" s="828">
        <v>686.9</v>
      </c>
      <c r="C260" s="827">
        <v>1391</v>
      </c>
      <c r="D260" s="828">
        <v>109019.7</v>
      </c>
      <c r="E260" s="827">
        <v>1435</v>
      </c>
      <c r="F260" s="849">
        <v>1900.82</v>
      </c>
      <c r="G260" s="827">
        <v>1478</v>
      </c>
      <c r="H260" s="832">
        <v>214.82</v>
      </c>
    </row>
    <row r="261" spans="1:8" ht="15" x14ac:dyDescent="0.2">
      <c r="A261" s="841" t="s">
        <v>8905</v>
      </c>
      <c r="B261" s="828">
        <v>721.28</v>
      </c>
      <c r="C261" s="827">
        <v>1392</v>
      </c>
      <c r="D261" s="828">
        <v>111297.8</v>
      </c>
      <c r="E261" s="827">
        <v>1436</v>
      </c>
      <c r="F261" s="849">
        <v>1281.44</v>
      </c>
      <c r="G261" s="827">
        <v>1479</v>
      </c>
      <c r="H261" s="832">
        <v>588.5</v>
      </c>
    </row>
    <row r="262" spans="1:8" ht="15" x14ac:dyDescent="0.2">
      <c r="A262" s="826">
        <v>1351</v>
      </c>
      <c r="B262" s="828">
        <v>609.14</v>
      </c>
      <c r="C262" s="827">
        <v>1393</v>
      </c>
      <c r="D262" s="828">
        <v>16033.4</v>
      </c>
      <c r="E262" s="827">
        <v>1437</v>
      </c>
      <c r="F262" s="849">
        <v>1332.72</v>
      </c>
      <c r="G262" s="827">
        <v>1480</v>
      </c>
      <c r="H262" s="832">
        <v>482.94</v>
      </c>
    </row>
    <row r="263" spans="1:8" ht="15" x14ac:dyDescent="0.2">
      <c r="A263" s="841" t="s">
        <v>8906</v>
      </c>
      <c r="B263" s="828">
        <v>659.1</v>
      </c>
      <c r="C263" s="827">
        <v>1394</v>
      </c>
      <c r="D263" s="828">
        <v>3542.52</v>
      </c>
      <c r="E263" s="827">
        <v>1438</v>
      </c>
      <c r="F263" s="849">
        <v>1384.04</v>
      </c>
      <c r="G263" s="827">
        <v>1481</v>
      </c>
      <c r="H263" s="832">
        <v>509.34</v>
      </c>
    </row>
    <row r="264" spans="1:8" ht="15" x14ac:dyDescent="0.2">
      <c r="A264" s="826">
        <v>1352</v>
      </c>
      <c r="B264" s="828">
        <v>2238.48</v>
      </c>
      <c r="C264" s="827">
        <v>1395</v>
      </c>
      <c r="D264" s="828">
        <v>106.5</v>
      </c>
      <c r="E264" s="827">
        <v>1439</v>
      </c>
      <c r="F264" s="849">
        <v>2050.2800000000002</v>
      </c>
      <c r="G264" s="827">
        <v>1482</v>
      </c>
      <c r="H264" s="832">
        <v>783.66</v>
      </c>
    </row>
    <row r="265" spans="1:8" ht="15" x14ac:dyDescent="0.2">
      <c r="A265" s="826">
        <v>1353</v>
      </c>
      <c r="B265" s="828">
        <v>12166.58</v>
      </c>
      <c r="C265" s="827">
        <v>1396</v>
      </c>
      <c r="D265" s="828">
        <v>7019.84</v>
      </c>
      <c r="E265" s="827">
        <v>1440</v>
      </c>
      <c r="F265" s="849">
        <v>2255.3000000000002</v>
      </c>
      <c r="G265" s="827" t="s">
        <v>8907</v>
      </c>
      <c r="H265" s="832">
        <v>766.82</v>
      </c>
    </row>
    <row r="266" spans="1:8" ht="15" x14ac:dyDescent="0.2">
      <c r="A266" s="826">
        <v>1354</v>
      </c>
      <c r="B266" s="828">
        <v>12166.58</v>
      </c>
      <c r="C266" s="827">
        <v>1397</v>
      </c>
      <c r="D266" s="828">
        <v>464.3</v>
      </c>
      <c r="E266" s="827">
        <v>1441</v>
      </c>
      <c r="F266" s="849">
        <v>5095.08</v>
      </c>
      <c r="G266" s="827">
        <v>1484</v>
      </c>
      <c r="H266" s="832">
        <v>453.36</v>
      </c>
    </row>
    <row r="267" spans="1:8" ht="15" x14ac:dyDescent="0.2">
      <c r="A267" s="826">
        <v>1355</v>
      </c>
      <c r="B267" s="828">
        <v>3851.18</v>
      </c>
      <c r="C267" s="827">
        <v>1398</v>
      </c>
      <c r="D267" s="828">
        <v>3354.78</v>
      </c>
      <c r="E267" s="827">
        <v>1442</v>
      </c>
      <c r="F267" s="849">
        <v>5137.2</v>
      </c>
      <c r="G267" s="827">
        <v>1485</v>
      </c>
      <c r="H267" s="832">
        <v>450.38</v>
      </c>
    </row>
    <row r="268" spans="1:8" ht="15" x14ac:dyDescent="0.2">
      <c r="A268" s="826">
        <v>1356</v>
      </c>
      <c r="B268" s="828">
        <v>4264.6400000000003</v>
      </c>
      <c r="C268" s="827">
        <v>1399</v>
      </c>
      <c r="D268" s="828">
        <v>3374.22</v>
      </c>
      <c r="E268" s="827">
        <v>1443</v>
      </c>
      <c r="F268" s="849">
        <v>7062.14</v>
      </c>
      <c r="G268" s="827">
        <v>1486</v>
      </c>
      <c r="H268" s="832">
        <v>156.32</v>
      </c>
    </row>
    <row r="269" spans="1:8" ht="15" x14ac:dyDescent="0.2">
      <c r="A269" s="826">
        <v>1357</v>
      </c>
      <c r="B269" s="828">
        <v>4588.6400000000003</v>
      </c>
      <c r="C269" s="827">
        <v>1400</v>
      </c>
      <c r="D269" s="828">
        <v>3511.52</v>
      </c>
      <c r="E269" s="827">
        <v>1444</v>
      </c>
      <c r="F269" s="849">
        <v>758.96</v>
      </c>
      <c r="G269" s="827">
        <v>1487</v>
      </c>
      <c r="H269" s="832">
        <v>167</v>
      </c>
    </row>
    <row r="270" spans="1:8" ht="15" x14ac:dyDescent="0.2">
      <c r="A270" s="826">
        <v>1358</v>
      </c>
      <c r="B270" s="828">
        <v>396.74</v>
      </c>
      <c r="C270" s="827">
        <v>1401</v>
      </c>
      <c r="D270" s="828">
        <v>6320.42</v>
      </c>
      <c r="E270" s="827">
        <v>1445</v>
      </c>
      <c r="F270" s="849">
        <v>690.96</v>
      </c>
      <c r="G270" s="827">
        <v>1488</v>
      </c>
      <c r="H270" s="832">
        <v>181.28</v>
      </c>
    </row>
    <row r="271" spans="1:8" ht="15" x14ac:dyDescent="0.2">
      <c r="A271" s="826">
        <v>1359</v>
      </c>
      <c r="B271" s="828">
        <v>3509.48</v>
      </c>
      <c r="C271" s="827">
        <v>1402</v>
      </c>
      <c r="D271" s="828">
        <v>6320.42</v>
      </c>
      <c r="E271" s="827">
        <v>1446</v>
      </c>
      <c r="F271" s="849">
        <v>421.46</v>
      </c>
      <c r="G271" s="827">
        <v>1489</v>
      </c>
      <c r="H271" s="832">
        <v>2013.84</v>
      </c>
    </row>
    <row r="272" spans="1:8" ht="15" x14ac:dyDescent="0.2">
      <c r="A272" s="841" t="s">
        <v>8908</v>
      </c>
      <c r="B272" s="828">
        <v>3751.28</v>
      </c>
      <c r="C272" s="827">
        <v>1403</v>
      </c>
      <c r="D272" s="828">
        <v>4332.54</v>
      </c>
      <c r="E272" s="827">
        <v>1447</v>
      </c>
      <c r="F272" s="849">
        <v>1359.56</v>
      </c>
      <c r="G272" s="835" t="s">
        <v>8909</v>
      </c>
      <c r="H272" s="832">
        <v>2152.8200000000002</v>
      </c>
    </row>
    <row r="273" spans="1:8" ht="15" x14ac:dyDescent="0.2">
      <c r="A273" s="826">
        <v>1360</v>
      </c>
      <c r="B273" s="828">
        <v>113.42</v>
      </c>
      <c r="C273" s="827">
        <v>1404</v>
      </c>
      <c r="D273" s="828">
        <v>6523.2</v>
      </c>
      <c r="E273" s="827">
        <v>1448</v>
      </c>
      <c r="F273" s="849">
        <v>1359.56</v>
      </c>
      <c r="G273" s="848" t="s">
        <v>3154</v>
      </c>
      <c r="H273" s="832">
        <v>569.41999999999996</v>
      </c>
    </row>
    <row r="274" spans="1:8" ht="15" x14ac:dyDescent="0.2">
      <c r="A274" s="826">
        <v>1361</v>
      </c>
      <c r="B274" s="828">
        <v>170.28</v>
      </c>
      <c r="C274" s="827">
        <v>1405</v>
      </c>
      <c r="D274" s="828">
        <v>6750.38</v>
      </c>
      <c r="E274" s="827">
        <v>1449</v>
      </c>
      <c r="F274" s="849">
        <v>1096.46</v>
      </c>
      <c r="G274" s="827">
        <v>1491</v>
      </c>
      <c r="H274" s="832">
        <v>34863.06</v>
      </c>
    </row>
    <row r="275" spans="1:8" ht="15" x14ac:dyDescent="0.2">
      <c r="A275" s="826">
        <v>1362</v>
      </c>
      <c r="B275" s="828">
        <v>174.8</v>
      </c>
      <c r="C275" s="827">
        <v>1406</v>
      </c>
      <c r="D275" s="828">
        <v>10401.86</v>
      </c>
      <c r="E275" s="827">
        <v>1450</v>
      </c>
      <c r="F275" s="849">
        <v>1075.76</v>
      </c>
      <c r="G275" s="835" t="s">
        <v>8910</v>
      </c>
      <c r="H275" s="832">
        <v>431.3</v>
      </c>
    </row>
    <row r="276" spans="1:8" ht="15" x14ac:dyDescent="0.2">
      <c r="A276" s="826">
        <v>1363</v>
      </c>
      <c r="B276" s="828">
        <v>6458.52</v>
      </c>
      <c r="C276" s="827">
        <v>1407</v>
      </c>
      <c r="D276" s="828">
        <v>11756.78</v>
      </c>
      <c r="E276" s="827">
        <v>1451</v>
      </c>
      <c r="F276" s="849">
        <v>1796.48</v>
      </c>
      <c r="G276" s="827">
        <v>1493</v>
      </c>
      <c r="H276" s="832">
        <v>3432</v>
      </c>
    </row>
    <row r="277" spans="1:8" ht="15" x14ac:dyDescent="0.2">
      <c r="A277" s="826">
        <v>1364</v>
      </c>
      <c r="B277" s="828">
        <v>7729.68</v>
      </c>
      <c r="C277" s="827">
        <v>1408</v>
      </c>
      <c r="D277" s="828">
        <v>52811.040000000001</v>
      </c>
      <c r="E277" s="827">
        <v>1452</v>
      </c>
      <c r="F277" s="849">
        <v>1097.1199999999999</v>
      </c>
      <c r="G277" s="827">
        <v>1494</v>
      </c>
      <c r="H277" s="832">
        <v>3578.42</v>
      </c>
    </row>
    <row r="278" spans="1:8" ht="15" x14ac:dyDescent="0.2">
      <c r="A278" s="826">
        <v>1365</v>
      </c>
      <c r="B278" s="828">
        <v>19364.04</v>
      </c>
      <c r="C278" s="827">
        <v>1409</v>
      </c>
      <c r="D278" s="828">
        <v>62158.16</v>
      </c>
      <c r="E278" s="848" t="s">
        <v>8778</v>
      </c>
      <c r="F278" s="849">
        <v>439.7</v>
      </c>
      <c r="G278" s="835" t="s">
        <v>8911</v>
      </c>
      <c r="H278" s="832">
        <v>3828.9</v>
      </c>
    </row>
    <row r="279" spans="1:8" ht="15" x14ac:dyDescent="0.2">
      <c r="A279" s="826">
        <v>1366</v>
      </c>
      <c r="B279" s="828">
        <v>25059.360000000001</v>
      </c>
      <c r="C279" s="835" t="s">
        <v>8912</v>
      </c>
      <c r="D279" s="828">
        <v>1590.86</v>
      </c>
      <c r="E279" s="848" t="s">
        <v>8782</v>
      </c>
      <c r="F279" s="849">
        <v>439.7</v>
      </c>
      <c r="G279" s="827">
        <v>1495</v>
      </c>
      <c r="H279" s="832">
        <v>28476.54</v>
      </c>
    </row>
    <row r="280" spans="1:8" ht="15" x14ac:dyDescent="0.2">
      <c r="A280" s="826">
        <v>1367</v>
      </c>
      <c r="B280" s="828">
        <v>11732.3</v>
      </c>
      <c r="C280" s="835" t="s">
        <v>8913</v>
      </c>
      <c r="D280" s="828">
        <v>6423.3</v>
      </c>
      <c r="E280" s="827">
        <v>1455</v>
      </c>
      <c r="F280" s="849">
        <v>112.04</v>
      </c>
      <c r="G280" s="827">
        <v>1496</v>
      </c>
      <c r="H280" s="846">
        <v>1670.6</v>
      </c>
    </row>
    <row r="281" spans="1:8" ht="15" x14ac:dyDescent="0.2">
      <c r="A281" s="826">
        <v>1368</v>
      </c>
      <c r="B281" s="828">
        <v>12199.4</v>
      </c>
      <c r="C281" s="835" t="s">
        <v>8914</v>
      </c>
      <c r="D281" s="828">
        <v>1709.48</v>
      </c>
      <c r="E281" s="827">
        <v>1456</v>
      </c>
      <c r="F281" s="849">
        <v>129.86000000000001</v>
      </c>
      <c r="G281" s="827">
        <v>1497</v>
      </c>
      <c r="H281" s="846">
        <v>38278.199999999997</v>
      </c>
    </row>
    <row r="282" spans="1:8" ht="15" x14ac:dyDescent="0.2">
      <c r="A282" s="826">
        <v>1369</v>
      </c>
      <c r="B282" s="828">
        <v>15377.3</v>
      </c>
      <c r="C282" s="827">
        <v>1413</v>
      </c>
      <c r="D282" s="828">
        <v>1678.34</v>
      </c>
      <c r="E282" s="827">
        <v>1457</v>
      </c>
      <c r="F282" s="849">
        <v>1203.68</v>
      </c>
      <c r="G282" s="827">
        <v>1498</v>
      </c>
      <c r="H282" s="550" t="s">
        <v>8835</v>
      </c>
    </row>
    <row r="283" spans="1:8" ht="15" x14ac:dyDescent="0.2">
      <c r="A283" s="826">
        <v>1370</v>
      </c>
      <c r="B283" s="828">
        <v>17429.96</v>
      </c>
      <c r="C283" s="827">
        <v>1414</v>
      </c>
      <c r="D283" s="836" t="s">
        <v>8835</v>
      </c>
      <c r="E283" s="827">
        <v>1458</v>
      </c>
      <c r="F283" s="849">
        <v>631.02</v>
      </c>
      <c r="G283" s="827">
        <v>1499</v>
      </c>
      <c r="H283" s="550" t="s">
        <v>8835</v>
      </c>
    </row>
    <row r="284" spans="1:8" ht="15" x14ac:dyDescent="0.2">
      <c r="A284" s="826">
        <v>1371</v>
      </c>
      <c r="B284" s="828">
        <v>17660</v>
      </c>
      <c r="C284" s="827">
        <v>1415</v>
      </c>
      <c r="D284" s="828">
        <v>567.55999999999995</v>
      </c>
      <c r="E284" s="827">
        <v>1459</v>
      </c>
      <c r="F284" s="849">
        <v>631.02</v>
      </c>
      <c r="G284" s="827">
        <v>1500</v>
      </c>
      <c r="H284" s="550" t="s">
        <v>8835</v>
      </c>
    </row>
    <row r="285" spans="1:8" ht="15" x14ac:dyDescent="0.2">
      <c r="A285" s="826">
        <v>1372</v>
      </c>
      <c r="B285" s="828">
        <v>18191.54</v>
      </c>
      <c r="C285" s="827">
        <v>1416</v>
      </c>
      <c r="D285" s="828">
        <v>567.55999999999995</v>
      </c>
      <c r="E285" s="827">
        <v>1460</v>
      </c>
      <c r="F285" s="849">
        <v>631.02</v>
      </c>
      <c r="G285" s="827">
        <v>1501</v>
      </c>
      <c r="H285" s="550" t="s">
        <v>8835</v>
      </c>
    </row>
    <row r="286" spans="1:8" ht="15" x14ac:dyDescent="0.2">
      <c r="A286" s="826">
        <v>1373</v>
      </c>
      <c r="B286" s="828">
        <v>8167.08</v>
      </c>
      <c r="C286" s="827">
        <v>1417</v>
      </c>
      <c r="D286" s="828">
        <v>567.55999999999995</v>
      </c>
      <c r="E286" s="827" t="s">
        <v>8915</v>
      </c>
      <c r="F286" s="849">
        <v>1588.7</v>
      </c>
      <c r="G286" s="827">
        <v>1502</v>
      </c>
      <c r="H286" s="550" t="s">
        <v>8835</v>
      </c>
    </row>
    <row r="287" spans="1:8" ht="15" x14ac:dyDescent="0.2">
      <c r="A287" s="826">
        <v>1374</v>
      </c>
      <c r="B287" s="828">
        <v>20735.46</v>
      </c>
      <c r="C287" s="827">
        <v>1418</v>
      </c>
      <c r="D287" s="828">
        <v>567.55999999999995</v>
      </c>
      <c r="E287" s="827">
        <v>1462</v>
      </c>
      <c r="F287" s="849">
        <v>1615.16</v>
      </c>
      <c r="G287" s="827">
        <v>1503</v>
      </c>
      <c r="H287" s="550" t="s">
        <v>8835</v>
      </c>
    </row>
    <row r="288" spans="1:8" ht="15" x14ac:dyDescent="0.2">
      <c r="A288" s="826">
        <v>1375</v>
      </c>
      <c r="B288" s="828">
        <v>22229</v>
      </c>
      <c r="C288" s="827">
        <v>1419</v>
      </c>
      <c r="D288" s="828">
        <v>104.76</v>
      </c>
      <c r="E288" s="827">
        <v>1463</v>
      </c>
      <c r="F288" s="849">
        <v>1615.16</v>
      </c>
      <c r="G288" s="827">
        <v>1504</v>
      </c>
      <c r="H288" s="550" t="s">
        <v>8835</v>
      </c>
    </row>
    <row r="289" spans="1:8" ht="15" x14ac:dyDescent="0.2">
      <c r="A289" s="826">
        <v>1376</v>
      </c>
      <c r="B289" s="828">
        <v>20400.66</v>
      </c>
      <c r="C289" s="827">
        <v>1420</v>
      </c>
      <c r="D289" s="828">
        <v>140.78</v>
      </c>
      <c r="E289" s="827">
        <v>1464</v>
      </c>
      <c r="F289" s="849">
        <v>1724.94</v>
      </c>
      <c r="G289" s="827">
        <v>1505</v>
      </c>
      <c r="H289" s="550" t="s">
        <v>8835</v>
      </c>
    </row>
    <row r="290" spans="1:8" ht="15" x14ac:dyDescent="0.2">
      <c r="A290" s="826">
        <v>1377</v>
      </c>
      <c r="B290" s="828">
        <v>35880.42</v>
      </c>
      <c r="C290" s="827">
        <v>1421</v>
      </c>
      <c r="D290" s="828">
        <v>1197.2</v>
      </c>
      <c r="E290" s="827">
        <v>1465</v>
      </c>
      <c r="F290" s="849">
        <v>1272.08</v>
      </c>
      <c r="G290" s="827">
        <v>1506</v>
      </c>
      <c r="H290" s="550" t="s">
        <v>8835</v>
      </c>
    </row>
    <row r="291" spans="1:8" ht="15" x14ac:dyDescent="0.2">
      <c r="A291" s="826">
        <v>1378</v>
      </c>
      <c r="B291" s="828">
        <v>30936.9</v>
      </c>
      <c r="C291" s="827">
        <v>1422</v>
      </c>
      <c r="D291" s="828">
        <v>7950.6</v>
      </c>
      <c r="E291" s="827">
        <v>1466</v>
      </c>
      <c r="F291" s="849">
        <v>1272.08</v>
      </c>
      <c r="G291" s="827">
        <v>1507</v>
      </c>
      <c r="H291" s="550" t="s">
        <v>8835</v>
      </c>
    </row>
    <row r="292" spans="1:8" ht="15" x14ac:dyDescent="0.2">
      <c r="A292" s="826">
        <v>1379</v>
      </c>
      <c r="B292" s="828">
        <v>39309.06</v>
      </c>
      <c r="C292" s="827">
        <v>1423</v>
      </c>
      <c r="D292" s="828">
        <v>2134.62</v>
      </c>
      <c r="E292" s="827">
        <v>1467</v>
      </c>
      <c r="F292" s="849">
        <v>1775.1</v>
      </c>
      <c r="G292" s="827">
        <v>1508</v>
      </c>
      <c r="H292" s="550" t="s">
        <v>8835</v>
      </c>
    </row>
    <row r="293" spans="1:8" ht="15" x14ac:dyDescent="0.2">
      <c r="A293" s="826">
        <v>1380</v>
      </c>
      <c r="B293" s="828">
        <v>11615.04</v>
      </c>
      <c r="C293" s="827">
        <v>1424</v>
      </c>
      <c r="D293" s="828">
        <v>1610.12</v>
      </c>
      <c r="E293" s="827" t="s">
        <v>8916</v>
      </c>
      <c r="F293" s="849">
        <v>1902.96</v>
      </c>
      <c r="G293" s="827">
        <v>1509</v>
      </c>
      <c r="H293" s="550" t="s">
        <v>8835</v>
      </c>
    </row>
    <row r="294" spans="1:8" ht="15" x14ac:dyDescent="0.2">
      <c r="A294" s="826">
        <v>1381</v>
      </c>
      <c r="B294" s="828">
        <v>30916.46</v>
      </c>
      <c r="C294" s="827">
        <v>1425</v>
      </c>
      <c r="D294" s="828">
        <v>4653.62</v>
      </c>
      <c r="E294" s="827">
        <v>1468</v>
      </c>
      <c r="F294" s="849">
        <v>667.82</v>
      </c>
      <c r="G294" s="827">
        <v>1510</v>
      </c>
      <c r="H294" s="550" t="s">
        <v>8835</v>
      </c>
    </row>
    <row r="295" spans="1:8" ht="15" x14ac:dyDescent="0.2">
      <c r="A295" s="826">
        <v>1382</v>
      </c>
      <c r="B295" s="828">
        <v>37750.86</v>
      </c>
      <c r="C295" s="827">
        <v>1426</v>
      </c>
      <c r="D295" s="828">
        <v>19939.52</v>
      </c>
      <c r="E295" s="827">
        <v>1469</v>
      </c>
      <c r="F295" s="849">
        <v>1612.46</v>
      </c>
      <c r="G295" s="827">
        <v>1511</v>
      </c>
      <c r="H295" s="550" t="s">
        <v>8835</v>
      </c>
    </row>
    <row r="296" spans="1:8" ht="15" x14ac:dyDescent="0.2">
      <c r="A296" s="826">
        <v>1383</v>
      </c>
      <c r="B296" s="828">
        <v>27679.16</v>
      </c>
      <c r="C296" s="827">
        <v>1427</v>
      </c>
      <c r="D296" s="828">
        <v>1062.08</v>
      </c>
      <c r="E296" s="827">
        <v>1470</v>
      </c>
      <c r="F296" s="849">
        <v>829.46</v>
      </c>
      <c r="G296" s="827">
        <v>1512</v>
      </c>
      <c r="H296" s="550" t="s">
        <v>8835</v>
      </c>
    </row>
    <row r="297" spans="1:8" ht="15" x14ac:dyDescent="0.2">
      <c r="A297" s="826">
        <v>1384</v>
      </c>
      <c r="B297" s="828">
        <v>40322.1</v>
      </c>
      <c r="C297" s="827">
        <v>1428</v>
      </c>
      <c r="D297" s="828">
        <v>758.96</v>
      </c>
      <c r="E297" s="827">
        <v>1471</v>
      </c>
      <c r="F297" s="849">
        <v>948.9</v>
      </c>
      <c r="G297" s="827">
        <v>1513</v>
      </c>
      <c r="H297" s="550" t="s">
        <v>8835</v>
      </c>
    </row>
    <row r="298" spans="1:8" ht="15.75" thickBot="1" x14ac:dyDescent="0.25">
      <c r="A298" s="851">
        <v>1385</v>
      </c>
      <c r="B298" s="852">
        <v>28466.400000000001</v>
      </c>
      <c r="C298" s="853" t="s">
        <v>8917</v>
      </c>
      <c r="D298" s="852">
        <v>1321.28</v>
      </c>
      <c r="E298" s="854">
        <v>1472</v>
      </c>
      <c r="F298" s="855">
        <v>567.55999999999995</v>
      </c>
      <c r="G298" s="854">
        <v>1514</v>
      </c>
      <c r="H298" s="553" t="s">
        <v>8835</v>
      </c>
    </row>
    <row r="299" spans="1:8" ht="15" x14ac:dyDescent="0.2">
      <c r="A299" s="563">
        <v>1379</v>
      </c>
      <c r="B299" s="522">
        <v>8735.35</v>
      </c>
      <c r="C299" s="564">
        <v>1423</v>
      </c>
      <c r="D299" s="522">
        <v>474.36</v>
      </c>
      <c r="E299" s="564">
        <v>1467</v>
      </c>
      <c r="F299" s="549">
        <v>394.47</v>
      </c>
      <c r="G299" s="564">
        <v>1508</v>
      </c>
      <c r="H299" s="550" t="s">
        <v>8835</v>
      </c>
    </row>
    <row r="300" spans="1:8" ht="15" x14ac:dyDescent="0.2">
      <c r="A300" s="563">
        <v>1380</v>
      </c>
      <c r="B300" s="522">
        <v>2581.12</v>
      </c>
      <c r="C300" s="564">
        <v>1424</v>
      </c>
      <c r="D300" s="522">
        <v>357.81</v>
      </c>
      <c r="E300" s="564" t="s">
        <v>8916</v>
      </c>
      <c r="F300" s="549">
        <v>422.88</v>
      </c>
      <c r="G300" s="564">
        <v>1509</v>
      </c>
      <c r="H300" s="550" t="s">
        <v>8835</v>
      </c>
    </row>
    <row r="301" spans="1:8" ht="15" x14ac:dyDescent="0.2">
      <c r="A301" s="563">
        <v>1381</v>
      </c>
      <c r="B301" s="522">
        <v>6870.33</v>
      </c>
      <c r="C301" s="564">
        <v>1425</v>
      </c>
      <c r="D301" s="522">
        <v>1034.1400000000001</v>
      </c>
      <c r="E301" s="564">
        <v>1468</v>
      </c>
      <c r="F301" s="549">
        <v>148.41</v>
      </c>
      <c r="G301" s="564">
        <v>1510</v>
      </c>
      <c r="H301" s="550" t="s">
        <v>8835</v>
      </c>
    </row>
    <row r="302" spans="1:8" ht="15" x14ac:dyDescent="0.2">
      <c r="A302" s="563">
        <v>1382</v>
      </c>
      <c r="B302" s="522">
        <v>8389.08</v>
      </c>
      <c r="C302" s="564">
        <v>1426</v>
      </c>
      <c r="D302" s="522">
        <v>4431.01</v>
      </c>
      <c r="E302" s="564">
        <v>1469</v>
      </c>
      <c r="F302" s="549">
        <v>358.33</v>
      </c>
      <c r="G302" s="564">
        <v>1511</v>
      </c>
      <c r="H302" s="550" t="s">
        <v>8835</v>
      </c>
    </row>
    <row r="303" spans="1:8" ht="15" x14ac:dyDescent="0.2">
      <c r="A303" s="563">
        <v>1383</v>
      </c>
      <c r="B303" s="522">
        <v>6150.93</v>
      </c>
      <c r="C303" s="564">
        <v>1427</v>
      </c>
      <c r="D303" s="522">
        <v>236.02</v>
      </c>
      <c r="E303" s="564">
        <v>1470</v>
      </c>
      <c r="F303" s="549">
        <v>184.33</v>
      </c>
      <c r="G303" s="564">
        <v>1512</v>
      </c>
      <c r="H303" s="550" t="s">
        <v>8835</v>
      </c>
    </row>
    <row r="304" spans="1:8" ht="15" x14ac:dyDescent="0.2">
      <c r="A304" s="563">
        <v>1384</v>
      </c>
      <c r="B304" s="522">
        <v>8960.4699999999993</v>
      </c>
      <c r="C304" s="564">
        <v>1428</v>
      </c>
      <c r="D304" s="522">
        <v>168.66</v>
      </c>
      <c r="E304" s="564">
        <v>1471</v>
      </c>
      <c r="F304" s="549">
        <v>210.87</v>
      </c>
      <c r="G304" s="564">
        <v>1513</v>
      </c>
      <c r="H304" s="550" t="s">
        <v>8835</v>
      </c>
    </row>
    <row r="305" spans="1:8" ht="15.75" thickBot="1" x14ac:dyDescent="0.25">
      <c r="A305" s="566">
        <v>1385</v>
      </c>
      <c r="B305" s="551">
        <v>6325.87</v>
      </c>
      <c r="C305" s="567" t="s">
        <v>8917</v>
      </c>
      <c r="D305" s="551">
        <v>293.62</v>
      </c>
      <c r="E305" s="568">
        <v>1472</v>
      </c>
      <c r="F305" s="552">
        <v>126.13</v>
      </c>
      <c r="G305" s="568">
        <v>1514</v>
      </c>
      <c r="H305" s="553" t="s">
        <v>8835</v>
      </c>
    </row>
  </sheetData>
  <mergeCells count="4">
    <mergeCell ref="K1:M1"/>
    <mergeCell ref="U1:V1"/>
    <mergeCell ref="K10:M10"/>
    <mergeCell ref="AC1:AD1"/>
  </mergeCells>
  <pageMargins left="0.7" right="0.7" top="0.75" bottom="0.75" header="0.3" footer="0.3"/>
  <pageSetup paperSize="9" orientation="portrait" r:id="rId1"/>
  <ignoredErrors>
    <ignoredError sqref="Y10"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434B-E9B7-4B41-B7D1-2A8F3040364A}">
  <sheetPr codeName="Hoja31"/>
  <dimension ref="A1:L28"/>
  <sheetViews>
    <sheetView zoomScaleNormal="100" zoomScaleSheetLayoutView="145" workbookViewId="0">
      <selection activeCell="L3" sqref="L3"/>
    </sheetView>
  </sheetViews>
  <sheetFormatPr baseColWidth="10" defaultColWidth="10.85546875" defaultRowHeight="12.75" x14ac:dyDescent="0.2"/>
  <cols>
    <col min="1" max="1" width="10" style="9" bestFit="1" customWidth="1"/>
    <col min="2" max="2" width="11" style="9" customWidth="1"/>
    <col min="3" max="3" width="10.85546875" style="9"/>
    <col min="4" max="4" width="27.5703125" style="9" bestFit="1" customWidth="1"/>
    <col min="5" max="5" width="12" style="9" bestFit="1" customWidth="1"/>
    <col min="6" max="6" width="7" style="4" customWidth="1"/>
    <col min="7" max="7" width="14.85546875" style="26" hidden="1" customWidth="1"/>
    <col min="8" max="8" width="11.28515625" style="26" customWidth="1"/>
    <col min="9" max="16384" width="10.85546875" style="9"/>
  </cols>
  <sheetData>
    <row r="1" spans="1:12" x14ac:dyDescent="0.2">
      <c r="A1" s="30" t="s">
        <v>8918</v>
      </c>
      <c r="B1" s="30" t="s">
        <v>8753</v>
      </c>
      <c r="C1" s="30" t="s">
        <v>8919</v>
      </c>
      <c r="D1" s="30" t="s">
        <v>8920</v>
      </c>
      <c r="E1" s="30" t="s">
        <v>8921</v>
      </c>
      <c r="F1" s="30" t="s">
        <v>8922</v>
      </c>
      <c r="G1" s="99" t="s">
        <v>3</v>
      </c>
      <c r="H1" s="396" t="s">
        <v>8923</v>
      </c>
      <c r="K1" s="9" t="s">
        <v>8924</v>
      </c>
      <c r="L1" s="482">
        <v>45427</v>
      </c>
    </row>
    <row r="2" spans="1:12" x14ac:dyDescent="0.2">
      <c r="A2" s="9">
        <f>+ROW()-1</f>
        <v>1</v>
      </c>
      <c r="B2" s="4">
        <v>2</v>
      </c>
      <c r="C2" s="9" t="s">
        <v>8925</v>
      </c>
      <c r="E2" s="9" t="s">
        <v>8926</v>
      </c>
      <c r="F2" s="4" t="s">
        <v>8927</v>
      </c>
      <c r="H2" s="26" t="s">
        <v>8928</v>
      </c>
      <c r="I2" s="9" t="s">
        <v>8929</v>
      </c>
    </row>
    <row r="3" spans="1:12" x14ac:dyDescent="0.2">
      <c r="A3" s="9">
        <f t="shared" ref="A3:A8" si="0">+ROW()-1</f>
        <v>2</v>
      </c>
      <c r="B3" s="4">
        <v>2</v>
      </c>
      <c r="C3" s="9" t="s">
        <v>8930</v>
      </c>
      <c r="E3" s="9" t="s">
        <v>8926</v>
      </c>
      <c r="F3" s="4" t="s">
        <v>8927</v>
      </c>
      <c r="H3" s="26" t="s">
        <v>8928</v>
      </c>
      <c r="I3" s="9" t="s">
        <v>8929</v>
      </c>
    </row>
    <row r="4" spans="1:12" x14ac:dyDescent="0.2">
      <c r="A4" s="9">
        <f t="shared" si="0"/>
        <v>3</v>
      </c>
      <c r="B4" s="4">
        <v>1</v>
      </c>
      <c r="C4" s="9" t="s">
        <v>8931</v>
      </c>
      <c r="E4" s="9" t="s">
        <v>8926</v>
      </c>
      <c r="F4" s="4">
        <v>52</v>
      </c>
      <c r="I4" s="9" t="s">
        <v>8929</v>
      </c>
    </row>
    <row r="5" spans="1:12" x14ac:dyDescent="0.2">
      <c r="A5" s="9">
        <f t="shared" si="0"/>
        <v>4</v>
      </c>
      <c r="B5" s="4">
        <v>1</v>
      </c>
      <c r="C5" s="9" t="s">
        <v>8932</v>
      </c>
      <c r="E5" s="9" t="s">
        <v>8926</v>
      </c>
      <c r="F5" s="4">
        <v>52</v>
      </c>
      <c r="I5" s="9" t="s">
        <v>8929</v>
      </c>
    </row>
    <row r="6" spans="1:12" x14ac:dyDescent="0.2">
      <c r="A6" s="9">
        <f t="shared" si="0"/>
        <v>5</v>
      </c>
      <c r="B6" s="4"/>
    </row>
    <row r="7" spans="1:12" x14ac:dyDescent="0.2">
      <c r="A7" s="9">
        <f t="shared" si="0"/>
        <v>6</v>
      </c>
      <c r="B7" s="4"/>
    </row>
    <row r="8" spans="1:12" x14ac:dyDescent="0.2">
      <c r="A8" s="9">
        <f t="shared" si="0"/>
        <v>7</v>
      </c>
      <c r="B8" s="4"/>
    </row>
    <row r="9" spans="1:12" x14ac:dyDescent="0.2">
      <c r="A9" s="9" t="s">
        <v>8162</v>
      </c>
      <c r="B9" s="4"/>
      <c r="G9" s="27">
        <f>SUBTOTAL(109,Tabla26[Precio])</f>
        <v>0</v>
      </c>
      <c r="H9" s="9"/>
    </row>
    <row r="28" ht="15" customHeight="1" x14ac:dyDescent="0.2"/>
  </sheetData>
  <pageMargins left="0.25" right="0.25"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F49A9-B66D-4897-A51E-40BF760C7A19}">
  <sheetPr codeName="Hoja9"/>
  <dimension ref="A1:AA103"/>
  <sheetViews>
    <sheetView showGridLines="0" zoomScale="115" zoomScaleNormal="115" zoomScaleSheetLayoutView="175" workbookViewId="0">
      <pane ySplit="2" topLeftCell="A3" activePane="bottomLeft" state="frozen"/>
      <selection activeCell="D17" sqref="D17"/>
      <selection pane="bottomLeft" activeCell="B3" activeCellId="2" sqref="H3:H8 E3:E15 B3:B15"/>
    </sheetView>
  </sheetViews>
  <sheetFormatPr baseColWidth="10" defaultColWidth="11.42578125" defaultRowHeight="12.75" x14ac:dyDescent="0.2"/>
  <cols>
    <col min="1" max="2" width="9" customWidth="1"/>
    <col min="3" max="3" width="0.85546875" customWidth="1"/>
    <col min="4" max="5" width="9" customWidth="1"/>
    <col min="6" max="6" width="1.140625" customWidth="1"/>
    <col min="7" max="8" width="9" customWidth="1"/>
    <col min="9" max="9" width="0.85546875" customWidth="1"/>
    <col min="10" max="11" width="9" customWidth="1"/>
    <col min="12" max="12" width="0.85546875" customWidth="1"/>
    <col min="13" max="14" width="9" customWidth="1"/>
    <col min="15" max="15" width="6.5703125" customWidth="1"/>
    <col min="16" max="16" width="10.7109375"/>
    <col min="17" max="17" width="12.85546875" bestFit="1" customWidth="1"/>
    <col min="18" max="18" width="10.7109375"/>
    <col min="19" max="19" width="18.7109375" customWidth="1"/>
    <col min="20" max="20" width="13.5703125" bestFit="1" customWidth="1"/>
    <col min="21" max="21" width="3.85546875" customWidth="1"/>
    <col min="22" max="22" width="15.28515625" customWidth="1"/>
  </cols>
  <sheetData>
    <row r="1" spans="1:24" ht="13.5" thickBot="1" x14ac:dyDescent="0.25">
      <c r="A1" s="1488" t="s">
        <v>8933</v>
      </c>
      <c r="B1" s="1489"/>
      <c r="C1" s="4"/>
      <c r="D1" s="1488" t="s">
        <v>8933</v>
      </c>
      <c r="E1" s="1489"/>
      <c r="F1" s="4"/>
      <c r="G1" s="1488" t="s">
        <v>8933</v>
      </c>
      <c r="H1" s="1489"/>
      <c r="I1" s="4"/>
      <c r="J1" s="1488" t="s">
        <v>8933</v>
      </c>
      <c r="K1" s="1489"/>
      <c r="L1" s="4"/>
      <c r="M1" s="1488" t="s">
        <v>8933</v>
      </c>
      <c r="N1" s="1489"/>
      <c r="O1" s="13"/>
      <c r="P1" s="1483" t="s">
        <v>8934</v>
      </c>
      <c r="Q1" s="1483"/>
      <c r="R1" s="3" t="s">
        <v>8935</v>
      </c>
      <c r="S1" s="13"/>
      <c r="T1" s="13"/>
      <c r="U1" s="13"/>
      <c r="V1" s="32" t="s">
        <v>21390</v>
      </c>
      <c r="W1" s="13"/>
    </row>
    <row r="2" spans="1:24" s="4" customFormat="1" ht="13.5" thickBot="1" x14ac:dyDescent="0.25">
      <c r="A2" s="1229" t="s">
        <v>8189</v>
      </c>
      <c r="B2" s="1230" t="s">
        <v>8936</v>
      </c>
      <c r="D2" s="1229" t="s">
        <v>8189</v>
      </c>
      <c r="E2" s="1230" t="s">
        <v>8936</v>
      </c>
      <c r="G2" s="1229" t="s">
        <v>8189</v>
      </c>
      <c r="H2" s="1230" t="s">
        <v>8936</v>
      </c>
      <c r="J2" s="1229" t="s">
        <v>8189</v>
      </c>
      <c r="K2" s="1230" t="s">
        <v>8936</v>
      </c>
      <c r="M2" s="1229" t="s">
        <v>8189</v>
      </c>
      <c r="N2" s="1230" t="s">
        <v>8936</v>
      </c>
      <c r="O2" s="13"/>
      <c r="P2" s="1231" t="s">
        <v>8918</v>
      </c>
      <c r="Q2" s="870" t="s">
        <v>8189</v>
      </c>
      <c r="R2" s="872" t="s">
        <v>8937</v>
      </c>
      <c r="S2" s="13"/>
      <c r="T2" s="1232">
        <f>+SUM(T3:T62)</f>
        <v>896723.37599999993</v>
      </c>
      <c r="V2" s="13" t="s">
        <v>8751</v>
      </c>
      <c r="W2" s="13" t="s">
        <v>8322</v>
      </c>
      <c r="X2" s="4" t="s">
        <v>8759</v>
      </c>
    </row>
    <row r="3" spans="1:24" ht="14.25" x14ac:dyDescent="0.2">
      <c r="A3" s="1233">
        <f t="shared" ref="A3:A15" si="0">IFERROR(IF(VLOOKUP(ROW(A1),$P$3:$Q$67,2,0)&gt;=110,_xlfn.XLOOKUP(VLOOKUP(VLOOKUP(ROW(A1),$P$3:$Q$67,2,0)&amp;"*",$B$83:$B$100,1,0),$B$83:$B$100,$A$83:$A$100,"",0),VLOOKUP(ROW(A1),$P$3:$Q$67,2,0)),"")</f>
        <v>1</v>
      </c>
      <c r="B3" s="1234">
        <f t="shared" ref="B3:B15" si="1">IFERROR(VLOOKUP(ROW(A1),$P$3:$R$67,3,0),"")</f>
        <v>1</v>
      </c>
      <c r="C3" s="13"/>
      <c r="D3" s="1235">
        <f t="shared" ref="D3:D13" si="2">IFERROR(IF(VLOOKUP(ROW(A14),$P$3:$Q$67,2,0)&gt;=110,_xlfn.XLOOKUP(VLOOKUP(VLOOKUP(ROW(A14),$P$3:$Q$67,2,0)&amp;"*",$B$83:$B$100,1,0),$B$83:$B$100,$A$83:$A$100,"",0),VLOOKUP(ROW(A14),$P$3:$Q$67,2,0)),"")</f>
        <v>47</v>
      </c>
      <c r="E3" s="269">
        <f t="shared" ref="E3:E15" si="3">+IFERROR(VLOOKUP(ROW(A14),$P$3:$R$67,3,0),"")</f>
        <v>1</v>
      </c>
      <c r="F3" s="13"/>
      <c r="G3" s="1236" t="str">
        <f t="shared" ref="G3:G15" si="4">IFERROR(IF(VLOOKUP(ROW(A27),$P$3:$Q$67,2,0)&gt;=110,_xlfn.XLOOKUP(VLOOKUP(VLOOKUP(ROW(A27),$P$3:$Q$67,2,0)&amp;"*",$B$83:$B$100,1,0),$B$83:$B$100,$A$83:$A$100,"",0),VLOOKUP(ROW(A27),$P$3:$Q$67,2,0)),"")</f>
        <v>421(12-5)</v>
      </c>
      <c r="H3" s="14">
        <f t="shared" ref="H3:H15" si="5">+IFERROR(VLOOKUP(ROW(A27),$P$3:$R$67,3,0),"")</f>
        <v>1</v>
      </c>
      <c r="I3" s="13"/>
      <c r="J3" s="1237">
        <f t="shared" ref="J3:J15" si="6">IFERROR(IF(VLOOKUP(ROW(A40),$P$3:$Q$67,2,0)&gt;=110,_xlfn.XLOOKUP(VLOOKUP(VLOOKUP(ROW(A40),$P$3:$Q$67,2,0)&amp;"*",$B$83:$B$100,1,0),$B$83:$B$100,$A$83:$A$100,"",0),VLOOKUP(ROW(A40),$P$3:$Q$67,2,0)),"")</f>
        <v>82</v>
      </c>
      <c r="K3" s="15">
        <f t="shared" ref="K3:K15" si="7">+IFERROR(VLOOKUP(ROW(D40),$P$3:$R$67,3,0),"")</f>
        <v>2</v>
      </c>
      <c r="L3" s="13"/>
      <c r="M3" s="1237" t="str">
        <f>IFERROR(IF(VLOOKUP(ROW(D53),$P$3:$Q$67,2,0)&gt;=110,_xlfn.XLOOKUP(VLOOKUP(VLOOKUP(ROW(D53),$P$3:$Q$67,2,0)&amp;"*",$B$83:$B$100,1,0),$B$83:$B$100,$A$83:$A$100,"",0),VLOOKUP(ROW(D53),$P$3:$Q$67,2,0)),"")</f>
        <v/>
      </c>
      <c r="N3" s="15" t="str">
        <f>+IFERROR(VLOOKUP(ROW(G53),$P$3:$R$67,3,0),"")</f>
        <v/>
      </c>
      <c r="O3" s="13">
        <f>IFERROR(+SUBSTITUTE(Q3,"*","")+0,0)</f>
        <v>1</v>
      </c>
      <c r="P3">
        <v>1</v>
      </c>
      <c r="Q3" s="560">
        <v>1</v>
      </c>
      <c r="R3" s="558">
        <v>1</v>
      </c>
      <c r="S3" s="1426">
        <f>+IF(Q3="",0,VLOOKUP("CARBONES"&amp;Q3&amp;"*",CODIGOS_Y_COSTOS[[ID]:[COSTO]],7,0))</f>
        <v>1410</v>
      </c>
      <c r="T3" s="1238">
        <f t="shared" ref="T3:T34" si="8">+S3*R3*10</f>
        <v>14100</v>
      </c>
      <c r="V3" s="13">
        <f>IFERROR(IF(VLOOKUP(ROW(A1),$P$3:$Q$67,2,0)&gt;=110,_xlfn.XLOOKUP(VLOOKUP(VLOOKUP(ROW(A1),$P$3:$Q$67,2,0)&amp;"*",$B$83:$B$100,1,0),$B$83:$B$100,$A$83:$A$100,"",0),VLOOKUP(ROW(A1),$P$3:$Q$67,2,0)),"")</f>
        <v>1</v>
      </c>
      <c r="W3" s="13">
        <f>+R3</f>
        <v>1</v>
      </c>
      <c r="X3" s="1426">
        <f>+S3</f>
        <v>1410</v>
      </c>
    </row>
    <row r="4" spans="1:24" ht="14.25" x14ac:dyDescent="0.2">
      <c r="A4" s="1237">
        <f t="shared" si="0"/>
        <v>2</v>
      </c>
      <c r="B4" s="269">
        <f t="shared" si="1"/>
        <v>1</v>
      </c>
      <c r="C4" s="13"/>
      <c r="D4" s="1239">
        <f t="shared" si="2"/>
        <v>48</v>
      </c>
      <c r="E4" s="269">
        <f t="shared" si="3"/>
        <v>1</v>
      </c>
      <c r="F4" s="13"/>
      <c r="G4" s="1237">
        <f t="shared" si="4"/>
        <v>42</v>
      </c>
      <c r="H4" s="15">
        <f t="shared" si="5"/>
        <v>3</v>
      </c>
      <c r="I4" s="13"/>
      <c r="J4" s="1237">
        <f t="shared" si="6"/>
        <v>107</v>
      </c>
      <c r="K4" s="15">
        <f t="shared" si="7"/>
        <v>1</v>
      </c>
      <c r="L4" s="13"/>
      <c r="M4" s="1237" t="str">
        <f t="shared" ref="M4:M15" si="9">IFERROR(IF(VLOOKUP(ROW(D54),$P$3:$Q$67,2,0)&gt;=110,_xlfn.XLOOKUP(VLOOKUP(VLOOKUP(ROW(D54),$P$3:$Q$67,2,0)&amp;"*",$B$83:$B$100,1,0),$B$83:$B$100,$A$83:$A$100,"",0),VLOOKUP(ROW(D54),$P$3:$Q$67,2,0)),"")</f>
        <v/>
      </c>
      <c r="N4" s="15" t="str">
        <f t="shared" ref="N4:N15" si="10">+IFERROR(VLOOKUP(ROW(G54),$P$3:$R$67,3,0),"")</f>
        <v/>
      </c>
      <c r="O4" s="13"/>
      <c r="P4">
        <f>+IF(Q4="","",MAX($P$3:P3)+1)</f>
        <v>2</v>
      </c>
      <c r="Q4" s="560">
        <v>2</v>
      </c>
      <c r="R4" s="558">
        <v>1</v>
      </c>
      <c r="S4" s="1426">
        <f>+IF(Q4="",0,VLOOKUP("CARBONES"&amp;Q4&amp;"*",CODIGOS_Y_COSTOS[[ID]:[COSTO]],7,0))</f>
        <v>1410</v>
      </c>
      <c r="T4" s="1238">
        <f t="shared" si="8"/>
        <v>14100</v>
      </c>
      <c r="V4" s="13">
        <f t="shared" ref="V4:V67" si="11">IFERROR(IF(VLOOKUP(ROW(A2),$P$3:$Q$67,2,0)&gt;=110,_xlfn.XLOOKUP(VLOOKUP(VLOOKUP(ROW(A2),$P$3:$Q$67,2,0)&amp;"*",$B$83:$B$100,1,0),$B$83:$B$100,$A$83:$A$100,"",0),VLOOKUP(ROW(A2),$P$3:$Q$67,2,0)),"")</f>
        <v>2</v>
      </c>
      <c r="W4" s="13">
        <f t="shared" ref="W4:W67" si="12">+R4</f>
        <v>1</v>
      </c>
      <c r="X4" s="1426">
        <f t="shared" ref="X4:X67" si="13">+S4</f>
        <v>1410</v>
      </c>
    </row>
    <row r="5" spans="1:24" ht="14.25" x14ac:dyDescent="0.2">
      <c r="A5" s="7">
        <f t="shared" si="0"/>
        <v>3</v>
      </c>
      <c r="B5" s="269">
        <f t="shared" si="1"/>
        <v>2</v>
      </c>
      <c r="C5" s="13"/>
      <c r="D5" s="1240">
        <f t="shared" si="2"/>
        <v>54</v>
      </c>
      <c r="E5" s="269">
        <f t="shared" si="3"/>
        <v>4</v>
      </c>
      <c r="F5" s="13"/>
      <c r="G5" s="7">
        <f t="shared" si="4"/>
        <v>423</v>
      </c>
      <c r="H5" s="15">
        <f t="shared" si="5"/>
        <v>1</v>
      </c>
      <c r="I5" s="13"/>
      <c r="J5" s="1237">
        <f t="shared" si="6"/>
        <v>399</v>
      </c>
      <c r="K5" s="15">
        <f t="shared" si="7"/>
        <v>1</v>
      </c>
      <c r="L5" s="13"/>
      <c r="M5" s="1237" t="str">
        <f t="shared" si="9"/>
        <v/>
      </c>
      <c r="N5" s="15" t="str">
        <f t="shared" si="10"/>
        <v/>
      </c>
      <c r="O5" s="13"/>
      <c r="P5">
        <f>+IF(Q5="","",MAX($P$3:P4)+1)</f>
        <v>3</v>
      </c>
      <c r="Q5" s="560">
        <v>3</v>
      </c>
      <c r="R5" s="558">
        <v>2</v>
      </c>
      <c r="S5" s="1426">
        <f>+IF(Q5="",0,VLOOKUP("CARBONES"&amp;Q5&amp;"*",CODIGOS_Y_COSTOS[[ID]:[COSTO]],7,0))</f>
        <v>1410</v>
      </c>
      <c r="T5" s="1238">
        <f t="shared" si="8"/>
        <v>28200</v>
      </c>
      <c r="V5" s="13">
        <f t="shared" si="11"/>
        <v>3</v>
      </c>
      <c r="W5" s="13">
        <f t="shared" si="12"/>
        <v>2</v>
      </c>
      <c r="X5" s="1426">
        <f t="shared" si="13"/>
        <v>1410</v>
      </c>
    </row>
    <row r="6" spans="1:24" ht="14.25" x14ac:dyDescent="0.2">
      <c r="A6" s="7">
        <f t="shared" si="0"/>
        <v>8</v>
      </c>
      <c r="B6" s="269">
        <f t="shared" si="1"/>
        <v>2</v>
      </c>
      <c r="C6" s="13"/>
      <c r="D6" s="1240">
        <f t="shared" si="2"/>
        <v>62</v>
      </c>
      <c r="E6" s="269">
        <f t="shared" si="3"/>
        <v>1</v>
      </c>
      <c r="F6" s="13"/>
      <c r="G6" s="7">
        <f t="shared" si="4"/>
        <v>70</v>
      </c>
      <c r="H6" s="15">
        <f t="shared" si="5"/>
        <v>2</v>
      </c>
      <c r="I6" s="13"/>
      <c r="J6" s="1237" t="str">
        <f t="shared" si="6"/>
        <v>421(13-5)</v>
      </c>
      <c r="K6" s="15">
        <f t="shared" si="7"/>
        <v>1</v>
      </c>
      <c r="L6" s="13"/>
      <c r="M6" s="1237" t="str">
        <f t="shared" si="9"/>
        <v/>
      </c>
      <c r="N6" s="15" t="str">
        <f t="shared" si="10"/>
        <v/>
      </c>
      <c r="O6" s="13"/>
      <c r="P6">
        <f>+IF(Q6="","",MAX($P$3:P5)+1)</f>
        <v>4</v>
      </c>
      <c r="Q6" s="560">
        <v>8</v>
      </c>
      <c r="R6" s="558">
        <v>2</v>
      </c>
      <c r="S6" s="1426">
        <f>+IF(Q6="",0,VLOOKUP("CARBONES"&amp;Q6&amp;"*",CODIGOS_Y_COSTOS[[ID]:[COSTO]],7,0))</f>
        <v>1410</v>
      </c>
      <c r="T6" s="1238">
        <f t="shared" si="8"/>
        <v>28200</v>
      </c>
      <c r="V6" s="13">
        <f t="shared" si="11"/>
        <v>8</v>
      </c>
      <c r="W6" s="13">
        <f t="shared" si="12"/>
        <v>2</v>
      </c>
      <c r="X6" s="1426">
        <f t="shared" si="13"/>
        <v>1410</v>
      </c>
    </row>
    <row r="7" spans="1:24" ht="14.25" x14ac:dyDescent="0.2">
      <c r="A7" s="1237">
        <f t="shared" si="0"/>
        <v>12</v>
      </c>
      <c r="B7" s="269">
        <f t="shared" si="1"/>
        <v>1</v>
      </c>
      <c r="C7" s="13"/>
      <c r="D7" s="1239">
        <f t="shared" si="2"/>
        <v>81</v>
      </c>
      <c r="E7" s="269">
        <f t="shared" si="3"/>
        <v>1</v>
      </c>
      <c r="F7" s="13"/>
      <c r="G7" s="1237">
        <f t="shared" si="4"/>
        <v>89</v>
      </c>
      <c r="H7" s="15">
        <f t="shared" si="5"/>
        <v>2</v>
      </c>
      <c r="I7" s="13"/>
      <c r="J7" s="1237" t="str">
        <f t="shared" si="6"/>
        <v/>
      </c>
      <c r="K7" s="15" t="str">
        <f t="shared" si="7"/>
        <v/>
      </c>
      <c r="L7" s="13"/>
      <c r="M7" s="1237" t="str">
        <f t="shared" si="9"/>
        <v/>
      </c>
      <c r="N7" s="15" t="str">
        <f t="shared" si="10"/>
        <v/>
      </c>
      <c r="O7" s="13"/>
      <c r="P7">
        <f>+IF(Q7="","",MAX($P$3:P6)+1)</f>
        <v>5</v>
      </c>
      <c r="Q7" s="560">
        <v>12</v>
      </c>
      <c r="R7" s="558">
        <v>1</v>
      </c>
      <c r="S7" s="1426">
        <f>+IF(Q7="",0,VLOOKUP("CARBONES"&amp;Q7&amp;"*",CODIGOS_Y_COSTOS[[ID]:[COSTO]],7,0))</f>
        <v>1410</v>
      </c>
      <c r="T7" s="1238">
        <f t="shared" si="8"/>
        <v>14100</v>
      </c>
      <c r="V7" s="13">
        <f t="shared" si="11"/>
        <v>12</v>
      </c>
      <c r="W7" s="13">
        <f t="shared" si="12"/>
        <v>1</v>
      </c>
      <c r="X7" s="1426">
        <f t="shared" si="13"/>
        <v>1410</v>
      </c>
    </row>
    <row r="8" spans="1:24" ht="14.25" x14ac:dyDescent="0.2">
      <c r="A8" s="1237">
        <f t="shared" si="0"/>
        <v>9</v>
      </c>
      <c r="B8" s="269">
        <f t="shared" si="1"/>
        <v>1</v>
      </c>
      <c r="C8" s="13"/>
      <c r="D8" s="1239">
        <f t="shared" si="2"/>
        <v>82</v>
      </c>
      <c r="E8" s="269">
        <f t="shared" si="3"/>
        <v>1</v>
      </c>
      <c r="F8" s="13"/>
      <c r="G8" s="1237">
        <f t="shared" si="4"/>
        <v>105</v>
      </c>
      <c r="H8" s="15">
        <f t="shared" si="5"/>
        <v>1</v>
      </c>
      <c r="I8" s="13"/>
      <c r="J8" s="1237" t="str">
        <f t="shared" si="6"/>
        <v/>
      </c>
      <c r="K8" s="15" t="str">
        <f t="shared" si="7"/>
        <v/>
      </c>
      <c r="L8" s="13"/>
      <c r="M8" s="1237" t="str">
        <f t="shared" si="9"/>
        <v/>
      </c>
      <c r="N8" s="15" t="str">
        <f t="shared" si="10"/>
        <v/>
      </c>
      <c r="O8" s="13"/>
      <c r="P8">
        <f>+IF(Q8="","",MAX($P$3:P7)+1)</f>
        <v>6</v>
      </c>
      <c r="Q8" s="560">
        <v>9</v>
      </c>
      <c r="R8" s="558">
        <v>1</v>
      </c>
      <c r="S8" s="1426">
        <f>+IF(Q8="",0,VLOOKUP("CARBONES"&amp;Q8&amp;"*",CODIGOS_Y_COSTOS[[ID]:[COSTO]],7,0))</f>
        <v>1410</v>
      </c>
      <c r="T8" s="1238">
        <f t="shared" si="8"/>
        <v>14100</v>
      </c>
      <c r="V8" s="13">
        <f t="shared" si="11"/>
        <v>9</v>
      </c>
      <c r="W8" s="13">
        <f t="shared" si="12"/>
        <v>1</v>
      </c>
      <c r="X8" s="1426">
        <f t="shared" si="13"/>
        <v>1410</v>
      </c>
    </row>
    <row r="9" spans="1:24" ht="14.25" x14ac:dyDescent="0.2">
      <c r="A9" s="1237">
        <f t="shared" si="0"/>
        <v>16</v>
      </c>
      <c r="B9" s="269">
        <f t="shared" si="1"/>
        <v>1</v>
      </c>
      <c r="C9" s="13"/>
      <c r="D9" s="1239">
        <f t="shared" si="2"/>
        <v>357</v>
      </c>
      <c r="E9" s="269">
        <f t="shared" si="3"/>
        <v>1</v>
      </c>
      <c r="F9" s="13"/>
      <c r="G9" s="1237">
        <f t="shared" si="4"/>
        <v>1</v>
      </c>
      <c r="H9" s="15">
        <f t="shared" si="5"/>
        <v>2</v>
      </c>
      <c r="I9" s="13"/>
      <c r="J9" s="1237" t="str">
        <f t="shared" si="6"/>
        <v/>
      </c>
      <c r="K9" s="15" t="str">
        <f t="shared" si="7"/>
        <v/>
      </c>
      <c r="L9" s="13"/>
      <c r="M9" s="1237" t="str">
        <f t="shared" si="9"/>
        <v/>
      </c>
      <c r="N9" s="15" t="str">
        <f t="shared" si="10"/>
        <v/>
      </c>
      <c r="O9" s="13"/>
      <c r="P9">
        <f>+IF(Q9="","",MAX($P$3:P8)+1)</f>
        <v>7</v>
      </c>
      <c r="Q9" s="560">
        <v>16</v>
      </c>
      <c r="R9" s="558">
        <v>1</v>
      </c>
      <c r="S9" s="1426">
        <f>+IF(Q9="",0,VLOOKUP("CARBONES"&amp;Q9&amp;"*",CODIGOS_Y_COSTOS[[ID]:[COSTO]],7,0))</f>
        <v>1410</v>
      </c>
      <c r="T9" s="1238">
        <f t="shared" si="8"/>
        <v>14100</v>
      </c>
      <c r="V9" s="13">
        <f t="shared" si="11"/>
        <v>16</v>
      </c>
      <c r="W9" s="13">
        <f t="shared" si="12"/>
        <v>1</v>
      </c>
      <c r="X9" s="1426">
        <f t="shared" si="13"/>
        <v>1410</v>
      </c>
    </row>
    <row r="10" spans="1:24" ht="14.25" x14ac:dyDescent="0.2">
      <c r="A10" s="1237">
        <f t="shared" si="0"/>
        <v>17</v>
      </c>
      <c r="B10" s="269">
        <f t="shared" si="1"/>
        <v>2</v>
      </c>
      <c r="C10" s="13"/>
      <c r="D10" s="1239">
        <f t="shared" si="2"/>
        <v>387</v>
      </c>
      <c r="E10" s="269">
        <f t="shared" si="3"/>
        <v>1</v>
      </c>
      <c r="F10" s="13"/>
      <c r="G10" s="1237">
        <f t="shared" si="4"/>
        <v>9</v>
      </c>
      <c r="H10" s="15">
        <f t="shared" si="5"/>
        <v>1</v>
      </c>
      <c r="I10" s="13"/>
      <c r="J10" s="1237" t="str">
        <f t="shared" si="6"/>
        <v/>
      </c>
      <c r="K10" s="15" t="str">
        <f t="shared" si="7"/>
        <v/>
      </c>
      <c r="L10" s="13"/>
      <c r="M10" s="1237" t="str">
        <f t="shared" si="9"/>
        <v/>
      </c>
      <c r="N10" s="15" t="str">
        <f t="shared" si="10"/>
        <v/>
      </c>
      <c r="O10" s="13"/>
      <c r="P10">
        <f>+IF(Q10="","",MAX($P$3:P9)+1)</f>
        <v>8</v>
      </c>
      <c r="Q10" s="560">
        <v>17</v>
      </c>
      <c r="R10" s="558">
        <v>2</v>
      </c>
      <c r="S10" s="1426">
        <f>+IF(Q10="",0,VLOOKUP("CARBONES"&amp;Q10&amp;"*",CODIGOS_Y_COSTOS[[ID]:[COSTO]],7,0))</f>
        <v>1410</v>
      </c>
      <c r="T10" s="1238">
        <f t="shared" si="8"/>
        <v>28200</v>
      </c>
      <c r="V10" s="13">
        <f t="shared" si="11"/>
        <v>17</v>
      </c>
      <c r="W10" s="13">
        <f t="shared" si="12"/>
        <v>2</v>
      </c>
      <c r="X10" s="1426">
        <f t="shared" si="13"/>
        <v>1410</v>
      </c>
    </row>
    <row r="11" spans="1:24" ht="14.25" x14ac:dyDescent="0.2">
      <c r="A11" s="1237">
        <f t="shared" si="0"/>
        <v>21</v>
      </c>
      <c r="B11" s="269">
        <f t="shared" si="1"/>
        <v>1</v>
      </c>
      <c r="C11" s="13"/>
      <c r="D11" s="1239">
        <f t="shared" si="2"/>
        <v>399</v>
      </c>
      <c r="E11" s="269">
        <f t="shared" si="3"/>
        <v>2</v>
      </c>
      <c r="F11" s="13"/>
      <c r="G11" s="1237">
        <f t="shared" si="4"/>
        <v>12</v>
      </c>
      <c r="H11" s="15">
        <f t="shared" si="5"/>
        <v>1</v>
      </c>
      <c r="I11" s="13"/>
      <c r="J11" s="1237" t="str">
        <f t="shared" si="6"/>
        <v/>
      </c>
      <c r="K11" s="15" t="str">
        <f t="shared" si="7"/>
        <v/>
      </c>
      <c r="L11" s="13"/>
      <c r="M11" s="1237" t="str">
        <f t="shared" si="9"/>
        <v/>
      </c>
      <c r="N11" s="15" t="str">
        <f t="shared" si="10"/>
        <v/>
      </c>
      <c r="O11" s="13"/>
      <c r="P11">
        <f>+IF(Q11="","",MAX($P$3:P10)+1)</f>
        <v>9</v>
      </c>
      <c r="Q11" s="560">
        <v>21</v>
      </c>
      <c r="R11" s="558">
        <v>1</v>
      </c>
      <c r="S11" s="1426">
        <f>+IF(Q11="",0,VLOOKUP("CARBONES"&amp;Q11&amp;"*",CODIGOS_Y_COSTOS[[ID]:[COSTO]],7,0))</f>
        <v>1410</v>
      </c>
      <c r="T11" s="1238">
        <f t="shared" si="8"/>
        <v>14100</v>
      </c>
      <c r="V11" s="13">
        <f t="shared" si="11"/>
        <v>21</v>
      </c>
      <c r="W11" s="13">
        <f t="shared" si="12"/>
        <v>1</v>
      </c>
      <c r="X11" s="1426">
        <f t="shared" si="13"/>
        <v>1410</v>
      </c>
    </row>
    <row r="12" spans="1:24" ht="14.25" x14ac:dyDescent="0.2">
      <c r="A12" s="1237">
        <f t="shared" si="0"/>
        <v>22</v>
      </c>
      <c r="B12" s="269">
        <f t="shared" si="1"/>
        <v>1</v>
      </c>
      <c r="C12" s="13"/>
      <c r="D12" s="1239">
        <f t="shared" si="2"/>
        <v>410</v>
      </c>
      <c r="E12" s="269">
        <f t="shared" si="3"/>
        <v>1</v>
      </c>
      <c r="F12" s="13"/>
      <c r="G12" s="1237">
        <f t="shared" si="4"/>
        <v>16</v>
      </c>
      <c r="H12" s="15">
        <f t="shared" si="5"/>
        <v>1</v>
      </c>
      <c r="I12" s="13"/>
      <c r="J12" s="1237" t="str">
        <f t="shared" si="6"/>
        <v/>
      </c>
      <c r="K12" s="15" t="str">
        <f t="shared" si="7"/>
        <v/>
      </c>
      <c r="L12" s="13"/>
      <c r="M12" s="1237" t="str">
        <f t="shared" si="9"/>
        <v/>
      </c>
      <c r="N12" s="15" t="str">
        <f t="shared" si="10"/>
        <v/>
      </c>
      <c r="O12" s="13"/>
      <c r="P12">
        <f>+IF(Q12="","",MAX($P$3:P11)+1)</f>
        <v>10</v>
      </c>
      <c r="Q12" s="560">
        <v>22</v>
      </c>
      <c r="R12" s="558">
        <v>1</v>
      </c>
      <c r="S12" s="1426">
        <f>+IF(Q12="",0,VLOOKUP("CARBONES"&amp;Q12&amp;"*",CODIGOS_Y_COSTOS[[ID]:[COSTO]],7,0))</f>
        <v>1410</v>
      </c>
      <c r="T12" s="1238">
        <f t="shared" si="8"/>
        <v>14100</v>
      </c>
      <c r="V12" s="13">
        <f t="shared" si="11"/>
        <v>22</v>
      </c>
      <c r="W12" s="13">
        <f t="shared" si="12"/>
        <v>1</v>
      </c>
      <c r="X12" s="1426">
        <f t="shared" si="13"/>
        <v>1410</v>
      </c>
    </row>
    <row r="13" spans="1:24" ht="14.25" x14ac:dyDescent="0.2">
      <c r="A13" s="1237">
        <f t="shared" si="0"/>
        <v>38</v>
      </c>
      <c r="B13" s="269">
        <f>IFERROR(VLOOKUP(ROW(A11),$P$3:$R$67,3,0),"")</f>
        <v>1</v>
      </c>
      <c r="D13" s="1239">
        <f t="shared" si="2"/>
        <v>415</v>
      </c>
      <c r="E13" s="269">
        <f t="shared" si="3"/>
        <v>1</v>
      </c>
      <c r="G13" s="1237">
        <f t="shared" si="4"/>
        <v>17</v>
      </c>
      <c r="H13" s="15">
        <f t="shared" si="5"/>
        <v>2</v>
      </c>
      <c r="J13" s="1237" t="str">
        <f t="shared" si="6"/>
        <v/>
      </c>
      <c r="K13" s="15" t="str">
        <f t="shared" si="7"/>
        <v/>
      </c>
      <c r="M13" s="1237" t="str">
        <f t="shared" si="9"/>
        <v/>
      </c>
      <c r="N13" s="15" t="str">
        <f t="shared" si="10"/>
        <v/>
      </c>
      <c r="O13" s="13"/>
      <c r="P13">
        <f>+IF(Q13="","",MAX($P$3:P12)+1)</f>
        <v>11</v>
      </c>
      <c r="Q13" s="560">
        <v>38</v>
      </c>
      <c r="R13" s="558">
        <v>1</v>
      </c>
      <c r="S13" s="1426">
        <f>+IF(Q13="",0,VLOOKUP("CARBONES"&amp;Q13&amp;"*",CODIGOS_Y_COSTOS[[ID]:[COSTO]],7,0))</f>
        <v>1410</v>
      </c>
      <c r="T13" s="1238">
        <f t="shared" si="8"/>
        <v>14100</v>
      </c>
      <c r="V13" s="13">
        <f t="shared" si="11"/>
        <v>38</v>
      </c>
      <c r="W13" s="13">
        <f t="shared" si="12"/>
        <v>1</v>
      </c>
      <c r="X13" s="1426">
        <f t="shared" si="13"/>
        <v>1410</v>
      </c>
    </row>
    <row r="14" spans="1:24" ht="14.25" x14ac:dyDescent="0.2">
      <c r="A14" s="1237">
        <f t="shared" si="0"/>
        <v>41</v>
      </c>
      <c r="B14" s="269">
        <f t="shared" si="1"/>
        <v>4</v>
      </c>
      <c r="D14" s="1239">
        <f t="shared" ref="D14:D15" si="14">IFERROR(IF(VLOOKUP(ROW(A25),$P$3:$Q$67,2,0)&gt;=110,_xlfn.XLOOKUP(VLOOKUP(VLOOKUP(ROW(A25),$P$3:$Q$67,2,0)&amp;"*",$B$83:$B$100,1,0),$B$83:$B$100,$A$83:$A$100,"",0),VLOOKUP(ROW(A25),$P$3:$Q$67,2,0)),"")</f>
        <v>418</v>
      </c>
      <c r="E14" s="269">
        <f t="shared" si="3"/>
        <v>1</v>
      </c>
      <c r="G14" s="1237">
        <f t="shared" si="4"/>
        <v>70</v>
      </c>
      <c r="H14" s="15">
        <f t="shared" si="5"/>
        <v>1</v>
      </c>
      <c r="J14" s="1237" t="str">
        <f t="shared" si="6"/>
        <v/>
      </c>
      <c r="K14" s="15" t="str">
        <f t="shared" si="7"/>
        <v/>
      </c>
      <c r="M14" s="1237" t="str">
        <f t="shared" si="9"/>
        <v/>
      </c>
      <c r="N14" s="15" t="str">
        <f t="shared" si="10"/>
        <v/>
      </c>
      <c r="O14" s="13"/>
      <c r="P14">
        <f>+IF(Q14="","",MAX($P$3:P13)+1)</f>
        <v>12</v>
      </c>
      <c r="Q14" s="560">
        <v>41</v>
      </c>
      <c r="R14" s="558">
        <v>4</v>
      </c>
      <c r="S14" s="1426">
        <f>+IF(Q14="",0,VLOOKUP("CARBONES"&amp;Q14&amp;"*",CODIGOS_Y_COSTOS[[ID]:[COSTO]],7,0))</f>
        <v>1410</v>
      </c>
      <c r="T14" s="1238">
        <f t="shared" si="8"/>
        <v>56400</v>
      </c>
      <c r="V14" s="13">
        <f t="shared" si="11"/>
        <v>41</v>
      </c>
      <c r="W14" s="13">
        <f t="shared" si="12"/>
        <v>4</v>
      </c>
      <c r="X14" s="1426">
        <f t="shared" si="13"/>
        <v>1410</v>
      </c>
    </row>
    <row r="15" spans="1:24" ht="15" thickBot="1" x14ac:dyDescent="0.25">
      <c r="A15" s="1241">
        <f t="shared" si="0"/>
        <v>44</v>
      </c>
      <c r="B15" s="1242">
        <f t="shared" si="1"/>
        <v>4</v>
      </c>
      <c r="D15" s="1243">
        <f t="shared" si="14"/>
        <v>420</v>
      </c>
      <c r="E15" s="1242">
        <f t="shared" si="3"/>
        <v>1</v>
      </c>
      <c r="G15" s="1241">
        <f t="shared" si="4"/>
        <v>81</v>
      </c>
      <c r="H15" s="16">
        <f t="shared" si="5"/>
        <v>1</v>
      </c>
      <c r="J15" s="1241" t="str">
        <f t="shared" si="6"/>
        <v/>
      </c>
      <c r="K15" s="16" t="str">
        <f t="shared" si="7"/>
        <v/>
      </c>
      <c r="M15" s="1241" t="str">
        <f t="shared" si="9"/>
        <v/>
      </c>
      <c r="N15" s="16" t="str">
        <f t="shared" si="10"/>
        <v/>
      </c>
      <c r="O15" s="13"/>
      <c r="P15">
        <f>+IF(Q15="","",MAX($P$3:P14)+1)</f>
        <v>13</v>
      </c>
      <c r="Q15" s="560">
        <v>44</v>
      </c>
      <c r="R15" s="558">
        <v>4</v>
      </c>
      <c r="S15" s="1426">
        <f>+IF(Q15="",0,VLOOKUP("CARBONES"&amp;Q15&amp;"*",CODIGOS_Y_COSTOS[[ID]:[COSTO]],7,0))</f>
        <v>1410</v>
      </c>
      <c r="T15" s="1238">
        <f t="shared" si="8"/>
        <v>56400</v>
      </c>
      <c r="V15" s="13">
        <f t="shared" si="11"/>
        <v>44</v>
      </c>
      <c r="W15" s="13">
        <f t="shared" si="12"/>
        <v>4</v>
      </c>
      <c r="X15" s="1426">
        <f t="shared" si="13"/>
        <v>1410</v>
      </c>
    </row>
    <row r="16" spans="1:24" ht="13.5" thickBot="1" x14ac:dyDescent="0.25">
      <c r="B16" s="1285">
        <f>+SUM(B3:B15)+SUM(E3:E15)+SUM(H3:H15)+SUM(K3:K15)+SUM(N3:N15)</f>
        <v>63</v>
      </c>
      <c r="D16" t="s">
        <v>8938</v>
      </c>
      <c r="J16" s="93"/>
      <c r="K16" s="13"/>
      <c r="M16" s="93"/>
      <c r="N16" s="13"/>
      <c r="O16" s="13"/>
      <c r="P16">
        <f>+IF(Q16="","",MAX($P$3:P15)+1)</f>
        <v>14</v>
      </c>
      <c r="Q16" s="560">
        <v>47</v>
      </c>
      <c r="R16" s="558">
        <v>1</v>
      </c>
      <c r="S16" s="1426">
        <f>+IF(Q16="",0,VLOOKUP("CARBONES"&amp;Q16&amp;"*",CODIGOS_Y_COSTOS[[ID]:[COSTO]],7,0))</f>
        <v>1410</v>
      </c>
      <c r="T16" s="1238">
        <f t="shared" si="8"/>
        <v>14100</v>
      </c>
      <c r="V16" s="13">
        <f t="shared" si="11"/>
        <v>47</v>
      </c>
      <c r="W16" s="13">
        <f t="shared" si="12"/>
        <v>1</v>
      </c>
      <c r="X16" s="1426">
        <f t="shared" si="13"/>
        <v>1410</v>
      </c>
    </row>
    <row r="17" spans="1:27" x14ac:dyDescent="0.2">
      <c r="A17" s="1244"/>
      <c r="D17" s="1245"/>
      <c r="J17" s="93"/>
      <c r="K17" s="13"/>
      <c r="M17" s="93"/>
      <c r="N17" s="13"/>
      <c r="O17" s="13"/>
      <c r="P17">
        <f>+IF(Q17="","",MAX($P$3:P16)+1)</f>
        <v>15</v>
      </c>
      <c r="Q17" s="560">
        <v>48</v>
      </c>
      <c r="R17" s="558">
        <v>1</v>
      </c>
      <c r="S17" s="1426">
        <f>+IF(Q17="",0,VLOOKUP("CARBONES"&amp;Q17&amp;"*",CODIGOS_Y_COSTOS[[ID]:[COSTO]],7,0))</f>
        <v>1410</v>
      </c>
      <c r="T17" s="1238">
        <f t="shared" si="8"/>
        <v>14100</v>
      </c>
      <c r="V17" s="13">
        <f t="shared" si="11"/>
        <v>48</v>
      </c>
      <c r="W17" s="13">
        <f t="shared" si="12"/>
        <v>1</v>
      </c>
      <c r="X17" s="1426">
        <f t="shared" si="13"/>
        <v>1410</v>
      </c>
    </row>
    <row r="18" spans="1:27" ht="13.5" thickBot="1" x14ac:dyDescent="0.25">
      <c r="A18" s="31" t="s">
        <v>8164</v>
      </c>
      <c r="D18" s="426"/>
      <c r="E18" s="13"/>
      <c r="G18" s="1246"/>
      <c r="J18" s="93"/>
      <c r="K18" s="13"/>
      <c r="M18" s="93"/>
      <c r="N18" s="13"/>
      <c r="O18" s="13"/>
      <c r="P18">
        <f>+IF(Q18="","",MAX($P$3:P17)+1)</f>
        <v>16</v>
      </c>
      <c r="Q18" s="560">
        <v>54</v>
      </c>
      <c r="R18" s="558">
        <v>4</v>
      </c>
      <c r="S18" s="1426">
        <f>+IF(Q18="",0,VLOOKUP("CARBONES"&amp;Q18&amp;"*",CODIGOS_Y_COSTOS[[ID]:[COSTO]],7,0))</f>
        <v>1410</v>
      </c>
      <c r="T18" s="1238">
        <f t="shared" si="8"/>
        <v>56400</v>
      </c>
      <c r="V18" s="13">
        <f t="shared" si="11"/>
        <v>54</v>
      </c>
      <c r="W18" s="13">
        <f t="shared" si="12"/>
        <v>4</v>
      </c>
      <c r="X18" s="1426">
        <f t="shared" si="13"/>
        <v>1410</v>
      </c>
    </row>
    <row r="19" spans="1:27" ht="15.75" thickBot="1" x14ac:dyDescent="0.3">
      <c r="A19" s="1486">
        <f>+T2</f>
        <v>896723.37599999993</v>
      </c>
      <c r="B19" s="1487"/>
      <c r="E19" s="1247" t="s">
        <v>8939</v>
      </c>
      <c r="G19" s="1484"/>
      <c r="H19" s="1485"/>
      <c r="J19" s="93"/>
      <c r="K19" s="13"/>
      <c r="M19" s="93"/>
      <c r="N19" s="13"/>
      <c r="O19" s="13"/>
      <c r="P19">
        <f>+IF(Q19="","",MAX($P$3:P18)+1)</f>
        <v>17</v>
      </c>
      <c r="Q19" s="560">
        <v>62</v>
      </c>
      <c r="R19" s="558">
        <v>1</v>
      </c>
      <c r="S19" s="1426">
        <f>+IF(Q19="",0,VLOOKUP("CARBONES"&amp;Q19&amp;"*",CODIGOS_Y_COSTOS[[ID]:[COSTO]],7,0))</f>
        <v>1410</v>
      </c>
      <c r="T19" s="1238">
        <f t="shared" si="8"/>
        <v>14100</v>
      </c>
      <c r="V19" s="13">
        <f t="shared" si="11"/>
        <v>62</v>
      </c>
      <c r="W19" s="13">
        <f t="shared" si="12"/>
        <v>1</v>
      </c>
      <c r="X19" s="1426">
        <f t="shared" si="13"/>
        <v>1410</v>
      </c>
    </row>
    <row r="20" spans="1:27" x14ac:dyDescent="0.2">
      <c r="B20" s="1245"/>
      <c r="D20" s="13"/>
      <c r="E20" s="13"/>
      <c r="J20" s="93"/>
      <c r="K20" s="13"/>
      <c r="M20" s="93"/>
      <c r="N20" s="13"/>
      <c r="O20" s="13"/>
      <c r="P20">
        <f>+IF(Q20="","",MAX($P$3:P19)+1)</f>
        <v>18</v>
      </c>
      <c r="Q20" s="560">
        <v>81</v>
      </c>
      <c r="R20" s="558">
        <v>1</v>
      </c>
      <c r="S20" s="1426">
        <f>+IF(Q20="",0,VLOOKUP("CARBONES"&amp;Q20&amp;"*",CODIGOS_Y_COSTOS[[ID]:[COSTO]],7,0))</f>
        <v>1410</v>
      </c>
      <c r="T20" s="1238">
        <f t="shared" si="8"/>
        <v>14100</v>
      </c>
      <c r="V20" s="13">
        <f t="shared" si="11"/>
        <v>81</v>
      </c>
      <c r="W20" s="13">
        <f t="shared" si="12"/>
        <v>1</v>
      </c>
      <c r="X20" s="1426">
        <f t="shared" si="13"/>
        <v>1410</v>
      </c>
    </row>
    <row r="21" spans="1:27" x14ac:dyDescent="0.2">
      <c r="A21" s="31" t="s">
        <v>8940</v>
      </c>
      <c r="D21" s="13"/>
      <c r="E21" s="13"/>
      <c r="J21" s="1248"/>
      <c r="K21" s="1238"/>
      <c r="M21" s="1248"/>
      <c r="N21" s="1238"/>
      <c r="O21" s="13"/>
      <c r="P21">
        <f>+IF(Q21="","",MAX($P$3:P20)+1)</f>
        <v>19</v>
      </c>
      <c r="Q21" s="560">
        <v>82</v>
      </c>
      <c r="R21" s="558">
        <v>1</v>
      </c>
      <c r="S21" s="1426">
        <f>+IF(Q21="",0,VLOOKUP("CARBONES"&amp;Q21&amp;"*",CODIGOS_Y_COSTOS[[ID]:[COSTO]],7,0))</f>
        <v>1410</v>
      </c>
      <c r="T21" s="1238">
        <f t="shared" si="8"/>
        <v>14100</v>
      </c>
      <c r="V21" s="13">
        <f t="shared" si="11"/>
        <v>82</v>
      </c>
      <c r="W21" s="13">
        <f t="shared" si="12"/>
        <v>1</v>
      </c>
      <c r="X21" s="1426">
        <f t="shared" si="13"/>
        <v>1410</v>
      </c>
    </row>
    <row r="22" spans="1:27" x14ac:dyDescent="0.2">
      <c r="A22" s="1249">
        <f>+B16*10</f>
        <v>630</v>
      </c>
      <c r="D22" s="13"/>
      <c r="E22" s="13"/>
      <c r="J22" s="93"/>
      <c r="K22" s="1238"/>
      <c r="M22" s="93"/>
      <c r="N22" s="1238"/>
      <c r="O22" s="13"/>
      <c r="P22">
        <f>+IF(Q22="","",MAX($P$3:P21)+1)</f>
        <v>20</v>
      </c>
      <c r="Q22" s="560">
        <v>110</v>
      </c>
      <c r="R22" s="558">
        <v>1</v>
      </c>
      <c r="S22" s="1426">
        <f>+IF(Q22="",0,VLOOKUP("CARBONES"&amp;Q22&amp;"*",CODIGOS_Y_COSTOS[[ID]:[COSTO]],7,0))</f>
        <v>1410</v>
      </c>
      <c r="T22" s="1238">
        <f t="shared" si="8"/>
        <v>14100</v>
      </c>
      <c r="V22" s="13">
        <f t="shared" si="11"/>
        <v>357</v>
      </c>
      <c r="W22" s="13">
        <f t="shared" si="12"/>
        <v>1</v>
      </c>
      <c r="X22" s="1426">
        <f t="shared" si="13"/>
        <v>1410</v>
      </c>
    </row>
    <row r="23" spans="1:27" x14ac:dyDescent="0.2">
      <c r="B23" s="2"/>
      <c r="D23" s="13"/>
      <c r="G23" s="1490" t="s">
        <v>8941</v>
      </c>
      <c r="H23" s="1490"/>
      <c r="J23" s="93"/>
      <c r="K23" s="13"/>
      <c r="M23" s="93"/>
      <c r="N23" s="13"/>
      <c r="O23" s="13"/>
      <c r="P23">
        <f>+IF(Q23="","",MAX($P$3:P22)+1)</f>
        <v>21</v>
      </c>
      <c r="Q23" s="560">
        <v>113</v>
      </c>
      <c r="R23" s="558">
        <v>1</v>
      </c>
      <c r="S23" s="1426">
        <f>+IF(Q23="",0,VLOOKUP("CARBONES"&amp;Q23&amp;"*",CODIGOS_Y_COSTOS[[ID]:[COSTO]],7,0))</f>
        <v>1410</v>
      </c>
      <c r="T23" s="1238">
        <f t="shared" si="8"/>
        <v>14100</v>
      </c>
      <c r="V23" s="13">
        <f t="shared" si="11"/>
        <v>387</v>
      </c>
      <c r="W23" s="13">
        <f t="shared" si="12"/>
        <v>1</v>
      </c>
      <c r="X23" s="1426">
        <f t="shared" si="13"/>
        <v>1410</v>
      </c>
    </row>
    <row r="24" spans="1:27" x14ac:dyDescent="0.2">
      <c r="B24" s="1245"/>
      <c r="C24" s="1245"/>
      <c r="D24" s="13"/>
      <c r="G24" s="1491">
        <f>+A19-G19</f>
        <v>896723.37599999993</v>
      </c>
      <c r="H24" s="1492"/>
      <c r="J24" s="93"/>
      <c r="K24" s="1456">
        <v>223603</v>
      </c>
      <c r="M24" s="93"/>
      <c r="N24" s="426"/>
      <c r="O24" s="13"/>
      <c r="P24">
        <f>+IF(Q24="","",MAX($P$3:P23)+1)</f>
        <v>22</v>
      </c>
      <c r="Q24" s="560">
        <v>114</v>
      </c>
      <c r="R24" s="558">
        <v>2</v>
      </c>
      <c r="S24" s="1426">
        <f>+IF(Q24="",0,VLOOKUP("CARBONES"&amp;Q24&amp;"*",CODIGOS_Y_COSTOS[[ID]:[COSTO]],7,0))</f>
        <v>1410</v>
      </c>
      <c r="T24" s="1238">
        <f t="shared" si="8"/>
        <v>28200</v>
      </c>
      <c r="V24" s="13">
        <f t="shared" si="11"/>
        <v>399</v>
      </c>
      <c r="W24" s="13">
        <f t="shared" si="12"/>
        <v>2</v>
      </c>
      <c r="X24" s="1426">
        <f t="shared" si="13"/>
        <v>1410</v>
      </c>
    </row>
    <row r="25" spans="1:27" x14ac:dyDescent="0.2">
      <c r="B25" s="2"/>
      <c r="D25" s="13"/>
      <c r="G25" s="2"/>
      <c r="K25" s="1456">
        <v>220000</v>
      </c>
      <c r="N25" s="13"/>
      <c r="O25" s="13"/>
      <c r="P25">
        <f>+IF(Q25="","",MAX($P$3:P24)+1)</f>
        <v>23</v>
      </c>
      <c r="Q25" s="560">
        <v>115</v>
      </c>
      <c r="R25" s="558">
        <v>1</v>
      </c>
      <c r="S25" s="1426">
        <f>+IF(Q25="",0,VLOOKUP("CARBONES"&amp;Q25&amp;"*",CODIGOS_Y_COSTOS[[ID]:[COSTO]],7,0))</f>
        <v>1410</v>
      </c>
      <c r="T25" s="1238">
        <f t="shared" si="8"/>
        <v>14100</v>
      </c>
      <c r="V25" s="13">
        <f t="shared" si="11"/>
        <v>410</v>
      </c>
      <c r="W25" s="13">
        <f t="shared" si="12"/>
        <v>1</v>
      </c>
      <c r="X25" s="1426">
        <f t="shared" si="13"/>
        <v>1410</v>
      </c>
    </row>
    <row r="26" spans="1:27" ht="13.5" thickBot="1" x14ac:dyDescent="0.25">
      <c r="K26" s="1456">
        <f>+K24+K25</f>
        <v>443603</v>
      </c>
      <c r="N26" s="13"/>
      <c r="O26" s="13"/>
      <c r="P26">
        <f>+IF(Q26="","",MAX($P$3:P25)+1)</f>
        <v>24</v>
      </c>
      <c r="Q26" s="560">
        <v>119</v>
      </c>
      <c r="R26" s="558">
        <v>1</v>
      </c>
      <c r="S26" s="1426">
        <f>+IF(Q26="",0,VLOOKUP("CARBONES"&amp;Q26&amp;"*",CODIGOS_Y_COSTOS[[ID]:[COSTO]],7,0))</f>
        <v>1410</v>
      </c>
      <c r="T26" s="1238">
        <f t="shared" si="8"/>
        <v>14100</v>
      </c>
      <c r="V26" s="13">
        <f t="shared" si="11"/>
        <v>415</v>
      </c>
      <c r="W26" s="13">
        <f t="shared" si="12"/>
        <v>1</v>
      </c>
      <c r="X26" s="1426">
        <f t="shared" si="13"/>
        <v>1410</v>
      </c>
    </row>
    <row r="27" spans="1:27" ht="13.5" thickBot="1" x14ac:dyDescent="0.25">
      <c r="D27" s="1480" t="s">
        <v>8942</v>
      </c>
      <c r="E27" s="1481"/>
      <c r="F27" s="1481"/>
      <c r="G27" s="1481"/>
      <c r="H27" s="1482"/>
      <c r="K27" s="13"/>
      <c r="N27" s="13"/>
      <c r="O27" s="13"/>
      <c r="P27">
        <f>+IF(Q27="","",MAX($P$3:P26)+1)</f>
        <v>25</v>
      </c>
      <c r="Q27" s="560">
        <v>121</v>
      </c>
      <c r="R27" s="558">
        <v>1</v>
      </c>
      <c r="S27" s="1426">
        <f>+IF(Q27="",0,VLOOKUP("CARBONES"&amp;Q27&amp;"*",CODIGOS_Y_COSTOS[[ID]:[COSTO]],7,0))</f>
        <v>1410</v>
      </c>
      <c r="T27" s="1238">
        <f t="shared" si="8"/>
        <v>14100</v>
      </c>
      <c r="V27" s="13">
        <f t="shared" si="11"/>
        <v>418</v>
      </c>
      <c r="W27" s="13">
        <f t="shared" si="12"/>
        <v>1</v>
      </c>
      <c r="X27" s="1426">
        <f t="shared" si="13"/>
        <v>1410</v>
      </c>
    </row>
    <row r="28" spans="1:27" x14ac:dyDescent="0.2">
      <c r="A28">
        <v>1</v>
      </c>
      <c r="B28" s="1250" t="s">
        <v>5113</v>
      </c>
      <c r="D28" s="1251"/>
      <c r="E28" s="1252" t="s">
        <v>8943</v>
      </c>
      <c r="F28" s="1253"/>
      <c r="G28" s="1254" t="s">
        <v>8944</v>
      </c>
      <c r="H28" s="1255"/>
      <c r="K28" s="1456">
        <f>+G24-K26</f>
        <v>453120.37599999993</v>
      </c>
      <c r="N28" s="13"/>
      <c r="O28" s="13"/>
      <c r="P28">
        <f>+IF(Q28="","",MAX($P$3:P27)+1)</f>
        <v>26</v>
      </c>
      <c r="Q28" s="560">
        <v>123</v>
      </c>
      <c r="R28" s="558">
        <v>1</v>
      </c>
      <c r="S28" s="1426">
        <f>+IF(Q28="",0,VLOOKUP("CARBONES"&amp;Q28&amp;"*",CODIGOS_Y_COSTOS[[ID]:[COSTO]],7,0))</f>
        <v>1410</v>
      </c>
      <c r="T28" s="1238">
        <f t="shared" si="8"/>
        <v>14100</v>
      </c>
      <c r="V28" s="13">
        <f t="shared" si="11"/>
        <v>420</v>
      </c>
      <c r="W28" s="13">
        <f t="shared" si="12"/>
        <v>1</v>
      </c>
      <c r="X28" s="1426">
        <f t="shared" si="13"/>
        <v>1410</v>
      </c>
    </row>
    <row r="29" spans="1:27" x14ac:dyDescent="0.2">
      <c r="A29">
        <v>2</v>
      </c>
      <c r="B29" s="1250" t="s">
        <v>5117</v>
      </c>
      <c r="D29" s="67"/>
      <c r="E29" s="13">
        <v>3</v>
      </c>
      <c r="G29" t="str">
        <f t="shared" ref="G29:G32" si="15">IF(E29="","",IF(E29&gt;=110,_xlfn.XLOOKUP(VLOOKUP(E29&amp;"*",$B$83:$B$101,1,0),$B$83:$B$101,$A$83:$A$101,"",0),VLOOKUP(E29&amp;"*",$B$28:$B$67,1,0)))</f>
        <v>3 -  18 x 5 x 8</v>
      </c>
      <c r="H29" s="441"/>
      <c r="K29" s="13"/>
      <c r="N29" s="13"/>
      <c r="O29" s="13"/>
      <c r="P29">
        <f>+IF(Q29="","",MAX($P$3:P28)+1)</f>
        <v>27</v>
      </c>
      <c r="Q29" s="560">
        <v>124</v>
      </c>
      <c r="R29" s="558">
        <v>1</v>
      </c>
      <c r="S29" s="1426">
        <f>+IF(Q29="",0,VLOOKUP("CARBONES"&amp;Q29&amp;"*",CODIGOS_Y_COSTOS[[ID]:[COSTO]],7,0))</f>
        <v>1831.1687999999999</v>
      </c>
      <c r="T29" s="1238">
        <f t="shared" si="8"/>
        <v>18311.687999999998</v>
      </c>
      <c r="V29" s="13" t="str">
        <f t="shared" si="11"/>
        <v>421(12-5)</v>
      </c>
      <c r="W29" s="13">
        <f t="shared" si="12"/>
        <v>1</v>
      </c>
      <c r="X29" s="1426">
        <f t="shared" si="13"/>
        <v>1831.1687999999999</v>
      </c>
      <c r="Y29" s="4"/>
      <c r="Z29" s="4"/>
      <c r="AA29" s="4"/>
    </row>
    <row r="30" spans="1:27" x14ac:dyDescent="0.2">
      <c r="A30">
        <v>3</v>
      </c>
      <c r="B30" s="1250" t="s">
        <v>5120</v>
      </c>
      <c r="D30" s="67"/>
      <c r="E30" s="13">
        <v>4</v>
      </c>
      <c r="G30" t="str">
        <f t="shared" si="15"/>
        <v>4 -  22 x 16 x 6,3</v>
      </c>
      <c r="H30" s="441"/>
      <c r="K30" s="13"/>
      <c r="N30" s="13"/>
      <c r="O30" s="13"/>
      <c r="P30">
        <f>+IF(Q30="","",MAX($P$3:P29)+1)</f>
        <v>28</v>
      </c>
      <c r="Q30" s="560">
        <v>42</v>
      </c>
      <c r="R30" s="558">
        <v>3</v>
      </c>
      <c r="S30" s="1426">
        <f>+IF(Q30="",0,VLOOKUP("CARBONES"&amp;Q30&amp;"*",CODIGOS_Y_COSTOS[[ID]:[COSTO]],7,0))</f>
        <v>1410</v>
      </c>
      <c r="T30" s="1238">
        <f t="shared" si="8"/>
        <v>42300</v>
      </c>
      <c r="V30" s="13">
        <f t="shared" si="11"/>
        <v>42</v>
      </c>
      <c r="W30" s="13">
        <f t="shared" si="12"/>
        <v>3</v>
      </c>
      <c r="X30" s="1426">
        <f t="shared" si="13"/>
        <v>1410</v>
      </c>
    </row>
    <row r="31" spans="1:27" x14ac:dyDescent="0.2">
      <c r="A31">
        <v>4</v>
      </c>
      <c r="B31" s="1250" t="s">
        <v>5123</v>
      </c>
      <c r="D31" s="67"/>
      <c r="E31" s="13">
        <v>5</v>
      </c>
      <c r="G31" t="str">
        <f t="shared" si="15"/>
        <v>5 -  17 x 15 x 7</v>
      </c>
      <c r="H31" s="441"/>
      <c r="K31" s="1238"/>
      <c r="N31" s="1238"/>
      <c r="O31" s="13"/>
      <c r="P31">
        <f>+IF(Q31="","",MAX($P$3:P30)+1)</f>
        <v>29</v>
      </c>
      <c r="Q31" s="560">
        <v>127</v>
      </c>
      <c r="R31" s="558">
        <v>1</v>
      </c>
      <c r="S31" s="1426">
        <f>+IF(Q31="",0,VLOOKUP("CARBONES"&amp;Q31&amp;"*",CODIGOS_Y_COSTOS[[ID]:[COSTO]],7,0))</f>
        <v>1410</v>
      </c>
      <c r="T31" s="1238">
        <f t="shared" si="8"/>
        <v>14100</v>
      </c>
      <c r="V31" s="13">
        <f t="shared" si="11"/>
        <v>423</v>
      </c>
      <c r="W31" s="13">
        <f t="shared" si="12"/>
        <v>1</v>
      </c>
      <c r="X31" s="1426">
        <f t="shared" si="13"/>
        <v>1410</v>
      </c>
    </row>
    <row r="32" spans="1:27" x14ac:dyDescent="0.2">
      <c r="A32">
        <v>5</v>
      </c>
      <c r="B32" s="1250" t="s">
        <v>5126</v>
      </c>
      <c r="D32" s="67"/>
      <c r="E32" s="13">
        <v>13</v>
      </c>
      <c r="G32" t="str">
        <f t="shared" si="15"/>
        <v>13 -  16 x 6 x 6</v>
      </c>
      <c r="H32" s="441"/>
      <c r="K32" s="13"/>
      <c r="N32" s="13"/>
      <c r="O32" s="13"/>
      <c r="P32">
        <f>+IF(Q32="","",MAX($P$3:P31)+1)</f>
        <v>30</v>
      </c>
      <c r="Q32" s="560">
        <v>70</v>
      </c>
      <c r="R32" s="558">
        <v>2</v>
      </c>
      <c r="S32" s="1426">
        <f>+IF(Q32="",0,VLOOKUP("CARBONES"&amp;Q32&amp;"*",CODIGOS_Y_COSTOS[[ID]:[COSTO]],7,0))</f>
        <v>1410</v>
      </c>
      <c r="T32" s="1238">
        <f t="shared" si="8"/>
        <v>28200</v>
      </c>
      <c r="V32" s="13">
        <f t="shared" si="11"/>
        <v>70</v>
      </c>
      <c r="W32" s="13">
        <f t="shared" si="12"/>
        <v>2</v>
      </c>
      <c r="X32" s="1426">
        <f t="shared" si="13"/>
        <v>1410</v>
      </c>
    </row>
    <row r="33" spans="1:24" x14ac:dyDescent="0.2">
      <c r="A33">
        <v>8</v>
      </c>
      <c r="B33" s="1250" t="s">
        <v>5129</v>
      </c>
      <c r="D33" s="67"/>
      <c r="E33" s="13">
        <v>19</v>
      </c>
      <c r="G33" t="str">
        <f t="shared" ref="G33:G54" si="16">IF(E33="","",IF(E33&gt;=110,_xlfn.XLOOKUP(VLOOKUP(E33&amp;"*",$B$83:$B$101,1,0),$B$83:$B$101,$A$83:$A$101,"",0),VLOOKUP(E33&amp;"*",$B$28:$B$67,1,0)))</f>
        <v>19 -  18 x 6 x 6</v>
      </c>
      <c r="H33" s="441"/>
      <c r="K33" s="13"/>
      <c r="N33" s="13"/>
      <c r="O33" s="13"/>
      <c r="P33">
        <f>+IF(Q33="","",MAX($P$3:P32)+1)</f>
        <v>31</v>
      </c>
      <c r="Q33" s="560">
        <v>89</v>
      </c>
      <c r="R33" s="558">
        <v>2</v>
      </c>
      <c r="S33" s="1426">
        <f>+IF(Q33="",0,VLOOKUP("CARBONES"&amp;Q33&amp;"*",CODIGOS_Y_COSTOS[[ID]:[COSTO]],7,0))</f>
        <v>1410</v>
      </c>
      <c r="T33" s="1238">
        <f t="shared" si="8"/>
        <v>28200</v>
      </c>
      <c r="V33" s="13">
        <f t="shared" si="11"/>
        <v>89</v>
      </c>
      <c r="W33" s="13">
        <f t="shared" si="12"/>
        <v>2</v>
      </c>
      <c r="X33" s="1426">
        <f t="shared" si="13"/>
        <v>1410</v>
      </c>
    </row>
    <row r="34" spans="1:24" x14ac:dyDescent="0.2">
      <c r="A34">
        <v>9</v>
      </c>
      <c r="B34" s="1250" t="s">
        <v>5132</v>
      </c>
      <c r="D34" s="67"/>
      <c r="E34" s="13">
        <v>21</v>
      </c>
      <c r="G34" t="str">
        <f t="shared" si="16"/>
        <v>21 -  22 x 9 x 6</v>
      </c>
      <c r="H34" s="441"/>
      <c r="K34" s="13"/>
      <c r="N34" s="13"/>
      <c r="O34" s="13"/>
      <c r="P34">
        <f>+IF(Q34="","",MAX($P$3:P33)+1)</f>
        <v>32</v>
      </c>
      <c r="Q34" s="560">
        <v>105</v>
      </c>
      <c r="R34" s="558">
        <v>1</v>
      </c>
      <c r="S34" s="1426">
        <f>+IF(Q34="",0,VLOOKUP("CARBONES"&amp;Q34&amp;"*",CODIGOS_Y_COSTOS[[ID]:[COSTO]],7,0))</f>
        <v>1410</v>
      </c>
      <c r="T34" s="1238">
        <f t="shared" si="8"/>
        <v>14100</v>
      </c>
      <c r="V34" s="13">
        <f t="shared" si="11"/>
        <v>105</v>
      </c>
      <c r="W34" s="13">
        <f t="shared" si="12"/>
        <v>1</v>
      </c>
      <c r="X34" s="1426">
        <f t="shared" si="13"/>
        <v>1410</v>
      </c>
    </row>
    <row r="35" spans="1:24" ht="12.75" customHeight="1" x14ac:dyDescent="0.2">
      <c r="A35">
        <v>12</v>
      </c>
      <c r="B35" s="1250" t="s">
        <v>5135</v>
      </c>
      <c r="D35" s="67"/>
      <c r="E35" s="13">
        <v>41</v>
      </c>
      <c r="G35" t="str">
        <f t="shared" si="16"/>
        <v>41 -  18 x 8 x 5</v>
      </c>
      <c r="H35" s="441"/>
      <c r="O35" s="13"/>
      <c r="P35">
        <f>+IF(Q35="","",MAX($P$3:P34)+1)</f>
        <v>33</v>
      </c>
      <c r="Q35" s="560">
        <v>1</v>
      </c>
      <c r="R35" s="558">
        <v>2</v>
      </c>
      <c r="S35" s="1426">
        <f>+IF(Q35="",0,VLOOKUP("CARBONES"&amp;Q35&amp;"*",CODIGOS_Y_COSTOS[[ID]:[COSTO]],7,0))</f>
        <v>1410</v>
      </c>
      <c r="T35" s="1238">
        <f t="shared" ref="T35:T66" si="17">+S35*R35*10</f>
        <v>28200</v>
      </c>
      <c r="V35" s="13">
        <f t="shared" si="11"/>
        <v>1</v>
      </c>
      <c r="W35" s="13">
        <f t="shared" si="12"/>
        <v>2</v>
      </c>
      <c r="X35" s="1426">
        <f t="shared" si="13"/>
        <v>1410</v>
      </c>
    </row>
    <row r="36" spans="1:24" ht="12.75" customHeight="1" x14ac:dyDescent="0.2">
      <c r="A36">
        <v>13</v>
      </c>
      <c r="B36" s="1250" t="s">
        <v>5138</v>
      </c>
      <c r="D36" s="67"/>
      <c r="E36" s="13">
        <v>42</v>
      </c>
      <c r="G36" t="str">
        <f t="shared" si="16"/>
        <v>42 -  17 x 8 x 6</v>
      </c>
      <c r="H36" s="441"/>
      <c r="P36" t="str">
        <f>+IF(Q36="","",MAX($P$3:P35)+1)</f>
        <v/>
      </c>
      <c r="Q36" s="560"/>
      <c r="R36" s="558"/>
      <c r="S36" s="1426">
        <f>+IF(Q36="",0,VLOOKUP("CARBONES"&amp;Q36&amp;"*",CODIGOS_Y_COSTOS[[ID]:[COSTO]],7,0))</f>
        <v>0</v>
      </c>
      <c r="T36" s="1238">
        <f t="shared" si="17"/>
        <v>0</v>
      </c>
      <c r="V36" s="13">
        <f t="shared" si="11"/>
        <v>9</v>
      </c>
      <c r="W36" s="13">
        <f t="shared" si="12"/>
        <v>0</v>
      </c>
      <c r="X36" s="1426">
        <f t="shared" si="13"/>
        <v>0</v>
      </c>
    </row>
    <row r="37" spans="1:24" ht="13.15" customHeight="1" x14ac:dyDescent="0.2">
      <c r="A37">
        <v>15</v>
      </c>
      <c r="B37" s="1250" t="s">
        <v>5141</v>
      </c>
      <c r="D37" s="67"/>
      <c r="E37" s="13">
        <v>47</v>
      </c>
      <c r="G37" t="str">
        <f t="shared" si="16"/>
        <v>47 - 15 x 9 x 6,3</v>
      </c>
      <c r="H37" s="441"/>
      <c r="P37">
        <f>+IF(Q37="","",MAX($P$3:P36)+1)</f>
        <v>34</v>
      </c>
      <c r="Q37" s="560">
        <v>9</v>
      </c>
      <c r="R37" s="558">
        <v>1</v>
      </c>
      <c r="S37" s="1426">
        <f>+IF(Q37="",0,VLOOKUP("CARBONES"&amp;Q37&amp;"*",CODIGOS_Y_COSTOS[[ID]:[COSTO]],7,0))</f>
        <v>1410</v>
      </c>
      <c r="T37" s="1238">
        <f t="shared" si="17"/>
        <v>14100</v>
      </c>
      <c r="V37" s="13">
        <f t="shared" si="11"/>
        <v>12</v>
      </c>
      <c r="W37" s="13">
        <f t="shared" si="12"/>
        <v>1</v>
      </c>
      <c r="X37" s="1426">
        <f t="shared" si="13"/>
        <v>1410</v>
      </c>
    </row>
    <row r="38" spans="1:24" ht="13.5" thickBot="1" x14ac:dyDescent="0.25">
      <c r="A38">
        <v>16</v>
      </c>
      <c r="B38" s="1256" t="s">
        <v>5144</v>
      </c>
      <c r="D38" s="67"/>
      <c r="E38" s="13">
        <v>50</v>
      </c>
      <c r="G38" t="str">
        <f t="shared" si="16"/>
        <v>50 - 20 x 6 x 6</v>
      </c>
      <c r="H38" s="441"/>
      <c r="P38">
        <f>+IF(Q38="","",MAX($P$3:P37)+1)</f>
        <v>35</v>
      </c>
      <c r="Q38" s="561">
        <v>12</v>
      </c>
      <c r="R38" s="558">
        <v>1</v>
      </c>
      <c r="S38" s="1426">
        <f>+IF(Q38="",0,VLOOKUP("CARBONES"&amp;Q38&amp;"*",CODIGOS_Y_COSTOS[[ID]:[COSTO]],7,0))</f>
        <v>1410</v>
      </c>
      <c r="T38" s="1238">
        <f t="shared" si="17"/>
        <v>14100</v>
      </c>
      <c r="V38" s="13">
        <f t="shared" si="11"/>
        <v>16</v>
      </c>
      <c r="W38" s="13">
        <f t="shared" si="12"/>
        <v>1</v>
      </c>
      <c r="X38" s="1426">
        <f t="shared" si="13"/>
        <v>1410</v>
      </c>
    </row>
    <row r="39" spans="1:24" x14ac:dyDescent="0.2">
      <c r="A39">
        <v>17</v>
      </c>
      <c r="B39" s="1256" t="s">
        <v>5147</v>
      </c>
      <c r="D39" s="67"/>
      <c r="E39" s="13">
        <v>54</v>
      </c>
      <c r="G39" t="str">
        <f t="shared" si="16"/>
        <v>54 - 6 x 8 x 15</v>
      </c>
      <c r="H39" s="441"/>
      <c r="P39">
        <f>+IF(Q39="","",MAX($P$3:P38)+1)</f>
        <v>36</v>
      </c>
      <c r="Q39" s="13">
        <v>16</v>
      </c>
      <c r="R39" s="558">
        <v>1</v>
      </c>
      <c r="S39" s="1426">
        <f>+IF(Q39="",0,VLOOKUP("CARBONES"&amp;Q39&amp;"*",CODIGOS_Y_COSTOS[[ID]:[COSTO]],7,0))</f>
        <v>1410</v>
      </c>
      <c r="T39" s="1238">
        <f t="shared" si="17"/>
        <v>14100</v>
      </c>
      <c r="V39" s="13">
        <f t="shared" si="11"/>
        <v>17</v>
      </c>
      <c r="W39" s="13">
        <f t="shared" si="12"/>
        <v>1</v>
      </c>
      <c r="X39" s="1426">
        <f t="shared" si="13"/>
        <v>1410</v>
      </c>
    </row>
    <row r="40" spans="1:24" x14ac:dyDescent="0.2">
      <c r="A40">
        <v>18</v>
      </c>
      <c r="B40" s="1256" t="s">
        <v>5150</v>
      </c>
      <c r="D40" s="67"/>
      <c r="E40" s="13">
        <v>55</v>
      </c>
      <c r="G40" t="str">
        <f t="shared" si="16"/>
        <v>55 - 5 x 8 x 14</v>
      </c>
      <c r="H40" s="441"/>
      <c r="P40">
        <f>+IF(Q40="","",MAX($P$3:P39)+1)</f>
        <v>37</v>
      </c>
      <c r="Q40" s="13">
        <v>17</v>
      </c>
      <c r="R40" s="558">
        <v>2</v>
      </c>
      <c r="S40" s="1426">
        <f>+IF(Q40="",0,VLOOKUP("CARBONES"&amp;Q40&amp;"*",CODIGOS_Y_COSTOS[[ID]:[COSTO]],7,0))</f>
        <v>1410</v>
      </c>
      <c r="T40" s="1238">
        <f t="shared" si="17"/>
        <v>28200</v>
      </c>
      <c r="V40" s="13">
        <f t="shared" si="11"/>
        <v>70</v>
      </c>
      <c r="W40" s="13">
        <f t="shared" si="12"/>
        <v>2</v>
      </c>
      <c r="X40" s="1426">
        <f t="shared" si="13"/>
        <v>1410</v>
      </c>
    </row>
    <row r="41" spans="1:24" x14ac:dyDescent="0.2">
      <c r="A41">
        <v>19</v>
      </c>
      <c r="B41" s="1256" t="s">
        <v>5153</v>
      </c>
      <c r="D41" s="67"/>
      <c r="E41" s="13">
        <v>62</v>
      </c>
      <c r="G41" t="str">
        <f t="shared" si="16"/>
        <v>62 - 6 x 10 x 14</v>
      </c>
      <c r="H41" s="441"/>
      <c r="P41">
        <f>+IF(Q41="","",MAX($P$3:P40)+1)</f>
        <v>38</v>
      </c>
      <c r="Q41" s="13">
        <v>70</v>
      </c>
      <c r="R41" s="558">
        <v>1</v>
      </c>
      <c r="S41" s="1426">
        <f>+IF(Q41="",0,VLOOKUP("CARBONES"&amp;Q41&amp;"*",CODIGOS_Y_COSTOS[[ID]:[COSTO]],7,0))</f>
        <v>1410</v>
      </c>
      <c r="T41" s="1238">
        <f t="shared" si="17"/>
        <v>14100</v>
      </c>
      <c r="V41" s="13">
        <f t="shared" si="11"/>
        <v>81</v>
      </c>
      <c r="W41" s="13">
        <f t="shared" si="12"/>
        <v>1</v>
      </c>
      <c r="X41" s="1426">
        <f t="shared" si="13"/>
        <v>1410</v>
      </c>
    </row>
    <row r="42" spans="1:24" x14ac:dyDescent="0.2">
      <c r="A42">
        <v>20</v>
      </c>
      <c r="B42" s="1256" t="s">
        <v>5156</v>
      </c>
      <c r="D42" s="67"/>
      <c r="E42" s="13">
        <v>70</v>
      </c>
      <c r="G42" t="str">
        <f t="shared" si="16"/>
        <v>70 - 14 x 7 x 6</v>
      </c>
      <c r="H42" s="441"/>
      <c r="P42">
        <f>+IF(Q42="","",MAX($P$3:P41)+1)</f>
        <v>39</v>
      </c>
      <c r="Q42" s="13">
        <v>81</v>
      </c>
      <c r="R42" s="558">
        <v>1</v>
      </c>
      <c r="S42" s="1426">
        <f>+IF(Q42="",0,VLOOKUP("CARBONES"&amp;Q42&amp;"*",CODIGOS_Y_COSTOS[[ID]:[COSTO]],7,0))</f>
        <v>1410</v>
      </c>
      <c r="T42" s="1238">
        <f t="shared" si="17"/>
        <v>14100</v>
      </c>
      <c r="V42" s="13">
        <f t="shared" si="11"/>
        <v>82</v>
      </c>
      <c r="W42" s="13">
        <f t="shared" si="12"/>
        <v>1</v>
      </c>
      <c r="X42" s="1426">
        <f t="shared" si="13"/>
        <v>1410</v>
      </c>
    </row>
    <row r="43" spans="1:24" x14ac:dyDescent="0.2">
      <c r="A43">
        <v>21</v>
      </c>
      <c r="B43" s="1256" t="s">
        <v>5159</v>
      </c>
      <c r="D43" s="67"/>
      <c r="E43" s="13">
        <v>82</v>
      </c>
      <c r="G43" t="str">
        <f t="shared" si="16"/>
        <v>82 - 18 x 8 x 6</v>
      </c>
      <c r="H43" s="441"/>
      <c r="P43">
        <f>+IF(Q43="","",MAX($P$3:P42)+1)</f>
        <v>40</v>
      </c>
      <c r="Q43" s="13">
        <v>82</v>
      </c>
      <c r="R43" s="13">
        <v>2</v>
      </c>
      <c r="S43" s="1426">
        <f>+IF(Q43="",0,VLOOKUP("CARBONES"&amp;Q43&amp;"*",CODIGOS_Y_COSTOS[[ID]:[COSTO]],7,0))</f>
        <v>1410</v>
      </c>
      <c r="T43" s="1238">
        <f t="shared" si="17"/>
        <v>28200</v>
      </c>
      <c r="V43" s="13">
        <f t="shared" si="11"/>
        <v>107</v>
      </c>
      <c r="W43" s="13">
        <f t="shared" si="12"/>
        <v>2</v>
      </c>
      <c r="X43" s="1426">
        <f t="shared" si="13"/>
        <v>1410</v>
      </c>
    </row>
    <row r="44" spans="1:24" x14ac:dyDescent="0.2">
      <c r="A44">
        <v>22</v>
      </c>
      <c r="B44" s="1256" t="s">
        <v>5162</v>
      </c>
      <c r="D44" s="67"/>
      <c r="E44" s="13">
        <v>94</v>
      </c>
      <c r="G44" t="str">
        <f t="shared" si="16"/>
        <v>94 - 14 x 10 x 6</v>
      </c>
      <c r="H44" s="441"/>
      <c r="P44">
        <f>+IF(Q44="","",MAX($P$3:P43)+1)</f>
        <v>41</v>
      </c>
      <c r="Q44" s="13">
        <v>107</v>
      </c>
      <c r="R44" s="13">
        <v>1</v>
      </c>
      <c r="S44" s="1426">
        <f>+IF(Q44="",0,VLOOKUP("CARBONES"&amp;Q44&amp;"*",CODIGOS_Y_COSTOS[[ID]:[COSTO]],7,0))</f>
        <v>1410</v>
      </c>
      <c r="T44" s="1238">
        <f t="shared" si="17"/>
        <v>14100</v>
      </c>
      <c r="V44" s="13">
        <f t="shared" si="11"/>
        <v>399</v>
      </c>
      <c r="W44" s="13">
        <f t="shared" si="12"/>
        <v>1</v>
      </c>
      <c r="X44" s="1426">
        <f t="shared" si="13"/>
        <v>1410</v>
      </c>
    </row>
    <row r="45" spans="1:24" x14ac:dyDescent="0.2">
      <c r="A45">
        <v>24</v>
      </c>
      <c r="B45" s="1256" t="s">
        <v>5165</v>
      </c>
      <c r="D45" s="67"/>
      <c r="E45" s="13">
        <v>109</v>
      </c>
      <c r="G45" t="str">
        <f t="shared" si="16"/>
        <v>109 - 13,7 x 7 x 6</v>
      </c>
      <c r="H45" s="441"/>
      <c r="P45">
        <f>+IF(Q45="","",MAX($P$3:P44)+1)</f>
        <v>42</v>
      </c>
      <c r="Q45" s="13">
        <v>114</v>
      </c>
      <c r="R45" s="13">
        <v>1</v>
      </c>
      <c r="S45" s="1426">
        <f>+IF(Q45="",0,VLOOKUP("CARBONES"&amp;Q45&amp;"*",CODIGOS_Y_COSTOS[[ID]:[COSTO]],7,0))</f>
        <v>1410</v>
      </c>
      <c r="T45" s="1238">
        <f t="shared" si="17"/>
        <v>14100</v>
      </c>
      <c r="V45" s="13" t="str">
        <f t="shared" si="11"/>
        <v>421(13-5)</v>
      </c>
      <c r="W45" s="13">
        <f t="shared" si="12"/>
        <v>1</v>
      </c>
      <c r="X45" s="1426">
        <f t="shared" si="13"/>
        <v>1410</v>
      </c>
    </row>
    <row r="46" spans="1:24" x14ac:dyDescent="0.2">
      <c r="A46">
        <v>38</v>
      </c>
      <c r="B46" s="1256" t="s">
        <v>5168</v>
      </c>
      <c r="D46" s="67"/>
      <c r="E46" s="13">
        <v>108</v>
      </c>
      <c r="G46" t="str">
        <f t="shared" si="16"/>
        <v>108 - 18 x 8 x 6</v>
      </c>
      <c r="H46" s="441"/>
      <c r="P46">
        <f>+IF(Q46="","",MAX($P$3:P45)+1)</f>
        <v>43</v>
      </c>
      <c r="Q46" s="13">
        <v>125</v>
      </c>
      <c r="R46" s="13">
        <v>1</v>
      </c>
      <c r="S46" s="1426">
        <f>+IF(Q46="",0,VLOOKUP("CARBONES"&amp;Q46&amp;"*",CODIGOS_Y_COSTOS[[ID]:[COSTO]],7,0))</f>
        <v>1831.1687999999999</v>
      </c>
      <c r="T46" s="1238">
        <f t="shared" si="17"/>
        <v>18311.687999999998</v>
      </c>
      <c r="V46" s="13" t="str">
        <f t="shared" si="11"/>
        <v/>
      </c>
      <c r="W46" s="13">
        <f t="shared" si="12"/>
        <v>1</v>
      </c>
      <c r="X46" s="1426">
        <f t="shared" si="13"/>
        <v>1831.1687999999999</v>
      </c>
    </row>
    <row r="47" spans="1:24" x14ac:dyDescent="0.2">
      <c r="A47">
        <v>39</v>
      </c>
      <c r="B47" s="1256" t="s">
        <v>5171</v>
      </c>
      <c r="D47" s="67"/>
      <c r="E47" s="13">
        <v>105</v>
      </c>
      <c r="G47" t="str">
        <f t="shared" si="16"/>
        <v>105 - 16 x 11 x 6</v>
      </c>
      <c r="H47" s="441"/>
      <c r="P47" t="str">
        <f>+IF(Q47="","",MAX($P$3:P46)+1)</f>
        <v/>
      </c>
      <c r="Q47" s="13"/>
      <c r="R47" s="13"/>
      <c r="S47" s="1426">
        <f>+IF(Q47="",0,VLOOKUP("CARBONES"&amp;Q47&amp;"*",CODIGOS_Y_COSTOS[[ID]:[COSTO]],7,0))</f>
        <v>0</v>
      </c>
      <c r="T47" s="1238">
        <f t="shared" si="17"/>
        <v>0</v>
      </c>
      <c r="V47" s="13" t="str">
        <f t="shared" si="11"/>
        <v/>
      </c>
      <c r="W47" s="13">
        <f t="shared" si="12"/>
        <v>0</v>
      </c>
      <c r="X47" s="1426">
        <f t="shared" si="13"/>
        <v>0</v>
      </c>
    </row>
    <row r="48" spans="1:24" ht="15.4" customHeight="1" x14ac:dyDescent="0.2">
      <c r="A48">
        <v>41</v>
      </c>
      <c r="B48" s="1256" t="s">
        <v>5174</v>
      </c>
      <c r="D48" s="67"/>
      <c r="E48" s="13"/>
      <c r="G48" t="str">
        <f t="shared" si="16"/>
        <v/>
      </c>
      <c r="H48" s="441"/>
      <c r="P48" t="str">
        <f>+IF(Q48="","",MAX($P$3:P47)+1)</f>
        <v/>
      </c>
      <c r="Q48" s="13"/>
      <c r="R48" s="13"/>
      <c r="S48" s="1426">
        <f>+IF(Q48="",0,VLOOKUP("CARBONES"&amp;Q48&amp;"*",CODIGOS_Y_COSTOS[[ID]:[COSTO]],7,0))</f>
        <v>0</v>
      </c>
      <c r="T48" s="1238">
        <f t="shared" si="17"/>
        <v>0</v>
      </c>
      <c r="V48" s="13" t="str">
        <f t="shared" si="11"/>
        <v/>
      </c>
      <c r="W48" s="13">
        <f t="shared" si="12"/>
        <v>0</v>
      </c>
      <c r="X48" s="1426">
        <f t="shared" si="13"/>
        <v>0</v>
      </c>
    </row>
    <row r="49" spans="1:24" x14ac:dyDescent="0.2">
      <c r="A49">
        <v>42</v>
      </c>
      <c r="B49" s="1256" t="s">
        <v>5177</v>
      </c>
      <c r="D49" s="67"/>
      <c r="E49" s="13"/>
      <c r="G49" t="str">
        <f t="shared" si="16"/>
        <v/>
      </c>
      <c r="H49" s="441"/>
      <c r="P49" t="str">
        <f>+IF(Q49="","",MAX($P$3:P48)+1)</f>
        <v/>
      </c>
      <c r="Q49" s="13"/>
      <c r="R49" s="13"/>
      <c r="S49" s="1426">
        <f>+IF(Q49="",0,VLOOKUP("CARBONES"&amp;Q49&amp;"*",CODIGOS_Y_COSTOS[[ID]:[COSTO]],7,0))</f>
        <v>0</v>
      </c>
      <c r="T49" s="1238">
        <f t="shared" si="17"/>
        <v>0</v>
      </c>
      <c r="V49" s="13" t="str">
        <f t="shared" si="11"/>
        <v/>
      </c>
      <c r="W49" s="13">
        <f t="shared" si="12"/>
        <v>0</v>
      </c>
      <c r="X49" s="1426">
        <f t="shared" si="13"/>
        <v>0</v>
      </c>
    </row>
    <row r="50" spans="1:24" s="166" customFormat="1" x14ac:dyDescent="0.2">
      <c r="A50">
        <v>43</v>
      </c>
      <c r="B50" s="1256" t="s">
        <v>5180</v>
      </c>
      <c r="D50" s="1257" t="s">
        <v>8945</v>
      </c>
      <c r="E50" s="13"/>
      <c r="G50" t="str">
        <f t="shared" si="16"/>
        <v/>
      </c>
      <c r="H50" s="1258"/>
      <c r="J50"/>
      <c r="K50"/>
      <c r="M50"/>
      <c r="N50"/>
      <c r="P50" t="str">
        <f>+IF(Q50="","",MAX($P$3:P49)+1)</f>
        <v/>
      </c>
      <c r="Q50" s="13"/>
      <c r="R50" s="13"/>
      <c r="S50" s="1426">
        <f>+IF(Q50="",0,VLOOKUP("CARBONES"&amp;Q50&amp;"*",CODIGOS_Y_COSTOS[[ID]:[COSTO]],7,0))</f>
        <v>0</v>
      </c>
      <c r="T50" s="1238">
        <f t="shared" si="17"/>
        <v>0</v>
      </c>
      <c r="V50" s="13" t="str">
        <f t="shared" si="11"/>
        <v/>
      </c>
      <c r="W50" s="13">
        <f t="shared" si="12"/>
        <v>0</v>
      </c>
      <c r="X50" s="1426">
        <f t="shared" si="13"/>
        <v>0</v>
      </c>
    </row>
    <row r="51" spans="1:24" s="166" customFormat="1" x14ac:dyDescent="0.2">
      <c r="A51">
        <v>44</v>
      </c>
      <c r="B51" s="1256" t="s">
        <v>5183</v>
      </c>
      <c r="D51" s="1257"/>
      <c r="E51" s="13"/>
      <c r="G51" t="str">
        <f t="shared" si="16"/>
        <v/>
      </c>
      <c r="H51" s="1258"/>
      <c r="J51"/>
      <c r="K51"/>
      <c r="M51"/>
      <c r="N51"/>
      <c r="P51" t="str">
        <f>+IF(Q51="","",MAX($P$3:P50)+1)</f>
        <v/>
      </c>
      <c r="Q51" s="13"/>
      <c r="R51" s="13"/>
      <c r="S51" s="1426">
        <f>+IF(Q51="",0,VLOOKUP("CARBONES"&amp;Q51&amp;"*",CODIGOS_Y_COSTOS[[ID]:[COSTO]],7,0))</f>
        <v>0</v>
      </c>
      <c r="T51" s="1238">
        <f t="shared" si="17"/>
        <v>0</v>
      </c>
      <c r="V51" s="13" t="str">
        <f t="shared" si="11"/>
        <v/>
      </c>
      <c r="W51" s="13">
        <f t="shared" si="12"/>
        <v>0</v>
      </c>
      <c r="X51" s="1426">
        <f t="shared" si="13"/>
        <v>0</v>
      </c>
    </row>
    <row r="52" spans="1:24" s="166" customFormat="1" x14ac:dyDescent="0.2">
      <c r="A52">
        <v>47</v>
      </c>
      <c r="B52" s="1256" t="s">
        <v>5186</v>
      </c>
      <c r="D52" s="1257"/>
      <c r="E52" s="13"/>
      <c r="G52" t="str">
        <f t="shared" si="16"/>
        <v/>
      </c>
      <c r="H52" s="1258"/>
      <c r="J52"/>
      <c r="K52"/>
      <c r="M52"/>
      <c r="N52"/>
      <c r="P52" t="str">
        <f>+IF(Q52="","",MAX($P$3:P51)+1)</f>
        <v/>
      </c>
      <c r="Q52" s="13"/>
      <c r="R52" s="13"/>
      <c r="S52" s="1426">
        <f>+IF(Q52="",0,VLOOKUP("CARBONES"&amp;Q52&amp;"*",CODIGOS_Y_COSTOS[[ID]:[COSTO]],7,0))</f>
        <v>0</v>
      </c>
      <c r="T52" s="1238">
        <f t="shared" si="17"/>
        <v>0</v>
      </c>
      <c r="V52" s="13" t="str">
        <f t="shared" si="11"/>
        <v/>
      </c>
      <c r="W52" s="13">
        <f t="shared" si="12"/>
        <v>0</v>
      </c>
      <c r="X52" s="1426">
        <f t="shared" si="13"/>
        <v>0</v>
      </c>
    </row>
    <row r="53" spans="1:24" s="166" customFormat="1" x14ac:dyDescent="0.2">
      <c r="A53">
        <v>48</v>
      </c>
      <c r="B53" s="1256" t="s">
        <v>5189</v>
      </c>
      <c r="D53" s="1257"/>
      <c r="E53" s="13"/>
      <c r="G53" t="str">
        <f t="shared" si="16"/>
        <v/>
      </c>
      <c r="H53" s="1258"/>
      <c r="J53"/>
      <c r="K53"/>
      <c r="M53"/>
      <c r="N53"/>
      <c r="P53" t="str">
        <f>+IF(Q53="","",MAX($P$3:P52)+1)</f>
        <v/>
      </c>
      <c r="Q53" s="13"/>
      <c r="R53" s="13"/>
      <c r="S53" s="1426">
        <f>+IF(Q53="",0,VLOOKUP("CARBONES"&amp;Q53&amp;"*",CODIGOS_Y_COSTOS[[ID]:[COSTO]],7,0))</f>
        <v>0</v>
      </c>
      <c r="T53" s="1238">
        <f t="shared" si="17"/>
        <v>0</v>
      </c>
      <c r="V53" s="13" t="str">
        <f t="shared" si="11"/>
        <v/>
      </c>
      <c r="W53" s="13">
        <f t="shared" si="12"/>
        <v>0</v>
      </c>
      <c r="X53" s="1426">
        <f t="shared" si="13"/>
        <v>0</v>
      </c>
    </row>
    <row r="54" spans="1:24" s="166" customFormat="1" x14ac:dyDescent="0.2">
      <c r="A54">
        <v>50</v>
      </c>
      <c r="B54" s="1256" t="s">
        <v>5191</v>
      </c>
      <c r="D54" s="1257"/>
      <c r="E54" s="13"/>
      <c r="G54" t="str">
        <f t="shared" si="16"/>
        <v/>
      </c>
      <c r="H54" s="1258"/>
      <c r="J54"/>
      <c r="K54"/>
      <c r="M54"/>
      <c r="N54"/>
      <c r="P54" t="str">
        <f>+IF(Q54="","",MAX($P$3:P53)+1)</f>
        <v/>
      </c>
      <c r="Q54" s="13"/>
      <c r="R54" s="13"/>
      <c r="S54" s="1426">
        <f>+IF(Q54="",0,VLOOKUP("CARBONES"&amp;Q54&amp;"*",CODIGOS_Y_COSTOS[[ID]:[COSTO]],7,0))</f>
        <v>0</v>
      </c>
      <c r="T54" s="1238">
        <f t="shared" si="17"/>
        <v>0</v>
      </c>
      <c r="V54" s="13" t="str">
        <f t="shared" si="11"/>
        <v/>
      </c>
      <c r="W54" s="13">
        <f t="shared" si="12"/>
        <v>0</v>
      </c>
      <c r="X54" s="1426">
        <f t="shared" si="13"/>
        <v>0</v>
      </c>
    </row>
    <row r="55" spans="1:24" s="166" customFormat="1" x14ac:dyDescent="0.2">
      <c r="A55">
        <v>53</v>
      </c>
      <c r="B55" s="1256" t="s">
        <v>5194</v>
      </c>
      <c r="D55" s="1257"/>
      <c r="E55" s="13"/>
      <c r="H55" s="1258"/>
      <c r="J55"/>
      <c r="K55"/>
      <c r="M55"/>
      <c r="N55"/>
      <c r="P55" t="str">
        <f>+IF(Q55="","",MAX($P$3:P54)+1)</f>
        <v/>
      </c>
      <c r="Q55" s="13"/>
      <c r="R55" s="13"/>
      <c r="S55" s="1426">
        <f>+IF(Q55="",0,VLOOKUP("CARBONES"&amp;Q55&amp;"*",CODIGOS_Y_COSTOS[[ID]:[COSTO]],7,0))</f>
        <v>0</v>
      </c>
      <c r="T55" s="1238">
        <f t="shared" si="17"/>
        <v>0</v>
      </c>
      <c r="V55" s="13" t="str">
        <f t="shared" si="11"/>
        <v/>
      </c>
      <c r="W55" s="13">
        <f t="shared" si="12"/>
        <v>0</v>
      </c>
      <c r="X55" s="1426">
        <f t="shared" si="13"/>
        <v>0</v>
      </c>
    </row>
    <row r="56" spans="1:24" s="166" customFormat="1" x14ac:dyDescent="0.2">
      <c r="A56">
        <v>54</v>
      </c>
      <c r="B56" s="1256" t="s">
        <v>5197</v>
      </c>
      <c r="D56" s="1257" t="s">
        <v>8945</v>
      </c>
      <c r="E56" s="13"/>
      <c r="H56" s="1258"/>
      <c r="J56"/>
      <c r="M56"/>
      <c r="P56" t="str">
        <f>+IF(Q56="","",MAX($P$3:P55)+1)</f>
        <v/>
      </c>
      <c r="Q56" s="13"/>
      <c r="R56" s="13"/>
      <c r="S56" s="1426">
        <f>+IF(Q56="",0,VLOOKUP("CARBONES"&amp;Q56&amp;"*",CODIGOS_Y_COSTOS[[ID]:[COSTO]],7,0))</f>
        <v>0</v>
      </c>
      <c r="T56" s="1238">
        <f t="shared" si="17"/>
        <v>0</v>
      </c>
      <c r="V56" s="13" t="str">
        <f t="shared" si="11"/>
        <v/>
      </c>
      <c r="W56" s="13">
        <f t="shared" si="12"/>
        <v>0</v>
      </c>
      <c r="X56" s="1426">
        <f t="shared" si="13"/>
        <v>0</v>
      </c>
    </row>
    <row r="57" spans="1:24" s="166" customFormat="1" x14ac:dyDescent="0.2">
      <c r="A57">
        <v>55</v>
      </c>
      <c r="B57" s="1256" t="s">
        <v>5200</v>
      </c>
      <c r="D57" s="1257"/>
      <c r="H57" s="1258"/>
      <c r="J57"/>
      <c r="M57"/>
      <c r="P57" t="str">
        <f>+IF(Q57="","",MAX($P$3:P56)+1)</f>
        <v/>
      </c>
      <c r="Q57" s="13"/>
      <c r="R57" s="13"/>
      <c r="S57" s="1426">
        <f>+IF(Q57="",0,VLOOKUP("CARBONES"&amp;Q57&amp;"*",CODIGOS_Y_COSTOS[[ID]:[COSTO]],7,0))</f>
        <v>0</v>
      </c>
      <c r="T57" s="1238">
        <f t="shared" si="17"/>
        <v>0</v>
      </c>
      <c r="V57" s="13" t="str">
        <f t="shared" si="11"/>
        <v/>
      </c>
      <c r="W57" s="13">
        <f t="shared" si="12"/>
        <v>0</v>
      </c>
      <c r="X57" s="1426">
        <f t="shared" si="13"/>
        <v>0</v>
      </c>
    </row>
    <row r="58" spans="1:24" s="166" customFormat="1" x14ac:dyDescent="0.2">
      <c r="A58">
        <v>62</v>
      </c>
      <c r="B58" s="1256" t="s">
        <v>5203</v>
      </c>
      <c r="D58" s="1257"/>
      <c r="H58" s="1258"/>
      <c r="J58"/>
      <c r="M58"/>
      <c r="P58" t="str">
        <f>+IF(Q58="","",MAX($P$3:P57)+1)</f>
        <v/>
      </c>
      <c r="Q58" s="13"/>
      <c r="R58" s="13"/>
      <c r="S58" s="1426">
        <f>+IF(Q58="",0,VLOOKUP("CARBONES"&amp;Q58&amp;"*",CODIGOS_Y_COSTOS[[ID]:[COSTO]],7,0))</f>
        <v>0</v>
      </c>
      <c r="T58" s="1238">
        <f t="shared" si="17"/>
        <v>0</v>
      </c>
      <c r="V58" s="13" t="str">
        <f t="shared" si="11"/>
        <v/>
      </c>
      <c r="W58" s="13">
        <f t="shared" si="12"/>
        <v>0</v>
      </c>
      <c r="X58" s="1426">
        <f t="shared" si="13"/>
        <v>0</v>
      </c>
    </row>
    <row r="59" spans="1:24" s="166" customFormat="1" x14ac:dyDescent="0.2">
      <c r="A59">
        <v>70</v>
      </c>
      <c r="B59" s="1256" t="s">
        <v>5206</v>
      </c>
      <c r="D59" s="1257"/>
      <c r="H59" s="1258"/>
      <c r="J59"/>
      <c r="M59"/>
      <c r="P59" t="str">
        <f>+IF(Q59="","",MAX($P$3:P58)+1)</f>
        <v/>
      </c>
      <c r="Q59" s="13"/>
      <c r="R59" s="13"/>
      <c r="S59" s="1426">
        <f>+IF(Q59="",0,VLOOKUP("CARBONES"&amp;Q59&amp;"*",CODIGOS_Y_COSTOS[[ID]:[COSTO]],7,0))</f>
        <v>0</v>
      </c>
      <c r="T59" s="1238">
        <f t="shared" si="17"/>
        <v>0</v>
      </c>
      <c r="V59" s="13" t="str">
        <f t="shared" si="11"/>
        <v/>
      </c>
      <c r="W59" s="13">
        <f t="shared" si="12"/>
        <v>0</v>
      </c>
      <c r="X59" s="1426">
        <f t="shared" si="13"/>
        <v>0</v>
      </c>
    </row>
    <row r="60" spans="1:24" s="166" customFormat="1" x14ac:dyDescent="0.2">
      <c r="A60">
        <v>81</v>
      </c>
      <c r="B60" s="1256" t="s">
        <v>5209</v>
      </c>
      <c r="D60" s="1257"/>
      <c r="H60" s="1258"/>
      <c r="J60"/>
      <c r="M60"/>
      <c r="P60" t="str">
        <f>+IF(Q60="","",MAX($P$3:P59)+1)</f>
        <v/>
      </c>
      <c r="Q60" s="13"/>
      <c r="R60" s="13"/>
      <c r="S60" s="1426">
        <f>+IF(Q60="",0,VLOOKUP("CARBONES"&amp;Q60&amp;"*",CODIGOS_Y_COSTOS[[ID]:[COSTO]],7,0))</f>
        <v>0</v>
      </c>
      <c r="T60" s="1238">
        <f t="shared" si="17"/>
        <v>0</v>
      </c>
      <c r="V60" s="13" t="str">
        <f t="shared" si="11"/>
        <v/>
      </c>
      <c r="W60" s="13">
        <f t="shared" si="12"/>
        <v>0</v>
      </c>
      <c r="X60" s="1426">
        <f t="shared" si="13"/>
        <v>0</v>
      </c>
    </row>
    <row r="61" spans="1:24" s="166" customFormat="1" x14ac:dyDescent="0.2">
      <c r="A61">
        <v>82</v>
      </c>
      <c r="B61" s="1256" t="s">
        <v>5212</v>
      </c>
      <c r="D61" s="1257"/>
      <c r="H61" s="1258"/>
      <c r="J61"/>
      <c r="M61"/>
      <c r="P61" t="str">
        <f>+IF(Q61="","",MAX($P$3:P60)+1)</f>
        <v/>
      </c>
      <c r="Q61" s="13"/>
      <c r="R61" s="13"/>
      <c r="S61" s="1426">
        <f>+IF(Q61="",0,VLOOKUP("CARBONES"&amp;Q61&amp;"*",CODIGOS_Y_COSTOS[[ID]:[COSTO]],7,0))</f>
        <v>0</v>
      </c>
      <c r="T61" s="1238">
        <f t="shared" si="17"/>
        <v>0</v>
      </c>
      <c r="V61" s="13" t="str">
        <f t="shared" si="11"/>
        <v/>
      </c>
      <c r="W61" s="13">
        <f t="shared" si="12"/>
        <v>0</v>
      </c>
      <c r="X61" s="1426">
        <f t="shared" si="13"/>
        <v>0</v>
      </c>
    </row>
    <row r="62" spans="1:24" s="166" customFormat="1" x14ac:dyDescent="0.2">
      <c r="A62">
        <v>89</v>
      </c>
      <c r="B62" s="1256" t="s">
        <v>5215</v>
      </c>
      <c r="D62" s="1257"/>
      <c r="H62" s="1258"/>
      <c r="J62"/>
      <c r="M62"/>
      <c r="P62" t="str">
        <f>+IF(Q62="","",MAX($P$3:P61)+1)</f>
        <v/>
      </c>
      <c r="Q62" s="13"/>
      <c r="R62" s="13"/>
      <c r="S62" s="1426">
        <f>+IF(Q62="",0,VLOOKUP("CARBONES"&amp;Q62&amp;"*",CODIGOS_Y_COSTOS[[ID]:[COSTO]],7,0))</f>
        <v>0</v>
      </c>
      <c r="T62" s="1238">
        <f t="shared" si="17"/>
        <v>0</v>
      </c>
      <c r="V62" s="13" t="str">
        <f t="shared" si="11"/>
        <v/>
      </c>
      <c r="W62" s="13">
        <f t="shared" si="12"/>
        <v>0</v>
      </c>
      <c r="X62" s="1426">
        <f t="shared" si="13"/>
        <v>0</v>
      </c>
    </row>
    <row r="63" spans="1:24" s="166" customFormat="1" x14ac:dyDescent="0.2">
      <c r="A63">
        <v>94</v>
      </c>
      <c r="B63" s="1256" t="s">
        <v>5218</v>
      </c>
      <c r="D63" s="1257"/>
      <c r="H63" s="1258"/>
      <c r="J63"/>
      <c r="M63"/>
      <c r="P63" t="str">
        <f>+IF(Q63="","",MAX($P$3:P62)+1)</f>
        <v/>
      </c>
      <c r="Q63" s="13"/>
      <c r="R63" s="13"/>
      <c r="S63" s="1426">
        <f>+IF(Q63="",0,VLOOKUP("CARBONES"&amp;Q63&amp;"*",CODIGOS_Y_COSTOS[[ID]:[COSTO]],7,0))</f>
        <v>0</v>
      </c>
      <c r="T63" s="1238">
        <f t="shared" si="17"/>
        <v>0</v>
      </c>
      <c r="V63" s="13" t="str">
        <f t="shared" si="11"/>
        <v/>
      </c>
      <c r="W63" s="13">
        <f t="shared" si="12"/>
        <v>0</v>
      </c>
      <c r="X63" s="1426">
        <f t="shared" si="13"/>
        <v>0</v>
      </c>
    </row>
    <row r="64" spans="1:24" s="166" customFormat="1" x14ac:dyDescent="0.2">
      <c r="A64">
        <v>105</v>
      </c>
      <c r="B64" s="1256" t="s">
        <v>5221</v>
      </c>
      <c r="D64" s="1257"/>
      <c r="H64" s="1258"/>
      <c r="J64"/>
      <c r="M64"/>
      <c r="P64" t="str">
        <f>+IF(Q64="","",MAX($P$3:P63)+1)</f>
        <v/>
      </c>
      <c r="Q64" s="13"/>
      <c r="R64" s="13"/>
      <c r="S64" s="1426">
        <f>+IF(Q64="",0,VLOOKUP("CARBONES"&amp;Q64&amp;"*",CODIGOS_Y_COSTOS[[ID]:[COSTO]],7,0))</f>
        <v>0</v>
      </c>
      <c r="T64" s="1238">
        <f t="shared" si="17"/>
        <v>0</v>
      </c>
      <c r="V64" s="13" t="str">
        <f t="shared" si="11"/>
        <v/>
      </c>
      <c r="W64" s="13">
        <f t="shared" si="12"/>
        <v>0</v>
      </c>
      <c r="X64" s="1426">
        <f t="shared" si="13"/>
        <v>0</v>
      </c>
    </row>
    <row r="65" spans="1:24" s="166" customFormat="1" x14ac:dyDescent="0.2">
      <c r="A65">
        <v>107</v>
      </c>
      <c r="B65" s="1256" t="s">
        <v>5224</v>
      </c>
      <c r="D65" s="1257"/>
      <c r="H65" s="1258"/>
      <c r="J65"/>
      <c r="M65"/>
      <c r="P65" t="str">
        <f>+IF(Q65="","",MAX($P$3:P64)+1)</f>
        <v/>
      </c>
      <c r="Q65" s="13"/>
      <c r="R65" s="13"/>
      <c r="S65" s="1426">
        <f>+IF(Q65="",0,VLOOKUP("CARBONES"&amp;Q65&amp;"*",CODIGOS_Y_COSTOS[[ID]:[COSTO]],7,0))</f>
        <v>0</v>
      </c>
      <c r="T65" s="1238">
        <f t="shared" si="17"/>
        <v>0</v>
      </c>
      <c r="V65" s="13" t="str">
        <f t="shared" si="11"/>
        <v/>
      </c>
      <c r="W65" s="13">
        <f t="shared" si="12"/>
        <v>0</v>
      </c>
      <c r="X65" s="1426">
        <f t="shared" si="13"/>
        <v>0</v>
      </c>
    </row>
    <row r="66" spans="1:24" s="166" customFormat="1" x14ac:dyDescent="0.2">
      <c r="A66">
        <v>108</v>
      </c>
      <c r="B66" s="1256" t="s">
        <v>5227</v>
      </c>
      <c r="D66" s="1257"/>
      <c r="H66" s="1258"/>
      <c r="J66"/>
      <c r="M66"/>
      <c r="P66" t="str">
        <f>+IF(Q66="","",MAX($P$3:P65)+1)</f>
        <v/>
      </c>
      <c r="Q66" s="13"/>
      <c r="R66" s="13"/>
      <c r="S66" s="1426">
        <f>+IF(Q66="",0,VLOOKUP("CARBONES"&amp;Q66&amp;"*",CODIGOS_Y_COSTOS[[ID]:[COSTO]],7,0))</f>
        <v>0</v>
      </c>
      <c r="T66" s="1238">
        <f t="shared" si="17"/>
        <v>0</v>
      </c>
      <c r="V66" s="13" t="str">
        <f t="shared" si="11"/>
        <v/>
      </c>
      <c r="W66" s="13">
        <f t="shared" si="12"/>
        <v>0</v>
      </c>
      <c r="X66" s="1426">
        <f t="shared" si="13"/>
        <v>0</v>
      </c>
    </row>
    <row r="67" spans="1:24" s="166" customFormat="1" x14ac:dyDescent="0.2">
      <c r="A67">
        <v>109</v>
      </c>
      <c r="B67" s="1256" t="s">
        <v>5229</v>
      </c>
      <c r="D67" s="1257"/>
      <c r="H67" s="1258"/>
      <c r="J67"/>
      <c r="M67"/>
      <c r="P67" t="str">
        <f>+IF(Q67="","",MAX($P$3:P66)+1)</f>
        <v/>
      </c>
      <c r="Q67" s="13"/>
      <c r="R67" s="13"/>
      <c r="S67" s="1426">
        <f>+IF(Q67="",0,VLOOKUP("CARBONES"&amp;Q67&amp;"*",CODIGOS_Y_COSTOS[[ID]:[COSTO]],7,0))</f>
        <v>0</v>
      </c>
      <c r="T67" s="1238">
        <f t="shared" ref="T67:T68" si="18">+S67*R67*10</f>
        <v>0</v>
      </c>
      <c r="V67" s="13" t="str">
        <f t="shared" si="11"/>
        <v/>
      </c>
      <c r="W67" s="13">
        <f t="shared" si="12"/>
        <v>0</v>
      </c>
      <c r="X67" s="1426">
        <f t="shared" si="13"/>
        <v>0</v>
      </c>
    </row>
    <row r="68" spans="1:24" s="166" customFormat="1" x14ac:dyDescent="0.2">
      <c r="D68" s="1257"/>
      <c r="H68" s="1258"/>
      <c r="O68" s="1261" t="s">
        <v>8946</v>
      </c>
      <c r="P68" t="str">
        <f>+IF(Q68="","",MAX($P$3:P67)+1)</f>
        <v/>
      </c>
      <c r="Q68" s="13"/>
      <c r="R68" s="13"/>
      <c r="S68" s="1426">
        <f>+IF(Q68="",0,VLOOKUP("CARBONES"&amp;Q68&amp;"*",CODIGOS_Y_COSTOS[[ID]:[COSTO]],7,0))</f>
        <v>0</v>
      </c>
      <c r="T68" s="1238">
        <f t="shared" si="18"/>
        <v>0</v>
      </c>
      <c r="V68" s="13" t="str">
        <f t="shared" ref="V68:V73" si="19">IFERROR(IF(VLOOKUP(ROW(A66),$P$3:$Q$67,2,0)&gt;=110,_xlfn.XLOOKUP(VLOOKUP(VLOOKUP(ROW(A66),$P$3:$Q$67,2,0)&amp;"*",$B$83:$B$100,1,0),$B$83:$B$100,$A$83:$A$100,"",0),VLOOKUP(ROW(A66),$P$3:$Q$67,2,0)),"")</f>
        <v/>
      </c>
      <c r="W68" s="13">
        <f t="shared" ref="W68:W73" si="20">+R68</f>
        <v>0</v>
      </c>
      <c r="X68" s="1426">
        <f t="shared" ref="X68:X73" si="21">+S68</f>
        <v>0</v>
      </c>
    </row>
    <row r="69" spans="1:24" s="166" customFormat="1" x14ac:dyDescent="0.2">
      <c r="D69" s="1257" t="s">
        <v>8945</v>
      </c>
      <c r="H69" s="1258"/>
      <c r="P69" s="13"/>
      <c r="Q69" s="13"/>
      <c r="R69" s="13"/>
      <c r="S69" s="13"/>
      <c r="T69" s="13"/>
      <c r="U69" s="13"/>
      <c r="V69" s="13" t="str">
        <f t="shared" si="19"/>
        <v/>
      </c>
      <c r="W69" s="13">
        <f t="shared" si="20"/>
        <v>0</v>
      </c>
      <c r="X69" s="1426">
        <f t="shared" si="21"/>
        <v>0</v>
      </c>
    </row>
    <row r="70" spans="1:24" s="166" customFormat="1" x14ac:dyDescent="0.2">
      <c r="D70" s="1257"/>
      <c r="H70" s="1258"/>
      <c r="P70" s="13"/>
      <c r="Q70" s="13"/>
      <c r="R70" s="13"/>
      <c r="S70" s="13"/>
      <c r="T70" s="13"/>
      <c r="U70" s="13"/>
      <c r="V70" s="13" t="str">
        <f t="shared" si="19"/>
        <v/>
      </c>
      <c r="W70" s="13">
        <f t="shared" si="20"/>
        <v>0</v>
      </c>
      <c r="X70" s="1426">
        <f t="shared" si="21"/>
        <v>0</v>
      </c>
    </row>
    <row r="71" spans="1:24" s="166" customFormat="1" x14ac:dyDescent="0.2">
      <c r="D71" s="1257"/>
      <c r="H71" s="1258"/>
      <c r="P71" s="13"/>
      <c r="Q71" s="13"/>
      <c r="R71" s="13"/>
      <c r="S71" s="13"/>
      <c r="T71" s="13"/>
      <c r="U71" s="13"/>
      <c r="V71" s="13" t="str">
        <f t="shared" si="19"/>
        <v/>
      </c>
      <c r="W71" s="13">
        <f t="shared" si="20"/>
        <v>0</v>
      </c>
      <c r="X71" s="1426">
        <f t="shared" si="21"/>
        <v>0</v>
      </c>
    </row>
    <row r="72" spans="1:24" s="166" customFormat="1" x14ac:dyDescent="0.2">
      <c r="D72" s="1257"/>
      <c r="H72" s="1258"/>
      <c r="P72" s="13"/>
      <c r="Q72" s="13"/>
      <c r="R72" s="13"/>
      <c r="S72" s="13"/>
      <c r="T72" s="13"/>
      <c r="U72" s="13"/>
      <c r="V72" s="13" t="str">
        <f t="shared" si="19"/>
        <v/>
      </c>
      <c r="W72" s="13">
        <f t="shared" si="20"/>
        <v>0</v>
      </c>
      <c r="X72" s="1426">
        <f t="shared" si="21"/>
        <v>0</v>
      </c>
    </row>
    <row r="73" spans="1:24" s="166" customFormat="1" x14ac:dyDescent="0.2">
      <c r="D73" s="1257"/>
      <c r="H73" s="1258"/>
      <c r="P73" s="13"/>
      <c r="Q73" s="13"/>
      <c r="R73" s="13"/>
      <c r="S73" s="13"/>
      <c r="T73" s="13"/>
      <c r="U73" s="13"/>
      <c r="V73" s="13" t="str">
        <f t="shared" si="19"/>
        <v/>
      </c>
      <c r="W73" s="13">
        <f t="shared" si="20"/>
        <v>0</v>
      </c>
      <c r="X73" s="1426">
        <f t="shared" si="21"/>
        <v>0</v>
      </c>
    </row>
    <row r="74" spans="1:24" s="166" customFormat="1" x14ac:dyDescent="0.2">
      <c r="D74" s="1257"/>
      <c r="H74" s="1258"/>
      <c r="P74" s="13"/>
      <c r="Q74" s="13"/>
      <c r="R74" s="13"/>
      <c r="S74" s="13"/>
      <c r="T74" s="13"/>
      <c r="U74" s="13"/>
      <c r="V74" s="13"/>
      <c r="W74" s="13"/>
    </row>
    <row r="75" spans="1:24" s="166" customFormat="1" x14ac:dyDescent="0.2">
      <c r="D75" s="1257"/>
      <c r="H75" s="1258"/>
      <c r="P75" s="13"/>
      <c r="Q75" s="13"/>
      <c r="R75" s="13"/>
      <c r="S75" s="13"/>
      <c r="T75" s="13"/>
      <c r="U75" s="13"/>
      <c r="V75" s="13"/>
      <c r="W75" s="13"/>
    </row>
    <row r="76" spans="1:24" s="166" customFormat="1" x14ac:dyDescent="0.2">
      <c r="D76" s="1257" t="s">
        <v>8945</v>
      </c>
      <c r="H76" s="1258"/>
      <c r="P76" s="13"/>
      <c r="Q76" s="13"/>
      <c r="R76" s="13"/>
      <c r="S76" s="13"/>
      <c r="T76" s="13"/>
      <c r="U76" s="13"/>
      <c r="V76" s="13"/>
      <c r="W76" s="13"/>
    </row>
    <row r="77" spans="1:24" s="166" customFormat="1" x14ac:dyDescent="0.2">
      <c r="D77" s="1257"/>
      <c r="H77" s="1258"/>
      <c r="P77" s="13"/>
      <c r="Q77" s="13"/>
      <c r="R77" s="13"/>
      <c r="S77" s="13"/>
      <c r="T77" s="13"/>
      <c r="U77" s="13"/>
      <c r="V77" s="13"/>
      <c r="W77" s="13"/>
    </row>
    <row r="78" spans="1:24" s="166" customFormat="1" x14ac:dyDescent="0.2">
      <c r="D78" s="1257"/>
      <c r="H78" s="1258"/>
      <c r="P78" s="13"/>
      <c r="Q78" s="13"/>
      <c r="R78" s="13"/>
      <c r="S78" s="13"/>
      <c r="T78" s="13"/>
      <c r="U78" s="13"/>
      <c r="V78" s="13"/>
      <c r="W78" s="13"/>
    </row>
    <row r="79" spans="1:24" s="166" customFormat="1" ht="13.5" thickBot="1" x14ac:dyDescent="0.25">
      <c r="D79" s="1259"/>
      <c r="E79" s="1228"/>
      <c r="F79" s="1228"/>
      <c r="G79" s="1228"/>
      <c r="H79" s="1260"/>
      <c r="P79" s="13"/>
      <c r="Q79" s="13"/>
      <c r="R79" s="13"/>
      <c r="S79" s="13"/>
      <c r="T79" s="13"/>
      <c r="U79" s="13"/>
      <c r="V79" s="13"/>
      <c r="W79" s="13"/>
    </row>
    <row r="80" spans="1:24" s="166" customFormat="1" ht="13.5" thickBot="1" x14ac:dyDescent="0.25">
      <c r="P80" s="13"/>
      <c r="Q80" s="13"/>
      <c r="R80" s="13"/>
      <c r="S80" s="13"/>
      <c r="T80" s="13"/>
      <c r="U80" s="13"/>
      <c r="V80" s="13"/>
      <c r="W80" s="13"/>
    </row>
    <row r="81" spans="1:23" s="166" customFormat="1" ht="13.5" thickBot="1" x14ac:dyDescent="0.25">
      <c r="A81"/>
      <c r="B81" s="1256"/>
      <c r="D81" s="1480" t="s">
        <v>8947</v>
      </c>
      <c r="E81" s="1481"/>
      <c r="F81" s="1481"/>
      <c r="G81" s="1481"/>
      <c r="H81" s="1482"/>
      <c r="P81" s="13"/>
      <c r="Q81" s="13"/>
      <c r="R81" s="13"/>
      <c r="S81" s="13"/>
      <c r="T81" s="13"/>
      <c r="U81" s="13"/>
      <c r="V81" s="13"/>
      <c r="W81" s="13"/>
    </row>
    <row r="82" spans="1:23" s="166" customFormat="1" x14ac:dyDescent="0.2">
      <c r="A82" s="1261" t="s">
        <v>8751</v>
      </c>
      <c r="B82" s="1262" t="s">
        <v>8799</v>
      </c>
      <c r="D82" s="1263"/>
      <c r="E82" s="1252" t="s">
        <v>8948</v>
      </c>
      <c r="F82" s="1253"/>
      <c r="G82" s="1254" t="s">
        <v>8949</v>
      </c>
      <c r="H82" s="1255"/>
      <c r="P82" s="13"/>
      <c r="Q82" s="13"/>
      <c r="R82" s="13"/>
      <c r="S82" s="13"/>
      <c r="T82" s="13"/>
      <c r="U82" s="13"/>
      <c r="V82" s="13"/>
      <c r="W82" s="13"/>
    </row>
    <row r="83" spans="1:23" s="166" customFormat="1" x14ac:dyDescent="0.2">
      <c r="A83" s="166">
        <v>357</v>
      </c>
      <c r="B83" s="1256" t="s">
        <v>7632</v>
      </c>
      <c r="D83" s="1257"/>
      <c r="E83" s="410">
        <v>114</v>
      </c>
      <c r="G83" s="410">
        <f t="shared" ref="G83:G101" si="22">IF(E83="","",_xlfn.XLOOKUP(VLOOKUP(E83&amp;"*",$B$83:$C$101,1,0),$B$83:$B$101,$A$83:$A$101,0,0))</f>
        <v>399</v>
      </c>
      <c r="H83" s="1258"/>
      <c r="J83"/>
      <c r="M83"/>
      <c r="P83" s="13"/>
      <c r="Q83" s="13"/>
      <c r="R83" s="13"/>
      <c r="S83" s="13"/>
      <c r="T83" s="13"/>
      <c r="U83" s="13"/>
      <c r="V83" s="13"/>
      <c r="W83" s="13"/>
    </row>
    <row r="84" spans="1:23" s="166" customFormat="1" x14ac:dyDescent="0.2">
      <c r="A84" s="166">
        <v>364</v>
      </c>
      <c r="B84" s="1256" t="s">
        <v>7635</v>
      </c>
      <c r="D84" s="1257"/>
      <c r="E84" s="410">
        <v>115</v>
      </c>
      <c r="G84" s="410">
        <f t="shared" si="22"/>
        <v>410</v>
      </c>
      <c r="H84" s="1258"/>
      <c r="J84"/>
      <c r="M84"/>
      <c r="P84" s="13"/>
      <c r="Q84" s="13"/>
      <c r="R84" s="13"/>
      <c r="S84" s="13"/>
      <c r="T84" s="13"/>
      <c r="U84" s="13"/>
      <c r="V84" s="13"/>
      <c r="W84" s="13"/>
    </row>
    <row r="85" spans="1:23" s="166" customFormat="1" x14ac:dyDescent="0.2">
      <c r="A85" s="166">
        <v>372</v>
      </c>
      <c r="B85" s="1256" t="s">
        <v>7638</v>
      </c>
      <c r="D85" s="1257"/>
      <c r="E85" s="410">
        <v>116</v>
      </c>
      <c r="G85" s="410">
        <f t="shared" si="22"/>
        <v>411</v>
      </c>
      <c r="H85" s="1258"/>
      <c r="J85"/>
      <c r="M85"/>
      <c r="P85" s="13"/>
      <c r="Q85" s="13"/>
      <c r="R85" s="13"/>
      <c r="S85" s="13"/>
      <c r="T85" s="13"/>
      <c r="U85" s="13"/>
      <c r="V85" s="13"/>
      <c r="W85" s="13"/>
    </row>
    <row r="86" spans="1:23" s="166" customFormat="1" x14ac:dyDescent="0.2">
      <c r="A86" s="166">
        <v>387</v>
      </c>
      <c r="B86" s="1256" t="s">
        <v>7641</v>
      </c>
      <c r="D86" s="1257"/>
      <c r="E86" s="410">
        <v>119</v>
      </c>
      <c r="G86" s="410">
        <f t="shared" si="22"/>
        <v>415</v>
      </c>
      <c r="H86" s="1258"/>
      <c r="J86"/>
      <c r="M86"/>
      <c r="P86" s="13"/>
      <c r="Q86" s="13"/>
      <c r="R86" s="13"/>
      <c r="S86" s="13"/>
      <c r="T86" s="13"/>
      <c r="U86" s="13"/>
      <c r="V86" s="13"/>
      <c r="W86" s="13"/>
    </row>
    <row r="87" spans="1:23" s="166" customFormat="1" x14ac:dyDescent="0.2">
      <c r="A87" s="166">
        <v>399</v>
      </c>
      <c r="B87" s="1256" t="s">
        <v>7644</v>
      </c>
      <c r="D87" s="1257"/>
      <c r="E87" s="410">
        <v>120</v>
      </c>
      <c r="G87" s="410">
        <f t="shared" si="22"/>
        <v>417</v>
      </c>
      <c r="H87" s="1258"/>
      <c r="J87"/>
      <c r="M87"/>
      <c r="P87" s="13"/>
      <c r="Q87" s="13"/>
      <c r="R87" s="13"/>
      <c r="S87" s="13"/>
      <c r="T87" s="13"/>
      <c r="U87" s="13"/>
      <c r="V87" s="13"/>
      <c r="W87" s="13"/>
    </row>
    <row r="88" spans="1:23" s="166" customFormat="1" x14ac:dyDescent="0.2">
      <c r="A88" s="166">
        <v>410</v>
      </c>
      <c r="B88" s="1256" t="s">
        <v>7647</v>
      </c>
      <c r="D88" s="1257"/>
      <c r="E88" s="410">
        <v>121</v>
      </c>
      <c r="G88" s="410">
        <f t="shared" si="22"/>
        <v>418</v>
      </c>
      <c r="H88" s="1258"/>
      <c r="J88"/>
      <c r="M88"/>
      <c r="P88" s="13"/>
      <c r="Q88" s="13"/>
      <c r="R88" s="13"/>
      <c r="S88" s="13"/>
      <c r="T88" s="13"/>
      <c r="U88" s="13"/>
      <c r="V88" s="13"/>
      <c r="W88" s="13"/>
    </row>
    <row r="89" spans="1:23" s="166" customFormat="1" x14ac:dyDescent="0.2">
      <c r="A89" s="166">
        <v>411</v>
      </c>
      <c r="B89" s="1256" t="s">
        <v>7650</v>
      </c>
      <c r="D89" s="1257"/>
      <c r="E89" s="410">
        <v>123</v>
      </c>
      <c r="G89" s="410">
        <f t="shared" si="22"/>
        <v>420</v>
      </c>
      <c r="H89" s="1258"/>
      <c r="J89"/>
      <c r="M89"/>
      <c r="P89" s="13"/>
      <c r="Q89" s="13"/>
      <c r="R89" s="13"/>
      <c r="S89" s="13"/>
      <c r="T89" s="13"/>
      <c r="U89" s="13"/>
      <c r="V89" s="13"/>
      <c r="W89" s="13"/>
    </row>
    <row r="90" spans="1:23" s="166" customFormat="1" x14ac:dyDescent="0.2">
      <c r="A90" s="166">
        <v>412</v>
      </c>
      <c r="B90" s="1256" t="s">
        <v>7653</v>
      </c>
      <c r="D90" s="1257"/>
      <c r="E90" s="410">
        <v>124</v>
      </c>
      <c r="G90" s="410" t="str">
        <f t="shared" si="22"/>
        <v>421(12-5)</v>
      </c>
      <c r="H90" s="1258"/>
      <c r="J90"/>
      <c r="M90"/>
      <c r="P90" s="13"/>
      <c r="Q90" s="13"/>
      <c r="R90" s="13"/>
      <c r="S90" s="13"/>
      <c r="T90" s="13"/>
      <c r="U90" s="13"/>
      <c r="V90" s="13"/>
      <c r="W90" s="13"/>
    </row>
    <row r="91" spans="1:23" s="166" customFormat="1" x14ac:dyDescent="0.2">
      <c r="A91" s="166">
        <v>414</v>
      </c>
      <c r="B91" s="1256" t="s">
        <v>7656</v>
      </c>
      <c r="D91" s="1257"/>
      <c r="E91" s="410">
        <v>125</v>
      </c>
      <c r="G91" s="410" t="str">
        <f t="shared" si="22"/>
        <v>421(13-5)</v>
      </c>
      <c r="H91" s="1258"/>
      <c r="J91"/>
      <c r="M91"/>
      <c r="P91" s="13"/>
      <c r="Q91" s="13"/>
      <c r="R91" s="13"/>
      <c r="S91" s="13"/>
      <c r="T91" s="13"/>
      <c r="U91" s="13"/>
      <c r="V91" s="13"/>
      <c r="W91" s="13"/>
    </row>
    <row r="92" spans="1:23" x14ac:dyDescent="0.2">
      <c r="A92">
        <v>415</v>
      </c>
      <c r="B92" s="1250" t="s">
        <v>7658</v>
      </c>
      <c r="C92" s="166"/>
      <c r="D92" s="67"/>
      <c r="E92" s="13">
        <v>126</v>
      </c>
      <c r="G92" s="410">
        <f t="shared" si="22"/>
        <v>422</v>
      </c>
      <c r="H92" s="441"/>
      <c r="P92" s="13"/>
      <c r="Q92" s="13"/>
      <c r="R92" s="13"/>
      <c r="S92" s="13"/>
      <c r="T92" s="13"/>
      <c r="U92" s="13"/>
      <c r="V92" s="13"/>
      <c r="W92" s="13"/>
    </row>
    <row r="93" spans="1:23" x14ac:dyDescent="0.2">
      <c r="A93">
        <v>417</v>
      </c>
      <c r="B93" s="1250" t="s">
        <v>7661</v>
      </c>
      <c r="C93" s="166"/>
      <c r="D93" s="67"/>
      <c r="E93" s="13"/>
      <c r="G93" s="410" t="str">
        <f t="shared" si="22"/>
        <v/>
      </c>
      <c r="H93" s="441"/>
      <c r="P93" s="13"/>
      <c r="Q93" s="13"/>
      <c r="R93" s="13"/>
      <c r="S93" s="13"/>
      <c r="T93" s="13"/>
      <c r="U93" s="13"/>
      <c r="V93" s="13"/>
      <c r="W93" s="13"/>
    </row>
    <row r="94" spans="1:23" x14ac:dyDescent="0.2">
      <c r="A94">
        <v>418</v>
      </c>
      <c r="B94" s="1250" t="s">
        <v>7663</v>
      </c>
      <c r="C94" s="166"/>
      <c r="D94" s="67"/>
      <c r="E94" s="13"/>
      <c r="G94" s="410" t="str">
        <f t="shared" si="22"/>
        <v/>
      </c>
      <c r="H94" s="441"/>
      <c r="P94" s="13"/>
      <c r="Q94" s="13"/>
      <c r="R94" s="13"/>
      <c r="S94" s="13"/>
      <c r="T94" s="13"/>
      <c r="U94" s="13"/>
      <c r="V94" s="13"/>
      <c r="W94" s="13"/>
    </row>
    <row r="95" spans="1:23" x14ac:dyDescent="0.2">
      <c r="A95">
        <v>419</v>
      </c>
      <c r="B95" s="1250" t="s">
        <v>7666</v>
      </c>
      <c r="C95" s="166"/>
      <c r="D95" s="67"/>
      <c r="E95" s="13"/>
      <c r="G95" s="410" t="str">
        <f t="shared" si="22"/>
        <v/>
      </c>
      <c r="H95" s="441"/>
      <c r="P95" s="13"/>
      <c r="Q95" s="13"/>
      <c r="R95" s="13"/>
      <c r="S95" s="13"/>
      <c r="T95" s="13"/>
      <c r="U95" s="13"/>
      <c r="V95" s="13"/>
      <c r="W95" s="13"/>
    </row>
    <row r="96" spans="1:23" x14ac:dyDescent="0.2">
      <c r="A96">
        <v>420</v>
      </c>
      <c r="B96" s="1250" t="s">
        <v>7669</v>
      </c>
      <c r="C96" s="166"/>
      <c r="D96" s="67"/>
      <c r="E96" s="13"/>
      <c r="G96" s="410" t="str">
        <f t="shared" si="22"/>
        <v/>
      </c>
      <c r="H96" s="441"/>
      <c r="P96" s="13"/>
      <c r="Q96" s="13"/>
      <c r="R96" s="13"/>
      <c r="S96" s="13"/>
      <c r="T96" s="13"/>
      <c r="U96" s="13"/>
      <c r="V96" s="13"/>
      <c r="W96" s="13"/>
    </row>
    <row r="97" spans="1:23" x14ac:dyDescent="0.2">
      <c r="A97" t="s">
        <v>7673</v>
      </c>
      <c r="B97" s="1250" t="s">
        <v>7672</v>
      </c>
      <c r="C97" s="166"/>
      <c r="D97" s="67"/>
      <c r="E97" s="13"/>
      <c r="G97" s="410" t="str">
        <f t="shared" si="22"/>
        <v/>
      </c>
      <c r="H97" s="441"/>
      <c r="P97" s="13"/>
      <c r="Q97" s="13"/>
      <c r="R97" s="13"/>
      <c r="S97" s="13"/>
      <c r="T97" s="13"/>
      <c r="U97" s="13"/>
      <c r="V97" s="13"/>
      <c r="W97" s="13"/>
    </row>
    <row r="98" spans="1:23" x14ac:dyDescent="0.2">
      <c r="A98" t="s">
        <v>7677</v>
      </c>
      <c r="B98" s="1250" t="s">
        <v>7676</v>
      </c>
      <c r="C98" s="166"/>
      <c r="D98" s="67"/>
      <c r="E98" s="13"/>
      <c r="G98" s="410" t="str">
        <f t="shared" si="22"/>
        <v/>
      </c>
      <c r="H98" s="441"/>
      <c r="P98" s="13"/>
      <c r="Q98" s="13"/>
      <c r="R98" s="13"/>
      <c r="S98" s="13"/>
      <c r="T98" s="13"/>
      <c r="U98" s="13"/>
      <c r="V98" s="13"/>
      <c r="W98" s="13"/>
    </row>
    <row r="99" spans="1:23" x14ac:dyDescent="0.2">
      <c r="A99">
        <v>422</v>
      </c>
      <c r="B99" s="1250" t="s">
        <v>7679</v>
      </c>
      <c r="C99" s="166"/>
      <c r="D99" s="67"/>
      <c r="E99" s="13"/>
      <c r="G99" s="410" t="str">
        <f t="shared" si="22"/>
        <v/>
      </c>
      <c r="H99" s="441"/>
      <c r="P99" s="13"/>
      <c r="Q99" s="13"/>
      <c r="R99" s="13"/>
      <c r="S99" s="13"/>
      <c r="T99" s="13"/>
      <c r="U99" s="13"/>
      <c r="V99" s="13"/>
      <c r="W99" s="13"/>
    </row>
    <row r="100" spans="1:23" x14ac:dyDescent="0.2">
      <c r="A100">
        <v>423</v>
      </c>
      <c r="B100" s="1250" t="s">
        <v>7681</v>
      </c>
      <c r="C100" s="166"/>
      <c r="D100" s="67"/>
      <c r="E100" s="13"/>
      <c r="G100" s="410" t="str">
        <f t="shared" si="22"/>
        <v/>
      </c>
      <c r="H100" s="441"/>
      <c r="P100" s="13"/>
      <c r="Q100" s="13"/>
      <c r="R100" s="13"/>
      <c r="S100" s="13"/>
      <c r="T100" s="13"/>
      <c r="U100" s="13"/>
      <c r="V100" s="13"/>
      <c r="W100" s="13"/>
    </row>
    <row r="101" spans="1:23" ht="13.5" thickBot="1" x14ac:dyDescent="0.25">
      <c r="B101" s="1250"/>
      <c r="C101" s="166"/>
      <c r="D101" s="66"/>
      <c r="E101" s="643"/>
      <c r="F101" s="190"/>
      <c r="G101" s="1264" t="str">
        <f t="shared" si="22"/>
        <v/>
      </c>
      <c r="H101" s="1265"/>
      <c r="P101" s="13"/>
      <c r="Q101" s="13"/>
      <c r="R101" s="13"/>
      <c r="S101" s="13"/>
      <c r="T101" s="13"/>
      <c r="U101" s="13"/>
      <c r="V101" s="13"/>
      <c r="W101" s="13"/>
    </row>
    <row r="102" spans="1:23" x14ac:dyDescent="0.2">
      <c r="G102" s="166"/>
      <c r="P102" s="13"/>
      <c r="Q102" s="13"/>
      <c r="R102" s="13"/>
      <c r="S102" s="13"/>
      <c r="T102" s="13"/>
      <c r="U102" s="13"/>
      <c r="V102" s="13"/>
      <c r="W102" s="13"/>
    </row>
    <row r="103" spans="1:23" x14ac:dyDescent="0.2">
      <c r="T103" s="13"/>
    </row>
  </sheetData>
  <sortState xmlns:xlrd2="http://schemas.microsoft.com/office/spreadsheetml/2017/richdata2" ref="A3:A14">
    <sortCondition ref="A2:A14"/>
  </sortState>
  <mergeCells count="12">
    <mergeCell ref="D81:H81"/>
    <mergeCell ref="P1:Q1"/>
    <mergeCell ref="G19:H19"/>
    <mergeCell ref="A19:B19"/>
    <mergeCell ref="A1:B1"/>
    <mergeCell ref="D1:E1"/>
    <mergeCell ref="G1:H1"/>
    <mergeCell ref="J1:K1"/>
    <mergeCell ref="D27:H27"/>
    <mergeCell ref="G23:H23"/>
    <mergeCell ref="G24:H24"/>
    <mergeCell ref="M1:N1"/>
  </mergeCells>
  <conditionalFormatting sqref="B3:B15">
    <cfRule type="expression" dxfId="135" priority="2">
      <formula>IF(_xlfn.ISFORMULA(B3)=TRUE,FALSE,TRUE)</formula>
    </cfRule>
  </conditionalFormatting>
  <conditionalFormatting sqref="E3:E15">
    <cfRule type="expression" dxfId="134" priority="1">
      <formula>IF(_xlfn.ISFORMULA(E3)=TRUE,FALSE,TRUE)</formula>
    </cfRule>
  </conditionalFormatting>
  <pageMargins left="0.7" right="0.7" top="0.37" bottom="0.17" header="0.3" footer="0.17"/>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2522F-C04E-4B22-BC79-676A6C47EEF5}">
  <sheetPr codeName="Hoja32"/>
  <dimension ref="B1:O47"/>
  <sheetViews>
    <sheetView workbookViewId="0">
      <pane ySplit="4" topLeftCell="A5" activePane="bottomLeft" state="frozen"/>
      <selection activeCell="I12" sqref="I12"/>
      <selection pane="bottomLeft" activeCell="K40" sqref="K40"/>
    </sheetView>
  </sheetViews>
  <sheetFormatPr baseColWidth="10" defaultColWidth="11.42578125" defaultRowHeight="12.75" x14ac:dyDescent="0.2"/>
  <cols>
    <col min="1" max="1" width="2.85546875" customWidth="1"/>
    <col min="2" max="2" width="7.5703125" customWidth="1"/>
    <col min="3" max="3" width="29.7109375" customWidth="1"/>
    <col min="4" max="4" width="8.28515625" bestFit="1" customWidth="1"/>
    <col min="5" max="5" width="16.85546875" bestFit="1" customWidth="1"/>
    <col min="6" max="6" width="3.28515625" customWidth="1"/>
    <col min="7" max="7" width="11.7109375" style="1" bestFit="1" customWidth="1"/>
    <col min="8" max="8" width="10.5703125" bestFit="1" customWidth="1"/>
    <col min="9" max="9" width="8.85546875" bestFit="1" customWidth="1"/>
    <col min="10" max="10" width="3.28515625" customWidth="1"/>
    <col min="11" max="11" width="14.28515625" bestFit="1" customWidth="1"/>
    <col min="13" max="13" width="2.28515625" customWidth="1"/>
    <col min="14" max="15" width="12.7109375" bestFit="1" customWidth="1"/>
  </cols>
  <sheetData>
    <row r="1" spans="2:14" ht="26.25" x14ac:dyDescent="0.2">
      <c r="B1" s="783" t="s">
        <v>8950</v>
      </c>
      <c r="C1" s="784"/>
      <c r="D1" s="784"/>
      <c r="E1" s="9"/>
      <c r="F1" s="785"/>
      <c r="G1" s="26"/>
      <c r="H1" s="9"/>
      <c r="I1" s="9"/>
      <c r="J1" s="9"/>
      <c r="K1" s="9"/>
    </row>
    <row r="2" spans="2:14" x14ac:dyDescent="0.2">
      <c r="B2" s="4"/>
      <c r="C2" s="784"/>
      <c r="D2" s="784"/>
      <c r="E2" s="9"/>
      <c r="F2" s="785"/>
      <c r="G2" s="26"/>
      <c r="H2" s="9"/>
      <c r="I2" s="9"/>
      <c r="J2" s="9"/>
      <c r="K2" s="9"/>
    </row>
    <row r="3" spans="2:14" ht="13.5" thickBot="1" x14ac:dyDescent="0.25">
      <c r="B3" s="9"/>
      <c r="C3" s="784"/>
      <c r="D3" s="784"/>
      <c r="E3" s="786" t="s">
        <v>8951</v>
      </c>
      <c r="F3" s="785"/>
      <c r="G3" s="26"/>
      <c r="H3" s="390">
        <v>0.63</v>
      </c>
      <c r="I3" s="9"/>
      <c r="J3" s="9"/>
      <c r="K3" s="9"/>
    </row>
    <row r="4" spans="2:14" ht="13.5" thickBot="1" x14ac:dyDescent="0.25">
      <c r="B4" s="815" t="s">
        <v>8952</v>
      </c>
      <c r="C4" s="815" t="s">
        <v>8756</v>
      </c>
      <c r="D4" s="815" t="s">
        <v>8322</v>
      </c>
      <c r="E4" s="816" t="s">
        <v>8953</v>
      </c>
      <c r="F4" s="785"/>
      <c r="G4" s="787" t="s">
        <v>8954</v>
      </c>
      <c r="H4" s="787" t="s">
        <v>8955</v>
      </c>
      <c r="I4" s="787" t="s">
        <v>8774</v>
      </c>
      <c r="J4" s="9"/>
      <c r="K4" s="787" t="s">
        <v>8956</v>
      </c>
    </row>
    <row r="5" spans="2:14" x14ac:dyDescent="0.2">
      <c r="B5" s="788">
        <v>18</v>
      </c>
      <c r="C5" s="789" t="s">
        <v>8957</v>
      </c>
      <c r="D5" s="790">
        <v>500</v>
      </c>
      <c r="E5" s="791">
        <v>372</v>
      </c>
      <c r="F5" s="785"/>
      <c r="G5" s="26">
        <v>2511.12</v>
      </c>
      <c r="H5" s="792">
        <f t="shared" ref="H5:H29" si="0">+G5-(G5*$H$3)</f>
        <v>929.11439999999993</v>
      </c>
      <c r="I5" s="398">
        <f>+H5/E5-1</f>
        <v>1.4976193548387093</v>
      </c>
      <c r="J5" s="9"/>
      <c r="K5" s="792">
        <f>+E5*D5</f>
        <v>186000</v>
      </c>
    </row>
    <row r="6" spans="2:14" x14ac:dyDescent="0.2">
      <c r="B6" s="793">
        <v>18</v>
      </c>
      <c r="C6" s="794" t="s">
        <v>8957</v>
      </c>
      <c r="D6" s="795">
        <v>1000</v>
      </c>
      <c r="E6" s="796">
        <v>316</v>
      </c>
      <c r="F6" s="785"/>
      <c r="G6" s="26">
        <v>2511.12</v>
      </c>
      <c r="H6" s="792">
        <f t="shared" si="0"/>
        <v>929.11439999999993</v>
      </c>
      <c r="I6" s="398">
        <f t="shared" ref="I6:I24" si="1">+H6/E6-1</f>
        <v>1.9402354430379747</v>
      </c>
      <c r="J6" s="9"/>
      <c r="K6" s="792">
        <f t="shared" ref="K6:K26" si="2">+E6*D6</f>
        <v>316000</v>
      </c>
    </row>
    <row r="7" spans="2:14" x14ac:dyDescent="0.2">
      <c r="B7" s="797">
        <v>18</v>
      </c>
      <c r="C7" s="798" t="s">
        <v>8958</v>
      </c>
      <c r="D7" s="799">
        <v>540</v>
      </c>
      <c r="E7" s="800">
        <v>398</v>
      </c>
      <c r="F7" s="785"/>
      <c r="G7" s="26">
        <v>2511.12</v>
      </c>
      <c r="H7" s="792">
        <f t="shared" si="0"/>
        <v>929.11439999999993</v>
      </c>
      <c r="I7" s="398">
        <f t="shared" si="1"/>
        <v>1.3344582914572864</v>
      </c>
      <c r="J7" s="9"/>
      <c r="K7" s="858">
        <f t="shared" si="2"/>
        <v>214920</v>
      </c>
      <c r="L7" t="s">
        <v>8959</v>
      </c>
      <c r="N7" s="2">
        <f>+K7+K12</f>
        <v>418620</v>
      </c>
    </row>
    <row r="8" spans="2:14" x14ac:dyDescent="0.2">
      <c r="B8" s="793">
        <v>18</v>
      </c>
      <c r="C8" s="794" t="s">
        <v>8958</v>
      </c>
      <c r="D8" s="802">
        <v>1000</v>
      </c>
      <c r="E8" s="796">
        <v>331</v>
      </c>
      <c r="F8" s="785"/>
      <c r="G8" s="26">
        <v>2511.12</v>
      </c>
      <c r="H8" s="792">
        <f t="shared" si="0"/>
        <v>929.11439999999993</v>
      </c>
      <c r="I8" s="398">
        <f t="shared" si="1"/>
        <v>1.8069921450151054</v>
      </c>
      <c r="J8" s="9"/>
      <c r="K8" s="792">
        <f t="shared" si="2"/>
        <v>331000</v>
      </c>
    </row>
    <row r="9" spans="2:14" x14ac:dyDescent="0.2">
      <c r="B9" s="793">
        <v>70</v>
      </c>
      <c r="C9" s="794" t="s">
        <v>8960</v>
      </c>
      <c r="D9" s="802">
        <v>500</v>
      </c>
      <c r="E9" s="796">
        <v>221</v>
      </c>
      <c r="F9" s="785"/>
      <c r="G9" s="26">
        <v>2245.6799999999998</v>
      </c>
      <c r="H9" s="792">
        <f t="shared" si="0"/>
        <v>830.90159999999992</v>
      </c>
      <c r="I9" s="398">
        <f t="shared" si="1"/>
        <v>2.7597357466063346</v>
      </c>
      <c r="J9" s="9"/>
      <c r="K9" s="792">
        <f t="shared" si="2"/>
        <v>110500</v>
      </c>
      <c r="N9" s="1">
        <f>+N7*1.21</f>
        <v>506530.2</v>
      </c>
    </row>
    <row r="10" spans="2:14" x14ac:dyDescent="0.2">
      <c r="B10" s="793">
        <v>70</v>
      </c>
      <c r="C10" s="794" t="s">
        <v>8960</v>
      </c>
      <c r="D10" s="795">
        <v>1000</v>
      </c>
      <c r="E10" s="796">
        <v>179</v>
      </c>
      <c r="F10" s="785"/>
      <c r="G10" s="26">
        <v>2245.6799999999998</v>
      </c>
      <c r="H10" s="792">
        <f t="shared" si="0"/>
        <v>830.90159999999992</v>
      </c>
      <c r="I10" s="398">
        <f t="shared" si="1"/>
        <v>3.6419083798882674</v>
      </c>
      <c r="J10" s="9"/>
      <c r="K10" s="792">
        <f t="shared" si="2"/>
        <v>179000</v>
      </c>
    </row>
    <row r="11" spans="2:14" x14ac:dyDescent="0.2">
      <c r="B11" s="793">
        <v>70</v>
      </c>
      <c r="C11" s="794" t="s">
        <v>8961</v>
      </c>
      <c r="D11" s="795">
        <v>500</v>
      </c>
      <c r="E11" s="796">
        <v>251</v>
      </c>
      <c r="F11" s="785"/>
      <c r="G11" s="26">
        <v>2245.6799999999998</v>
      </c>
      <c r="H11" s="792">
        <f t="shared" si="0"/>
        <v>830.90159999999992</v>
      </c>
      <c r="I11" s="398">
        <f t="shared" si="1"/>
        <v>2.3103649402390434</v>
      </c>
      <c r="J11" s="9"/>
      <c r="K11" s="792">
        <f t="shared" si="2"/>
        <v>125500</v>
      </c>
    </row>
    <row r="12" spans="2:14" x14ac:dyDescent="0.2">
      <c r="B12" s="797">
        <v>70</v>
      </c>
      <c r="C12" s="798" t="s">
        <v>8961</v>
      </c>
      <c r="D12" s="803">
        <v>1050</v>
      </c>
      <c r="E12" s="800">
        <v>194</v>
      </c>
      <c r="F12" s="804"/>
      <c r="G12" s="26">
        <v>2245.6799999999998</v>
      </c>
      <c r="H12" s="792">
        <f t="shared" si="0"/>
        <v>830.90159999999992</v>
      </c>
      <c r="I12" s="398">
        <f t="shared" si="1"/>
        <v>3.2829979381443293</v>
      </c>
      <c r="J12" s="9"/>
      <c r="K12" s="858">
        <f t="shared" si="2"/>
        <v>203700</v>
      </c>
      <c r="L12" t="s">
        <v>8959</v>
      </c>
    </row>
    <row r="13" spans="2:14" x14ac:dyDescent="0.2">
      <c r="B13" s="793">
        <v>348</v>
      </c>
      <c r="C13" s="794" t="s">
        <v>8962</v>
      </c>
      <c r="D13" s="802">
        <v>500</v>
      </c>
      <c r="E13" s="805">
        <v>110</v>
      </c>
      <c r="F13" s="804"/>
      <c r="G13" s="26">
        <v>811.92</v>
      </c>
      <c r="H13" s="792">
        <f t="shared" si="0"/>
        <v>300.41039999999998</v>
      </c>
      <c r="I13" s="398">
        <f t="shared" si="1"/>
        <v>1.7310036363636363</v>
      </c>
      <c r="J13" s="9"/>
      <c r="K13" s="792">
        <f t="shared" si="2"/>
        <v>55000</v>
      </c>
    </row>
    <row r="14" spans="2:14" x14ac:dyDescent="0.2">
      <c r="B14" s="793">
        <v>348</v>
      </c>
      <c r="C14" s="794" t="s">
        <v>8962</v>
      </c>
      <c r="D14" s="802">
        <v>1000</v>
      </c>
      <c r="E14" s="805">
        <v>75</v>
      </c>
      <c r="F14" s="804"/>
      <c r="G14" s="26">
        <v>811.92</v>
      </c>
      <c r="H14" s="792">
        <f t="shared" si="0"/>
        <v>300.41039999999998</v>
      </c>
      <c r="I14" s="398">
        <f t="shared" si="1"/>
        <v>3.0054720000000001</v>
      </c>
      <c r="J14" s="9"/>
      <c r="K14" s="792">
        <f t="shared" si="2"/>
        <v>75000</v>
      </c>
    </row>
    <row r="15" spans="2:14" x14ac:dyDescent="0.2">
      <c r="B15" s="793">
        <v>348</v>
      </c>
      <c r="C15" s="794" t="s">
        <v>8963</v>
      </c>
      <c r="D15" s="802">
        <v>500</v>
      </c>
      <c r="E15" s="805">
        <v>140</v>
      </c>
      <c r="F15" s="804"/>
      <c r="G15" s="26">
        <v>811.92</v>
      </c>
      <c r="H15" s="792">
        <f t="shared" si="0"/>
        <v>300.41039999999998</v>
      </c>
      <c r="I15" s="398">
        <f t="shared" si="1"/>
        <v>1.1457885714285712</v>
      </c>
      <c r="J15" s="9"/>
      <c r="K15" s="792">
        <f t="shared" si="2"/>
        <v>70000</v>
      </c>
    </row>
    <row r="16" spans="2:14" x14ac:dyDescent="0.2">
      <c r="B16" s="797">
        <v>348</v>
      </c>
      <c r="C16" s="798" t="s">
        <v>8963</v>
      </c>
      <c r="D16" s="803">
        <v>1035</v>
      </c>
      <c r="E16" s="806">
        <v>90</v>
      </c>
      <c r="F16" s="804"/>
      <c r="G16" s="26">
        <v>811.92</v>
      </c>
      <c r="H16" s="792">
        <f t="shared" si="0"/>
        <v>300.41039999999998</v>
      </c>
      <c r="I16" s="398">
        <f t="shared" si="1"/>
        <v>2.3378933333333332</v>
      </c>
      <c r="J16" s="9"/>
      <c r="K16" s="858">
        <f t="shared" si="2"/>
        <v>93150</v>
      </c>
      <c r="L16" t="s">
        <v>8959</v>
      </c>
      <c r="N16" s="2">
        <f>+K16+K20</f>
        <v>276490</v>
      </c>
    </row>
    <row r="17" spans="2:15" x14ac:dyDescent="0.2">
      <c r="B17" s="793">
        <v>372</v>
      </c>
      <c r="C17" s="794" t="s">
        <v>8964</v>
      </c>
      <c r="D17" s="802">
        <v>500</v>
      </c>
      <c r="E17" s="805">
        <v>233</v>
      </c>
      <c r="F17" s="804"/>
      <c r="G17" s="26">
        <v>1636</v>
      </c>
      <c r="H17" s="792">
        <f t="shared" si="0"/>
        <v>605.31999999999994</v>
      </c>
      <c r="I17" s="398">
        <f t="shared" si="1"/>
        <v>1.5979399141630899</v>
      </c>
      <c r="J17" s="9"/>
      <c r="K17" s="792">
        <f t="shared" si="2"/>
        <v>116500</v>
      </c>
    </row>
    <row r="18" spans="2:15" x14ac:dyDescent="0.2">
      <c r="B18" s="793">
        <v>372</v>
      </c>
      <c r="C18" s="794" t="s">
        <v>8964</v>
      </c>
      <c r="D18" s="802">
        <v>1000</v>
      </c>
      <c r="E18" s="805">
        <v>163</v>
      </c>
      <c r="F18" s="804"/>
      <c r="G18" s="26">
        <v>1636</v>
      </c>
      <c r="H18" s="792">
        <f t="shared" si="0"/>
        <v>605.31999999999994</v>
      </c>
      <c r="I18" s="398">
        <f t="shared" si="1"/>
        <v>2.7136196319018402</v>
      </c>
      <c r="J18" s="9"/>
      <c r="K18" s="792">
        <f t="shared" si="2"/>
        <v>163000</v>
      </c>
    </row>
    <row r="19" spans="2:15" x14ac:dyDescent="0.2">
      <c r="B19" s="793">
        <v>372</v>
      </c>
      <c r="C19" s="794" t="s">
        <v>8965</v>
      </c>
      <c r="D19" s="807">
        <v>500</v>
      </c>
      <c r="E19" s="808">
        <v>263</v>
      </c>
      <c r="F19" s="804"/>
      <c r="G19" s="26">
        <v>1636</v>
      </c>
      <c r="H19" s="792">
        <f t="shared" si="0"/>
        <v>605.31999999999994</v>
      </c>
      <c r="I19" s="398">
        <f t="shared" si="1"/>
        <v>1.3015969581749047</v>
      </c>
      <c r="J19" s="9"/>
      <c r="K19" s="792">
        <f t="shared" si="2"/>
        <v>131500</v>
      </c>
    </row>
    <row r="20" spans="2:15" x14ac:dyDescent="0.2">
      <c r="B20" s="797">
        <v>372</v>
      </c>
      <c r="C20" s="798" t="s">
        <v>8965</v>
      </c>
      <c r="D20" s="803">
        <v>1030</v>
      </c>
      <c r="E20" s="806">
        <v>178</v>
      </c>
      <c r="F20" s="804"/>
      <c r="G20" s="26">
        <v>1636</v>
      </c>
      <c r="H20" s="792">
        <f t="shared" si="0"/>
        <v>605.31999999999994</v>
      </c>
      <c r="I20" s="398">
        <f t="shared" si="1"/>
        <v>2.4006741573033703</v>
      </c>
      <c r="J20" s="9"/>
      <c r="K20" s="858">
        <f t="shared" si="2"/>
        <v>183340</v>
      </c>
      <c r="L20" t="s">
        <v>8959</v>
      </c>
    </row>
    <row r="21" spans="2:15" x14ac:dyDescent="0.2">
      <c r="B21" s="793">
        <v>377</v>
      </c>
      <c r="C21" s="794" t="s">
        <v>8966</v>
      </c>
      <c r="D21" s="19">
        <v>500</v>
      </c>
      <c r="E21" s="805">
        <v>170</v>
      </c>
      <c r="F21" s="804"/>
      <c r="G21" s="26">
        <v>1175.72</v>
      </c>
      <c r="H21" s="792">
        <f t="shared" si="0"/>
        <v>435.01639999999998</v>
      </c>
      <c r="I21" s="398">
        <f t="shared" si="1"/>
        <v>1.5589199999999996</v>
      </c>
      <c r="J21" s="9"/>
      <c r="K21" s="792">
        <f t="shared" si="2"/>
        <v>85000</v>
      </c>
    </row>
    <row r="22" spans="2:15" x14ac:dyDescent="0.2">
      <c r="B22" s="793">
        <v>377</v>
      </c>
      <c r="C22" s="794" t="s">
        <v>8966</v>
      </c>
      <c r="D22" s="802">
        <v>1000</v>
      </c>
      <c r="E22" s="805">
        <v>115</v>
      </c>
      <c r="F22" s="804"/>
      <c r="G22" s="26">
        <v>1175.72</v>
      </c>
      <c r="H22" s="792">
        <f t="shared" si="0"/>
        <v>435.01639999999998</v>
      </c>
      <c r="I22" s="398">
        <f t="shared" si="1"/>
        <v>2.7827513043478258</v>
      </c>
      <c r="J22" s="9"/>
      <c r="K22" s="792">
        <f t="shared" si="2"/>
        <v>115000</v>
      </c>
    </row>
    <row r="23" spans="2:15" x14ac:dyDescent="0.2">
      <c r="B23" s="793">
        <v>377</v>
      </c>
      <c r="C23" s="794" t="s">
        <v>8967</v>
      </c>
      <c r="D23" s="19">
        <v>500</v>
      </c>
      <c r="E23" s="805">
        <v>200</v>
      </c>
      <c r="F23" s="804"/>
      <c r="G23" s="26">
        <v>1175.72</v>
      </c>
      <c r="H23" s="792">
        <f t="shared" si="0"/>
        <v>435.01639999999998</v>
      </c>
      <c r="I23" s="398">
        <f t="shared" si="1"/>
        <v>1.1750819999999997</v>
      </c>
      <c r="J23" s="9"/>
      <c r="K23" s="792">
        <f t="shared" si="2"/>
        <v>100000</v>
      </c>
    </row>
    <row r="24" spans="2:15" ht="13.5" thickBot="1" x14ac:dyDescent="0.25">
      <c r="B24" s="857">
        <v>377</v>
      </c>
      <c r="C24" s="810" t="s">
        <v>8967</v>
      </c>
      <c r="D24" s="811">
        <v>1030</v>
      </c>
      <c r="E24" s="812">
        <v>130</v>
      </c>
      <c r="F24" s="804"/>
      <c r="G24" s="26">
        <v>1175.72</v>
      </c>
      <c r="H24" s="792">
        <f t="shared" si="0"/>
        <v>435.01639999999998</v>
      </c>
      <c r="I24" s="398">
        <f t="shared" si="1"/>
        <v>2.3462799999999997</v>
      </c>
      <c r="J24" s="9"/>
      <c r="K24" s="801">
        <f t="shared" si="2"/>
        <v>133900</v>
      </c>
      <c r="L24" t="s">
        <v>8959</v>
      </c>
      <c r="N24" s="1">
        <f>+K24*0.21</f>
        <v>28119</v>
      </c>
      <c r="O24" s="2">
        <f>+K24+N24</f>
        <v>162019</v>
      </c>
    </row>
    <row r="25" spans="2:15" x14ac:dyDescent="0.2">
      <c r="B25" s="813" t="s">
        <v>8968</v>
      </c>
      <c r="C25" s="438"/>
      <c r="D25" s="725"/>
      <c r="E25" s="438"/>
      <c r="F25" s="804"/>
      <c r="G25" s="26"/>
      <c r="H25" s="9"/>
      <c r="I25" s="9"/>
      <c r="J25" s="9"/>
      <c r="K25" s="9"/>
    </row>
    <row r="26" spans="2:15" ht="13.5" thickBot="1" x14ac:dyDescent="0.25">
      <c r="B26" s="857">
        <v>26</v>
      </c>
      <c r="C26" s="810" t="s">
        <v>8969</v>
      </c>
      <c r="D26" s="811">
        <v>500</v>
      </c>
      <c r="E26" s="812">
        <v>500</v>
      </c>
      <c r="F26" s="804"/>
      <c r="G26" s="26">
        <v>4484.32</v>
      </c>
      <c r="H26" s="792">
        <f t="shared" si="0"/>
        <v>1659.1983999999998</v>
      </c>
      <c r="I26" s="398">
        <f>+H26/E26-1</f>
        <v>2.3183967999999995</v>
      </c>
      <c r="J26" s="9"/>
      <c r="K26" s="801">
        <f t="shared" si="2"/>
        <v>250000</v>
      </c>
      <c r="L26" t="s">
        <v>8959</v>
      </c>
      <c r="N26" s="1">
        <f>+K26*0.21</f>
        <v>52500</v>
      </c>
      <c r="O26" s="2">
        <f>+K26+N26</f>
        <v>302500</v>
      </c>
    </row>
    <row r="27" spans="2:15" x14ac:dyDescent="0.2">
      <c r="B27" s="813" t="s">
        <v>8970</v>
      </c>
      <c r="C27" s="438"/>
      <c r="D27" s="725"/>
      <c r="E27" s="438"/>
      <c r="F27" s="804"/>
      <c r="G27" s="26"/>
      <c r="H27" s="9"/>
      <c r="I27" s="9"/>
      <c r="J27" s="9"/>
      <c r="K27" s="9"/>
    </row>
    <row r="28" spans="2:15" ht="13.5" thickBot="1" x14ac:dyDescent="0.25">
      <c r="B28" s="809">
        <v>163</v>
      </c>
      <c r="C28" s="810" t="s">
        <v>8971</v>
      </c>
      <c r="D28" s="811">
        <v>300</v>
      </c>
      <c r="E28" s="812">
        <v>570</v>
      </c>
      <c r="F28" s="804"/>
      <c r="G28" s="26">
        <v>4439.24</v>
      </c>
      <c r="H28" s="792">
        <f t="shared" si="0"/>
        <v>1642.5187999999998</v>
      </c>
      <c r="I28" s="398">
        <f>+H28/E28-1</f>
        <v>1.8816119298245613</v>
      </c>
      <c r="J28" s="9"/>
      <c r="K28" s="801">
        <f>+E28*D28</f>
        <v>171000</v>
      </c>
    </row>
    <row r="29" spans="2:15" ht="13.5" thickBot="1" x14ac:dyDescent="0.25">
      <c r="B29" s="809">
        <v>165</v>
      </c>
      <c r="C29" s="810" t="s">
        <v>8972</v>
      </c>
      <c r="D29" s="811">
        <v>300</v>
      </c>
      <c r="E29" s="812">
        <v>865</v>
      </c>
      <c r="F29" s="804"/>
      <c r="G29" s="26">
        <v>7659.48</v>
      </c>
      <c r="H29" s="792">
        <f t="shared" si="0"/>
        <v>2834.0075999999999</v>
      </c>
      <c r="I29" s="398">
        <f>+H29/E29-1</f>
        <v>2.2763093641618495</v>
      </c>
      <c r="J29" s="9"/>
      <c r="K29" s="801">
        <f>+E29*D29</f>
        <v>259500</v>
      </c>
    </row>
    <row r="30" spans="2:15" x14ac:dyDescent="0.2">
      <c r="B30" s="813" t="s">
        <v>8970</v>
      </c>
      <c r="C30" s="438"/>
      <c r="D30" s="4"/>
      <c r="E30" s="438"/>
      <c r="F30" s="804"/>
      <c r="G30" s="26"/>
      <c r="H30" s="9"/>
      <c r="I30" s="9"/>
      <c r="J30" s="9"/>
      <c r="K30" s="9"/>
    </row>
    <row r="31" spans="2:15" ht="18.75" customHeight="1" thickBot="1" x14ac:dyDescent="0.25">
      <c r="B31" s="809">
        <v>864</v>
      </c>
      <c r="C31" s="810" t="s">
        <v>8973</v>
      </c>
      <c r="D31" s="811">
        <v>300</v>
      </c>
      <c r="E31" s="812"/>
      <c r="F31" s="804"/>
      <c r="G31" s="26"/>
      <c r="H31" s="9"/>
      <c r="I31" s="9"/>
      <c r="J31" s="9"/>
    </row>
    <row r="32" spans="2:15" ht="13.5" thickBot="1" x14ac:dyDescent="0.25">
      <c r="B32" s="809">
        <v>840</v>
      </c>
      <c r="C32" s="810" t="s">
        <v>8974</v>
      </c>
      <c r="D32" s="811">
        <v>300</v>
      </c>
      <c r="E32" s="812"/>
    </row>
    <row r="34" spans="2:11" ht="13.5" thickBot="1" x14ac:dyDescent="0.25"/>
    <row r="35" spans="2:11" ht="13.5" thickBot="1" x14ac:dyDescent="0.25">
      <c r="K35" s="814">
        <f>+K29+K28+K26+K24+K20+K16+K12+K7</f>
        <v>1509510</v>
      </c>
    </row>
    <row r="37" spans="2:11" x14ac:dyDescent="0.2">
      <c r="B37" s="31" t="s">
        <v>8975</v>
      </c>
    </row>
    <row r="38" spans="2:11" ht="13.5" thickBot="1" x14ac:dyDescent="0.25"/>
    <row r="39" spans="2:11" ht="13.5" thickBot="1" x14ac:dyDescent="0.25">
      <c r="B39" s="815" t="s">
        <v>8952</v>
      </c>
      <c r="C39" s="815" t="s">
        <v>8756</v>
      </c>
      <c r="D39" s="815" t="s">
        <v>8322</v>
      </c>
      <c r="E39" s="816" t="s">
        <v>8953</v>
      </c>
      <c r="F39" s="785"/>
      <c r="G39" s="26"/>
      <c r="H39" s="787" t="s">
        <v>8955</v>
      </c>
      <c r="I39" s="787" t="s">
        <v>8774</v>
      </c>
      <c r="J39" s="9"/>
      <c r="K39" s="787" t="s">
        <v>8956</v>
      </c>
    </row>
    <row r="40" spans="2:11" x14ac:dyDescent="0.2">
      <c r="B40" s="788">
        <v>20</v>
      </c>
      <c r="C40" s="789" t="s">
        <v>8976</v>
      </c>
      <c r="D40" s="790">
        <v>200</v>
      </c>
      <c r="E40" s="791">
        <v>468</v>
      </c>
      <c r="F40" s="785"/>
      <c r="G40" s="26">
        <v>2869.76</v>
      </c>
      <c r="H40" s="792">
        <f>+G40-(G40*$H$3)</f>
        <v>1061.8112000000001</v>
      </c>
      <c r="I40" s="398">
        <f>+H40/E40-1</f>
        <v>1.2688273504273506</v>
      </c>
      <c r="J40" s="9"/>
      <c r="K40" s="792">
        <f>+E40*D40</f>
        <v>93600</v>
      </c>
    </row>
    <row r="41" spans="2:11" x14ac:dyDescent="0.2">
      <c r="B41" s="793">
        <v>812</v>
      </c>
      <c r="C41" s="794" t="s">
        <v>2040</v>
      </c>
      <c r="D41" s="795">
        <v>100</v>
      </c>
      <c r="E41" s="796">
        <v>1180</v>
      </c>
      <c r="F41" s="785"/>
      <c r="G41" s="26">
        <v>6220.8</v>
      </c>
      <c r="H41" s="792">
        <f>+G41-(G41*$H$3)</f>
        <v>2301.6959999999999</v>
      </c>
      <c r="I41" s="398">
        <f>+H41/E41-1</f>
        <v>0.95058983050847456</v>
      </c>
      <c r="J41" s="9"/>
      <c r="K41" s="792">
        <f>+E41*D41</f>
        <v>118000</v>
      </c>
    </row>
    <row r="42" spans="2:11" x14ac:dyDescent="0.2">
      <c r="B42" s="793">
        <v>816</v>
      </c>
      <c r="C42" s="794" t="s">
        <v>2048</v>
      </c>
      <c r="D42" s="795">
        <v>100</v>
      </c>
      <c r="E42" s="796">
        <v>842</v>
      </c>
      <c r="F42" s="785"/>
      <c r="G42" s="26">
        <v>7387.2</v>
      </c>
      <c r="H42" s="792">
        <f>+G42-(G42*$H$3)</f>
        <v>2733.2640000000001</v>
      </c>
      <c r="I42" s="398">
        <f>+H42/E42-1</f>
        <v>2.2461567695961997</v>
      </c>
      <c r="J42" s="9"/>
      <c r="K42" s="792">
        <f>+E42*D42</f>
        <v>84200</v>
      </c>
    </row>
    <row r="43" spans="2:11" x14ac:dyDescent="0.2">
      <c r="B43" s="793">
        <v>820</v>
      </c>
      <c r="C43" s="794" t="s">
        <v>2052</v>
      </c>
      <c r="D43" s="795">
        <v>100</v>
      </c>
      <c r="E43" s="796">
        <v>986</v>
      </c>
      <c r="G43" s="26">
        <v>7387.2</v>
      </c>
      <c r="H43" s="792">
        <f>+G43-(G43*$H$3)</f>
        <v>2733.2640000000001</v>
      </c>
      <c r="I43" s="398">
        <f>+H43/E43-1</f>
        <v>1.7720730223123735</v>
      </c>
      <c r="J43" s="9"/>
      <c r="K43" s="792">
        <f>+E43*D43</f>
        <v>98600</v>
      </c>
    </row>
    <row r="44" spans="2:11" x14ac:dyDescent="0.2">
      <c r="B44" s="793">
        <v>828</v>
      </c>
      <c r="C44" s="794" t="s">
        <v>2058</v>
      </c>
      <c r="D44" s="795">
        <v>100</v>
      </c>
      <c r="E44" s="796">
        <v>1232</v>
      </c>
      <c r="G44" s="26">
        <v>12441.6</v>
      </c>
      <c r="H44" s="792">
        <f>+G44-(G44*$H$3)</f>
        <v>4603.3919999999998</v>
      </c>
      <c r="I44" s="398">
        <f>+H44/E44-1</f>
        <v>2.7365194805194806</v>
      </c>
      <c r="J44" s="9"/>
      <c r="K44" s="792">
        <f>+E44*D44</f>
        <v>123200</v>
      </c>
    </row>
    <row r="46" spans="2:11" ht="13.5" thickBot="1" x14ac:dyDescent="0.25"/>
    <row r="47" spans="2:11" ht="18.75" customHeight="1" thickBot="1" x14ac:dyDescent="0.25">
      <c r="B47" s="438"/>
      <c r="C47" s="438"/>
      <c r="D47" s="725"/>
      <c r="E47" s="438"/>
      <c r="F47" s="804"/>
      <c r="G47" s="26"/>
      <c r="H47" s="9"/>
      <c r="I47" s="9"/>
      <c r="J47" s="9"/>
      <c r="K47" s="814">
        <f>+SUM(K40:K44)</f>
        <v>517600</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8B865-09E7-483A-8DBE-B16BA5488B1B}">
  <sheetPr codeName="Hoja33"/>
  <dimension ref="B1:I33"/>
  <sheetViews>
    <sheetView topLeftCell="A6" zoomScale="175" zoomScaleNormal="175" workbookViewId="0">
      <selection activeCell="D27" sqref="D27"/>
    </sheetView>
  </sheetViews>
  <sheetFormatPr baseColWidth="10" defaultColWidth="11.42578125" defaultRowHeight="12.75" x14ac:dyDescent="0.2"/>
  <cols>
    <col min="1" max="1" width="1" customWidth="1"/>
    <col min="2" max="2" width="21.42578125" customWidth="1"/>
    <col min="3" max="3" width="33" customWidth="1"/>
    <col min="5" max="5" width="12.7109375" bestFit="1" customWidth="1"/>
    <col min="6" max="6" width="3.28515625" bestFit="1" customWidth="1"/>
    <col min="8" max="8" width="15.42578125" customWidth="1"/>
  </cols>
  <sheetData>
    <row r="1" spans="2:9" ht="13.5" thickBot="1" x14ac:dyDescent="0.25">
      <c r="B1" s="955" t="s">
        <v>2</v>
      </c>
      <c r="C1" s="955" t="s">
        <v>8977</v>
      </c>
      <c r="D1" s="956" t="s">
        <v>8322</v>
      </c>
      <c r="E1" s="956" t="s">
        <v>8978</v>
      </c>
      <c r="H1" s="444">
        <v>0</v>
      </c>
      <c r="I1" s="31" t="s">
        <v>8164</v>
      </c>
    </row>
    <row r="2" spans="2:9" x14ac:dyDescent="0.2">
      <c r="B2" s="1049" t="s">
        <v>21566</v>
      </c>
      <c r="C2" s="958" t="str">
        <f t="shared" ref="C2:C4" si="0">+_xlfn.XLOOKUP(B2,$E$10:$E$27,$C$10:$C$27,0,0)</f>
        <v>6x1 A 8x1,25</v>
      </c>
      <c r="D2" s="959">
        <v>1000</v>
      </c>
      <c r="E2" s="959" t="str">
        <f t="shared" ref="E2:E4" si="1">+_xlfn.XLOOKUP(B2,$E$10:$E$27,$D$10:$D$27,0,0)</f>
        <v>15 mm</v>
      </c>
    </row>
    <row r="3" spans="2:9" x14ac:dyDescent="0.2">
      <c r="B3" s="1049" t="s">
        <v>21567</v>
      </c>
      <c r="C3" s="958" t="str">
        <f t="shared" si="0"/>
        <v>8x1,25 A 11x1,50</v>
      </c>
      <c r="D3" s="957">
        <v>500</v>
      </c>
      <c r="E3" s="957" t="str">
        <f t="shared" si="1"/>
        <v>17 mm</v>
      </c>
    </row>
    <row r="4" spans="2:9" x14ac:dyDescent="0.2">
      <c r="B4" s="1049" t="s">
        <v>21568</v>
      </c>
      <c r="C4" s="958" t="str">
        <f t="shared" si="0"/>
        <v>10X1,25 A 1/2 NF</v>
      </c>
      <c r="D4" s="959">
        <v>500</v>
      </c>
      <c r="E4" s="959" t="str">
        <f t="shared" si="1"/>
        <v>17 mm</v>
      </c>
    </row>
    <row r="5" spans="2:9" x14ac:dyDescent="0.2">
      <c r="B5" s="1049" t="s">
        <v>2811</v>
      </c>
      <c r="C5" s="958" t="str">
        <f t="shared" ref="C5" si="2">+_xlfn.XLOOKUP(B5,$E$10:$E$27,$C$10:$C$27,0,0)</f>
        <v>1/4W( whitworth) x 3/8 W( whitworth)</v>
      </c>
      <c r="D5" s="959">
        <v>500</v>
      </c>
      <c r="E5" s="959" t="str">
        <f t="shared" ref="E5" si="3">+_xlfn.XLOOKUP(B5,$E$10:$E$27,$D$10:$D$27,0,0)</f>
        <v>17 mm</v>
      </c>
    </row>
    <row r="6" spans="2:9" x14ac:dyDescent="0.2">
      <c r="B6" s="1049" t="s">
        <v>21569</v>
      </c>
      <c r="C6" s="958" t="s">
        <v>21570</v>
      </c>
      <c r="D6" s="959">
        <v>500</v>
      </c>
      <c r="E6" s="959" t="s">
        <v>20338</v>
      </c>
    </row>
    <row r="7" spans="2:9" x14ac:dyDescent="0.2">
      <c r="B7" s="1049"/>
      <c r="C7" s="958">
        <f t="shared" ref="C7" si="4">+_xlfn.XLOOKUP(B7,$E$10:$E$27,$C$10:$C$27,0,0)</f>
        <v>0</v>
      </c>
      <c r="D7" s="959">
        <v>500</v>
      </c>
      <c r="E7" s="959">
        <f t="shared" ref="E7" si="5">+_xlfn.XLOOKUP(B7,$E$10:$E$27,$D$10:$D$27,0,0)</f>
        <v>0</v>
      </c>
    </row>
    <row r="8" spans="2:9" ht="13.5" thickBot="1" x14ac:dyDescent="0.25"/>
    <row r="9" spans="2:9" ht="29.25" thickBot="1" x14ac:dyDescent="0.25">
      <c r="B9" s="1305" t="s">
        <v>8979</v>
      </c>
      <c r="C9" s="1306" t="s">
        <v>8980</v>
      </c>
      <c r="D9" s="1306" t="s">
        <v>8978</v>
      </c>
      <c r="E9" s="1307" t="s">
        <v>8981</v>
      </c>
    </row>
    <row r="10" spans="2:9" x14ac:dyDescent="0.2">
      <c r="B10" s="1302">
        <v>1</v>
      </c>
      <c r="C10" s="1303" t="s">
        <v>8982</v>
      </c>
      <c r="D10" s="1304" t="s">
        <v>8983</v>
      </c>
      <c r="E10" s="1304" t="s">
        <v>2781</v>
      </c>
    </row>
    <row r="11" spans="2:9" x14ac:dyDescent="0.2">
      <c r="B11" s="1046">
        <v>2</v>
      </c>
      <c r="C11" s="1044" t="s">
        <v>8984</v>
      </c>
      <c r="D11" s="1049" t="s">
        <v>8983</v>
      </c>
      <c r="E11" s="1049" t="s">
        <v>2783</v>
      </c>
    </row>
    <row r="12" spans="2:9" x14ac:dyDescent="0.2">
      <c r="B12" s="1046">
        <v>3</v>
      </c>
      <c r="C12" s="1044" t="s">
        <v>8985</v>
      </c>
      <c r="D12" s="1049" t="s">
        <v>8983</v>
      </c>
      <c r="E12" s="1049" t="s">
        <v>2785</v>
      </c>
    </row>
    <row r="13" spans="2:9" x14ac:dyDescent="0.2">
      <c r="B13" s="1046">
        <v>4</v>
      </c>
      <c r="C13" s="1044" t="s">
        <v>8986</v>
      </c>
      <c r="D13" s="1049" t="s">
        <v>8987</v>
      </c>
      <c r="E13" s="1049" t="s">
        <v>2787</v>
      </c>
    </row>
    <row r="14" spans="2:9" x14ac:dyDescent="0.2">
      <c r="B14" s="1046">
        <v>5</v>
      </c>
      <c r="C14" s="1044" t="s">
        <v>8988</v>
      </c>
      <c r="D14" s="1049" t="s">
        <v>8987</v>
      </c>
      <c r="E14" s="1049" t="s">
        <v>2789</v>
      </c>
    </row>
    <row r="15" spans="2:9" x14ac:dyDescent="0.2">
      <c r="B15" s="1046">
        <v>6</v>
      </c>
      <c r="C15" s="1044" t="s">
        <v>8989</v>
      </c>
      <c r="D15" s="1049" t="s">
        <v>8987</v>
      </c>
      <c r="E15" s="1049" t="s">
        <v>2791</v>
      </c>
    </row>
    <row r="16" spans="2:9" x14ac:dyDescent="0.2">
      <c r="B16" s="1046">
        <v>7</v>
      </c>
      <c r="C16" s="1044" t="s">
        <v>8990</v>
      </c>
      <c r="D16" s="1049" t="s">
        <v>8987</v>
      </c>
      <c r="E16" s="1049" t="s">
        <v>2793</v>
      </c>
    </row>
    <row r="17" spans="2:7" x14ac:dyDescent="0.2">
      <c r="B17" s="1046">
        <v>8</v>
      </c>
      <c r="C17" s="1044" t="s">
        <v>8991</v>
      </c>
      <c r="D17" s="1049" t="s">
        <v>8987</v>
      </c>
      <c r="E17" s="1049" t="s">
        <v>2795</v>
      </c>
    </row>
    <row r="18" spans="2:7" x14ac:dyDescent="0.2">
      <c r="B18" s="1046">
        <v>9</v>
      </c>
      <c r="C18" s="1044" t="s">
        <v>8992</v>
      </c>
      <c r="D18" s="1049" t="s">
        <v>8987</v>
      </c>
      <c r="E18" s="1049" t="s">
        <v>2797</v>
      </c>
    </row>
    <row r="19" spans="2:7" x14ac:dyDescent="0.2">
      <c r="B19" s="1046">
        <v>10</v>
      </c>
      <c r="C19" s="1044" t="s">
        <v>8993</v>
      </c>
      <c r="D19" s="1049" t="s">
        <v>8987</v>
      </c>
      <c r="E19" s="1049" t="s">
        <v>2799</v>
      </c>
    </row>
    <row r="20" spans="2:7" x14ac:dyDescent="0.2">
      <c r="B20" s="1046">
        <v>11</v>
      </c>
      <c r="C20" s="1044" t="s">
        <v>8994</v>
      </c>
      <c r="D20" s="1049" t="s">
        <v>8995</v>
      </c>
      <c r="E20" s="1049" t="s">
        <v>2801</v>
      </c>
    </row>
    <row r="21" spans="2:7" x14ac:dyDescent="0.2">
      <c r="B21" s="1046">
        <v>12</v>
      </c>
      <c r="C21" s="1044" t="s">
        <v>8996</v>
      </c>
      <c r="D21" s="1049" t="s">
        <v>8995</v>
      </c>
      <c r="E21" s="1049" t="s">
        <v>2803</v>
      </c>
    </row>
    <row r="22" spans="2:7" x14ac:dyDescent="0.2">
      <c r="B22" s="1046">
        <v>13</v>
      </c>
      <c r="C22" s="1044" t="s">
        <v>8997</v>
      </c>
      <c r="D22" s="1049" t="s">
        <v>8995</v>
      </c>
      <c r="E22" s="1049" t="s">
        <v>2805</v>
      </c>
    </row>
    <row r="23" spans="2:7" x14ac:dyDescent="0.2">
      <c r="B23" s="1046">
        <v>14</v>
      </c>
      <c r="C23" s="1044" t="s">
        <v>8998</v>
      </c>
      <c r="D23" s="1049" t="s">
        <v>8995</v>
      </c>
      <c r="E23" s="1049" t="s">
        <v>2807</v>
      </c>
    </row>
    <row r="24" spans="2:7" x14ac:dyDescent="0.2">
      <c r="B24" s="1046">
        <v>15</v>
      </c>
      <c r="C24" s="1044" t="s">
        <v>8999</v>
      </c>
      <c r="D24" s="1049" t="s">
        <v>8987</v>
      </c>
      <c r="E24" s="1049" t="s">
        <v>2811</v>
      </c>
    </row>
    <row r="25" spans="2:7" x14ac:dyDescent="0.2">
      <c r="B25" s="1046">
        <v>16</v>
      </c>
      <c r="C25" s="1044" t="s">
        <v>9000</v>
      </c>
      <c r="D25" s="1049" t="s">
        <v>8987</v>
      </c>
      <c r="E25" s="1049" t="s">
        <v>2809</v>
      </c>
    </row>
    <row r="26" spans="2:7" x14ac:dyDescent="0.2">
      <c r="B26" s="1046">
        <v>17</v>
      </c>
      <c r="C26" s="1044" t="s">
        <v>9001</v>
      </c>
      <c r="D26" s="1049" t="s">
        <v>8987</v>
      </c>
      <c r="E26" s="1049" t="s">
        <v>2817</v>
      </c>
    </row>
    <row r="27" spans="2:7" ht="13.5" thickBot="1" x14ac:dyDescent="0.25">
      <c r="B27" s="1047">
        <v>18</v>
      </c>
      <c r="C27" s="1045" t="s">
        <v>9002</v>
      </c>
      <c r="D27" s="1048"/>
      <c r="E27" s="1049" t="s">
        <v>2819</v>
      </c>
      <c r="G27" t="s">
        <v>9003</v>
      </c>
    </row>
    <row r="31" spans="2:7" x14ac:dyDescent="0.2">
      <c r="D31" t="s">
        <v>9004</v>
      </c>
    </row>
    <row r="32" spans="2:7" x14ac:dyDescent="0.2">
      <c r="D32" t="s">
        <v>9005</v>
      </c>
    </row>
    <row r="33" spans="4:4" x14ac:dyDescent="0.2">
      <c r="D33" t="s">
        <v>9006</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0212-A069-4CE4-AE21-8615F3C467D1}">
  <sheetPr codeName="Hoja10"/>
  <dimension ref="A1:BA286"/>
  <sheetViews>
    <sheetView zoomScaleNormal="100" workbookViewId="0">
      <selection activeCell="G26" sqref="G26"/>
    </sheetView>
  </sheetViews>
  <sheetFormatPr baseColWidth="10" defaultColWidth="11.42578125" defaultRowHeight="12.75" x14ac:dyDescent="0.2"/>
  <cols>
    <col min="1" max="1" width="26.28515625" customWidth="1"/>
    <col min="2" max="2" width="17" customWidth="1"/>
    <col min="3" max="3" width="11.7109375" customWidth="1"/>
    <col min="4" max="4" width="1" customWidth="1"/>
    <col min="5" max="5" width="6" style="4" customWidth="1"/>
    <col min="6" max="6" width="11.7109375" customWidth="1"/>
    <col min="7" max="7" width="12.5703125" bestFit="1" customWidth="1"/>
    <col min="8" max="8" width="14.28515625" bestFit="1" customWidth="1"/>
    <col min="9" max="9" width="14" bestFit="1" customWidth="1"/>
    <col min="10" max="10" width="12.5703125" bestFit="1" customWidth="1"/>
    <col min="15" max="15" width="20.85546875" customWidth="1"/>
    <col min="16" max="16" width="13.85546875" customWidth="1"/>
    <col min="17" max="17" width="10.85546875" customWidth="1"/>
    <col min="18" max="18" width="12.28515625" customWidth="1"/>
    <col min="19" max="19" width="15.85546875" bestFit="1" customWidth="1"/>
    <col min="20" max="20" width="13" bestFit="1" customWidth="1"/>
    <col min="21" max="21" width="13" customWidth="1"/>
    <col min="22" max="22" width="22.85546875" bestFit="1" customWidth="1"/>
    <col min="23" max="23" width="10.28515625" bestFit="1" customWidth="1"/>
    <col min="24" max="24" width="15" customWidth="1"/>
    <col min="25" max="25" width="7.5703125" bestFit="1" customWidth="1"/>
    <col min="26" max="26" width="15.7109375" bestFit="1" customWidth="1"/>
    <col min="27" max="27" width="7.5703125" customWidth="1"/>
    <col min="28" max="28" width="25" bestFit="1" customWidth="1"/>
    <col min="29" max="33" width="7.5703125" customWidth="1"/>
    <col min="38" max="38" width="8" bestFit="1" customWidth="1"/>
    <col min="39" max="39" width="38.28515625" bestFit="1" customWidth="1"/>
    <col min="40" max="40" width="11" bestFit="1" customWidth="1"/>
  </cols>
  <sheetData>
    <row r="1" spans="1:53" ht="13.5" thickBot="1" x14ac:dyDescent="0.25">
      <c r="A1" s="13" t="s">
        <v>9007</v>
      </c>
      <c r="B1" s="13" t="s">
        <v>9008</v>
      </c>
      <c r="C1" s="13" t="s">
        <v>8753</v>
      </c>
      <c r="E1" s="33" t="s">
        <v>8189</v>
      </c>
      <c r="F1" s="31" t="s">
        <v>4</v>
      </c>
      <c r="G1" s="232" t="s">
        <v>3</v>
      </c>
      <c r="H1" s="233" t="s">
        <v>8772</v>
      </c>
      <c r="J1" s="233" t="s">
        <v>8955</v>
      </c>
      <c r="O1" s="223" t="s">
        <v>9009</v>
      </c>
      <c r="P1" s="223" t="s">
        <v>9010</v>
      </c>
      <c r="Q1" s="223" t="s">
        <v>8323</v>
      </c>
      <c r="R1" s="223" t="s">
        <v>9011</v>
      </c>
      <c r="S1" s="223" t="s">
        <v>9012</v>
      </c>
      <c r="T1" s="223" t="s">
        <v>9013</v>
      </c>
      <c r="U1" s="223" t="s">
        <v>9014</v>
      </c>
      <c r="V1" s="223" t="s">
        <v>9007</v>
      </c>
      <c r="W1" s="223" t="s">
        <v>9008</v>
      </c>
      <c r="X1" s="223" t="s">
        <v>9015</v>
      </c>
      <c r="Y1" s="223" t="s">
        <v>8799</v>
      </c>
      <c r="Z1" s="223" t="s">
        <v>9016</v>
      </c>
      <c r="AA1" s="223"/>
      <c r="AB1" s="223"/>
      <c r="AC1" s="223"/>
      <c r="AD1" s="223"/>
      <c r="AE1" s="223"/>
      <c r="AF1" s="223"/>
      <c r="AG1" s="223"/>
      <c r="AI1" s="224" t="s">
        <v>8763</v>
      </c>
      <c r="AJ1" s="225">
        <v>135</v>
      </c>
      <c r="AL1" s="30" t="s">
        <v>2</v>
      </c>
      <c r="AM1" s="30" t="s">
        <v>8756</v>
      </c>
      <c r="AN1" s="30" t="s">
        <v>3</v>
      </c>
      <c r="AO1" s="100">
        <v>0.45</v>
      </c>
    </row>
    <row r="2" spans="1:53" x14ac:dyDescent="0.2">
      <c r="A2" s="3" t="str">
        <f>+IFERROR(IFERROR(INDEX(Resortes_2[MEDIDA],MATCH(E2,Resortes_2[Nº],0),1),VLOOKUP(E2,$AL$2:$AM$286,2,0)),"")</f>
        <v>2,5 x 25 x 55 - Compresión</v>
      </c>
      <c r="B2" s="3" t="str">
        <f>IFERROR(INDEX(Resortes_2[TIPO],MATCH(E2,Resortes_2[Nº],0),1),"")</f>
        <v/>
      </c>
      <c r="C2" s="13">
        <v>500</v>
      </c>
      <c r="E2" s="4">
        <v>126</v>
      </c>
      <c r="F2" s="13" t="s">
        <v>9013</v>
      </c>
      <c r="G2" s="234">
        <f>+IFERROR(INDEX(Resortes_2[ROBER],MATCH(E2,Resortes_2[Nº],0),1),0)</f>
        <v>0</v>
      </c>
      <c r="H2" s="237">
        <f>+G2*Resortes_1[[#This Row],[CANTIDAD]]</f>
        <v>0</v>
      </c>
      <c r="J2" s="1">
        <f>+IFERROR(VLOOKUP(#REF!,$AL$2:$AO$286,4,0),0)</f>
        <v>0</v>
      </c>
      <c r="K2" s="240"/>
      <c r="O2" s="226">
        <v>0.5</v>
      </c>
      <c r="P2" s="13">
        <v>4.5</v>
      </c>
      <c r="Q2" s="13">
        <v>30</v>
      </c>
      <c r="R2" s="13"/>
      <c r="S2" s="227">
        <v>0.11</v>
      </c>
      <c r="T2" s="228">
        <f>+Resortes_2[[#This Row],[Precio USD]]*$AJ$1</f>
        <v>14.85</v>
      </c>
      <c r="U2" s="228"/>
      <c r="V2" s="13" t="str">
        <f>+IF(Resortes_2[[#This Row],[Vueltas]]="",Resortes_2[[#This Row],[Alambre]]&amp;" x "&amp;Resortes_2[[#This Row],[Diametro]]&amp;" x "&amp;Resortes_2[[#This Row],[Largo]],Resortes_2[[#This Row],[Alambre]]&amp;" x "&amp;Resortes_2[[#This Row],[Diametro]]&amp;" x "&amp;Resortes_2[[#This Row],[Largo]]&amp;" x "&amp;Resortes_2[[#This Row],[Vueltas]])</f>
        <v>0,5 x 4,5 x 30</v>
      </c>
      <c r="W2" s="229" t="s">
        <v>9017</v>
      </c>
      <c r="X2" s="230" t="str">
        <f>+Resortes_2[[#This Row],[MEDIDA]]&amp;Resortes_2[[#This Row],[TIPO]]</f>
        <v>0,5 x 4,5 x 30EXPANSIÓN</v>
      </c>
      <c r="Y2" s="13">
        <v>1</v>
      </c>
      <c r="Z2" s="13"/>
      <c r="AA2" s="13"/>
      <c r="AB2" s="458" t="str">
        <f>+Resortes_2[[#This Row],[Alambre]]&amp;" x "&amp;Resortes_2[[#This Row],[Diametro]]&amp;" x "&amp;Resortes_2[[#This Row],[Largo]]</f>
        <v>0,5 x 4,5 x 30</v>
      </c>
      <c r="AC2" s="13">
        <f>+Resortes_2[[#This Row],[Vueltas]]</f>
        <v>0</v>
      </c>
      <c r="AD2" s="13"/>
      <c r="AE2" s="13"/>
      <c r="AF2" s="13"/>
      <c r="AG2" s="13"/>
      <c r="AL2">
        <v>1</v>
      </c>
      <c r="AM2" t="s">
        <v>9018</v>
      </c>
      <c r="AN2" s="1">
        <v>73.235370000000003</v>
      </c>
      <c r="AO2" s="2">
        <f>+(1-$AO$1)*AN2</f>
        <v>40.279453500000002</v>
      </c>
    </row>
    <row r="3" spans="1:53" x14ac:dyDescent="0.2">
      <c r="A3" s="3" t="str">
        <f>+IFERROR(IFERROR(INDEX(Resortes_2[MEDIDA],MATCH(E3,Resortes_2[Nº],0),1),VLOOKUP(E3,$AL$2:$AM$286,2,0)),"")</f>
        <v>3 x 18 x 150 - Compresión</v>
      </c>
      <c r="B3" s="3" t="str">
        <f>IFERROR(INDEX(Resortes_2[TIPO],MATCH(E3,Resortes_2[Nº],0),1),"")</f>
        <v/>
      </c>
      <c r="C3" s="13">
        <v>500</v>
      </c>
      <c r="E3" s="4">
        <v>138</v>
      </c>
      <c r="F3" s="13"/>
      <c r="G3" s="235">
        <f>+IFERROR(INDEX(Resortes_2[ROBER],MATCH(E3,Resortes_2[Nº],0),1),0)</f>
        <v>0</v>
      </c>
      <c r="H3" s="238">
        <f>+G3*Resortes_1[[#This Row],[CANTIDAD]]</f>
        <v>0</v>
      </c>
      <c r="J3" s="1">
        <f>+IFERROR(VLOOKUP(#REF!,$AL$2:$AO$286,4,0),0)</f>
        <v>0</v>
      </c>
      <c r="K3" s="240"/>
      <c r="L3" t="s">
        <v>9017</v>
      </c>
      <c r="O3" s="226">
        <v>0.5</v>
      </c>
      <c r="P3" s="13">
        <v>6</v>
      </c>
      <c r="Q3" s="13">
        <v>50</v>
      </c>
      <c r="R3" s="13"/>
      <c r="S3" s="227">
        <v>0.11</v>
      </c>
      <c r="T3" s="228">
        <f>+Resortes_2[[#This Row],[Precio USD]]*$AJ$1</f>
        <v>14.85</v>
      </c>
      <c r="U3" s="228">
        <v>8.5</v>
      </c>
      <c r="V3" s="13" t="str">
        <f>+IF(Resortes_2[[#This Row],[Vueltas]]="",Resortes_2[[#This Row],[Alambre]]&amp;" x "&amp;Resortes_2[[#This Row],[Diametro]]&amp;" x "&amp;Resortes_2[[#This Row],[Largo]],Resortes_2[[#This Row],[Alambre]]&amp;" x "&amp;Resortes_2[[#This Row],[Diametro]]&amp;" x "&amp;Resortes_2[[#This Row],[Largo]]&amp;" x "&amp;Resortes_2[[#This Row],[Vueltas]])</f>
        <v>0,5 x 6 x 50</v>
      </c>
      <c r="W3" s="229" t="s">
        <v>9017</v>
      </c>
      <c r="X3" s="230" t="str">
        <f>+Resortes_2[[#This Row],[MEDIDA]]&amp;Resortes_2[[#This Row],[TIPO]]</f>
        <v>0,5 x 6 x 50EXPANSIÓN</v>
      </c>
      <c r="Y3" s="13">
        <v>2</v>
      </c>
      <c r="Z3" s="13">
        <v>1500</v>
      </c>
      <c r="AA3" s="13"/>
      <c r="AB3" s="458" t="str">
        <f>+Resortes_2[[#This Row],[Alambre]]&amp;" x "&amp;Resortes_2[[#This Row],[Diametro]]&amp;" x "&amp;Resortes_2[[#This Row],[Largo]]</f>
        <v>0,5 x 6 x 50</v>
      </c>
      <c r="AC3" s="13">
        <f>+Resortes_2[[#This Row],[Vueltas]]</f>
        <v>0</v>
      </c>
      <c r="AD3" s="13"/>
      <c r="AE3" s="13"/>
      <c r="AF3" s="13"/>
      <c r="AG3" s="13"/>
      <c r="AL3">
        <v>2</v>
      </c>
      <c r="AM3" t="s">
        <v>9019</v>
      </c>
      <c r="AN3" s="1">
        <v>83.710769999999997</v>
      </c>
      <c r="AO3" s="2">
        <f t="shared" ref="AO3:AO66" si="0">+(1-$AO$1)*AN3</f>
        <v>46.040923500000005</v>
      </c>
    </row>
    <row r="4" spans="1:53" x14ac:dyDescent="0.2">
      <c r="A4" s="3" t="str">
        <f>+IFERROR(IFERROR(INDEX(Resortes_2[MEDIDA],MATCH(E4,Resortes_2[Nº],0),1),VLOOKUP(E4,$AL$2:$AM$286,2,0)),"")</f>
        <v>3 x 33 x 150 - Compresión</v>
      </c>
      <c r="B4" s="3" t="str">
        <f>IFERROR(INDEX(Resortes_2[TIPO],MATCH(E4,Resortes_2[Nº],0),1),"")</f>
        <v/>
      </c>
      <c r="C4" s="13">
        <v>500</v>
      </c>
      <c r="E4" s="4">
        <v>146</v>
      </c>
      <c r="F4" s="13"/>
      <c r="G4" s="236">
        <f>+IFERROR(INDEX(Resortes_2[ROBER],MATCH(E4,Resortes_2[Nº],0),1),0)</f>
        <v>0</v>
      </c>
      <c r="H4" s="239">
        <f>+G4*Resortes_1[[#This Row],[CANTIDAD]]</f>
        <v>0</v>
      </c>
      <c r="J4" s="1">
        <f>+IFERROR(VLOOKUP(#REF!,$AL$2:$AO$286,4,0),0)</f>
        <v>0</v>
      </c>
      <c r="K4" s="240" t="str">
        <f t="shared" ref="K4:K10" si="1">+IFERROR(J4/G4-1,"")</f>
        <v/>
      </c>
      <c r="O4" s="226">
        <v>0.6</v>
      </c>
      <c r="P4" s="13">
        <v>7</v>
      </c>
      <c r="Q4" s="13">
        <v>30</v>
      </c>
      <c r="R4" s="13"/>
      <c r="S4" s="227">
        <v>0.11</v>
      </c>
      <c r="T4" s="228">
        <f>+Resortes_2[[#This Row],[Precio USD]]*$AJ$1</f>
        <v>14.85</v>
      </c>
      <c r="U4" s="228">
        <v>5</v>
      </c>
      <c r="V4" s="13" t="str">
        <f>+IF(Resortes_2[[#This Row],[Vueltas]]="",Resortes_2[[#This Row],[Alambre]]&amp;" x "&amp;Resortes_2[[#This Row],[Diametro]]&amp;" x "&amp;Resortes_2[[#This Row],[Largo]],Resortes_2[[#This Row],[Alambre]]&amp;" x "&amp;Resortes_2[[#This Row],[Diametro]]&amp;" x "&amp;Resortes_2[[#This Row],[Largo]]&amp;" x "&amp;Resortes_2[[#This Row],[Vueltas]])</f>
        <v>0,6 x 7 x 30</v>
      </c>
      <c r="W4" s="229" t="s">
        <v>9017</v>
      </c>
      <c r="X4" s="230" t="str">
        <f>+Resortes_2[[#This Row],[MEDIDA]]&amp;Resortes_2[[#This Row],[TIPO]]</f>
        <v>0,6 x 7 x 30EXPANSIÓN</v>
      </c>
      <c r="Y4" s="13">
        <v>3</v>
      </c>
      <c r="Z4" s="13">
        <v>1500</v>
      </c>
      <c r="AA4" s="13"/>
      <c r="AB4" s="458" t="str">
        <f>+Resortes_2[[#This Row],[Alambre]]&amp;" x "&amp;Resortes_2[[#This Row],[Diametro]]&amp;" x "&amp;Resortes_2[[#This Row],[Largo]]</f>
        <v>0,6 x 7 x 30</v>
      </c>
      <c r="AC4" s="13">
        <f>+Resortes_2[[#This Row],[Vueltas]]</f>
        <v>0</v>
      </c>
      <c r="AD4" s="13"/>
      <c r="AE4" s="13"/>
      <c r="AF4" s="13"/>
      <c r="AG4" s="13"/>
      <c r="AL4">
        <v>3</v>
      </c>
      <c r="AM4" t="s">
        <v>9020</v>
      </c>
      <c r="AN4" s="1">
        <v>83.710769999999997</v>
      </c>
      <c r="AO4" s="2">
        <f t="shared" si="0"/>
        <v>46.040923500000005</v>
      </c>
    </row>
    <row r="5" spans="1:53" x14ac:dyDescent="0.2">
      <c r="A5" s="3" t="str">
        <f>+IFERROR(IFERROR(INDEX(Resortes_2[MEDIDA],MATCH(E5,Resortes_2[Nº],0),1),VLOOKUP(E5,$AL$2:$AM$286,2,0)),"")</f>
        <v>2 x 20 x 100 - Expansión</v>
      </c>
      <c r="B5" s="3" t="str">
        <f>IFERROR(INDEX(Resortes_2[TIPO],MATCH(E5,Resortes_2[Nº],0),1),"")</f>
        <v/>
      </c>
      <c r="C5" s="13">
        <v>500</v>
      </c>
      <c r="E5" s="4">
        <v>170</v>
      </c>
      <c r="F5" s="13"/>
      <c r="G5" s="235">
        <f>+IFERROR(INDEX(Resortes_2[ROBER],MATCH(E5,Resortes_2[Nº],0),1),0)</f>
        <v>0</v>
      </c>
      <c r="H5" s="238">
        <f>+G5*Resortes_1[[#This Row],[CANTIDAD]]</f>
        <v>0</v>
      </c>
      <c r="J5" s="1">
        <f>+IFERROR(VLOOKUP(#REF!,$AL$2:$AO$286,4,0),0)</f>
        <v>0</v>
      </c>
      <c r="K5" s="240" t="str">
        <f t="shared" si="1"/>
        <v/>
      </c>
      <c r="O5" s="226">
        <v>0.6</v>
      </c>
      <c r="P5" s="13">
        <v>8</v>
      </c>
      <c r="Q5" s="13">
        <v>50</v>
      </c>
      <c r="R5" s="13"/>
      <c r="S5" s="227">
        <v>0.11</v>
      </c>
      <c r="T5" s="228">
        <f>+Resortes_2[[#This Row],[Precio USD]]*$AJ$1</f>
        <v>14.85</v>
      </c>
      <c r="U5" s="228">
        <v>10</v>
      </c>
      <c r="V5" s="13" t="str">
        <f>+IF(Resortes_2[[#This Row],[Vueltas]]="",Resortes_2[[#This Row],[Alambre]]&amp;" x "&amp;Resortes_2[[#This Row],[Diametro]]&amp;" x "&amp;Resortes_2[[#This Row],[Largo]],Resortes_2[[#This Row],[Alambre]]&amp;" x "&amp;Resortes_2[[#This Row],[Diametro]]&amp;" x "&amp;Resortes_2[[#This Row],[Largo]]&amp;" x "&amp;Resortes_2[[#This Row],[Vueltas]])</f>
        <v>0,6 x 8 x 50</v>
      </c>
      <c r="W5" s="229" t="s">
        <v>9017</v>
      </c>
      <c r="X5" s="230" t="str">
        <f>+Resortes_2[[#This Row],[MEDIDA]]&amp;Resortes_2[[#This Row],[TIPO]]</f>
        <v>0,6 x 8 x 50EXPANSIÓN</v>
      </c>
      <c r="Y5" s="13">
        <v>4</v>
      </c>
      <c r="Z5" s="13">
        <v>1500</v>
      </c>
      <c r="AA5" s="13"/>
      <c r="AB5" s="458" t="str">
        <f>+Resortes_2[[#This Row],[Alambre]]&amp;" x "&amp;Resortes_2[[#This Row],[Diametro]]&amp;" x "&amp;Resortes_2[[#This Row],[Largo]]</f>
        <v>0,6 x 8 x 50</v>
      </c>
      <c r="AC5" s="13">
        <f>+Resortes_2[[#This Row],[Vueltas]]</f>
        <v>0</v>
      </c>
      <c r="AD5" s="13"/>
      <c r="AE5" s="13"/>
      <c r="AF5" s="13"/>
      <c r="AG5" s="13"/>
      <c r="AL5">
        <v>4</v>
      </c>
      <c r="AM5" t="s">
        <v>9021</v>
      </c>
      <c r="AN5" s="1">
        <v>92.676479999999984</v>
      </c>
      <c r="AO5" s="2">
        <f t="shared" si="0"/>
        <v>50.972063999999996</v>
      </c>
    </row>
    <row r="6" spans="1:53" x14ac:dyDescent="0.2">
      <c r="A6" s="3" t="str">
        <f>+IFERROR(IFERROR(INDEX(Resortes_2[MEDIDA],MATCH(E6,Resortes_2[Nº],0),1),VLOOKUP(E6,$AL$2:$AM$286,2,0)),"")</f>
        <v>2 x 20 x 150</v>
      </c>
      <c r="B6" s="3" t="str">
        <f>IFERROR(INDEX(Resortes_2[TIPO],MATCH(E6,Resortes_2[Nº],0),1),"")</f>
        <v>EXPANSIÓN</v>
      </c>
      <c r="C6" s="13">
        <v>500</v>
      </c>
      <c r="E6" s="4">
        <v>172</v>
      </c>
      <c r="F6" s="13" t="s">
        <v>9013</v>
      </c>
      <c r="G6" s="236">
        <f>+IFERROR(INDEX(Resortes_2[ROBER],MATCH(E6,Resortes_2[Nº],0),1),0)</f>
        <v>54</v>
      </c>
      <c r="H6" s="239">
        <f>+G6*Resortes_1[[#This Row],[CANTIDAD]]</f>
        <v>27000</v>
      </c>
      <c r="J6" s="1">
        <f>+IFERROR(VLOOKUP(E2,$AL$2:$AO$286,4,0),0)</f>
        <v>113.0434305</v>
      </c>
      <c r="K6" s="240">
        <f t="shared" si="1"/>
        <v>1.0933968611111111</v>
      </c>
      <c r="O6" s="226">
        <v>0.6</v>
      </c>
      <c r="P6" s="13">
        <v>8</v>
      </c>
      <c r="Q6" s="13">
        <v>50</v>
      </c>
      <c r="R6" s="13"/>
      <c r="S6" s="227">
        <v>0.11</v>
      </c>
      <c r="T6" s="228">
        <f>+Resortes_2[[#This Row],[Precio USD]]*$AJ$1</f>
        <v>14.85</v>
      </c>
      <c r="U6" s="228"/>
      <c r="V6" s="13" t="str">
        <f>+IF(Resortes_2[[#This Row],[Vueltas]]="",Resortes_2[[#This Row],[Alambre]]&amp;" x "&amp;Resortes_2[[#This Row],[Diametro]]&amp;" x "&amp;Resortes_2[[#This Row],[Largo]],Resortes_2[[#This Row],[Alambre]]&amp;" x "&amp;Resortes_2[[#This Row],[Diametro]]&amp;" x "&amp;Resortes_2[[#This Row],[Largo]]&amp;" x "&amp;Resortes_2[[#This Row],[Vueltas]])</f>
        <v>0,6 x 8 x 50</v>
      </c>
      <c r="W6" s="229" t="s">
        <v>9017</v>
      </c>
      <c r="X6" s="230" t="str">
        <f>+Resortes_2[[#This Row],[MEDIDA]]&amp;Resortes_2[[#This Row],[TIPO]]</f>
        <v>0,6 x 8 x 50EXPANSIÓN</v>
      </c>
      <c r="Y6" s="13">
        <v>4</v>
      </c>
      <c r="Z6" s="13"/>
      <c r="AA6" s="13"/>
      <c r="AB6" s="458" t="str">
        <f>+Resortes_2[[#This Row],[Alambre]]&amp;" x "&amp;Resortes_2[[#This Row],[Diametro]]&amp;" x "&amp;Resortes_2[[#This Row],[Largo]]</f>
        <v>0,6 x 8 x 50</v>
      </c>
      <c r="AC6" s="13">
        <f>+Resortes_2[[#This Row],[Vueltas]]</f>
        <v>0</v>
      </c>
      <c r="AD6" s="13"/>
      <c r="AE6" s="13"/>
      <c r="AF6" s="13"/>
      <c r="AG6" s="13"/>
      <c r="AL6">
        <v>5</v>
      </c>
      <c r="AM6" t="s">
        <v>9022</v>
      </c>
      <c r="AN6" s="1">
        <v>92.676479999999984</v>
      </c>
      <c r="AO6" s="2">
        <f t="shared" si="0"/>
        <v>50.972063999999996</v>
      </c>
    </row>
    <row r="7" spans="1:53" x14ac:dyDescent="0.2">
      <c r="A7" s="3" t="str">
        <f>+IFERROR(IFERROR(INDEX(Resortes_2[MEDIDA],MATCH(E7,Resortes_2[Nº],0),1),VLOOKUP(E7,$AL$2:$AM$286,2,0)),"")</f>
        <v>2,5 x 20 x 150 - Expansión</v>
      </c>
      <c r="B7" s="3" t="str">
        <f>IFERROR(INDEX(Resortes_2[TIPO],MATCH(E7,Resortes_2[Nº],0),1),"")</f>
        <v/>
      </c>
      <c r="C7" s="13"/>
      <c r="E7" s="4">
        <v>176</v>
      </c>
      <c r="F7" s="13"/>
      <c r="G7" s="235">
        <f>+IFERROR(INDEX(Resortes_2[ROBER],MATCH(E7,Resortes_2[Nº],0),1),0)</f>
        <v>0</v>
      </c>
      <c r="H7" s="238">
        <f>+G7*Resortes_1[[#This Row],[CANTIDAD]]</f>
        <v>0</v>
      </c>
      <c r="J7" s="1">
        <f>+IFERROR(VLOOKUP(E3,$AL$2:$AO$286,4,0),0)</f>
        <v>227.06970000000001</v>
      </c>
      <c r="K7" s="240" t="str">
        <f t="shared" si="1"/>
        <v/>
      </c>
      <c r="O7" s="226">
        <v>1</v>
      </c>
      <c r="P7" s="13">
        <v>8</v>
      </c>
      <c r="Q7" s="13">
        <v>40</v>
      </c>
      <c r="R7" s="13"/>
      <c r="S7" s="227">
        <v>0.13</v>
      </c>
      <c r="T7" s="228">
        <f>+Resortes_2[[#This Row],[Precio USD]]*$AJ$1</f>
        <v>17.55</v>
      </c>
      <c r="U7" s="228">
        <v>8.5</v>
      </c>
      <c r="V7" s="13" t="str">
        <f>+IF(Resortes_2[[#This Row],[Vueltas]]="",Resortes_2[[#This Row],[Alambre]]&amp;" x "&amp;Resortes_2[[#This Row],[Diametro]]&amp;" x "&amp;Resortes_2[[#This Row],[Largo]],Resortes_2[[#This Row],[Alambre]]&amp;" x "&amp;Resortes_2[[#This Row],[Diametro]]&amp;" x "&amp;Resortes_2[[#This Row],[Largo]]&amp;" x "&amp;Resortes_2[[#This Row],[Vueltas]])</f>
        <v>1 x 8 x 40</v>
      </c>
      <c r="W7" s="229" t="s">
        <v>9017</v>
      </c>
      <c r="X7" s="230" t="str">
        <f>+Resortes_2[[#This Row],[MEDIDA]]&amp;Resortes_2[[#This Row],[TIPO]]</f>
        <v>1 x 8 x 40EXPANSIÓN</v>
      </c>
      <c r="Y7" s="13">
        <v>9</v>
      </c>
      <c r="Z7" s="13"/>
      <c r="AA7" s="13"/>
      <c r="AB7" s="458" t="str">
        <f>+Resortes_2[[#This Row],[Alambre]]&amp;" x "&amp;Resortes_2[[#This Row],[Diametro]]&amp;" x "&amp;Resortes_2[[#This Row],[Largo]]</f>
        <v>1 x 8 x 40</v>
      </c>
      <c r="AC7" s="13">
        <f>+Resortes_2[[#This Row],[Vueltas]]</f>
        <v>0</v>
      </c>
      <c r="AD7" s="13"/>
      <c r="AE7" s="13"/>
      <c r="AF7" s="13"/>
      <c r="AG7" s="13"/>
      <c r="AL7">
        <v>6</v>
      </c>
      <c r="AM7" t="s">
        <v>9023</v>
      </c>
      <c r="AN7" s="1">
        <v>97.143929999999997</v>
      </c>
      <c r="AO7" s="2">
        <f t="shared" si="0"/>
        <v>53.429161500000006</v>
      </c>
    </row>
    <row r="8" spans="1:53" x14ac:dyDescent="0.2">
      <c r="A8" s="3" t="str">
        <f>+IFERROR(IFERROR(INDEX(Resortes_2[MEDIDA],MATCH(E8,Resortes_2[Nº],0),1),VLOOKUP(E8,$AL$2:$AM$286,2,0)),"")</f>
        <v>3 x 25 x 142 - Expansión</v>
      </c>
      <c r="B8" s="3" t="str">
        <f>IFERROR(INDEX(Resortes_2[TIPO],MATCH(E8,Resortes_2[Nº],0),1),"")</f>
        <v/>
      </c>
      <c r="C8" s="13"/>
      <c r="E8" s="4">
        <v>182</v>
      </c>
      <c r="F8" s="13"/>
      <c r="G8" s="236">
        <f>+IFERROR(INDEX(Resortes_2[ROBER],MATCH(E8,Resortes_2[Nº],0),1),0)</f>
        <v>0</v>
      </c>
      <c r="H8" s="239">
        <f>+G8*Resortes_1[[#This Row],[CANTIDAD]]</f>
        <v>0</v>
      </c>
      <c r="J8" s="1">
        <f>+IFERROR(VLOOKUP(E4,$AL$2:$AO$286,4,0),0)</f>
        <v>203.4646185</v>
      </c>
      <c r="K8" s="240" t="str">
        <f t="shared" si="1"/>
        <v/>
      </c>
      <c r="O8" s="226">
        <v>1</v>
      </c>
      <c r="P8" s="13">
        <v>8</v>
      </c>
      <c r="Q8" s="13">
        <v>100</v>
      </c>
      <c r="R8" s="13"/>
      <c r="S8" s="227">
        <v>0.23</v>
      </c>
      <c r="T8" s="228">
        <f>+Resortes_2[[#This Row],[Precio USD]]*$AJ$1</f>
        <v>31.05</v>
      </c>
      <c r="U8" s="228"/>
      <c r="V8" s="13" t="str">
        <f>+IF(Resortes_2[[#This Row],[Vueltas]]="",Resortes_2[[#This Row],[Alambre]]&amp;" x "&amp;Resortes_2[[#This Row],[Diametro]]&amp;" x "&amp;Resortes_2[[#This Row],[Largo]],Resortes_2[[#This Row],[Alambre]]&amp;" x "&amp;Resortes_2[[#This Row],[Diametro]]&amp;" x "&amp;Resortes_2[[#This Row],[Largo]]&amp;" x "&amp;Resortes_2[[#This Row],[Vueltas]])</f>
        <v>1 x 8 x 100</v>
      </c>
      <c r="W8" s="229" t="s">
        <v>9017</v>
      </c>
      <c r="X8" s="230" t="str">
        <f>+Resortes_2[[#This Row],[MEDIDA]]&amp;Resortes_2[[#This Row],[TIPO]]</f>
        <v>1 x 8 x 100EXPANSIÓN</v>
      </c>
      <c r="Y8" s="13">
        <v>10</v>
      </c>
      <c r="Z8" s="13"/>
      <c r="AA8" s="13"/>
      <c r="AB8" s="458" t="str">
        <f>+Resortes_2[[#This Row],[Alambre]]&amp;" x "&amp;Resortes_2[[#This Row],[Diametro]]&amp;" x "&amp;Resortes_2[[#This Row],[Largo]]</f>
        <v>1 x 8 x 100</v>
      </c>
      <c r="AC8" s="13">
        <f>+Resortes_2[[#This Row],[Vueltas]]</f>
        <v>0</v>
      </c>
      <c r="AD8" s="13"/>
      <c r="AE8" s="13"/>
      <c r="AF8" s="13"/>
      <c r="AG8" s="13"/>
      <c r="AL8">
        <v>7</v>
      </c>
      <c r="AM8" t="s">
        <v>9024</v>
      </c>
      <c r="AN8" s="1">
        <v>104.63075999999998</v>
      </c>
      <c r="AO8" s="2">
        <f t="shared" si="0"/>
        <v>57.546917999999991</v>
      </c>
    </row>
    <row r="9" spans="1:53" x14ac:dyDescent="0.2">
      <c r="A9" s="3" t="str">
        <f>+IFERROR(IFERROR(INDEX(Resortes_2[MEDIDA],MATCH(E9,Resortes_2[Nº],0),1),VLOOKUP(E9,$AL$2:$AM$286,2,0)),"")</f>
        <v>4,5 x 32 x 200 - Expansión</v>
      </c>
      <c r="B9" s="3" t="str">
        <f>IFERROR(INDEX(Resortes_2[TIPO],MATCH(E9,Resortes_2[Nº],0),1),"")</f>
        <v/>
      </c>
      <c r="C9" s="13"/>
      <c r="E9" s="4">
        <v>196</v>
      </c>
      <c r="F9" s="13"/>
      <c r="G9" s="235">
        <f>+IFERROR(INDEX(Resortes_2[ROBER],MATCH(E9,Resortes_2[Nº],0),1),0)</f>
        <v>0</v>
      </c>
      <c r="H9" s="238">
        <f>+G9*Resortes_1[[#This Row],[CANTIDAD]]</f>
        <v>0</v>
      </c>
      <c r="J9" s="1">
        <f>+IFERROR(VLOOKUP(E5,$AL$2:$AO$286,4,0),0)</f>
        <v>246.624807</v>
      </c>
      <c r="K9" s="240" t="str">
        <f t="shared" si="1"/>
        <v/>
      </c>
      <c r="O9" s="226">
        <v>1</v>
      </c>
      <c r="P9" s="13">
        <v>10</v>
      </c>
      <c r="Q9" s="13">
        <v>120</v>
      </c>
      <c r="R9" s="13"/>
      <c r="S9" s="227">
        <v>0.27</v>
      </c>
      <c r="T9" s="228">
        <f>+Resortes_2[[#This Row],[Precio USD]]*$AJ$1</f>
        <v>36.450000000000003</v>
      </c>
      <c r="U9" s="228"/>
      <c r="V9" s="13" t="str">
        <f>+IF(Resortes_2[[#This Row],[Vueltas]]="",Resortes_2[[#This Row],[Alambre]]&amp;" x "&amp;Resortes_2[[#This Row],[Diametro]]&amp;" x "&amp;Resortes_2[[#This Row],[Largo]],Resortes_2[[#This Row],[Alambre]]&amp;" x "&amp;Resortes_2[[#This Row],[Diametro]]&amp;" x "&amp;Resortes_2[[#This Row],[Largo]]&amp;" x "&amp;Resortes_2[[#This Row],[Vueltas]])</f>
        <v>1 x 10 x 120</v>
      </c>
      <c r="W9" s="229" t="s">
        <v>9017</v>
      </c>
      <c r="X9" s="230" t="str">
        <f>+Resortes_2[[#This Row],[MEDIDA]]&amp;Resortes_2[[#This Row],[TIPO]]</f>
        <v>1 x 10 x 120EXPANSIÓN</v>
      </c>
      <c r="Y9" s="13">
        <v>12</v>
      </c>
      <c r="Z9" s="13"/>
      <c r="AA9" s="13"/>
      <c r="AB9" s="458" t="str">
        <f>+Resortes_2[[#This Row],[Alambre]]&amp;" x "&amp;Resortes_2[[#This Row],[Diametro]]&amp;" x "&amp;Resortes_2[[#This Row],[Largo]]</f>
        <v>1 x 10 x 120</v>
      </c>
      <c r="AC9" s="13">
        <f>+Resortes_2[[#This Row],[Vueltas]]</f>
        <v>0</v>
      </c>
      <c r="AD9" s="13"/>
      <c r="AE9" s="13"/>
      <c r="AF9" s="13"/>
      <c r="AG9" s="13"/>
      <c r="AL9">
        <v>8</v>
      </c>
      <c r="AM9" t="s">
        <v>9025</v>
      </c>
      <c r="AN9" s="1">
        <v>176.38724999999999</v>
      </c>
      <c r="AO9" s="2">
        <f t="shared" si="0"/>
        <v>97.012987500000008</v>
      </c>
    </row>
    <row r="10" spans="1:53" ht="13.5" thickBot="1" x14ac:dyDescent="0.25">
      <c r="A10" s="3" t="str">
        <f>+IFERROR(IFERROR(INDEX(Resortes_2[MEDIDA],MATCH(E10,Resortes_2[Nº],0),1),VLOOKUP(E10,$AL$2:$AM$286,2,0)),"")</f>
        <v/>
      </c>
      <c r="B10" s="3" t="str">
        <f>IFERROR(INDEX(Resortes_2[TIPO],MATCH(E10,Resortes_2[Nº],0),1),"")</f>
        <v/>
      </c>
      <c r="C10" s="13"/>
      <c r="E10"/>
      <c r="G10" s="241">
        <f>+IFERROR(INDEX(Resortes_2[ROBER],MATCH(E10,Resortes_2[Nº],0),1),0)</f>
        <v>0</v>
      </c>
      <c r="H10" s="242">
        <f>+G10*Resortes_1[[#This Row],[CANTIDAD]]</f>
        <v>0</v>
      </c>
      <c r="J10" s="1">
        <f>+IFERROR(VLOOKUP(E10,$AL$2:$AO$286,4,0),0)</f>
        <v>0</v>
      </c>
      <c r="K10" s="240" t="str">
        <f t="shared" si="1"/>
        <v/>
      </c>
      <c r="O10" s="226">
        <v>1</v>
      </c>
      <c r="P10" s="13">
        <v>12</v>
      </c>
      <c r="Q10" s="13">
        <v>100</v>
      </c>
      <c r="R10" s="13"/>
      <c r="S10" s="227">
        <v>0.27</v>
      </c>
      <c r="T10" s="228">
        <f>+Resortes_2[[#This Row],[Precio USD]]*$AJ$1</f>
        <v>36.450000000000003</v>
      </c>
      <c r="U10" s="228"/>
      <c r="V10" s="13" t="str">
        <f>+IF(Resortes_2[[#This Row],[Vueltas]]="",Resortes_2[[#This Row],[Alambre]]&amp;" x "&amp;Resortes_2[[#This Row],[Diametro]]&amp;" x "&amp;Resortes_2[[#This Row],[Largo]],Resortes_2[[#This Row],[Alambre]]&amp;" x "&amp;Resortes_2[[#This Row],[Diametro]]&amp;" x "&amp;Resortes_2[[#This Row],[Largo]]&amp;" x "&amp;Resortes_2[[#This Row],[Vueltas]])</f>
        <v>1 x 12 x 100</v>
      </c>
      <c r="W10" s="229" t="s">
        <v>9017</v>
      </c>
      <c r="X10" s="230" t="str">
        <f>+Resortes_2[[#This Row],[MEDIDA]]&amp;Resortes_2[[#This Row],[TIPO]]</f>
        <v>1 x 12 x 100EXPANSIÓN</v>
      </c>
      <c r="Y10" s="13">
        <v>13</v>
      </c>
      <c r="Z10" s="13"/>
      <c r="AA10" s="13"/>
      <c r="AB10" s="458" t="str">
        <f>+Resortes_2[[#This Row],[Alambre]]&amp;" x "&amp;Resortes_2[[#This Row],[Diametro]]&amp;" x "&amp;Resortes_2[[#This Row],[Largo]]</f>
        <v>1 x 12 x 100</v>
      </c>
      <c r="AC10" s="13">
        <f>+Resortes_2[[#This Row],[Vueltas]]</f>
        <v>0</v>
      </c>
      <c r="AD10" s="13"/>
      <c r="AE10" s="13"/>
      <c r="AF10" s="13"/>
      <c r="AG10" s="13"/>
      <c r="AL10">
        <v>9</v>
      </c>
      <c r="AM10" t="s">
        <v>9026</v>
      </c>
      <c r="AN10" s="1">
        <v>136.02614999999997</v>
      </c>
      <c r="AO10" s="2">
        <f t="shared" si="0"/>
        <v>74.814382499999994</v>
      </c>
    </row>
    <row r="11" spans="1:53" ht="13.5" thickBot="1" x14ac:dyDescent="0.25">
      <c r="A11" s="3" t="str">
        <f>+IFERROR(IFERROR(INDEX(Resortes_2[MEDIDA],MATCH(E11,Resortes_2[Nº],0),1),VLOOKUP(E11,$AL$2:$AM$286,2,0)),"")</f>
        <v>COMPRESION - 1,5 x 14 L.: 195 mm</v>
      </c>
      <c r="B11" s="3" t="str">
        <f>IFERROR(INDEX(Resortes_2[TIPO],MATCH(E11,Resortes_2[Nº],0),1),"")</f>
        <v/>
      </c>
      <c r="C11" s="13"/>
      <c r="E11">
        <v>850</v>
      </c>
      <c r="G11" s="243" t="s">
        <v>8164</v>
      </c>
      <c r="H11" s="244">
        <f>+SUM(H2:H10)</f>
        <v>27000</v>
      </c>
      <c r="J11" s="1">
        <f>+IFERROR(VLOOKUP(E11,$AL$2:$AO$286,4,0),0)</f>
        <v>114.04800000000002</v>
      </c>
      <c r="K11" s="240"/>
      <c r="O11" s="226">
        <v>1</v>
      </c>
      <c r="P11" s="13">
        <v>12</v>
      </c>
      <c r="Q11" s="13">
        <v>150</v>
      </c>
      <c r="R11" s="13"/>
      <c r="S11" s="227">
        <v>0.32</v>
      </c>
      <c r="T11" s="228">
        <f>+Resortes_2[[#This Row],[Precio USD]]*$AJ$1</f>
        <v>43.2</v>
      </c>
      <c r="U11" s="228"/>
      <c r="V11" s="13" t="str">
        <f>+IF(Resortes_2[[#This Row],[Vueltas]]="",Resortes_2[[#This Row],[Alambre]]&amp;" x "&amp;Resortes_2[[#This Row],[Diametro]]&amp;" x "&amp;Resortes_2[[#This Row],[Largo]],Resortes_2[[#This Row],[Alambre]]&amp;" x "&amp;Resortes_2[[#This Row],[Diametro]]&amp;" x "&amp;Resortes_2[[#This Row],[Largo]]&amp;" x "&amp;Resortes_2[[#This Row],[Vueltas]])</f>
        <v>1 x 12 x 150</v>
      </c>
      <c r="W11" s="229" t="s">
        <v>9017</v>
      </c>
      <c r="X11" s="230" t="str">
        <f>+Resortes_2[[#This Row],[MEDIDA]]&amp;Resortes_2[[#This Row],[TIPO]]</f>
        <v>1 x 12 x 150EXPANSIÓN</v>
      </c>
      <c r="Y11" s="13">
        <v>14</v>
      </c>
      <c r="Z11" s="13"/>
      <c r="AA11" s="13"/>
      <c r="AB11" s="458" t="str">
        <f>+Resortes_2[[#This Row],[Alambre]]&amp;" x "&amp;Resortes_2[[#This Row],[Diametro]]&amp;" x "&amp;Resortes_2[[#This Row],[Largo]]</f>
        <v>1 x 12 x 150</v>
      </c>
      <c r="AC11" s="13">
        <f>+Resortes_2[[#This Row],[Vueltas]]</f>
        <v>0</v>
      </c>
      <c r="AD11" s="13"/>
      <c r="AE11" s="13"/>
      <c r="AF11" s="13"/>
      <c r="AG11" s="13"/>
      <c r="AL11">
        <v>10</v>
      </c>
      <c r="AM11" t="s">
        <v>9027</v>
      </c>
      <c r="AN11" s="1">
        <v>194.31867</v>
      </c>
      <c r="AO11" s="2">
        <f t="shared" si="0"/>
        <v>106.8752685</v>
      </c>
    </row>
    <row r="12" spans="1:53" x14ac:dyDescent="0.2">
      <c r="A12" s="3" t="str">
        <f>+IFERROR(IFERROR(INDEX(Resortes_2[MEDIDA],MATCH(E12,Resortes_2[Nº],0),1),VLOOKUP(E12,$AL$2:$AM$286,2,0)),"")</f>
        <v>COMPRESION - 1,5 x 16 L.: 195 mm</v>
      </c>
      <c r="B12" s="3" t="str">
        <f>IFERROR(INDEX(Resortes_2[TIPO],MATCH(E12,Resortes_2[Nº],0),1),"")</f>
        <v/>
      </c>
      <c r="C12" s="13"/>
      <c r="E12">
        <v>852</v>
      </c>
      <c r="K12" s="240"/>
      <c r="O12" s="226">
        <v>1.25</v>
      </c>
      <c r="P12" s="13">
        <v>10</v>
      </c>
      <c r="Q12" s="13">
        <v>100</v>
      </c>
      <c r="R12" s="13"/>
      <c r="S12" s="227">
        <v>0.23</v>
      </c>
      <c r="T12" s="228">
        <f>+Resortes_2[[#This Row],[Precio USD]]*$AJ$1</f>
        <v>31.05</v>
      </c>
      <c r="U12" s="228"/>
      <c r="V12" s="13" t="str">
        <f>+IF(Resortes_2[[#This Row],[Vueltas]]="",Resortes_2[[#This Row],[Alambre]]&amp;" x "&amp;Resortes_2[[#This Row],[Diametro]]&amp;" x "&amp;Resortes_2[[#This Row],[Largo]],Resortes_2[[#This Row],[Alambre]]&amp;" x "&amp;Resortes_2[[#This Row],[Diametro]]&amp;" x "&amp;Resortes_2[[#This Row],[Largo]]&amp;" x "&amp;Resortes_2[[#This Row],[Vueltas]])</f>
        <v>1,25 x 10 x 100</v>
      </c>
      <c r="W12" s="229" t="s">
        <v>9017</v>
      </c>
      <c r="X12" s="230" t="str">
        <f>+Resortes_2[[#This Row],[MEDIDA]]&amp;Resortes_2[[#This Row],[TIPO]]</f>
        <v>1,25 x 10 x 100EXPANSIÓN</v>
      </c>
      <c r="Y12" s="13">
        <v>16</v>
      </c>
      <c r="Z12" s="13"/>
      <c r="AA12" s="13"/>
      <c r="AB12" s="458" t="str">
        <f>+Resortes_2[[#This Row],[Alambre]]&amp;" x "&amp;Resortes_2[[#This Row],[Diametro]]&amp;" x "&amp;Resortes_2[[#This Row],[Largo]]</f>
        <v>1,25 x 10 x 100</v>
      </c>
      <c r="AC12" s="13">
        <f>+Resortes_2[[#This Row],[Vueltas]]</f>
        <v>0</v>
      </c>
      <c r="AD12" s="13"/>
      <c r="AE12" s="13"/>
      <c r="AF12" s="13"/>
      <c r="AG12" s="13"/>
      <c r="AL12">
        <v>11</v>
      </c>
      <c r="AM12" t="s">
        <v>9028</v>
      </c>
      <c r="AN12" s="1">
        <v>194.31867</v>
      </c>
      <c r="AO12" s="2">
        <f t="shared" si="0"/>
        <v>106.8752685</v>
      </c>
    </row>
    <row r="13" spans="1:53" x14ac:dyDescent="0.2">
      <c r="A13" s="3" t="str">
        <f>+IFERROR(IFERROR(INDEX(Resortes_2[MEDIDA],MATCH(E13,Resortes_2[Nº],0),1),VLOOKUP(E13,$AL$2:$AM$286,2,0)),"")</f>
        <v>COMPRESION - 1,75 x 28 L.: 195 mm</v>
      </c>
      <c r="B13" s="3" t="str">
        <f>IFERROR(INDEX(Resortes_2[TIPO],MATCH(E13,Resortes_2[Nº],0),1),"")</f>
        <v/>
      </c>
      <c r="C13" s="13"/>
      <c r="E13">
        <v>864</v>
      </c>
      <c r="K13" s="240"/>
      <c r="O13" s="226">
        <v>1.25</v>
      </c>
      <c r="P13" s="13">
        <v>12</v>
      </c>
      <c r="Q13" s="13">
        <v>150</v>
      </c>
      <c r="R13" s="13"/>
      <c r="S13" s="227">
        <v>0.32</v>
      </c>
      <c r="T13" s="228">
        <f>+Resortes_2[[#This Row],[Precio USD]]*$AJ$1</f>
        <v>43.2</v>
      </c>
      <c r="U13" s="228"/>
      <c r="V13" s="13" t="str">
        <f>+IF(Resortes_2[[#This Row],[Vueltas]]="",Resortes_2[[#This Row],[Alambre]]&amp;" x "&amp;Resortes_2[[#This Row],[Diametro]]&amp;" x "&amp;Resortes_2[[#This Row],[Largo]],Resortes_2[[#This Row],[Alambre]]&amp;" x "&amp;Resortes_2[[#This Row],[Diametro]]&amp;" x "&amp;Resortes_2[[#This Row],[Largo]]&amp;" x "&amp;Resortes_2[[#This Row],[Vueltas]])</f>
        <v>1,25 x 12 x 150</v>
      </c>
      <c r="W13" s="229" t="s">
        <v>9017</v>
      </c>
      <c r="X13" s="230" t="str">
        <f>+Resortes_2[[#This Row],[MEDIDA]]&amp;Resortes_2[[#This Row],[TIPO]]</f>
        <v>1,25 x 12 x 150EXPANSIÓN</v>
      </c>
      <c r="Y13" s="13">
        <v>17</v>
      </c>
      <c r="Z13" s="13"/>
      <c r="AA13" s="13"/>
      <c r="AB13" s="458" t="str">
        <f>+Resortes_2[[#This Row],[Alambre]]&amp;" x "&amp;Resortes_2[[#This Row],[Diametro]]&amp;" x "&amp;Resortes_2[[#This Row],[Largo]]</f>
        <v>1,25 x 12 x 150</v>
      </c>
      <c r="AC13" s="13">
        <f>+Resortes_2[[#This Row],[Vueltas]]</f>
        <v>0</v>
      </c>
      <c r="AD13" s="13"/>
      <c r="AE13" s="13"/>
      <c r="AF13" s="13"/>
      <c r="AG13" s="13"/>
      <c r="AL13">
        <v>12</v>
      </c>
      <c r="AM13" t="s">
        <v>9029</v>
      </c>
      <c r="AN13" s="1">
        <v>224.20436999999998</v>
      </c>
      <c r="AO13" s="2">
        <f t="shared" si="0"/>
        <v>123.3124035</v>
      </c>
    </row>
    <row r="14" spans="1:53" x14ac:dyDescent="0.2">
      <c r="A14" s="3" t="str">
        <f>+IFERROR(IFERROR(INDEX(Resortes_2[MEDIDA],MATCH(E14,Resortes_2[Nº],0),1),VLOOKUP(E14,$AL$2:$AM$286,2,0)),"")</f>
        <v/>
      </c>
      <c r="B14" s="3" t="str">
        <f>IFERROR(INDEX(Resortes_2[TIPO],MATCH(E14,Resortes_2[Nº],0),1),"")</f>
        <v/>
      </c>
      <c r="C14" s="13"/>
      <c r="E14"/>
      <c r="K14" s="240"/>
      <c r="O14" s="226">
        <v>1.5</v>
      </c>
      <c r="P14" s="13">
        <v>10</v>
      </c>
      <c r="Q14" s="13">
        <v>100</v>
      </c>
      <c r="R14" s="13"/>
      <c r="S14" s="227">
        <v>0.22</v>
      </c>
      <c r="T14" s="228">
        <f>+Resortes_2[[#This Row],[Precio USD]]*$AJ$1</f>
        <v>29.7</v>
      </c>
      <c r="U14" s="228"/>
      <c r="V14" s="13" t="str">
        <f>+IF(Resortes_2[[#This Row],[Vueltas]]="",Resortes_2[[#This Row],[Alambre]]&amp;" x "&amp;Resortes_2[[#This Row],[Diametro]]&amp;" x "&amp;Resortes_2[[#This Row],[Largo]],Resortes_2[[#This Row],[Alambre]]&amp;" x "&amp;Resortes_2[[#This Row],[Diametro]]&amp;" x "&amp;Resortes_2[[#This Row],[Largo]]&amp;" x "&amp;Resortes_2[[#This Row],[Vueltas]])</f>
        <v>1,5 x 10 x 100</v>
      </c>
      <c r="W14" s="229" t="s">
        <v>9017</v>
      </c>
      <c r="X14" s="230" t="str">
        <f>+Resortes_2[[#This Row],[MEDIDA]]&amp;Resortes_2[[#This Row],[TIPO]]</f>
        <v>1,5 x 10 x 100EXPANSIÓN</v>
      </c>
      <c r="Y14" s="13">
        <v>18</v>
      </c>
      <c r="Z14" s="13"/>
      <c r="AA14" s="13"/>
      <c r="AB14" s="458" t="str">
        <f>+Resortes_2[[#This Row],[Alambre]]&amp;" x "&amp;Resortes_2[[#This Row],[Diametro]]&amp;" x "&amp;Resortes_2[[#This Row],[Largo]]</f>
        <v>1,5 x 10 x 100</v>
      </c>
      <c r="AC14" s="13">
        <f>+Resortes_2[[#This Row],[Vueltas]]</f>
        <v>0</v>
      </c>
      <c r="AD14" s="13"/>
      <c r="AE14" s="13"/>
      <c r="AF14" s="13"/>
      <c r="AG14" s="13"/>
      <c r="AL14">
        <v>13</v>
      </c>
      <c r="AM14" t="s">
        <v>9030</v>
      </c>
      <c r="AN14" s="1">
        <v>224.20436999999998</v>
      </c>
      <c r="AO14" s="2">
        <f t="shared" si="0"/>
        <v>123.3124035</v>
      </c>
      <c r="AY14" s="240"/>
      <c r="AZ14" s="240"/>
      <c r="BA14" s="240"/>
    </row>
    <row r="15" spans="1:53" x14ac:dyDescent="0.2">
      <c r="A15" s="3" t="str">
        <f>+IFERROR(IFERROR(INDEX(Resortes_2[MEDIDA],MATCH(E15,Resortes_2[Nº],0),1),VLOOKUP(E15,$AL$2:$AM$286,2,0)),"")</f>
        <v/>
      </c>
      <c r="B15" s="3" t="str">
        <f>IFERROR(INDEX(Resortes_2[TIPO],MATCH(E15,Resortes_2[Nº],0),1),"")</f>
        <v/>
      </c>
      <c r="C15" s="13"/>
      <c r="E15"/>
      <c r="K15" s="240"/>
      <c r="O15" s="226">
        <v>1.5</v>
      </c>
      <c r="P15" s="13">
        <v>12</v>
      </c>
      <c r="Q15" s="13">
        <v>100</v>
      </c>
      <c r="R15" s="13"/>
      <c r="S15" s="227">
        <v>0.27</v>
      </c>
      <c r="T15" s="228">
        <f>+Resortes_2[[#This Row],[Precio USD]]*$AJ$1</f>
        <v>36.450000000000003</v>
      </c>
      <c r="U15" s="228"/>
      <c r="V15" s="13" t="str">
        <f>+IF(Resortes_2[[#This Row],[Vueltas]]="",Resortes_2[[#This Row],[Alambre]]&amp;" x "&amp;Resortes_2[[#This Row],[Diametro]]&amp;" x "&amp;Resortes_2[[#This Row],[Largo]],Resortes_2[[#This Row],[Alambre]]&amp;" x "&amp;Resortes_2[[#This Row],[Diametro]]&amp;" x "&amp;Resortes_2[[#This Row],[Largo]]&amp;" x "&amp;Resortes_2[[#This Row],[Vueltas]])</f>
        <v>1,5 x 12 x 100</v>
      </c>
      <c r="W15" s="229" t="s">
        <v>9017</v>
      </c>
      <c r="X15" s="230" t="str">
        <f>+Resortes_2[[#This Row],[MEDIDA]]&amp;Resortes_2[[#This Row],[TIPO]]</f>
        <v>1,5 x 12 x 100EXPANSIÓN</v>
      </c>
      <c r="Y15" s="13">
        <v>19</v>
      </c>
      <c r="Z15" s="13"/>
      <c r="AA15" s="13"/>
      <c r="AB15" s="458" t="str">
        <f>+Resortes_2[[#This Row],[Alambre]]&amp;" x "&amp;Resortes_2[[#This Row],[Diametro]]&amp;" x "&amp;Resortes_2[[#This Row],[Largo]]</f>
        <v>1,5 x 12 x 100</v>
      </c>
      <c r="AC15" s="13">
        <f>+Resortes_2[[#This Row],[Vueltas]]</f>
        <v>0</v>
      </c>
      <c r="AD15" s="13"/>
      <c r="AE15" s="13"/>
      <c r="AF15" s="13"/>
      <c r="AG15" s="13"/>
      <c r="AL15">
        <v>14</v>
      </c>
      <c r="AM15" t="s">
        <v>9031</v>
      </c>
      <c r="AN15" s="1">
        <v>284.00657999999999</v>
      </c>
      <c r="AO15" s="2">
        <f t="shared" si="0"/>
        <v>156.203619</v>
      </c>
    </row>
    <row r="16" spans="1:53" x14ac:dyDescent="0.2">
      <c r="A16" s="3" t="str">
        <f>+IFERROR(IFERROR(INDEX(Resortes_2[MEDIDA],MATCH(E16,Resortes_2[Nº],0),1),VLOOKUP(E16,$AL$2:$AM$286,2,0)),"")</f>
        <v/>
      </c>
      <c r="B16" s="3" t="str">
        <f>IFERROR(INDEX(Resortes_2[TIPO],MATCH(E16,Resortes_2[Nº],0),1),"")</f>
        <v/>
      </c>
      <c r="C16" s="13"/>
      <c r="K16" s="240"/>
      <c r="O16" s="226">
        <v>1.5</v>
      </c>
      <c r="P16" s="13">
        <v>14</v>
      </c>
      <c r="Q16" s="13">
        <v>100</v>
      </c>
      <c r="R16" s="13"/>
      <c r="S16" s="227">
        <v>0.27</v>
      </c>
      <c r="T16" s="228">
        <f>+Resortes_2[[#This Row],[Precio USD]]*$AJ$1</f>
        <v>36.450000000000003</v>
      </c>
      <c r="U16" s="228"/>
      <c r="V16" s="13" t="str">
        <f>+IF(Resortes_2[[#This Row],[Vueltas]]="",Resortes_2[[#This Row],[Alambre]]&amp;" x "&amp;Resortes_2[[#This Row],[Diametro]]&amp;" x "&amp;Resortes_2[[#This Row],[Largo]],Resortes_2[[#This Row],[Alambre]]&amp;" x "&amp;Resortes_2[[#This Row],[Diametro]]&amp;" x "&amp;Resortes_2[[#This Row],[Largo]]&amp;" x "&amp;Resortes_2[[#This Row],[Vueltas]])</f>
        <v>1,5 x 14 x 100</v>
      </c>
      <c r="W16" s="229" t="s">
        <v>9017</v>
      </c>
      <c r="X16" s="230" t="str">
        <f>+Resortes_2[[#This Row],[MEDIDA]]&amp;Resortes_2[[#This Row],[TIPO]]</f>
        <v>1,5 x 14 x 100EXPANSIÓN</v>
      </c>
      <c r="Y16" s="13">
        <v>20</v>
      </c>
      <c r="Z16" s="13"/>
      <c r="AA16" s="13"/>
      <c r="AB16" s="458" t="str">
        <f>+Resortes_2[[#This Row],[Alambre]]&amp;" x "&amp;Resortes_2[[#This Row],[Diametro]]&amp;" x "&amp;Resortes_2[[#This Row],[Largo]]</f>
        <v>1,5 x 14 x 100</v>
      </c>
      <c r="AC16" s="13">
        <f>+Resortes_2[[#This Row],[Vueltas]]</f>
        <v>0</v>
      </c>
      <c r="AD16" s="13"/>
      <c r="AE16" s="13"/>
      <c r="AF16" s="13"/>
      <c r="AG16" s="13"/>
      <c r="AL16">
        <v>15</v>
      </c>
      <c r="AM16" t="s">
        <v>9032</v>
      </c>
      <c r="AN16" s="1">
        <v>179.37581999999998</v>
      </c>
      <c r="AO16" s="2">
        <f t="shared" si="0"/>
        <v>98.656700999999998</v>
      </c>
      <c r="AX16" s="1"/>
      <c r="AY16" s="2"/>
      <c r="AZ16" s="2"/>
      <c r="BA16" s="2"/>
    </row>
    <row r="17" spans="1:41" x14ac:dyDescent="0.2">
      <c r="A17" s="3" t="str">
        <f>+IFERROR(IFERROR(INDEX(Resortes_2[MEDIDA],MATCH(E17,Resortes_2[Nº],0),1),VLOOKUP(E17,$AL$2:$AM$286,2,0)),"")</f>
        <v/>
      </c>
      <c r="B17" s="3" t="str">
        <f>IFERROR(INDEX(Resortes_2[TIPO],MATCH(E17,Resortes_2[Nº],0),1),"")</f>
        <v/>
      </c>
      <c r="C17" s="13"/>
      <c r="H17" t="s">
        <v>9033</v>
      </c>
      <c r="K17" s="240"/>
      <c r="O17" s="226">
        <v>1.5</v>
      </c>
      <c r="P17" s="13">
        <v>16</v>
      </c>
      <c r="Q17" s="13">
        <v>150</v>
      </c>
      <c r="R17" s="13"/>
      <c r="S17" s="227">
        <v>0.32</v>
      </c>
      <c r="T17" s="228">
        <f>+Resortes_2[[#This Row],[Precio USD]]*$AJ$1</f>
        <v>43.2</v>
      </c>
      <c r="U17" s="228"/>
      <c r="V17" s="13" t="str">
        <f>+IF(Resortes_2[[#This Row],[Vueltas]]="",Resortes_2[[#This Row],[Alambre]]&amp;" x "&amp;Resortes_2[[#This Row],[Diametro]]&amp;" x "&amp;Resortes_2[[#This Row],[Largo]],Resortes_2[[#This Row],[Alambre]]&amp;" x "&amp;Resortes_2[[#This Row],[Diametro]]&amp;" x "&amp;Resortes_2[[#This Row],[Largo]]&amp;" x "&amp;Resortes_2[[#This Row],[Vueltas]])</f>
        <v>1,5 x 16 x 150</v>
      </c>
      <c r="W17" s="229" t="s">
        <v>9017</v>
      </c>
      <c r="X17" s="230" t="str">
        <f>+Resortes_2[[#This Row],[MEDIDA]]&amp;Resortes_2[[#This Row],[TIPO]]</f>
        <v>1,5 x 16 x 150EXPANSIÓN</v>
      </c>
      <c r="Y17" s="13">
        <v>21</v>
      </c>
      <c r="Z17" s="13"/>
      <c r="AA17" s="13"/>
      <c r="AB17" s="458" t="str">
        <f>+Resortes_2[[#This Row],[Alambre]]&amp;" x "&amp;Resortes_2[[#This Row],[Diametro]]&amp;" x "&amp;Resortes_2[[#This Row],[Largo]]</f>
        <v>1,5 x 16 x 150</v>
      </c>
      <c r="AC17" s="13">
        <f>+Resortes_2[[#This Row],[Vueltas]]</f>
        <v>0</v>
      </c>
      <c r="AD17" s="13"/>
      <c r="AE17" s="13"/>
      <c r="AF17" s="13"/>
      <c r="AG17" s="13"/>
      <c r="AL17">
        <v>16</v>
      </c>
      <c r="AM17" t="s">
        <v>9034</v>
      </c>
      <c r="AN17" s="1">
        <v>194.31867</v>
      </c>
      <c r="AO17" s="2">
        <f t="shared" si="0"/>
        <v>106.8752685</v>
      </c>
    </row>
    <row r="18" spans="1:41" x14ac:dyDescent="0.2">
      <c r="A18" s="3" t="str">
        <f>+IFERROR(IFERROR(INDEX(Resortes_2[MEDIDA],MATCH(E18,Resortes_2[Nº],0),1),VLOOKUP(E18,$AL$2:$AM$286,2,0)),"")</f>
        <v/>
      </c>
      <c r="B18" s="3" t="str">
        <f>IFERROR(INDEX(Resortes_2[TIPO],MATCH(E18,Resortes_2[Nº],0),1),"")</f>
        <v/>
      </c>
      <c r="C18" s="13"/>
      <c r="E18" s="30"/>
      <c r="H18" s="1">
        <v>417716</v>
      </c>
      <c r="K18" s="240"/>
      <c r="O18" s="226">
        <v>1.75</v>
      </c>
      <c r="P18" s="13">
        <v>14</v>
      </c>
      <c r="Q18" s="13">
        <v>100</v>
      </c>
      <c r="R18" s="13"/>
      <c r="S18" s="227">
        <v>0.27</v>
      </c>
      <c r="T18" s="228">
        <f>+Resortes_2[[#This Row],[Precio USD]]*$AJ$1</f>
        <v>36.450000000000003</v>
      </c>
      <c r="U18" s="228"/>
      <c r="V18" s="13" t="str">
        <f>+IF(Resortes_2[[#This Row],[Vueltas]]="",Resortes_2[[#This Row],[Alambre]]&amp;" x "&amp;Resortes_2[[#This Row],[Diametro]]&amp;" x "&amp;Resortes_2[[#This Row],[Largo]],Resortes_2[[#This Row],[Alambre]]&amp;" x "&amp;Resortes_2[[#This Row],[Diametro]]&amp;" x "&amp;Resortes_2[[#This Row],[Largo]]&amp;" x "&amp;Resortes_2[[#This Row],[Vueltas]])</f>
        <v>1,75 x 14 x 100</v>
      </c>
      <c r="W18" s="229" t="s">
        <v>9017</v>
      </c>
      <c r="X18" s="230" t="str">
        <f>+Resortes_2[[#This Row],[MEDIDA]]&amp;Resortes_2[[#This Row],[TIPO]]</f>
        <v>1,75 x 14 x 100EXPANSIÓN</v>
      </c>
      <c r="Y18" s="589">
        <v>23</v>
      </c>
      <c r="Z18" s="13"/>
      <c r="AA18" s="13"/>
      <c r="AB18" s="458" t="str">
        <f>+Resortes_2[[#This Row],[Alambre]]&amp;" x "&amp;Resortes_2[[#This Row],[Diametro]]&amp;" x "&amp;Resortes_2[[#This Row],[Largo]]</f>
        <v>1,75 x 14 x 100</v>
      </c>
      <c r="AC18" s="13">
        <f>+Resortes_2[[#This Row],[Vueltas]]</f>
        <v>0</v>
      </c>
      <c r="AD18" s="13"/>
      <c r="AE18" s="13"/>
      <c r="AF18" s="13"/>
      <c r="AG18" s="13"/>
      <c r="AL18">
        <v>17</v>
      </c>
      <c r="AM18" t="s">
        <v>9035</v>
      </c>
      <c r="AN18" s="1">
        <v>291.46259999999995</v>
      </c>
      <c r="AO18" s="2">
        <f t="shared" si="0"/>
        <v>160.30443</v>
      </c>
    </row>
    <row r="19" spans="1:41" x14ac:dyDescent="0.2">
      <c r="A19" s="3" t="str">
        <f>+IFERROR(IFERROR(INDEX(Resortes_2[MEDIDA],MATCH(E19,Resortes_2[Nº],0),1),VLOOKUP(E19,$AL$2:$AM$286,2,0)),"")</f>
        <v/>
      </c>
      <c r="B19" s="3" t="str">
        <f>IFERROR(INDEX(Resortes_2[TIPO],MATCH(E19,Resortes_2[Nº],0),1),"")</f>
        <v/>
      </c>
      <c r="C19" s="13"/>
      <c r="E19" s="30"/>
      <c r="K19" s="240"/>
      <c r="O19" s="226">
        <v>1.75</v>
      </c>
      <c r="P19" s="13">
        <v>16</v>
      </c>
      <c r="Q19" s="13">
        <v>100</v>
      </c>
      <c r="R19" s="13"/>
      <c r="S19" s="227">
        <v>0.27</v>
      </c>
      <c r="T19" s="228">
        <f>+Resortes_2[[#This Row],[Precio USD]]*$AJ$1</f>
        <v>36.450000000000003</v>
      </c>
      <c r="U19" s="228"/>
      <c r="V19" s="13" t="str">
        <f>+IF(Resortes_2[[#This Row],[Vueltas]]="",Resortes_2[[#This Row],[Alambre]]&amp;" x "&amp;Resortes_2[[#This Row],[Diametro]]&amp;" x "&amp;Resortes_2[[#This Row],[Largo]],Resortes_2[[#This Row],[Alambre]]&amp;" x "&amp;Resortes_2[[#This Row],[Diametro]]&amp;" x "&amp;Resortes_2[[#This Row],[Largo]]&amp;" x "&amp;Resortes_2[[#This Row],[Vueltas]])</f>
        <v>1,75 x 16 x 100</v>
      </c>
      <c r="W19" s="229" t="s">
        <v>9017</v>
      </c>
      <c r="X19" s="230" t="str">
        <f>+Resortes_2[[#This Row],[MEDIDA]]&amp;Resortes_2[[#This Row],[TIPO]]</f>
        <v>1,75 x 16 x 100EXPANSIÓN</v>
      </c>
      <c r="Y19" s="589">
        <v>24</v>
      </c>
      <c r="Z19" s="13"/>
      <c r="AA19" s="13"/>
      <c r="AB19" s="458" t="str">
        <f>+Resortes_2[[#This Row],[Alambre]]&amp;" x "&amp;Resortes_2[[#This Row],[Diametro]]&amp;" x "&amp;Resortes_2[[#This Row],[Largo]]</f>
        <v>1,75 x 16 x 100</v>
      </c>
      <c r="AC19" s="13">
        <f>+Resortes_2[[#This Row],[Vueltas]]</f>
        <v>0</v>
      </c>
      <c r="AD19" s="13"/>
      <c r="AE19" s="13"/>
      <c r="AF19" s="13"/>
      <c r="AG19" s="13"/>
      <c r="AL19">
        <v>18</v>
      </c>
      <c r="AM19" t="s">
        <v>9036</v>
      </c>
      <c r="AN19" s="1">
        <v>209.26151999999996</v>
      </c>
      <c r="AO19" s="2">
        <f t="shared" si="0"/>
        <v>115.09383599999998</v>
      </c>
    </row>
    <row r="20" spans="1:41" x14ac:dyDescent="0.2">
      <c r="K20" s="240"/>
      <c r="O20" s="226">
        <v>2</v>
      </c>
      <c r="P20" s="13">
        <v>14</v>
      </c>
      <c r="Q20" s="13">
        <v>100</v>
      </c>
      <c r="R20" s="13"/>
      <c r="S20" s="227">
        <v>0.27</v>
      </c>
      <c r="T20" s="228">
        <f>+Resortes_2[[#This Row],[Precio USD]]*$AJ$1</f>
        <v>36.450000000000003</v>
      </c>
      <c r="U20" s="228"/>
      <c r="V20" s="13" t="str">
        <f>+IF(Resortes_2[[#This Row],[Vueltas]]="",Resortes_2[[#This Row],[Alambre]]&amp;" x "&amp;Resortes_2[[#This Row],[Diametro]]&amp;" x "&amp;Resortes_2[[#This Row],[Largo]],Resortes_2[[#This Row],[Alambre]]&amp;" x "&amp;Resortes_2[[#This Row],[Diametro]]&amp;" x "&amp;Resortes_2[[#This Row],[Largo]]&amp;" x "&amp;Resortes_2[[#This Row],[Vueltas]])</f>
        <v>2 x 14 x 100</v>
      </c>
      <c r="W20" s="229" t="s">
        <v>9017</v>
      </c>
      <c r="X20" s="230" t="str">
        <f>+Resortes_2[[#This Row],[MEDIDA]]&amp;Resortes_2[[#This Row],[TIPO]]</f>
        <v>2 x 14 x 100EXPANSIÓN</v>
      </c>
      <c r="Y20" s="13">
        <v>25</v>
      </c>
      <c r="Z20" s="13"/>
      <c r="AA20" s="13"/>
      <c r="AB20" s="458" t="str">
        <f>+Resortes_2[[#This Row],[Alambre]]&amp;" x "&amp;Resortes_2[[#This Row],[Diametro]]&amp;" x "&amp;Resortes_2[[#This Row],[Largo]]</f>
        <v>2 x 14 x 100</v>
      </c>
      <c r="AC20" s="13">
        <f>+Resortes_2[[#This Row],[Vueltas]]</f>
        <v>0</v>
      </c>
      <c r="AD20" s="13"/>
      <c r="AE20" s="13"/>
      <c r="AF20" s="13"/>
      <c r="AG20" s="13"/>
      <c r="AL20">
        <v>19</v>
      </c>
      <c r="AM20" t="s">
        <v>9037</v>
      </c>
      <c r="AN20" s="1">
        <v>224.20436999999998</v>
      </c>
      <c r="AO20" s="2">
        <f t="shared" si="0"/>
        <v>123.3124035</v>
      </c>
    </row>
    <row r="21" spans="1:41" ht="13.5" thickBot="1" x14ac:dyDescent="0.25">
      <c r="F21" s="940" t="s">
        <v>8763</v>
      </c>
      <c r="I21" s="240"/>
      <c r="O21" s="226">
        <v>2</v>
      </c>
      <c r="P21" s="13">
        <v>16</v>
      </c>
      <c r="Q21" s="13">
        <v>150</v>
      </c>
      <c r="R21" s="13"/>
      <c r="S21" s="227">
        <v>0.4</v>
      </c>
      <c r="T21" s="228">
        <f>+Resortes_2[[#This Row],[Precio USD]]*$AJ$1</f>
        <v>54</v>
      </c>
      <c r="U21" s="228"/>
      <c r="V21" s="13" t="str">
        <f>+IF(Resortes_2[[#This Row],[Vueltas]]="",Resortes_2[[#This Row],[Alambre]]&amp;" x "&amp;Resortes_2[[#This Row],[Diametro]]&amp;" x "&amp;Resortes_2[[#This Row],[Largo]],Resortes_2[[#This Row],[Alambre]]&amp;" x "&amp;Resortes_2[[#This Row],[Diametro]]&amp;" x "&amp;Resortes_2[[#This Row],[Largo]]&amp;" x "&amp;Resortes_2[[#This Row],[Vueltas]])</f>
        <v>2 x 16 x 150</v>
      </c>
      <c r="W21" s="229" t="s">
        <v>9017</v>
      </c>
      <c r="X21" s="230" t="str">
        <f>+Resortes_2[[#This Row],[MEDIDA]]&amp;Resortes_2[[#This Row],[TIPO]]</f>
        <v>2 x 16 x 150EXPANSIÓN</v>
      </c>
      <c r="Y21" s="13">
        <v>26</v>
      </c>
      <c r="Z21" s="13"/>
      <c r="AA21" s="13"/>
      <c r="AB21" s="458" t="str">
        <f>+Resortes_2[[#This Row],[Alambre]]&amp;" x "&amp;Resortes_2[[#This Row],[Diametro]]&amp;" x "&amp;Resortes_2[[#This Row],[Largo]]</f>
        <v>2 x 16 x 150</v>
      </c>
      <c r="AC21" s="13">
        <f>+Resortes_2[[#This Row],[Vueltas]]</f>
        <v>0</v>
      </c>
      <c r="AD21" s="13"/>
      <c r="AE21" s="13"/>
      <c r="AF21" s="13"/>
      <c r="AG21" s="13"/>
      <c r="AL21">
        <v>20</v>
      </c>
      <c r="AM21" t="s">
        <v>9038</v>
      </c>
      <c r="AN21" s="1">
        <v>239.14722</v>
      </c>
      <c r="AO21" s="2">
        <f t="shared" si="0"/>
        <v>131.53097100000002</v>
      </c>
    </row>
    <row r="22" spans="1:41" ht="13.5" thickBot="1" x14ac:dyDescent="0.25">
      <c r="A22" s="1493" t="s">
        <v>9039</v>
      </c>
      <c r="B22" s="1494"/>
      <c r="C22" s="1495"/>
      <c r="F22" s="942">
        <v>1030</v>
      </c>
      <c r="I22" s="240"/>
      <c r="O22" s="226">
        <v>0.8</v>
      </c>
      <c r="P22" s="13">
        <v>8</v>
      </c>
      <c r="Q22" s="13">
        <v>27</v>
      </c>
      <c r="R22" s="13"/>
      <c r="S22" s="227">
        <v>0.11</v>
      </c>
      <c r="T22" s="228">
        <f>+Resortes_2[[#This Row],[Precio USD]]*$AJ$1</f>
        <v>14.85</v>
      </c>
      <c r="U22" s="228"/>
      <c r="V22" s="13" t="str">
        <f>+IF(Resortes_2[[#This Row],[Vueltas]]="",Resortes_2[[#This Row],[Alambre]]&amp;" x "&amp;Resortes_2[[#This Row],[Diametro]]&amp;" x "&amp;Resortes_2[[#This Row],[Largo]],Resortes_2[[#This Row],[Alambre]]&amp;" x "&amp;Resortes_2[[#This Row],[Diametro]]&amp;" x "&amp;Resortes_2[[#This Row],[Largo]]&amp;" x "&amp;Resortes_2[[#This Row],[Vueltas]])</f>
        <v>0,8 x 8 x 27</v>
      </c>
      <c r="W22" s="229" t="s">
        <v>9017</v>
      </c>
      <c r="X22" s="230" t="str">
        <f>+Resortes_2[[#This Row],[MEDIDA]]&amp;Resortes_2[[#This Row],[TIPO]]</f>
        <v>0,8 x 8 x 27EXPANSIÓN</v>
      </c>
      <c r="Y22" s="13">
        <v>30</v>
      </c>
      <c r="Z22" s="13"/>
      <c r="AA22" s="13"/>
      <c r="AB22" s="458" t="str">
        <f>+Resortes_2[[#This Row],[Alambre]]&amp;" x "&amp;Resortes_2[[#This Row],[Diametro]]&amp;" x "&amp;Resortes_2[[#This Row],[Largo]]</f>
        <v>0,8 x 8 x 27</v>
      </c>
      <c r="AC22" s="13">
        <f>+Resortes_2[[#This Row],[Vueltas]]</f>
        <v>0</v>
      </c>
      <c r="AD22" s="13"/>
      <c r="AE22" s="13"/>
      <c r="AF22" s="13"/>
      <c r="AG22" s="13"/>
      <c r="AL22">
        <v>21</v>
      </c>
      <c r="AM22" t="s">
        <v>9040</v>
      </c>
      <c r="AN22" s="1">
        <v>328.83512999999999</v>
      </c>
      <c r="AO22" s="2">
        <f t="shared" si="0"/>
        <v>180.85932150000002</v>
      </c>
    </row>
    <row r="23" spans="1:41" x14ac:dyDescent="0.2">
      <c r="A23" s="644" t="s">
        <v>9007</v>
      </c>
      <c r="B23" s="645" t="s">
        <v>9008</v>
      </c>
      <c r="C23" s="646" t="s">
        <v>8160</v>
      </c>
      <c r="E23" s="30" t="s">
        <v>8799</v>
      </c>
      <c r="F23" s="32" t="s">
        <v>9013</v>
      </c>
      <c r="G23" s="32" t="s">
        <v>8164</v>
      </c>
      <c r="H23" s="240" t="s">
        <v>9041</v>
      </c>
      <c r="O23" s="226">
        <v>1.25</v>
      </c>
      <c r="P23" s="13">
        <v>7</v>
      </c>
      <c r="Q23" s="13">
        <v>32</v>
      </c>
      <c r="R23" s="13"/>
      <c r="S23" s="227">
        <v>0.11</v>
      </c>
      <c r="T23" s="228">
        <f>+Resortes_2[[#This Row],[Precio USD]]*$AJ$1</f>
        <v>14.85</v>
      </c>
      <c r="U23" s="228"/>
      <c r="V23" s="13" t="str">
        <f>+IF(Resortes_2[[#This Row],[Vueltas]]="",Resortes_2[[#This Row],[Alambre]]&amp;" x "&amp;Resortes_2[[#This Row],[Diametro]]&amp;" x "&amp;Resortes_2[[#This Row],[Largo]],Resortes_2[[#This Row],[Alambre]]&amp;" x "&amp;Resortes_2[[#This Row],[Diametro]]&amp;" x "&amp;Resortes_2[[#This Row],[Largo]]&amp;" x "&amp;Resortes_2[[#This Row],[Vueltas]])</f>
        <v>1,25 x 7 x 32</v>
      </c>
      <c r="W23" s="229" t="s">
        <v>9017</v>
      </c>
      <c r="X23" s="230" t="str">
        <f>+Resortes_2[[#This Row],[MEDIDA]]&amp;Resortes_2[[#This Row],[TIPO]]</f>
        <v>1,25 x 7 x 32EXPANSIÓN</v>
      </c>
      <c r="Y23" s="13">
        <v>33</v>
      </c>
      <c r="Z23" s="13"/>
      <c r="AA23" s="13"/>
      <c r="AB23" s="458" t="str">
        <f>+Resortes_2[[#This Row],[Alambre]]&amp;" x "&amp;Resortes_2[[#This Row],[Diametro]]&amp;" x "&amp;Resortes_2[[#This Row],[Largo]]</f>
        <v>1,25 x 7 x 32</v>
      </c>
      <c r="AC23" s="13">
        <f>+Resortes_2[[#This Row],[Vueltas]]</f>
        <v>0</v>
      </c>
      <c r="AD23" s="13"/>
      <c r="AE23" s="13"/>
      <c r="AF23" s="13"/>
      <c r="AG23" s="13"/>
      <c r="AL23">
        <v>22</v>
      </c>
      <c r="AM23" t="s">
        <v>9042</v>
      </c>
      <c r="AN23" s="1">
        <v>239.14722</v>
      </c>
      <c r="AO23" s="2">
        <f t="shared" si="0"/>
        <v>131.53097100000002</v>
      </c>
    </row>
    <row r="24" spans="1:41" x14ac:dyDescent="0.2">
      <c r="A24" s="7" t="s">
        <v>9043</v>
      </c>
      <c r="B24" s="394" t="s">
        <v>9044</v>
      </c>
      <c r="C24" s="15">
        <v>200</v>
      </c>
      <c r="E24" s="4">
        <v>126</v>
      </c>
      <c r="F24" s="2"/>
      <c r="G24" s="2">
        <f>+F24*C24</f>
        <v>0</v>
      </c>
      <c r="H24" s="941">
        <v>0.17</v>
      </c>
      <c r="O24" s="226">
        <v>0.8</v>
      </c>
      <c r="P24" s="13">
        <v>9.5</v>
      </c>
      <c r="Q24" s="13">
        <v>16</v>
      </c>
      <c r="R24" s="13">
        <v>6</v>
      </c>
      <c r="S24" s="227">
        <v>0.09</v>
      </c>
      <c r="T24" s="228">
        <f>+Resortes_2[[#This Row],[Precio USD]]*$AJ$1</f>
        <v>12.15</v>
      </c>
      <c r="U24" s="228"/>
      <c r="V24" s="13" t="str">
        <f>+IF(Resortes_2[[#This Row],[Vueltas]]="",Resortes_2[[#This Row],[Alambre]]&amp;" x "&amp;Resortes_2[[#This Row],[Diametro]]&amp;" x "&amp;Resortes_2[[#This Row],[Largo]],Resortes_2[[#This Row],[Alambre]]&amp;" x "&amp;Resortes_2[[#This Row],[Diametro]]&amp;" x "&amp;Resortes_2[[#This Row],[Largo]]&amp;" x "&amp;Resortes_2[[#This Row],[Vueltas]])</f>
        <v>0,8 x 9,5 x 16 x 6</v>
      </c>
      <c r="W24" s="229" t="s">
        <v>9045</v>
      </c>
      <c r="X24" s="230" t="str">
        <f>+Resortes_2[[#This Row],[MEDIDA]]&amp;Resortes_2[[#This Row],[TIPO]]</f>
        <v>0,8 x 9,5 x 16 x 6COMPRESIÓN</v>
      </c>
      <c r="Y24" s="13">
        <v>43</v>
      </c>
      <c r="Z24" s="13"/>
      <c r="AA24" s="13"/>
      <c r="AB24" s="458" t="str">
        <f>+Resortes_2[[#This Row],[Alambre]]&amp;" x "&amp;Resortes_2[[#This Row],[Diametro]]&amp;" x "&amp;Resortes_2[[#This Row],[Largo]]</f>
        <v>0,8 x 9,5 x 16</v>
      </c>
      <c r="AC24" s="13">
        <f>+Resortes_2[[#This Row],[Vueltas]]</f>
        <v>6</v>
      </c>
      <c r="AD24" s="13"/>
      <c r="AE24" s="13"/>
      <c r="AF24" s="13"/>
      <c r="AG24" s="13"/>
      <c r="AL24">
        <v>23</v>
      </c>
      <c r="AM24" t="s">
        <v>9046</v>
      </c>
      <c r="AN24" s="1">
        <v>239.14722</v>
      </c>
      <c r="AO24" s="2">
        <f t="shared" si="0"/>
        <v>131.53097100000002</v>
      </c>
    </row>
    <row r="25" spans="1:41" x14ac:dyDescent="0.2">
      <c r="A25" s="7" t="s">
        <v>9047</v>
      </c>
      <c r="B25" s="394" t="s">
        <v>9044</v>
      </c>
      <c r="C25" s="15">
        <v>100</v>
      </c>
      <c r="E25" s="4">
        <v>138</v>
      </c>
      <c r="F25" s="2"/>
      <c r="G25" s="2">
        <f>+F25*C25</f>
        <v>0</v>
      </c>
      <c r="H25" s="941">
        <v>0.18</v>
      </c>
      <c r="O25" s="226">
        <v>0.8</v>
      </c>
      <c r="P25" s="13">
        <v>9</v>
      </c>
      <c r="Q25" s="13">
        <v>50</v>
      </c>
      <c r="R25" s="13">
        <v>10</v>
      </c>
      <c r="S25" s="227">
        <v>0.08</v>
      </c>
      <c r="T25" s="228">
        <f>+Resortes_2[[#This Row],[Precio USD]]*$AJ$1</f>
        <v>10.8</v>
      </c>
      <c r="U25" s="228"/>
      <c r="V25" s="13" t="str">
        <f>+IF(Resortes_2[[#This Row],[Vueltas]]="",Resortes_2[[#This Row],[Alambre]]&amp;" x "&amp;Resortes_2[[#This Row],[Diametro]]&amp;" x "&amp;Resortes_2[[#This Row],[Largo]],Resortes_2[[#This Row],[Alambre]]&amp;" x "&amp;Resortes_2[[#This Row],[Diametro]]&amp;" x "&amp;Resortes_2[[#This Row],[Largo]]&amp;" x "&amp;Resortes_2[[#This Row],[Vueltas]])</f>
        <v>0,8 x 9 x 50 x 10</v>
      </c>
      <c r="W25" s="229" t="s">
        <v>9045</v>
      </c>
      <c r="X25" s="230" t="str">
        <f>+Resortes_2[[#This Row],[MEDIDA]]&amp;Resortes_2[[#This Row],[TIPO]]</f>
        <v>0,8 x 9 x 50 x 10COMPRESIÓN</v>
      </c>
      <c r="Y25" s="13">
        <v>44</v>
      </c>
      <c r="Z25" s="13"/>
      <c r="AA25" s="13"/>
      <c r="AB25" s="458" t="str">
        <f>+Resortes_2[[#This Row],[Alambre]]&amp;" x "&amp;Resortes_2[[#This Row],[Diametro]]&amp;" x "&amp;Resortes_2[[#This Row],[Largo]]</f>
        <v>0,8 x 9 x 50</v>
      </c>
      <c r="AC25" s="13">
        <f>+Resortes_2[[#This Row],[Vueltas]]</f>
        <v>10</v>
      </c>
      <c r="AD25" s="13"/>
      <c r="AE25" s="13"/>
      <c r="AF25" s="13"/>
      <c r="AG25" s="13"/>
      <c r="AL25">
        <v>24</v>
      </c>
      <c r="AM25" t="s">
        <v>9048</v>
      </c>
      <c r="AN25" s="1">
        <v>254.09006999999997</v>
      </c>
      <c r="AO25" s="2">
        <f t="shared" si="0"/>
        <v>139.7495385</v>
      </c>
    </row>
    <row r="26" spans="1:41" x14ac:dyDescent="0.2">
      <c r="A26" s="2"/>
      <c r="B26" s="2"/>
      <c r="C26" s="2"/>
      <c r="D26" s="2"/>
      <c r="E26" s="2"/>
      <c r="F26" s="2"/>
      <c r="G26" s="2">
        <f t="shared" ref="G26:G31" si="2">+F26*C26</f>
        <v>0</v>
      </c>
      <c r="H26" s="941"/>
      <c r="O26" s="226">
        <v>0.8</v>
      </c>
      <c r="P26" s="13">
        <v>11</v>
      </c>
      <c r="Q26" s="13">
        <v>50</v>
      </c>
      <c r="R26" s="13">
        <v>11</v>
      </c>
      <c r="S26" s="227">
        <v>0.08</v>
      </c>
      <c r="T26" s="228">
        <f>+Resortes_2[[#This Row],[Precio USD]]*$AJ$1</f>
        <v>10.8</v>
      </c>
      <c r="U26" s="228"/>
      <c r="V26" s="13" t="str">
        <f>+IF(Resortes_2[[#This Row],[Vueltas]]="",Resortes_2[[#This Row],[Alambre]]&amp;" x "&amp;Resortes_2[[#This Row],[Diametro]]&amp;" x "&amp;Resortes_2[[#This Row],[Largo]],Resortes_2[[#This Row],[Alambre]]&amp;" x "&amp;Resortes_2[[#This Row],[Diametro]]&amp;" x "&amp;Resortes_2[[#This Row],[Largo]]&amp;" x "&amp;Resortes_2[[#This Row],[Vueltas]])</f>
        <v>0,8 x 11 x 50 x 11</v>
      </c>
      <c r="W26" s="229" t="s">
        <v>9045</v>
      </c>
      <c r="X26" s="230" t="str">
        <f>+Resortes_2[[#This Row],[MEDIDA]]&amp;Resortes_2[[#This Row],[TIPO]]</f>
        <v>0,8 x 11 x 50 x 11COMPRESIÓN</v>
      </c>
      <c r="Y26" s="13">
        <v>45</v>
      </c>
      <c r="Z26" s="13"/>
      <c r="AA26" s="13"/>
      <c r="AB26" s="458" t="str">
        <f>+Resortes_2[[#This Row],[Alambre]]&amp;" x "&amp;Resortes_2[[#This Row],[Diametro]]&amp;" x "&amp;Resortes_2[[#This Row],[Largo]]</f>
        <v>0,8 x 11 x 50</v>
      </c>
      <c r="AC26" s="13">
        <f>+Resortes_2[[#This Row],[Vueltas]]</f>
        <v>11</v>
      </c>
      <c r="AD26" s="13"/>
      <c r="AE26" s="13"/>
      <c r="AF26" s="13"/>
      <c r="AG26" s="13"/>
      <c r="AL26">
        <v>25</v>
      </c>
      <c r="AM26" t="s">
        <v>9049</v>
      </c>
      <c r="AN26" s="1">
        <v>254.09006999999997</v>
      </c>
      <c r="AO26" s="2">
        <f t="shared" si="0"/>
        <v>139.7495385</v>
      </c>
    </row>
    <row r="27" spans="1:41" x14ac:dyDescent="0.2">
      <c r="A27" s="7" t="s">
        <v>1607</v>
      </c>
      <c r="B27" s="394" t="s">
        <v>9050</v>
      </c>
      <c r="C27" s="15">
        <v>200</v>
      </c>
      <c r="E27" s="4">
        <v>170</v>
      </c>
      <c r="F27" s="2"/>
      <c r="G27" s="2">
        <f t="shared" si="2"/>
        <v>0</v>
      </c>
      <c r="H27" s="941">
        <v>0.25</v>
      </c>
      <c r="O27" s="226">
        <v>0.8</v>
      </c>
      <c r="P27" s="13">
        <v>13</v>
      </c>
      <c r="Q27" s="13">
        <v>70</v>
      </c>
      <c r="R27" s="13">
        <v>13</v>
      </c>
      <c r="S27" s="227">
        <v>0.09</v>
      </c>
      <c r="T27" s="228">
        <f>+Resortes_2[[#This Row],[Precio USD]]*$AJ$1</f>
        <v>12.15</v>
      </c>
      <c r="U27" s="228"/>
      <c r="V27" s="13" t="str">
        <f>+IF(Resortes_2[[#This Row],[Vueltas]]="",Resortes_2[[#This Row],[Alambre]]&amp;" x "&amp;Resortes_2[[#This Row],[Diametro]]&amp;" x "&amp;Resortes_2[[#This Row],[Largo]],Resortes_2[[#This Row],[Alambre]]&amp;" x "&amp;Resortes_2[[#This Row],[Diametro]]&amp;" x "&amp;Resortes_2[[#This Row],[Largo]]&amp;" x "&amp;Resortes_2[[#This Row],[Vueltas]])</f>
        <v>0,8 x 13 x 70 x 13</v>
      </c>
      <c r="W27" s="229" t="s">
        <v>9045</v>
      </c>
      <c r="X27" s="230" t="str">
        <f>+Resortes_2[[#This Row],[MEDIDA]]&amp;Resortes_2[[#This Row],[TIPO]]</f>
        <v>0,8 x 13 x 70 x 13COMPRESIÓN</v>
      </c>
      <c r="Y27" s="13">
        <v>46</v>
      </c>
      <c r="Z27" s="13"/>
      <c r="AA27" s="13"/>
      <c r="AB27" s="458" t="str">
        <f>+Resortes_2[[#This Row],[Alambre]]&amp;" x "&amp;Resortes_2[[#This Row],[Diametro]]&amp;" x "&amp;Resortes_2[[#This Row],[Largo]]</f>
        <v>0,8 x 13 x 70</v>
      </c>
      <c r="AC27" s="13">
        <f>+Resortes_2[[#This Row],[Vueltas]]</f>
        <v>13</v>
      </c>
      <c r="AD27" s="13"/>
      <c r="AE27" s="13"/>
      <c r="AF27" s="13"/>
      <c r="AG27" s="13"/>
      <c r="AL27">
        <v>26</v>
      </c>
      <c r="AM27" t="s">
        <v>9051</v>
      </c>
      <c r="AN27" s="1">
        <v>373.69448999999997</v>
      </c>
      <c r="AO27" s="2">
        <f t="shared" si="0"/>
        <v>205.5319695</v>
      </c>
    </row>
    <row r="28" spans="1:41" x14ac:dyDescent="0.2">
      <c r="A28" s="7" t="s">
        <v>1659</v>
      </c>
      <c r="B28" s="394" t="s">
        <v>9050</v>
      </c>
      <c r="C28" s="15">
        <v>100</v>
      </c>
      <c r="E28" s="4">
        <v>172</v>
      </c>
      <c r="F28" s="2"/>
      <c r="G28" s="2">
        <f t="shared" si="2"/>
        <v>0</v>
      </c>
      <c r="I28" s="941"/>
      <c r="O28" s="226">
        <v>1</v>
      </c>
      <c r="P28" s="13">
        <v>8</v>
      </c>
      <c r="Q28" s="13">
        <v>50</v>
      </c>
      <c r="R28" s="13">
        <v>10</v>
      </c>
      <c r="S28" s="227">
        <v>0.1</v>
      </c>
      <c r="T28" s="228">
        <f>+Resortes_2[[#This Row],[Precio USD]]*$AJ$1</f>
        <v>13.5</v>
      </c>
      <c r="U28" s="228"/>
      <c r="V28" s="13" t="str">
        <f>+IF(Resortes_2[[#This Row],[Vueltas]]="",Resortes_2[[#This Row],[Alambre]]&amp;" x "&amp;Resortes_2[[#This Row],[Diametro]]&amp;" x "&amp;Resortes_2[[#This Row],[Largo]],Resortes_2[[#This Row],[Alambre]]&amp;" x "&amp;Resortes_2[[#This Row],[Diametro]]&amp;" x "&amp;Resortes_2[[#This Row],[Largo]]&amp;" x "&amp;Resortes_2[[#This Row],[Vueltas]])</f>
        <v>1 x 8 x 50 x 10</v>
      </c>
      <c r="W28" s="229" t="s">
        <v>9045</v>
      </c>
      <c r="X28" s="230" t="str">
        <f>+Resortes_2[[#This Row],[MEDIDA]]&amp;Resortes_2[[#This Row],[TIPO]]</f>
        <v>1 x 8 x 50 x 10COMPRESIÓN</v>
      </c>
      <c r="Y28" s="13">
        <v>48</v>
      </c>
      <c r="Z28" s="13"/>
      <c r="AA28" s="13"/>
      <c r="AB28" s="458" t="str">
        <f>+Resortes_2[[#This Row],[Alambre]]&amp;" x "&amp;Resortes_2[[#This Row],[Diametro]]&amp;" x "&amp;Resortes_2[[#This Row],[Largo]]</f>
        <v>1 x 8 x 50</v>
      </c>
      <c r="AC28" s="13">
        <f>+Resortes_2[[#This Row],[Vueltas]]</f>
        <v>10</v>
      </c>
      <c r="AD28" s="13"/>
      <c r="AE28" s="13"/>
      <c r="AF28" s="13"/>
      <c r="AG28" s="13"/>
      <c r="AL28">
        <v>27</v>
      </c>
      <c r="AM28" t="s">
        <v>9052</v>
      </c>
      <c r="AN28" s="1">
        <v>298.94943000000001</v>
      </c>
      <c r="AO28" s="2">
        <f t="shared" si="0"/>
        <v>164.42218650000001</v>
      </c>
    </row>
    <row r="29" spans="1:41" x14ac:dyDescent="0.2">
      <c r="A29" s="7" t="s">
        <v>1663</v>
      </c>
      <c r="B29" s="394" t="s">
        <v>9050</v>
      </c>
      <c r="C29" s="15">
        <v>100</v>
      </c>
      <c r="E29" s="4">
        <v>176</v>
      </c>
      <c r="G29" s="2">
        <f t="shared" si="2"/>
        <v>0</v>
      </c>
      <c r="O29" s="226">
        <v>1</v>
      </c>
      <c r="P29" s="13">
        <v>10</v>
      </c>
      <c r="Q29" s="13">
        <v>100</v>
      </c>
      <c r="R29" s="13">
        <v>20</v>
      </c>
      <c r="S29" s="227">
        <v>0.12</v>
      </c>
      <c r="T29" s="228">
        <f>+Resortes_2[[#This Row],[Precio USD]]*$AJ$1</f>
        <v>16.2</v>
      </c>
      <c r="U29" s="228"/>
      <c r="V29" s="13" t="str">
        <f>+IF(Resortes_2[[#This Row],[Vueltas]]="",Resortes_2[[#This Row],[Alambre]]&amp;" x "&amp;Resortes_2[[#This Row],[Diametro]]&amp;" x "&amp;Resortes_2[[#This Row],[Largo]],Resortes_2[[#This Row],[Alambre]]&amp;" x "&amp;Resortes_2[[#This Row],[Diametro]]&amp;" x "&amp;Resortes_2[[#This Row],[Largo]]&amp;" x "&amp;Resortes_2[[#This Row],[Vueltas]])</f>
        <v>1 x 10 x 100 x 20</v>
      </c>
      <c r="W29" s="229" t="s">
        <v>9045</v>
      </c>
      <c r="X29" s="230" t="str">
        <f>+Resortes_2[[#This Row],[MEDIDA]]&amp;Resortes_2[[#This Row],[TIPO]]</f>
        <v>1 x 10 x 100 x 20COMPRESIÓN</v>
      </c>
      <c r="Y29" s="13">
        <v>50</v>
      </c>
      <c r="Z29" s="13"/>
      <c r="AA29" s="13"/>
      <c r="AB29" s="458" t="str">
        <f>+Resortes_2[[#This Row],[Alambre]]&amp;" x "&amp;Resortes_2[[#This Row],[Diametro]]&amp;" x "&amp;Resortes_2[[#This Row],[Largo]]</f>
        <v>1 x 10 x 100</v>
      </c>
      <c r="AC29" s="13">
        <f>+Resortes_2[[#This Row],[Vueltas]]</f>
        <v>20</v>
      </c>
      <c r="AD29" s="13"/>
      <c r="AE29" s="13"/>
      <c r="AF29" s="13"/>
      <c r="AG29" s="13"/>
      <c r="AL29">
        <v>28</v>
      </c>
      <c r="AM29" t="s">
        <v>9053</v>
      </c>
      <c r="AN29" s="1">
        <v>418.52303999999992</v>
      </c>
      <c r="AO29" s="2">
        <f t="shared" si="0"/>
        <v>230.18767199999996</v>
      </c>
    </row>
    <row r="30" spans="1:41" x14ac:dyDescent="0.2">
      <c r="A30" s="7" t="s">
        <v>1671</v>
      </c>
      <c r="B30" s="394" t="s">
        <v>9050</v>
      </c>
      <c r="C30" s="15">
        <v>100</v>
      </c>
      <c r="E30" s="4">
        <v>182</v>
      </c>
      <c r="G30" s="2">
        <f t="shared" si="2"/>
        <v>0</v>
      </c>
      <c r="O30" s="226">
        <v>1.25</v>
      </c>
      <c r="P30" s="13">
        <v>8</v>
      </c>
      <c r="Q30" s="13">
        <v>50</v>
      </c>
      <c r="R30" s="13">
        <v>15</v>
      </c>
      <c r="S30" s="227">
        <v>0.1</v>
      </c>
      <c r="T30" s="228">
        <f>+Resortes_2[[#This Row],[Precio USD]]*$AJ$1</f>
        <v>13.5</v>
      </c>
      <c r="U30" s="228"/>
      <c r="V30" s="13" t="str">
        <f>+IF(Resortes_2[[#This Row],[Vueltas]]="",Resortes_2[[#This Row],[Alambre]]&amp;" x "&amp;Resortes_2[[#This Row],[Diametro]]&amp;" x "&amp;Resortes_2[[#This Row],[Largo]],Resortes_2[[#This Row],[Alambre]]&amp;" x "&amp;Resortes_2[[#This Row],[Diametro]]&amp;" x "&amp;Resortes_2[[#This Row],[Largo]]&amp;" x "&amp;Resortes_2[[#This Row],[Vueltas]])</f>
        <v>1,25 x 8 x 50 x 15</v>
      </c>
      <c r="W30" s="229" t="s">
        <v>9045</v>
      </c>
      <c r="X30" s="230" t="str">
        <f>+Resortes_2[[#This Row],[MEDIDA]]&amp;Resortes_2[[#This Row],[TIPO]]</f>
        <v>1,25 x 8 x 50 x 15COMPRESIÓN</v>
      </c>
      <c r="Y30" s="13">
        <v>55</v>
      </c>
      <c r="Z30" s="13"/>
      <c r="AA30" s="13"/>
      <c r="AB30" s="458" t="str">
        <f>+Resortes_2[[#This Row],[Alambre]]&amp;" x "&amp;Resortes_2[[#This Row],[Diametro]]&amp;" x "&amp;Resortes_2[[#This Row],[Largo]]</f>
        <v>1,25 x 8 x 50</v>
      </c>
      <c r="AC30" s="13">
        <f>+Resortes_2[[#This Row],[Vueltas]]</f>
        <v>15</v>
      </c>
      <c r="AD30" s="13"/>
      <c r="AE30" s="13"/>
      <c r="AF30" s="13"/>
      <c r="AG30" s="13"/>
      <c r="AL30">
        <v>30</v>
      </c>
      <c r="AM30" t="s">
        <v>9054</v>
      </c>
      <c r="AN30" s="1">
        <v>97.3596</v>
      </c>
      <c r="AO30" s="2">
        <f t="shared" si="0"/>
        <v>53.547780000000003</v>
      </c>
    </row>
    <row r="31" spans="1:41" x14ac:dyDescent="0.2">
      <c r="E31"/>
      <c r="G31" s="2">
        <f t="shared" si="2"/>
        <v>0</v>
      </c>
      <c r="O31" s="226">
        <v>1.25</v>
      </c>
      <c r="P31" s="13">
        <v>10</v>
      </c>
      <c r="Q31" s="13">
        <v>50</v>
      </c>
      <c r="R31" s="13">
        <v>15</v>
      </c>
      <c r="S31" s="227">
        <v>0.1</v>
      </c>
      <c r="T31" s="228">
        <f>+Resortes_2[[#This Row],[Precio USD]]*$AJ$1</f>
        <v>13.5</v>
      </c>
      <c r="U31" s="228"/>
      <c r="V31" s="13" t="str">
        <f>+IF(Resortes_2[[#This Row],[Vueltas]]="",Resortes_2[[#This Row],[Alambre]]&amp;" x "&amp;Resortes_2[[#This Row],[Diametro]]&amp;" x "&amp;Resortes_2[[#This Row],[Largo]],Resortes_2[[#This Row],[Alambre]]&amp;" x "&amp;Resortes_2[[#This Row],[Diametro]]&amp;" x "&amp;Resortes_2[[#This Row],[Largo]]&amp;" x "&amp;Resortes_2[[#This Row],[Vueltas]])</f>
        <v>1,25 x 10 x 50 x 15</v>
      </c>
      <c r="W31" s="229" t="s">
        <v>9045</v>
      </c>
      <c r="X31" s="230" t="str">
        <f>+Resortes_2[[#This Row],[MEDIDA]]&amp;Resortes_2[[#This Row],[TIPO]]</f>
        <v>1,25 x 10 x 50 x 15COMPRESIÓN</v>
      </c>
      <c r="Y31" s="13">
        <v>56</v>
      </c>
      <c r="Z31" s="13"/>
      <c r="AA31" s="13"/>
      <c r="AB31" s="458" t="str">
        <f>+Resortes_2[[#This Row],[Alambre]]&amp;" x "&amp;Resortes_2[[#This Row],[Diametro]]&amp;" x "&amp;Resortes_2[[#This Row],[Largo]]</f>
        <v>1,25 x 10 x 50</v>
      </c>
      <c r="AC31" s="13">
        <f>+Resortes_2[[#This Row],[Vueltas]]</f>
        <v>15</v>
      </c>
      <c r="AD31" s="13"/>
      <c r="AE31" s="13"/>
      <c r="AF31" s="13"/>
      <c r="AG31" s="13"/>
      <c r="AL31">
        <v>31</v>
      </c>
      <c r="AM31" t="s">
        <v>9055</v>
      </c>
      <c r="AN31" s="1">
        <v>97.3596</v>
      </c>
      <c r="AO31" s="2">
        <f t="shared" si="0"/>
        <v>53.547780000000003</v>
      </c>
    </row>
    <row r="32" spans="1:41" x14ac:dyDescent="0.2">
      <c r="A32" s="7" t="s">
        <v>9056</v>
      </c>
      <c r="B32" s="394" t="s">
        <v>9044</v>
      </c>
      <c r="C32" s="15">
        <v>100</v>
      </c>
      <c r="E32" s="4">
        <v>850</v>
      </c>
      <c r="O32" s="226">
        <v>1.25</v>
      </c>
      <c r="P32" s="13">
        <v>12</v>
      </c>
      <c r="Q32" s="13">
        <v>150</v>
      </c>
      <c r="R32" s="13">
        <v>32</v>
      </c>
      <c r="S32" s="227">
        <v>0.15</v>
      </c>
      <c r="T32" s="228">
        <f>+Resortes_2[[#This Row],[Precio USD]]*$AJ$1</f>
        <v>20.25</v>
      </c>
      <c r="U32" s="228"/>
      <c r="V32" s="13" t="str">
        <f>+IF(Resortes_2[[#This Row],[Vueltas]]="",Resortes_2[[#This Row],[Alambre]]&amp;" x "&amp;Resortes_2[[#This Row],[Diametro]]&amp;" x "&amp;Resortes_2[[#This Row],[Largo]],Resortes_2[[#This Row],[Alambre]]&amp;" x "&amp;Resortes_2[[#This Row],[Diametro]]&amp;" x "&amp;Resortes_2[[#This Row],[Largo]]&amp;" x "&amp;Resortes_2[[#This Row],[Vueltas]])</f>
        <v>1,25 x 12 x 150 x 32</v>
      </c>
      <c r="W32" s="229" t="s">
        <v>9045</v>
      </c>
      <c r="X32" s="230" t="str">
        <f>+Resortes_2[[#This Row],[MEDIDA]]&amp;Resortes_2[[#This Row],[TIPO]]</f>
        <v>1,25 x 12 x 150 x 32COMPRESIÓN</v>
      </c>
      <c r="Y32" s="13">
        <v>57</v>
      </c>
      <c r="Z32" s="13"/>
      <c r="AA32" s="13"/>
      <c r="AB32" s="458" t="str">
        <f>+Resortes_2[[#This Row],[Alambre]]&amp;" x "&amp;Resortes_2[[#This Row],[Diametro]]&amp;" x "&amp;Resortes_2[[#This Row],[Largo]]</f>
        <v>1,25 x 12 x 150</v>
      </c>
      <c r="AC32" s="13">
        <f>+Resortes_2[[#This Row],[Vueltas]]</f>
        <v>32</v>
      </c>
      <c r="AD32" s="13"/>
      <c r="AE32" s="13"/>
      <c r="AF32" s="13"/>
      <c r="AG32" s="13"/>
      <c r="AL32">
        <v>32</v>
      </c>
      <c r="AM32" t="s">
        <v>9057</v>
      </c>
      <c r="AN32" s="1">
        <v>104.63075999999998</v>
      </c>
      <c r="AO32" s="2">
        <f t="shared" si="0"/>
        <v>57.546917999999991</v>
      </c>
    </row>
    <row r="33" spans="1:41" x14ac:dyDescent="0.2">
      <c r="A33" s="7" t="s">
        <v>9058</v>
      </c>
      <c r="B33" s="394" t="s">
        <v>9044</v>
      </c>
      <c r="C33" s="15">
        <v>100</v>
      </c>
      <c r="E33" s="4">
        <v>852</v>
      </c>
      <c r="O33" s="226">
        <v>1.5</v>
      </c>
      <c r="P33" s="13">
        <v>12</v>
      </c>
      <c r="Q33" s="13">
        <v>50</v>
      </c>
      <c r="R33" s="13">
        <v>13</v>
      </c>
      <c r="S33" s="227">
        <v>0.1</v>
      </c>
      <c r="T33" s="228">
        <f>+Resortes_2[[#This Row],[Precio USD]]*$AJ$1</f>
        <v>13.5</v>
      </c>
      <c r="U33" s="228"/>
      <c r="V33" s="13" t="str">
        <f>+IF(Resortes_2[[#This Row],[Vueltas]]="",Resortes_2[[#This Row],[Alambre]]&amp;" x "&amp;Resortes_2[[#This Row],[Diametro]]&amp;" x "&amp;Resortes_2[[#This Row],[Largo]],Resortes_2[[#This Row],[Alambre]]&amp;" x "&amp;Resortes_2[[#This Row],[Diametro]]&amp;" x "&amp;Resortes_2[[#This Row],[Largo]]&amp;" x "&amp;Resortes_2[[#This Row],[Vueltas]])</f>
        <v>1,5 x 12 x 50 x 13</v>
      </c>
      <c r="W33" s="229" t="s">
        <v>9045</v>
      </c>
      <c r="X33" s="230" t="str">
        <f>+Resortes_2[[#This Row],[MEDIDA]]&amp;Resortes_2[[#This Row],[TIPO]]</f>
        <v>1,5 x 12 x 50 x 13COMPRESIÓN</v>
      </c>
      <c r="Y33" s="13">
        <v>59</v>
      </c>
      <c r="Z33" s="13"/>
      <c r="AA33" s="13"/>
      <c r="AB33" s="458" t="str">
        <f>+Resortes_2[[#This Row],[Alambre]]&amp;" x "&amp;Resortes_2[[#This Row],[Diametro]]&amp;" x "&amp;Resortes_2[[#This Row],[Largo]]</f>
        <v>1,5 x 12 x 50</v>
      </c>
      <c r="AC33" s="13">
        <f>+Resortes_2[[#This Row],[Vueltas]]</f>
        <v>13</v>
      </c>
      <c r="AD33" s="13"/>
      <c r="AE33" s="13"/>
      <c r="AF33" s="13"/>
      <c r="AG33" s="13"/>
      <c r="AL33">
        <v>33</v>
      </c>
      <c r="AM33" t="s">
        <v>9059</v>
      </c>
      <c r="AN33" s="1">
        <v>114.33590999999998</v>
      </c>
      <c r="AO33" s="2">
        <f t="shared" si="0"/>
        <v>62.884750499999996</v>
      </c>
    </row>
    <row r="34" spans="1:41" ht="13.5" thickBot="1" x14ac:dyDescent="0.25">
      <c r="A34" s="8" t="s">
        <v>9060</v>
      </c>
      <c r="B34" s="51" t="s">
        <v>9044</v>
      </c>
      <c r="C34" s="16">
        <v>100</v>
      </c>
      <c r="E34" s="4">
        <v>864</v>
      </c>
      <c r="O34" s="226">
        <v>1.5</v>
      </c>
      <c r="P34" s="13">
        <v>14</v>
      </c>
      <c r="Q34" s="13">
        <v>100</v>
      </c>
      <c r="R34" s="13">
        <v>18</v>
      </c>
      <c r="S34" s="227">
        <v>0.12</v>
      </c>
      <c r="T34" s="228">
        <f>+Resortes_2[[#This Row],[Precio USD]]*$AJ$1</f>
        <v>16.2</v>
      </c>
      <c r="U34" s="228"/>
      <c r="V34" s="13" t="str">
        <f>+IF(Resortes_2[[#This Row],[Vueltas]]="",Resortes_2[[#This Row],[Alambre]]&amp;" x "&amp;Resortes_2[[#This Row],[Diametro]]&amp;" x "&amp;Resortes_2[[#This Row],[Largo]],Resortes_2[[#This Row],[Alambre]]&amp;" x "&amp;Resortes_2[[#This Row],[Diametro]]&amp;" x "&amp;Resortes_2[[#This Row],[Largo]]&amp;" x "&amp;Resortes_2[[#This Row],[Vueltas]])</f>
        <v>1,5 x 14 x 100 x 18</v>
      </c>
      <c r="W34" s="229" t="s">
        <v>9045</v>
      </c>
      <c r="X34" s="230" t="str">
        <f>+Resortes_2[[#This Row],[MEDIDA]]&amp;Resortes_2[[#This Row],[TIPO]]</f>
        <v>1,5 x 14 x 100 x 18COMPRESIÓN</v>
      </c>
      <c r="Y34" s="13">
        <v>60</v>
      </c>
      <c r="Z34" s="13"/>
      <c r="AA34" s="13"/>
      <c r="AB34" s="458" t="str">
        <f>+Resortes_2[[#This Row],[Alambre]]&amp;" x "&amp;Resortes_2[[#This Row],[Diametro]]&amp;" x "&amp;Resortes_2[[#This Row],[Largo]]</f>
        <v>1,5 x 14 x 100</v>
      </c>
      <c r="AC34" s="13">
        <f>+Resortes_2[[#This Row],[Vueltas]]</f>
        <v>18</v>
      </c>
      <c r="AD34" s="13"/>
      <c r="AE34" s="13"/>
      <c r="AF34" s="13"/>
      <c r="AG34" s="13"/>
      <c r="AL34">
        <v>34</v>
      </c>
      <c r="AM34" t="s">
        <v>9061</v>
      </c>
      <c r="AN34" s="1">
        <v>110.70032999999998</v>
      </c>
      <c r="AO34" s="2">
        <f t="shared" si="0"/>
        <v>60.885181499999995</v>
      </c>
    </row>
    <row r="35" spans="1:41" x14ac:dyDescent="0.2">
      <c r="F35" t="s">
        <v>8164</v>
      </c>
      <c r="G35" s="728">
        <f>+SUM(G24:G34)</f>
        <v>0</v>
      </c>
      <c r="O35" s="226">
        <v>1.5</v>
      </c>
      <c r="P35" s="13">
        <v>16</v>
      </c>
      <c r="Q35" s="13">
        <v>100</v>
      </c>
      <c r="R35" s="13">
        <v>17</v>
      </c>
      <c r="S35" s="227">
        <v>0.12</v>
      </c>
      <c r="T35" s="228">
        <f>+Resortes_2[[#This Row],[Precio USD]]*$AJ$1</f>
        <v>16.2</v>
      </c>
      <c r="U35" s="228"/>
      <c r="V35" s="13" t="str">
        <f>+IF(Resortes_2[[#This Row],[Vueltas]]="",Resortes_2[[#This Row],[Alambre]]&amp;" x "&amp;Resortes_2[[#This Row],[Diametro]]&amp;" x "&amp;Resortes_2[[#This Row],[Largo]],Resortes_2[[#This Row],[Alambre]]&amp;" x "&amp;Resortes_2[[#This Row],[Diametro]]&amp;" x "&amp;Resortes_2[[#This Row],[Largo]]&amp;" x "&amp;Resortes_2[[#This Row],[Vueltas]])</f>
        <v>1,5 x 16 x 100 x 17</v>
      </c>
      <c r="W35" s="229" t="s">
        <v>9045</v>
      </c>
      <c r="X35" s="230" t="str">
        <f>+Resortes_2[[#This Row],[MEDIDA]]&amp;Resortes_2[[#This Row],[TIPO]]</f>
        <v>1,5 x 16 x 100 x 17COMPRESIÓN</v>
      </c>
      <c r="Y35" s="13">
        <v>61</v>
      </c>
      <c r="Z35" s="13"/>
      <c r="AA35" s="13"/>
      <c r="AB35" s="458" t="str">
        <f>+Resortes_2[[#This Row],[Alambre]]&amp;" x "&amp;Resortes_2[[#This Row],[Diametro]]&amp;" x "&amp;Resortes_2[[#This Row],[Largo]]</f>
        <v>1,5 x 16 x 100</v>
      </c>
      <c r="AC35" s="13">
        <f>+Resortes_2[[#This Row],[Vueltas]]</f>
        <v>17</v>
      </c>
      <c r="AD35" s="13"/>
      <c r="AE35" s="13"/>
      <c r="AF35" s="13"/>
      <c r="AG35" s="13"/>
      <c r="AL35">
        <v>38</v>
      </c>
      <c r="AM35" t="s">
        <v>1265</v>
      </c>
      <c r="AN35" s="1">
        <v>97.3596</v>
      </c>
      <c r="AO35" s="2">
        <f t="shared" si="0"/>
        <v>53.547780000000003</v>
      </c>
    </row>
    <row r="36" spans="1:41" ht="13.5" thickBot="1" x14ac:dyDescent="0.25">
      <c r="O36" s="226">
        <v>1.5</v>
      </c>
      <c r="P36" s="13">
        <v>16</v>
      </c>
      <c r="Q36" s="13">
        <v>45</v>
      </c>
      <c r="R36" s="13">
        <v>8</v>
      </c>
      <c r="S36" s="227">
        <v>7.0000000000000007E-2</v>
      </c>
      <c r="T36" s="228">
        <f>+Resortes_2[[#This Row],[Precio USD]]*$AJ$1</f>
        <v>9.4500000000000011</v>
      </c>
      <c r="U36" s="228"/>
      <c r="V36" s="13" t="str">
        <f>+IF(Resortes_2[[#This Row],[Vueltas]]="",Resortes_2[[#This Row],[Alambre]]&amp;" x "&amp;Resortes_2[[#This Row],[Diametro]]&amp;" x "&amp;Resortes_2[[#This Row],[Largo]],Resortes_2[[#This Row],[Alambre]]&amp;" x "&amp;Resortes_2[[#This Row],[Diametro]]&amp;" x "&amp;Resortes_2[[#This Row],[Largo]]&amp;" x "&amp;Resortes_2[[#This Row],[Vueltas]])</f>
        <v>1,5 x 16 x 45 x 8</v>
      </c>
      <c r="W36" s="229" t="s">
        <v>9045</v>
      </c>
      <c r="X36" s="230" t="str">
        <f>+Resortes_2[[#This Row],[MEDIDA]]&amp;Resortes_2[[#This Row],[TIPO]]</f>
        <v>1,5 x 16 x 45 x 8COMPRESIÓN</v>
      </c>
      <c r="Y36" s="13">
        <v>63</v>
      </c>
      <c r="Z36" s="13"/>
      <c r="AA36" s="13"/>
      <c r="AB36" s="458" t="str">
        <f>+Resortes_2[[#This Row],[Alambre]]&amp;" x "&amp;Resortes_2[[#This Row],[Diametro]]&amp;" x "&amp;Resortes_2[[#This Row],[Largo]]</f>
        <v>1,5 x 16 x 45</v>
      </c>
      <c r="AC36" s="13">
        <f>+Resortes_2[[#This Row],[Vueltas]]</f>
        <v>8</v>
      </c>
      <c r="AD36" s="13"/>
      <c r="AE36" s="13"/>
      <c r="AF36" s="13"/>
      <c r="AG36" s="13"/>
      <c r="AL36">
        <v>39</v>
      </c>
      <c r="AM36" t="s">
        <v>1267</v>
      </c>
      <c r="AN36" s="1">
        <v>138.15204</v>
      </c>
      <c r="AO36" s="2">
        <f t="shared" si="0"/>
        <v>75.983622000000011</v>
      </c>
    </row>
    <row r="37" spans="1:41" ht="13.5" thickBot="1" x14ac:dyDescent="0.25">
      <c r="A37" s="597" t="s">
        <v>9007</v>
      </c>
      <c r="B37" s="597" t="s">
        <v>9008</v>
      </c>
      <c r="C37" s="597" t="s">
        <v>8753</v>
      </c>
      <c r="E37" s="620" t="s">
        <v>8189</v>
      </c>
      <c r="O37" s="226">
        <v>1.5</v>
      </c>
      <c r="P37" s="13">
        <v>22</v>
      </c>
      <c r="Q37" s="13">
        <v>25</v>
      </c>
      <c r="R37" s="13">
        <v>4.5</v>
      </c>
      <c r="S37" s="227">
        <v>7.0000000000000007E-2</v>
      </c>
      <c r="T37" s="228">
        <f>+Resortes_2[[#This Row],[Precio USD]]*$AJ$1</f>
        <v>9.4500000000000011</v>
      </c>
      <c r="U37" s="228"/>
      <c r="V37" s="13" t="str">
        <f>+IF(Resortes_2[[#This Row],[Vueltas]]="",Resortes_2[[#This Row],[Alambre]]&amp;" x "&amp;Resortes_2[[#This Row],[Diametro]]&amp;" x "&amp;Resortes_2[[#This Row],[Largo]],Resortes_2[[#This Row],[Alambre]]&amp;" x "&amp;Resortes_2[[#This Row],[Diametro]]&amp;" x "&amp;Resortes_2[[#This Row],[Largo]]&amp;" x "&amp;Resortes_2[[#This Row],[Vueltas]])</f>
        <v>1,5 x 22 x 25 x 4,5</v>
      </c>
      <c r="W37" s="229" t="s">
        <v>9045</v>
      </c>
      <c r="X37" s="230" t="str">
        <f>+Resortes_2[[#This Row],[MEDIDA]]&amp;Resortes_2[[#This Row],[TIPO]]</f>
        <v>1,5 x 22 x 25 x 4,5COMPRESIÓN</v>
      </c>
      <c r="Y37" s="13">
        <v>64</v>
      </c>
      <c r="Z37" s="13"/>
      <c r="AA37" s="13"/>
      <c r="AB37" s="458" t="str">
        <f>+Resortes_2[[#This Row],[Alambre]]&amp;" x "&amp;Resortes_2[[#This Row],[Diametro]]&amp;" x "&amp;Resortes_2[[#This Row],[Largo]]</f>
        <v>1,5 x 22 x 25</v>
      </c>
      <c r="AC37" s="13">
        <f>+Resortes_2[[#This Row],[Vueltas]]</f>
        <v>4.5</v>
      </c>
      <c r="AD37" s="13"/>
      <c r="AE37" s="13"/>
      <c r="AF37" s="13"/>
      <c r="AG37" s="13"/>
      <c r="AL37">
        <v>80</v>
      </c>
      <c r="AM37" t="s">
        <v>9062</v>
      </c>
      <c r="AN37" s="1">
        <v>194.31867</v>
      </c>
      <c r="AO37" s="2">
        <f t="shared" si="0"/>
        <v>106.8752685</v>
      </c>
    </row>
    <row r="38" spans="1:41" x14ac:dyDescent="0.2">
      <c r="A38" s="13" t="s">
        <v>1233</v>
      </c>
      <c r="B38" s="3" t="s">
        <v>9017</v>
      </c>
      <c r="C38" s="13">
        <v>500</v>
      </c>
      <c r="E38" s="4">
        <v>18</v>
      </c>
      <c r="F38" t="s">
        <v>9063</v>
      </c>
      <c r="I38" s="1"/>
      <c r="O38" s="226">
        <v>1.75</v>
      </c>
      <c r="P38" s="13">
        <v>16</v>
      </c>
      <c r="Q38" s="13">
        <v>100</v>
      </c>
      <c r="R38" s="13">
        <v>17</v>
      </c>
      <c r="S38" s="227">
        <v>0.14000000000000001</v>
      </c>
      <c r="T38" s="228">
        <f>+Resortes_2[[#This Row],[Precio USD]]*$AJ$1</f>
        <v>18.900000000000002</v>
      </c>
      <c r="U38" s="228"/>
      <c r="V38" s="13" t="str">
        <f>+IF(Resortes_2[[#This Row],[Vueltas]]="",Resortes_2[[#This Row],[Alambre]]&amp;" x "&amp;Resortes_2[[#This Row],[Diametro]]&amp;" x "&amp;Resortes_2[[#This Row],[Largo]],Resortes_2[[#This Row],[Alambre]]&amp;" x "&amp;Resortes_2[[#This Row],[Diametro]]&amp;" x "&amp;Resortes_2[[#This Row],[Largo]]&amp;" x "&amp;Resortes_2[[#This Row],[Vueltas]])</f>
        <v>1,75 x 16 x 100 x 17</v>
      </c>
      <c r="W38" s="229" t="s">
        <v>9045</v>
      </c>
      <c r="X38" s="230" t="str">
        <f>+Resortes_2[[#This Row],[MEDIDA]]&amp;Resortes_2[[#This Row],[TIPO]]</f>
        <v>1,75 x 16 x 100 x 17COMPRESIÓN</v>
      </c>
      <c r="Y38" s="589">
        <v>65</v>
      </c>
      <c r="Z38" s="13"/>
      <c r="AA38" s="13"/>
      <c r="AB38" s="458" t="str">
        <f>+Resortes_2[[#This Row],[Alambre]]&amp;" x "&amp;Resortes_2[[#This Row],[Diametro]]&amp;" x "&amp;Resortes_2[[#This Row],[Largo]]</f>
        <v>1,75 x 16 x 100</v>
      </c>
      <c r="AC38" s="13">
        <f>+Resortes_2[[#This Row],[Vueltas]]</f>
        <v>17</v>
      </c>
      <c r="AD38" s="13"/>
      <c r="AE38" s="13"/>
      <c r="AF38" s="13"/>
      <c r="AG38" s="13"/>
      <c r="AL38">
        <v>81</v>
      </c>
      <c r="AM38" t="s">
        <v>9064</v>
      </c>
      <c r="AN38" s="1">
        <v>224.20436999999998</v>
      </c>
      <c r="AO38" s="2">
        <f t="shared" si="0"/>
        <v>123.3124035</v>
      </c>
    </row>
    <row r="39" spans="1:41" x14ac:dyDescent="0.2">
      <c r="A39" s="13" t="s">
        <v>9065</v>
      </c>
      <c r="B39" s="3" t="s">
        <v>9045</v>
      </c>
      <c r="C39" s="13">
        <v>500</v>
      </c>
      <c r="E39" s="4">
        <v>70</v>
      </c>
      <c r="F39" t="s">
        <v>9066</v>
      </c>
      <c r="O39" s="226">
        <v>1.75</v>
      </c>
      <c r="P39" s="13">
        <v>22</v>
      </c>
      <c r="Q39" s="13">
        <v>40</v>
      </c>
      <c r="R39" s="13">
        <v>6</v>
      </c>
      <c r="S39" s="227">
        <v>0.12</v>
      </c>
      <c r="T39" s="228">
        <f>+Resortes_2[[#This Row],[Precio USD]]*$AJ$1</f>
        <v>16.2</v>
      </c>
      <c r="U39" s="228"/>
      <c r="V39" s="13" t="str">
        <f>+IF(Resortes_2[[#This Row],[Vueltas]]="",Resortes_2[[#This Row],[Alambre]]&amp;" x "&amp;Resortes_2[[#This Row],[Diametro]]&amp;" x "&amp;Resortes_2[[#This Row],[Largo]],Resortes_2[[#This Row],[Alambre]]&amp;" x "&amp;Resortes_2[[#This Row],[Diametro]]&amp;" x "&amp;Resortes_2[[#This Row],[Largo]]&amp;" x "&amp;Resortes_2[[#This Row],[Vueltas]])</f>
        <v>1,75 x 22 x 40 x 6</v>
      </c>
      <c r="W39" s="229" t="s">
        <v>9045</v>
      </c>
      <c r="X39" s="230" t="str">
        <f>+Resortes_2[[#This Row],[MEDIDA]]&amp;Resortes_2[[#This Row],[TIPO]]</f>
        <v>1,75 x 22 x 40 x 6COMPRESIÓN</v>
      </c>
      <c r="Y39" s="589">
        <v>66</v>
      </c>
      <c r="Z39" s="13"/>
      <c r="AA39" s="13"/>
      <c r="AB39" s="458" t="str">
        <f>+Resortes_2[[#This Row],[Alambre]]&amp;" x "&amp;Resortes_2[[#This Row],[Diametro]]&amp;" x "&amp;Resortes_2[[#This Row],[Largo]]</f>
        <v>1,75 x 22 x 40</v>
      </c>
      <c r="AC39" s="13">
        <f>+Resortes_2[[#This Row],[Vueltas]]</f>
        <v>6</v>
      </c>
      <c r="AD39" s="13"/>
      <c r="AE39" s="13"/>
      <c r="AF39" s="13"/>
      <c r="AG39" s="13"/>
      <c r="AL39">
        <v>82</v>
      </c>
      <c r="AM39" t="s">
        <v>9067</v>
      </c>
      <c r="AN39" s="1">
        <v>343.77797999999996</v>
      </c>
      <c r="AO39" s="2">
        <f t="shared" si="0"/>
        <v>189.077889</v>
      </c>
    </row>
    <row r="40" spans="1:41" x14ac:dyDescent="0.2">
      <c r="A40" s="13" t="s">
        <v>9068</v>
      </c>
      <c r="B40" s="3" t="s">
        <v>9045</v>
      </c>
      <c r="C40" s="13">
        <v>500</v>
      </c>
      <c r="E40" s="4">
        <v>348</v>
      </c>
      <c r="F40" t="s">
        <v>9066</v>
      </c>
      <c r="O40" s="226">
        <v>2</v>
      </c>
      <c r="P40" s="13">
        <v>16</v>
      </c>
      <c r="Q40" s="13">
        <v>100</v>
      </c>
      <c r="R40" s="13">
        <v>16</v>
      </c>
      <c r="S40" s="227">
        <v>0.12</v>
      </c>
      <c r="T40" s="228">
        <f>+Resortes_2[[#This Row],[Precio USD]]*$AJ$1</f>
        <v>16.2</v>
      </c>
      <c r="U40" s="228"/>
      <c r="V40" s="13" t="str">
        <f>+IF(Resortes_2[[#This Row],[Vueltas]]="",Resortes_2[[#This Row],[Alambre]]&amp;" x "&amp;Resortes_2[[#This Row],[Diametro]]&amp;" x "&amp;Resortes_2[[#This Row],[Largo]],Resortes_2[[#This Row],[Alambre]]&amp;" x "&amp;Resortes_2[[#This Row],[Diametro]]&amp;" x "&amp;Resortes_2[[#This Row],[Largo]]&amp;" x "&amp;Resortes_2[[#This Row],[Vueltas]])</f>
        <v>2 x 16 x 100 x 16</v>
      </c>
      <c r="W40" s="229" t="s">
        <v>9045</v>
      </c>
      <c r="X40" s="230" t="str">
        <f>+Resortes_2[[#This Row],[MEDIDA]]&amp;Resortes_2[[#This Row],[TIPO]]</f>
        <v>2 x 16 x 100 x 16COMPRESIÓN</v>
      </c>
      <c r="Y40" s="13">
        <v>68</v>
      </c>
      <c r="Z40" s="13"/>
      <c r="AA40" s="13"/>
      <c r="AB40" s="458" t="str">
        <f>+Resortes_2[[#This Row],[Alambre]]&amp;" x "&amp;Resortes_2[[#This Row],[Diametro]]&amp;" x "&amp;Resortes_2[[#This Row],[Largo]]</f>
        <v>2 x 16 x 100</v>
      </c>
      <c r="AC40" s="13">
        <f>+Resortes_2[[#This Row],[Vueltas]]</f>
        <v>16</v>
      </c>
      <c r="AD40" s="13"/>
      <c r="AE40" s="13"/>
      <c r="AF40" s="13"/>
      <c r="AG40" s="13"/>
      <c r="AL40">
        <v>83</v>
      </c>
      <c r="AM40" t="s">
        <v>9069</v>
      </c>
      <c r="AN40" s="1">
        <v>224.20436999999998</v>
      </c>
      <c r="AO40" s="2">
        <f t="shared" si="0"/>
        <v>123.3124035</v>
      </c>
    </row>
    <row r="41" spans="1:41" x14ac:dyDescent="0.2">
      <c r="A41" s="13" t="s">
        <v>9070</v>
      </c>
      <c r="B41" s="3" t="s">
        <v>9045</v>
      </c>
      <c r="C41" s="13">
        <v>500</v>
      </c>
      <c r="E41" s="4">
        <v>372</v>
      </c>
      <c r="F41" t="s">
        <v>9066</v>
      </c>
      <c r="O41" s="226">
        <v>2</v>
      </c>
      <c r="P41" s="13">
        <v>18</v>
      </c>
      <c r="Q41" s="13">
        <v>55</v>
      </c>
      <c r="R41" s="13">
        <v>9</v>
      </c>
      <c r="S41" s="227">
        <v>0.12</v>
      </c>
      <c r="T41" s="228">
        <f>+Resortes_2[[#This Row],[Precio USD]]*$AJ$1</f>
        <v>16.2</v>
      </c>
      <c r="U41" s="228"/>
      <c r="V41" s="13" t="str">
        <f>+IF(Resortes_2[[#This Row],[Vueltas]]="",Resortes_2[[#This Row],[Alambre]]&amp;" x "&amp;Resortes_2[[#This Row],[Diametro]]&amp;" x "&amp;Resortes_2[[#This Row],[Largo]],Resortes_2[[#This Row],[Alambre]]&amp;" x "&amp;Resortes_2[[#This Row],[Diametro]]&amp;" x "&amp;Resortes_2[[#This Row],[Largo]]&amp;" x "&amp;Resortes_2[[#This Row],[Vueltas]])</f>
        <v>2 x 18 x 55 x 9</v>
      </c>
      <c r="W41" s="229" t="s">
        <v>9045</v>
      </c>
      <c r="X41" s="230" t="str">
        <f>+Resortes_2[[#This Row],[MEDIDA]]&amp;Resortes_2[[#This Row],[TIPO]]</f>
        <v>2 x 18 x 55 x 9COMPRESIÓN</v>
      </c>
      <c r="Y41" s="13">
        <v>69</v>
      </c>
      <c r="Z41" s="13"/>
      <c r="AA41" s="13"/>
      <c r="AB41" s="458" t="str">
        <f>+Resortes_2[[#This Row],[Alambre]]&amp;" x "&amp;Resortes_2[[#This Row],[Diametro]]&amp;" x "&amp;Resortes_2[[#This Row],[Largo]]</f>
        <v>2 x 18 x 55</v>
      </c>
      <c r="AC41" s="13">
        <f>+Resortes_2[[#This Row],[Vueltas]]</f>
        <v>9</v>
      </c>
      <c r="AD41" s="13"/>
      <c r="AE41" s="13"/>
      <c r="AF41" s="13"/>
      <c r="AG41" s="13"/>
      <c r="AL41">
        <v>84</v>
      </c>
      <c r="AM41" t="s">
        <v>9071</v>
      </c>
      <c r="AN41" s="1">
        <v>239.14722</v>
      </c>
      <c r="AO41" s="2">
        <f t="shared" si="0"/>
        <v>131.53097100000002</v>
      </c>
    </row>
    <row r="42" spans="1:41" x14ac:dyDescent="0.2">
      <c r="A42" s="4" t="s">
        <v>9072</v>
      </c>
      <c r="B42" s="3" t="s">
        <v>9045</v>
      </c>
      <c r="C42" s="13">
        <v>500</v>
      </c>
      <c r="E42" s="4">
        <v>377</v>
      </c>
      <c r="F42" t="s">
        <v>9066</v>
      </c>
      <c r="I42" s="2"/>
      <c r="O42" s="226">
        <v>2</v>
      </c>
      <c r="P42" s="13">
        <v>30</v>
      </c>
      <c r="Q42" s="13">
        <v>100</v>
      </c>
      <c r="R42" s="13">
        <v>11</v>
      </c>
      <c r="S42" s="227">
        <v>0.16</v>
      </c>
      <c r="T42" s="228">
        <f>+Resortes_2[[#This Row],[Precio USD]]*$AJ$1</f>
        <v>21.6</v>
      </c>
      <c r="U42" s="228"/>
      <c r="V42" s="13" t="str">
        <f>+IF(Resortes_2[[#This Row],[Vueltas]]="",Resortes_2[[#This Row],[Alambre]]&amp;" x "&amp;Resortes_2[[#This Row],[Diametro]]&amp;" x "&amp;Resortes_2[[#This Row],[Largo]],Resortes_2[[#This Row],[Alambre]]&amp;" x "&amp;Resortes_2[[#This Row],[Diametro]]&amp;" x "&amp;Resortes_2[[#This Row],[Largo]]&amp;" x "&amp;Resortes_2[[#This Row],[Vueltas]])</f>
        <v>2 x 30 x 100 x 11</v>
      </c>
      <c r="W42" s="229" t="s">
        <v>9045</v>
      </c>
      <c r="X42" s="230" t="str">
        <f>+Resortes_2[[#This Row],[MEDIDA]]&amp;Resortes_2[[#This Row],[TIPO]]</f>
        <v>2 x 30 x 100 x 11COMPRESIÓN</v>
      </c>
      <c r="Y42" s="13">
        <v>70</v>
      </c>
      <c r="Z42" s="13"/>
      <c r="AA42" s="13"/>
      <c r="AB42" s="458" t="str">
        <f>+Resortes_2[[#This Row],[Alambre]]&amp;" x "&amp;Resortes_2[[#This Row],[Diametro]]&amp;" x "&amp;Resortes_2[[#This Row],[Largo]]</f>
        <v>2 x 30 x 100</v>
      </c>
      <c r="AC42" s="13">
        <f>+Resortes_2[[#This Row],[Vueltas]]</f>
        <v>11</v>
      </c>
      <c r="AD42" s="13"/>
      <c r="AE42" s="13"/>
      <c r="AF42" s="13"/>
      <c r="AG42" s="13"/>
      <c r="AL42">
        <v>85</v>
      </c>
      <c r="AM42" t="s">
        <v>9073</v>
      </c>
      <c r="AN42" s="1">
        <v>328.83512999999999</v>
      </c>
      <c r="AO42" s="2">
        <f t="shared" si="0"/>
        <v>180.85932150000002</v>
      </c>
    </row>
    <row r="43" spans="1:41" x14ac:dyDescent="0.2">
      <c r="A43" s="4" t="s">
        <v>9074</v>
      </c>
      <c r="B43" s="3" t="s">
        <v>9045</v>
      </c>
      <c r="C43" s="13">
        <v>300</v>
      </c>
      <c r="E43" s="4">
        <v>163</v>
      </c>
      <c r="F43" t="s">
        <v>9066</v>
      </c>
      <c r="I43" s="2"/>
      <c r="O43" s="226">
        <v>2</v>
      </c>
      <c r="P43" s="13">
        <v>20</v>
      </c>
      <c r="Q43" s="13">
        <v>30</v>
      </c>
      <c r="R43" s="13">
        <v>5</v>
      </c>
      <c r="S43" s="227">
        <v>0.1</v>
      </c>
      <c r="T43" s="228">
        <f>+Resortes_2[[#This Row],[Precio USD]]*$AJ$1</f>
        <v>13.5</v>
      </c>
      <c r="U43" s="228"/>
      <c r="V43" s="13" t="str">
        <f>+IF(Resortes_2[[#This Row],[Vueltas]]="",Resortes_2[[#This Row],[Alambre]]&amp;" x "&amp;Resortes_2[[#This Row],[Diametro]]&amp;" x "&amp;Resortes_2[[#This Row],[Largo]],Resortes_2[[#This Row],[Alambre]]&amp;" x "&amp;Resortes_2[[#This Row],[Diametro]]&amp;" x "&amp;Resortes_2[[#This Row],[Largo]]&amp;" x "&amp;Resortes_2[[#This Row],[Vueltas]])</f>
        <v>2 x 20 x 30 x 5</v>
      </c>
      <c r="W43" s="229" t="s">
        <v>9045</v>
      </c>
      <c r="X43" s="230" t="str">
        <f>+Resortes_2[[#This Row],[MEDIDA]]&amp;Resortes_2[[#This Row],[TIPO]]</f>
        <v>2 x 20 x 30 x 5COMPRESIÓN</v>
      </c>
      <c r="Y43" s="13">
        <v>71</v>
      </c>
      <c r="Z43" s="13"/>
      <c r="AA43" s="13"/>
      <c r="AB43" s="458" t="str">
        <f>+Resortes_2[[#This Row],[Alambre]]&amp;" x "&amp;Resortes_2[[#This Row],[Diametro]]&amp;" x "&amp;Resortes_2[[#This Row],[Largo]]</f>
        <v>2 x 20 x 30</v>
      </c>
      <c r="AC43" s="13">
        <f>+Resortes_2[[#This Row],[Vueltas]]</f>
        <v>5</v>
      </c>
      <c r="AD43" s="13"/>
      <c r="AE43" s="13"/>
      <c r="AF43" s="13"/>
      <c r="AG43" s="13"/>
      <c r="AL43">
        <v>86</v>
      </c>
      <c r="AM43" t="s">
        <v>9075</v>
      </c>
      <c r="AN43" s="1">
        <v>261.79256999999996</v>
      </c>
      <c r="AO43" s="2">
        <f t="shared" si="0"/>
        <v>143.98591349999998</v>
      </c>
    </row>
    <row r="44" spans="1:41" x14ac:dyDescent="0.2">
      <c r="A44" s="4" t="s">
        <v>9076</v>
      </c>
      <c r="B44" s="3" t="s">
        <v>9045</v>
      </c>
      <c r="C44" s="13">
        <v>300</v>
      </c>
      <c r="E44" s="4">
        <v>165</v>
      </c>
      <c r="F44" t="s">
        <v>9066</v>
      </c>
      <c r="O44" s="226">
        <v>2</v>
      </c>
      <c r="P44" s="13">
        <v>25</v>
      </c>
      <c r="Q44" s="13">
        <v>35</v>
      </c>
      <c r="R44" s="13">
        <v>6</v>
      </c>
      <c r="S44" s="227">
        <v>0.12</v>
      </c>
      <c r="T44" s="228">
        <f>+Resortes_2[[#This Row],[Precio USD]]*$AJ$1</f>
        <v>16.2</v>
      </c>
      <c r="U44" s="228"/>
      <c r="V44" s="13" t="str">
        <f>+IF(Resortes_2[[#This Row],[Vueltas]]="",Resortes_2[[#This Row],[Alambre]]&amp;" x "&amp;Resortes_2[[#This Row],[Diametro]]&amp;" x "&amp;Resortes_2[[#This Row],[Largo]],Resortes_2[[#This Row],[Alambre]]&amp;" x "&amp;Resortes_2[[#This Row],[Diametro]]&amp;" x "&amp;Resortes_2[[#This Row],[Largo]]&amp;" x "&amp;Resortes_2[[#This Row],[Vueltas]])</f>
        <v>2 x 25 x 35 x 6</v>
      </c>
      <c r="W44" s="229" t="s">
        <v>9045</v>
      </c>
      <c r="X44" s="230" t="str">
        <f>+Resortes_2[[#This Row],[MEDIDA]]&amp;Resortes_2[[#This Row],[TIPO]]</f>
        <v>2 x 25 x 35 x 6COMPRESIÓN</v>
      </c>
      <c r="Y44" s="13">
        <v>72</v>
      </c>
      <c r="Z44" s="13"/>
      <c r="AA44" s="13"/>
      <c r="AB44" s="458" t="str">
        <f>+Resortes_2[[#This Row],[Alambre]]&amp;" x "&amp;Resortes_2[[#This Row],[Diametro]]&amp;" x "&amp;Resortes_2[[#This Row],[Largo]]</f>
        <v>2 x 25 x 35</v>
      </c>
      <c r="AC44" s="13">
        <f>+Resortes_2[[#This Row],[Vueltas]]</f>
        <v>6</v>
      </c>
      <c r="AD44" s="13"/>
      <c r="AE44" s="13"/>
      <c r="AF44" s="13"/>
      <c r="AG44" s="13"/>
      <c r="AL44">
        <v>87</v>
      </c>
      <c r="AM44" t="s">
        <v>9077</v>
      </c>
      <c r="AN44" s="1">
        <v>269.06372999999996</v>
      </c>
      <c r="AO44" s="2">
        <f t="shared" si="0"/>
        <v>147.9850515</v>
      </c>
    </row>
    <row r="45" spans="1:41" x14ac:dyDescent="0.2">
      <c r="A45" s="4" t="s">
        <v>9060</v>
      </c>
      <c r="B45" s="3" t="s">
        <v>9045</v>
      </c>
      <c r="E45" s="4">
        <v>864</v>
      </c>
      <c r="O45" s="226">
        <v>2</v>
      </c>
      <c r="P45" s="13">
        <v>25</v>
      </c>
      <c r="Q45" s="13">
        <v>35</v>
      </c>
      <c r="R45" s="13">
        <v>6</v>
      </c>
      <c r="S45" s="227">
        <v>0.12</v>
      </c>
      <c r="T45" s="228">
        <f>+Resortes_2[[#This Row],[Precio USD]]*$AJ$1</f>
        <v>16.2</v>
      </c>
      <c r="U45" s="228"/>
      <c r="V45" s="13" t="str">
        <f>+IF(Resortes_2[[#This Row],[Vueltas]]="",Resortes_2[[#This Row],[Alambre]]&amp;" x "&amp;Resortes_2[[#This Row],[Diametro]]&amp;" x "&amp;Resortes_2[[#This Row],[Largo]],Resortes_2[[#This Row],[Alambre]]&amp;" x "&amp;Resortes_2[[#This Row],[Diametro]]&amp;" x "&amp;Resortes_2[[#This Row],[Largo]]&amp;" x "&amp;Resortes_2[[#This Row],[Vueltas]])</f>
        <v>2 x 25 x 35 x 6</v>
      </c>
      <c r="W45" s="229" t="s">
        <v>9045</v>
      </c>
      <c r="X45" s="230" t="str">
        <f>+Resortes_2[[#This Row],[MEDIDA]]&amp;Resortes_2[[#This Row],[TIPO]]</f>
        <v>2 x 25 x 35 x 6COMPRESIÓN</v>
      </c>
      <c r="Y45" s="13">
        <v>72</v>
      </c>
      <c r="Z45" s="13"/>
      <c r="AA45" s="13"/>
      <c r="AB45" s="458" t="str">
        <f>+Resortes_2[[#This Row],[Alambre]]&amp;" x "&amp;Resortes_2[[#This Row],[Diametro]]&amp;" x "&amp;Resortes_2[[#This Row],[Largo]]</f>
        <v>2 x 25 x 35</v>
      </c>
      <c r="AC45" s="13">
        <f>+Resortes_2[[#This Row],[Vueltas]]</f>
        <v>6</v>
      </c>
      <c r="AD45" s="13"/>
      <c r="AE45" s="13"/>
      <c r="AF45" s="13"/>
      <c r="AG45" s="13"/>
      <c r="AL45">
        <v>88</v>
      </c>
      <c r="AM45" t="s">
        <v>9078</v>
      </c>
      <c r="AN45" s="1">
        <v>298.94943000000001</v>
      </c>
      <c r="AO45" s="2">
        <f t="shared" si="0"/>
        <v>164.42218650000001</v>
      </c>
    </row>
    <row r="46" spans="1:41" ht="13.5" thickBot="1" x14ac:dyDescent="0.25">
      <c r="F46" t="s">
        <v>9079</v>
      </c>
      <c r="G46" s="1">
        <v>907</v>
      </c>
      <c r="O46" s="226">
        <v>2.5</v>
      </c>
      <c r="P46" s="13">
        <v>15</v>
      </c>
      <c r="Q46" s="13">
        <v>30</v>
      </c>
      <c r="R46" s="13">
        <v>7</v>
      </c>
      <c r="S46" s="227">
        <v>0.12</v>
      </c>
      <c r="T46" s="228">
        <f>+Resortes_2[[#This Row],[Precio USD]]*$AJ$1</f>
        <v>16.2</v>
      </c>
      <c r="U46" s="228"/>
      <c r="V46" s="13" t="str">
        <f>+IF(Resortes_2[[#This Row],[Vueltas]]="",Resortes_2[[#This Row],[Alambre]]&amp;" x "&amp;Resortes_2[[#This Row],[Diametro]]&amp;" x "&amp;Resortes_2[[#This Row],[Largo]],Resortes_2[[#This Row],[Alambre]]&amp;" x "&amp;Resortes_2[[#This Row],[Diametro]]&amp;" x "&amp;Resortes_2[[#This Row],[Largo]]&amp;" x "&amp;Resortes_2[[#This Row],[Vueltas]])</f>
        <v>2,5 x 15 x 30 x 7</v>
      </c>
      <c r="W46" s="229" t="s">
        <v>9045</v>
      </c>
      <c r="X46" s="230" t="str">
        <f>+Resortes_2[[#This Row],[MEDIDA]]&amp;Resortes_2[[#This Row],[TIPO]]</f>
        <v>2,5 x 15 x 30 x 7COMPRESIÓN</v>
      </c>
      <c r="Y46" s="13">
        <v>73</v>
      </c>
      <c r="Z46" s="13"/>
      <c r="AA46" s="13"/>
      <c r="AB46" s="458" t="str">
        <f>+Resortes_2[[#This Row],[Alambre]]&amp;" x "&amp;Resortes_2[[#This Row],[Diametro]]&amp;" x "&amp;Resortes_2[[#This Row],[Largo]]</f>
        <v>2,5 x 15 x 30</v>
      </c>
      <c r="AC46" s="13">
        <f>+Resortes_2[[#This Row],[Vueltas]]</f>
        <v>7</v>
      </c>
      <c r="AD46" s="13"/>
      <c r="AE46" s="13"/>
      <c r="AF46" s="13"/>
      <c r="AG46" s="13"/>
      <c r="AL46">
        <v>89</v>
      </c>
      <c r="AM46" t="s">
        <v>9080</v>
      </c>
      <c r="AN46" s="1">
        <v>389.4384</v>
      </c>
      <c r="AO46" s="2">
        <f t="shared" si="0"/>
        <v>214.19112000000001</v>
      </c>
    </row>
    <row r="47" spans="1:41" x14ac:dyDescent="0.2">
      <c r="A47" s="859" t="s">
        <v>9007</v>
      </c>
      <c r="B47" s="860" t="s">
        <v>9008</v>
      </c>
      <c r="C47" s="600" t="s">
        <v>8753</v>
      </c>
      <c r="E47" s="862" t="s">
        <v>8189</v>
      </c>
      <c r="F47" s="597" t="s">
        <v>9013</v>
      </c>
      <c r="G47" s="597" t="s">
        <v>8326</v>
      </c>
      <c r="H47" s="597" t="s">
        <v>9081</v>
      </c>
      <c r="K47" t="s">
        <v>8322</v>
      </c>
      <c r="L47" t="s">
        <v>8176</v>
      </c>
      <c r="N47" t="s">
        <v>9082</v>
      </c>
      <c r="O47" s="231" t="s">
        <v>9083</v>
      </c>
      <c r="P47" s="13"/>
      <c r="Q47" s="13"/>
      <c r="R47" s="13"/>
      <c r="S47" s="227">
        <v>0.27</v>
      </c>
      <c r="T47" s="228">
        <f>+Resortes_2[[#This Row],[Precio USD]]*$AJ$1</f>
        <v>36.450000000000003</v>
      </c>
      <c r="U47" s="228"/>
      <c r="V47"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corto x  x </v>
      </c>
      <c r="W47" s="229"/>
      <c r="X47" s="230" t="str">
        <f>+Resortes_2[[#This Row],[MEDIDA]]&amp;Resortes_2[[#This Row],[TIPO]]</f>
        <v xml:space="preserve">Acelerador corto x  x </v>
      </c>
      <c r="Y47" s="13">
        <v>80</v>
      </c>
      <c r="Z47" s="13"/>
      <c r="AA47" s="13"/>
      <c r="AB47" s="458" t="str">
        <f>+Resortes_2[[#This Row],[Alambre]]&amp;" x "&amp;Resortes_2[[#This Row],[Diametro]]&amp;" x "&amp;Resortes_2[[#This Row],[Largo]]</f>
        <v xml:space="preserve">Acelerador corto x  x </v>
      </c>
      <c r="AC47" s="13">
        <f>+Resortes_2[[#This Row],[Vueltas]]</f>
        <v>0</v>
      </c>
      <c r="AD47" s="13"/>
      <c r="AE47" s="13"/>
      <c r="AF47" s="13"/>
      <c r="AG47" s="13"/>
      <c r="AL47">
        <v>35</v>
      </c>
      <c r="AM47" t="s">
        <v>9084</v>
      </c>
      <c r="AN47" s="1">
        <v>70.215990000000005</v>
      </c>
      <c r="AO47" s="2">
        <f t="shared" si="0"/>
        <v>38.618794500000007</v>
      </c>
    </row>
    <row r="48" spans="1:41" x14ac:dyDescent="0.2">
      <c r="A48" s="7" t="s">
        <v>1223</v>
      </c>
      <c r="B48" s="177" t="s">
        <v>9017</v>
      </c>
      <c r="C48" s="861">
        <v>300</v>
      </c>
      <c r="D48" t="s">
        <v>8945</v>
      </c>
      <c r="E48" s="863">
        <v>13</v>
      </c>
      <c r="F48" s="227">
        <v>0.32</v>
      </c>
      <c r="G48" s="1">
        <f>+F48*$G$46</f>
        <v>290.24</v>
      </c>
      <c r="H48" s="1">
        <f>+G48*C48</f>
        <v>87072</v>
      </c>
      <c r="K48">
        <f t="shared" ref="K48:K57" si="3">+_xlfn.XLOOKUP(E48,$E$67:$E$212,$G$67:$G$212,0,0,-1)</f>
        <v>0</v>
      </c>
      <c r="L48" s="40">
        <f t="shared" ref="L48:L57" si="4">+_xlfn.XLOOKUP(E48,$E$67:$E$212,$A$67:$A$212,0,0,-1)</f>
        <v>0</v>
      </c>
      <c r="N48" s="93">
        <f ca="1">+TODAY()-L48</f>
        <v>46132</v>
      </c>
      <c r="O48" s="231" t="s">
        <v>9085</v>
      </c>
      <c r="P48" s="13"/>
      <c r="Q48" s="13"/>
      <c r="R48" s="13"/>
      <c r="S48" s="227">
        <v>0.27</v>
      </c>
      <c r="T48" s="228">
        <f>+Resortes_2[[#This Row],[Precio USD]]*$AJ$1</f>
        <v>36.450000000000003</v>
      </c>
      <c r="U48" s="228"/>
      <c r="V48"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largo x  x </v>
      </c>
      <c r="W48" s="229"/>
      <c r="X48" s="230" t="str">
        <f>+Resortes_2[[#This Row],[MEDIDA]]&amp;Resortes_2[[#This Row],[TIPO]]</f>
        <v xml:space="preserve">Acelerador largo x  x </v>
      </c>
      <c r="Y48" s="13">
        <v>81</v>
      </c>
      <c r="Z48" s="13"/>
      <c r="AA48" s="13"/>
      <c r="AB48" s="458" t="str">
        <f>+Resortes_2[[#This Row],[Alambre]]&amp;" x "&amp;Resortes_2[[#This Row],[Diametro]]&amp;" x "&amp;Resortes_2[[#This Row],[Largo]]</f>
        <v xml:space="preserve">Acelerador largo x  x </v>
      </c>
      <c r="AC48" s="13">
        <f>+Resortes_2[[#This Row],[Vueltas]]</f>
        <v>0</v>
      </c>
      <c r="AD48" s="13"/>
      <c r="AE48" s="13"/>
      <c r="AF48" s="13"/>
      <c r="AG48" s="13"/>
      <c r="AL48">
        <v>36</v>
      </c>
      <c r="AM48" t="s">
        <v>9086</v>
      </c>
      <c r="AN48" s="1">
        <v>80.260049999999993</v>
      </c>
      <c r="AO48" s="2">
        <f t="shared" si="0"/>
        <v>44.143027500000002</v>
      </c>
    </row>
    <row r="49" spans="1:41" x14ac:dyDescent="0.2">
      <c r="A49" s="7" t="s">
        <v>1199</v>
      </c>
      <c r="B49" s="177" t="s">
        <v>9017</v>
      </c>
      <c r="C49" s="861">
        <v>800</v>
      </c>
      <c r="D49" t="s">
        <v>9087</v>
      </c>
      <c r="E49" s="863">
        <v>1</v>
      </c>
      <c r="F49" s="227">
        <v>0.18</v>
      </c>
      <c r="G49" s="1">
        <f t="shared" ref="G49:G57" si="5">+F49*$G$46</f>
        <v>163.26</v>
      </c>
      <c r="H49" s="1">
        <f t="shared" ref="H49:H57" si="6">+G49*C49</f>
        <v>130608</v>
      </c>
      <c r="K49">
        <f t="shared" si="3"/>
        <v>700</v>
      </c>
      <c r="L49" s="40">
        <f t="shared" si="4"/>
        <v>45049</v>
      </c>
      <c r="N49" s="93">
        <f t="shared" ref="N49:N57" ca="1" si="7">+TODAY()-L49</f>
        <v>1083</v>
      </c>
      <c r="O49" s="231" t="s">
        <v>9088</v>
      </c>
      <c r="P49" s="13"/>
      <c r="Q49" s="13"/>
      <c r="R49" s="13"/>
      <c r="S49" s="227">
        <v>0.23</v>
      </c>
      <c r="T49" s="228">
        <f>+Resortes_2[[#This Row],[Precio USD]]*$AJ$1</f>
        <v>31.05</v>
      </c>
      <c r="U49" s="228"/>
      <c r="V49" s="13" t="str">
        <f>+IF(Resortes_2[[#This Row],[Vueltas]]="",Resortes_2[[#This Row],[Alambre]]&amp;" x "&amp;Resortes_2[[#This Row],[Diametro]]&amp;" x "&amp;Resortes_2[[#This Row],[Largo]],Resortes_2[[#This Row],[Alambre]]&amp;" x "&amp;Resortes_2[[#This Row],[Diametro]]&amp;" x "&amp;Resortes_2[[#This Row],[Largo]]&amp;" x "&amp;Resortes_2[[#This Row],[Vueltas]])</f>
        <v xml:space="preserve">Acelerador falcon/ F100 x  x </v>
      </c>
      <c r="W49" s="229"/>
      <c r="X49" s="230" t="str">
        <f>+Resortes_2[[#This Row],[MEDIDA]]&amp;Resortes_2[[#This Row],[TIPO]]</f>
        <v xml:space="preserve">Acelerador falcon/ F100 x  x </v>
      </c>
      <c r="Y49" s="13">
        <v>83</v>
      </c>
      <c r="Z49" s="13"/>
      <c r="AA49" s="13"/>
      <c r="AB49" s="458" t="str">
        <f>+Resortes_2[[#This Row],[Alambre]]&amp;" x "&amp;Resortes_2[[#This Row],[Diametro]]&amp;" x "&amp;Resortes_2[[#This Row],[Largo]]</f>
        <v xml:space="preserve">Acelerador falcon/ F100 x  x </v>
      </c>
      <c r="AC49" s="13">
        <f>+Resortes_2[[#This Row],[Vueltas]]</f>
        <v>0</v>
      </c>
      <c r="AD49" s="13"/>
      <c r="AE49" s="13"/>
      <c r="AF49" s="13"/>
      <c r="AG49" s="13"/>
      <c r="AL49">
        <v>37</v>
      </c>
      <c r="AM49" t="s">
        <v>9089</v>
      </c>
      <c r="AN49" s="1">
        <v>87.839309999999998</v>
      </c>
      <c r="AO49" s="2">
        <f t="shared" si="0"/>
        <v>48.311620500000004</v>
      </c>
    </row>
    <row r="50" spans="1:41" x14ac:dyDescent="0.2">
      <c r="A50" s="7" t="s">
        <v>1209</v>
      </c>
      <c r="B50" s="177" t="s">
        <v>9017</v>
      </c>
      <c r="C50" s="861">
        <v>500</v>
      </c>
      <c r="E50" s="863">
        <v>6</v>
      </c>
      <c r="F50" s="227">
        <v>0.19</v>
      </c>
      <c r="G50" s="1">
        <f t="shared" si="5"/>
        <v>172.33</v>
      </c>
      <c r="H50" s="1">
        <f t="shared" si="6"/>
        <v>86165</v>
      </c>
      <c r="K50">
        <f t="shared" si="3"/>
        <v>500</v>
      </c>
      <c r="L50" s="40">
        <f t="shared" si="4"/>
        <v>45029</v>
      </c>
      <c r="N50" s="93">
        <f t="shared" ca="1" si="7"/>
        <v>1103</v>
      </c>
      <c r="O50" s="231" t="s">
        <v>9090</v>
      </c>
      <c r="P50" s="13"/>
      <c r="Q50" s="13"/>
      <c r="R50" s="13"/>
      <c r="S50" s="227">
        <v>0.42</v>
      </c>
      <c r="T50" s="228">
        <f>+Resortes_2[[#This Row],[Precio USD]]*$AJ$1</f>
        <v>56.699999999999996</v>
      </c>
      <c r="U50" s="228"/>
      <c r="V50" s="13" t="str">
        <f>+IF(Resortes_2[[#This Row],[Vueltas]]="",Resortes_2[[#This Row],[Alambre]]&amp;" x "&amp;Resortes_2[[#This Row],[Diametro]]&amp;" x "&amp;Resortes_2[[#This Row],[Largo]],Resortes_2[[#This Row],[Alambre]]&amp;" x "&amp;Resortes_2[[#This Row],[Diametro]]&amp;" x "&amp;Resortes_2[[#This Row],[Largo]]&amp;" x "&amp;Resortes_2[[#This Row],[Vueltas]])</f>
        <v xml:space="preserve">Embrague Univ. Corto x  x </v>
      </c>
      <c r="W50" s="229"/>
      <c r="X50" s="230" t="str">
        <f>+Resortes_2[[#This Row],[MEDIDA]]&amp;Resortes_2[[#This Row],[TIPO]]</f>
        <v xml:space="preserve">Embrague Univ. Corto x  x </v>
      </c>
      <c r="Y50" s="13">
        <v>87</v>
      </c>
      <c r="Z50" s="13"/>
      <c r="AA50" s="13"/>
      <c r="AB50" s="458" t="str">
        <f>+Resortes_2[[#This Row],[Alambre]]&amp;" x "&amp;Resortes_2[[#This Row],[Diametro]]&amp;" x "&amp;Resortes_2[[#This Row],[Largo]]</f>
        <v xml:space="preserve">Embrague Univ. Corto x  x </v>
      </c>
      <c r="AC50" s="13">
        <f>+Resortes_2[[#This Row],[Vueltas]]</f>
        <v>0</v>
      </c>
      <c r="AD50" s="13"/>
      <c r="AE50" s="13"/>
      <c r="AF50" s="13"/>
      <c r="AG50" s="13"/>
      <c r="AL50">
        <v>40</v>
      </c>
      <c r="AM50" t="s">
        <v>9091</v>
      </c>
      <c r="AN50" s="1">
        <v>67.658759999999987</v>
      </c>
      <c r="AO50" s="2">
        <f t="shared" si="0"/>
        <v>37.212317999999996</v>
      </c>
    </row>
    <row r="51" spans="1:41" x14ac:dyDescent="0.2">
      <c r="A51" s="7" t="s">
        <v>1225</v>
      </c>
      <c r="B51" s="177" t="s">
        <v>9017</v>
      </c>
      <c r="C51" s="861">
        <v>300</v>
      </c>
      <c r="D51" t="s">
        <v>8945</v>
      </c>
      <c r="E51" s="863">
        <v>14</v>
      </c>
      <c r="F51" s="227">
        <v>0.34</v>
      </c>
      <c r="G51" s="1">
        <f t="shared" si="5"/>
        <v>308.38</v>
      </c>
      <c r="H51" s="1">
        <f t="shared" si="6"/>
        <v>92514</v>
      </c>
      <c r="K51">
        <f t="shared" si="3"/>
        <v>290</v>
      </c>
      <c r="L51" s="40">
        <f t="shared" si="4"/>
        <v>44854</v>
      </c>
      <c r="N51" s="93">
        <f t="shared" ca="1" si="7"/>
        <v>1278</v>
      </c>
      <c r="O51" s="226">
        <v>1.5</v>
      </c>
      <c r="P51" s="13">
        <v>11</v>
      </c>
      <c r="Q51" s="13">
        <v>20</v>
      </c>
      <c r="R51" s="13">
        <v>6.5</v>
      </c>
      <c r="S51" s="227">
        <v>0.08</v>
      </c>
      <c r="T51" s="228">
        <f>+Resortes_2[[#This Row],[Precio USD]]*$AJ$1</f>
        <v>10.8</v>
      </c>
      <c r="U51" s="228"/>
      <c r="V51" s="13" t="str">
        <f>+IF(Resortes_2[[#This Row],[Vueltas]]="",Resortes_2[[#This Row],[Alambre]]&amp;" x "&amp;Resortes_2[[#This Row],[Diametro]]&amp;" x "&amp;Resortes_2[[#This Row],[Largo]],Resortes_2[[#This Row],[Alambre]]&amp;" x "&amp;Resortes_2[[#This Row],[Diametro]]&amp;" x "&amp;Resortes_2[[#This Row],[Largo]]&amp;" x "&amp;Resortes_2[[#This Row],[Vueltas]])</f>
        <v>1,5 x 11 x 20 x 6,5</v>
      </c>
      <c r="W51" s="229" t="s">
        <v>9045</v>
      </c>
      <c r="X51" s="230" t="str">
        <f>+Resortes_2[[#This Row],[MEDIDA]]&amp;Resortes_2[[#This Row],[TIPO]]</f>
        <v>1,5 x 11 x 20 x 6,5COMPRESIÓN</v>
      </c>
      <c r="Y51" s="13">
        <v>103</v>
      </c>
      <c r="Z51" s="13"/>
      <c r="AA51" s="13"/>
      <c r="AB51" s="458" t="str">
        <f>+Resortes_2[[#This Row],[Alambre]]&amp;" x "&amp;Resortes_2[[#This Row],[Diametro]]&amp;" x "&amp;Resortes_2[[#This Row],[Largo]]</f>
        <v>1,5 x 11 x 20</v>
      </c>
      <c r="AC51" s="13">
        <f>+Resortes_2[[#This Row],[Vueltas]]</f>
        <v>6.5</v>
      </c>
      <c r="AD51" s="13"/>
      <c r="AE51" s="13"/>
      <c r="AF51" s="13"/>
      <c r="AG51" s="13"/>
      <c r="AL51">
        <v>41</v>
      </c>
      <c r="AM51" t="s">
        <v>9092</v>
      </c>
      <c r="AN51" s="1">
        <v>67.658759999999987</v>
      </c>
      <c r="AO51" s="2">
        <f t="shared" si="0"/>
        <v>37.212317999999996</v>
      </c>
    </row>
    <row r="52" spans="1:41" x14ac:dyDescent="0.2">
      <c r="A52" s="7" t="s">
        <v>1229</v>
      </c>
      <c r="B52" s="177" t="s">
        <v>9017</v>
      </c>
      <c r="C52" s="861">
        <v>300</v>
      </c>
      <c r="D52" t="s">
        <v>8945</v>
      </c>
      <c r="E52" s="863">
        <v>16</v>
      </c>
      <c r="F52" s="227">
        <v>0.3</v>
      </c>
      <c r="G52" s="1">
        <f t="shared" si="5"/>
        <v>272.09999999999997</v>
      </c>
      <c r="H52" s="1">
        <f t="shared" si="6"/>
        <v>81629.999999999985</v>
      </c>
      <c r="K52">
        <f t="shared" si="3"/>
        <v>408</v>
      </c>
      <c r="L52" s="40">
        <f t="shared" si="4"/>
        <v>44964</v>
      </c>
      <c r="N52" s="93">
        <f t="shared" ca="1" si="7"/>
        <v>1168</v>
      </c>
      <c r="O52" s="226">
        <v>2</v>
      </c>
      <c r="P52" s="13">
        <v>20</v>
      </c>
      <c r="Q52" s="13">
        <v>100</v>
      </c>
      <c r="R52" s="13">
        <v>13</v>
      </c>
      <c r="S52" s="227">
        <v>0.15</v>
      </c>
      <c r="T52" s="228">
        <f>+Resortes_2[[#This Row],[Precio USD]]*$AJ$1</f>
        <v>20.25</v>
      </c>
      <c r="U52" s="228"/>
      <c r="V52" s="13" t="str">
        <f>+IF(Resortes_2[[#This Row],[Vueltas]]="",Resortes_2[[#This Row],[Alambre]]&amp;" x "&amp;Resortes_2[[#This Row],[Diametro]]&amp;" x "&amp;Resortes_2[[#This Row],[Largo]],Resortes_2[[#This Row],[Alambre]]&amp;" x "&amp;Resortes_2[[#This Row],[Diametro]]&amp;" x "&amp;Resortes_2[[#This Row],[Largo]]&amp;" x "&amp;Resortes_2[[#This Row],[Vueltas]])</f>
        <v>2 x 20 x 100 x 13</v>
      </c>
      <c r="W52" s="229" t="s">
        <v>9045</v>
      </c>
      <c r="X52" s="230" t="str">
        <f>+Resortes_2[[#This Row],[MEDIDA]]&amp;Resortes_2[[#This Row],[TIPO]]</f>
        <v>2 x 20 x 100 x 13COMPRESIÓN</v>
      </c>
      <c r="Y52" s="13">
        <v>114</v>
      </c>
      <c r="Z52" s="13"/>
      <c r="AA52" s="13"/>
      <c r="AB52" s="458" t="str">
        <f>+Resortes_2[[#This Row],[Alambre]]&amp;" x "&amp;Resortes_2[[#This Row],[Diametro]]&amp;" x "&amp;Resortes_2[[#This Row],[Largo]]</f>
        <v>2 x 20 x 100</v>
      </c>
      <c r="AC52" s="13">
        <f>+Resortes_2[[#This Row],[Vueltas]]</f>
        <v>13</v>
      </c>
      <c r="AD52" s="13"/>
      <c r="AE52" s="13"/>
      <c r="AF52" s="13"/>
      <c r="AG52" s="13"/>
      <c r="AL52">
        <v>42</v>
      </c>
      <c r="AM52" t="s">
        <v>9093</v>
      </c>
      <c r="AN52" s="1">
        <v>67.658759999999987</v>
      </c>
      <c r="AO52" s="2">
        <f t="shared" si="0"/>
        <v>37.212317999999996</v>
      </c>
    </row>
    <row r="53" spans="1:41" x14ac:dyDescent="0.2">
      <c r="A53" s="7" t="s">
        <v>1235</v>
      </c>
      <c r="B53" s="177" t="s">
        <v>9017</v>
      </c>
      <c r="C53" s="861">
        <v>300</v>
      </c>
      <c r="D53" t="s">
        <v>8945</v>
      </c>
      <c r="E53" s="863">
        <v>19</v>
      </c>
      <c r="F53" s="227">
        <v>0.3</v>
      </c>
      <c r="G53" s="1">
        <f t="shared" si="5"/>
        <v>272.09999999999997</v>
      </c>
      <c r="H53" s="1">
        <f t="shared" si="6"/>
        <v>81629.999999999985</v>
      </c>
      <c r="K53">
        <f t="shared" si="3"/>
        <v>405</v>
      </c>
      <c r="L53" s="40">
        <f t="shared" si="4"/>
        <v>45103</v>
      </c>
      <c r="N53" s="93">
        <f t="shared" ca="1" si="7"/>
        <v>1029</v>
      </c>
      <c r="O53" s="226">
        <v>2</v>
      </c>
      <c r="P53" s="13">
        <v>25</v>
      </c>
      <c r="Q53" s="13">
        <v>100</v>
      </c>
      <c r="R53" s="13">
        <v>12</v>
      </c>
      <c r="S53" s="227">
        <v>0.18</v>
      </c>
      <c r="T53" s="228">
        <f>+Resortes_2[[#This Row],[Precio USD]]*$AJ$1</f>
        <v>24.3</v>
      </c>
      <c r="U53" s="228"/>
      <c r="V53" s="13" t="str">
        <f>+IF(Resortes_2[[#This Row],[Vueltas]]="",Resortes_2[[#This Row],[Alambre]]&amp;" x "&amp;Resortes_2[[#This Row],[Diametro]]&amp;" x "&amp;Resortes_2[[#This Row],[Largo]],Resortes_2[[#This Row],[Alambre]]&amp;" x "&amp;Resortes_2[[#This Row],[Diametro]]&amp;" x "&amp;Resortes_2[[#This Row],[Largo]]&amp;" x "&amp;Resortes_2[[#This Row],[Vueltas]])</f>
        <v>2 x 25 x 100 x 12</v>
      </c>
      <c r="W53" s="229" t="s">
        <v>9045</v>
      </c>
      <c r="X53" s="230" t="str">
        <f>+Resortes_2[[#This Row],[MEDIDA]]&amp;Resortes_2[[#This Row],[TIPO]]</f>
        <v>2 x 25 x 100 x 12COMPRESIÓN</v>
      </c>
      <c r="Y53" s="13">
        <v>116</v>
      </c>
      <c r="Z53" s="13"/>
      <c r="AA53" s="13"/>
      <c r="AB53" s="458" t="str">
        <f>+Resortes_2[[#This Row],[Alambre]]&amp;" x "&amp;Resortes_2[[#This Row],[Diametro]]&amp;" x "&amp;Resortes_2[[#This Row],[Largo]]</f>
        <v>2 x 25 x 100</v>
      </c>
      <c r="AC53" s="13">
        <f>+Resortes_2[[#This Row],[Vueltas]]</f>
        <v>12</v>
      </c>
      <c r="AD53" s="13"/>
      <c r="AE53" s="13"/>
      <c r="AF53" s="13"/>
      <c r="AG53" s="13"/>
      <c r="AL53">
        <v>43</v>
      </c>
      <c r="AM53" t="s">
        <v>9094</v>
      </c>
      <c r="AN53" s="1">
        <v>67.658759999999987</v>
      </c>
      <c r="AO53" s="2">
        <f t="shared" si="0"/>
        <v>37.212317999999996</v>
      </c>
    </row>
    <row r="54" spans="1:41" x14ac:dyDescent="0.2">
      <c r="A54" s="7" t="s">
        <v>1237</v>
      </c>
      <c r="B54" s="177" t="s">
        <v>9017</v>
      </c>
      <c r="C54" s="861">
        <v>300</v>
      </c>
      <c r="D54" t="s">
        <v>9087</v>
      </c>
      <c r="E54" s="863">
        <v>20</v>
      </c>
      <c r="F54" s="227">
        <v>0.35</v>
      </c>
      <c r="G54" s="1">
        <f t="shared" si="5"/>
        <v>317.45</v>
      </c>
      <c r="H54" s="1">
        <f t="shared" si="6"/>
        <v>95235</v>
      </c>
      <c r="K54">
        <f t="shared" si="3"/>
        <v>50</v>
      </c>
      <c r="L54" s="40">
        <f t="shared" si="4"/>
        <v>45393</v>
      </c>
      <c r="N54" s="93">
        <f t="shared" ca="1" si="7"/>
        <v>739</v>
      </c>
      <c r="O54" s="226">
        <v>2</v>
      </c>
      <c r="P54" s="13">
        <v>30</v>
      </c>
      <c r="Q54" s="13">
        <v>50</v>
      </c>
      <c r="R54" s="13">
        <v>6</v>
      </c>
      <c r="S54" s="227">
        <v>0.12</v>
      </c>
      <c r="T54" s="228">
        <f>+Resortes_2[[#This Row],[Precio USD]]*$AJ$1</f>
        <v>16.2</v>
      </c>
      <c r="U54" s="228"/>
      <c r="V54" s="13" t="str">
        <f>+IF(Resortes_2[[#This Row],[Vueltas]]="",Resortes_2[[#This Row],[Alambre]]&amp;" x "&amp;Resortes_2[[#This Row],[Diametro]]&amp;" x "&amp;Resortes_2[[#This Row],[Largo]],Resortes_2[[#This Row],[Alambre]]&amp;" x "&amp;Resortes_2[[#This Row],[Diametro]]&amp;" x "&amp;Resortes_2[[#This Row],[Largo]]&amp;" x "&amp;Resortes_2[[#This Row],[Vueltas]])</f>
        <v>2 x 30 x 50 x 6</v>
      </c>
      <c r="W54" s="229" t="s">
        <v>9045</v>
      </c>
      <c r="X54" s="230" t="str">
        <f>+Resortes_2[[#This Row],[MEDIDA]]&amp;Resortes_2[[#This Row],[TIPO]]</f>
        <v>2 x 30 x 50 x 6COMPRESIÓN</v>
      </c>
      <c r="Y54" s="13">
        <v>118</v>
      </c>
      <c r="Z54" s="13"/>
      <c r="AA54" s="13"/>
      <c r="AB54" s="458" t="str">
        <f>+Resortes_2[[#This Row],[Alambre]]&amp;" x "&amp;Resortes_2[[#This Row],[Diametro]]&amp;" x "&amp;Resortes_2[[#This Row],[Largo]]</f>
        <v>2 x 30 x 50</v>
      </c>
      <c r="AC54" s="13">
        <f>+Resortes_2[[#This Row],[Vueltas]]</f>
        <v>6</v>
      </c>
      <c r="AD54" s="13"/>
      <c r="AE54" s="13"/>
      <c r="AF54" s="13"/>
      <c r="AG54" s="13"/>
      <c r="AL54">
        <v>44</v>
      </c>
      <c r="AM54" t="s">
        <v>9095</v>
      </c>
      <c r="AN54" s="1">
        <v>67.658759999999987</v>
      </c>
      <c r="AO54" s="2">
        <f t="shared" si="0"/>
        <v>37.212317999999996</v>
      </c>
    </row>
    <row r="55" spans="1:41" x14ac:dyDescent="0.2">
      <c r="A55" s="7" t="s">
        <v>1257</v>
      </c>
      <c r="B55" s="177" t="s">
        <v>9017</v>
      </c>
      <c r="C55" s="861">
        <v>500</v>
      </c>
      <c r="E55" s="863">
        <v>31</v>
      </c>
      <c r="F55" s="227">
        <v>0.18</v>
      </c>
      <c r="G55" s="1">
        <f t="shared" si="5"/>
        <v>163.26</v>
      </c>
      <c r="H55" s="1">
        <f t="shared" si="6"/>
        <v>81630</v>
      </c>
      <c r="K55">
        <f t="shared" si="3"/>
        <v>0</v>
      </c>
      <c r="L55" s="40">
        <f t="shared" si="4"/>
        <v>0</v>
      </c>
      <c r="N55" s="93">
        <f t="shared" ca="1" si="7"/>
        <v>46132</v>
      </c>
      <c r="O55" s="226">
        <v>3</v>
      </c>
      <c r="P55" s="13">
        <v>18</v>
      </c>
      <c r="Q55" s="13">
        <v>40</v>
      </c>
      <c r="R55" s="13">
        <v>6.5</v>
      </c>
      <c r="S55" s="227">
        <v>0.13</v>
      </c>
      <c r="T55" s="228">
        <f>+Resortes_2[[#This Row],[Precio USD]]*$AJ$1</f>
        <v>17.55</v>
      </c>
      <c r="U55" s="228"/>
      <c r="V55" s="13" t="str">
        <f>+IF(Resortes_2[[#This Row],[Vueltas]]="",Resortes_2[[#This Row],[Alambre]]&amp;" x "&amp;Resortes_2[[#This Row],[Diametro]]&amp;" x "&amp;Resortes_2[[#This Row],[Largo]],Resortes_2[[#This Row],[Alambre]]&amp;" x "&amp;Resortes_2[[#This Row],[Diametro]]&amp;" x "&amp;Resortes_2[[#This Row],[Largo]]&amp;" x "&amp;Resortes_2[[#This Row],[Vueltas]])</f>
        <v>3 x 18 x 40 x 6,5</v>
      </c>
      <c r="W55" s="229" t="s">
        <v>9045</v>
      </c>
      <c r="X55" s="230" t="str">
        <f>+Resortes_2[[#This Row],[MEDIDA]]&amp;Resortes_2[[#This Row],[TIPO]]</f>
        <v>3 x 18 x 40 x 6,5COMPRESIÓN</v>
      </c>
      <c r="Y55" s="13">
        <v>136</v>
      </c>
      <c r="Z55" s="13"/>
      <c r="AA55" s="13"/>
      <c r="AB55" s="458" t="str">
        <f>+Resortes_2[[#This Row],[Alambre]]&amp;" x "&amp;Resortes_2[[#This Row],[Diametro]]&amp;" x "&amp;Resortes_2[[#This Row],[Largo]]</f>
        <v>3 x 18 x 40</v>
      </c>
      <c r="AC55" s="13">
        <f>+Resortes_2[[#This Row],[Vueltas]]</f>
        <v>6.5</v>
      </c>
      <c r="AD55" s="13"/>
      <c r="AE55" s="13"/>
      <c r="AF55" s="13"/>
      <c r="AG55" s="13"/>
      <c r="AL55">
        <v>45</v>
      </c>
      <c r="AM55" t="s">
        <v>9096</v>
      </c>
      <c r="AN55" s="1">
        <v>76.347179999999994</v>
      </c>
      <c r="AO55" s="2">
        <f t="shared" si="0"/>
        <v>41.990949000000001</v>
      </c>
    </row>
    <row r="56" spans="1:41" ht="13.5" thickBot="1" x14ac:dyDescent="0.25">
      <c r="A56" s="7" t="s">
        <v>1261</v>
      </c>
      <c r="B56" s="177" t="s">
        <v>9017</v>
      </c>
      <c r="C56" s="861">
        <v>500</v>
      </c>
      <c r="D56" t="s">
        <v>9087</v>
      </c>
      <c r="E56" s="864">
        <v>33</v>
      </c>
      <c r="F56" s="227">
        <v>0.2</v>
      </c>
      <c r="G56" s="1">
        <f t="shared" si="5"/>
        <v>181.4</v>
      </c>
      <c r="H56" s="1">
        <f t="shared" si="6"/>
        <v>90700</v>
      </c>
      <c r="K56">
        <f t="shared" si="3"/>
        <v>600</v>
      </c>
      <c r="L56" s="40">
        <f t="shared" si="4"/>
        <v>44964</v>
      </c>
      <c r="N56" s="93">
        <f t="shared" ca="1" si="7"/>
        <v>1168</v>
      </c>
      <c r="O56" s="226">
        <v>3</v>
      </c>
      <c r="P56" s="13">
        <v>40</v>
      </c>
      <c r="Q56" s="13">
        <v>100</v>
      </c>
      <c r="R56" s="13">
        <v>8</v>
      </c>
      <c r="S56" s="227">
        <v>0.35</v>
      </c>
      <c r="T56" s="228">
        <f>+Resortes_2[[#This Row],[Precio USD]]*$AJ$1</f>
        <v>47.25</v>
      </c>
      <c r="U56" s="228"/>
      <c r="V56" s="13" t="str">
        <f>+IF(Resortes_2[[#This Row],[Vueltas]]="",Resortes_2[[#This Row],[Alambre]]&amp;" x "&amp;Resortes_2[[#This Row],[Diametro]]&amp;" x "&amp;Resortes_2[[#This Row],[Largo]],Resortes_2[[#This Row],[Alambre]]&amp;" x "&amp;Resortes_2[[#This Row],[Diametro]]&amp;" x "&amp;Resortes_2[[#This Row],[Largo]]&amp;" x "&amp;Resortes_2[[#This Row],[Vueltas]])</f>
        <v>3 x 40 x 100 x 8</v>
      </c>
      <c r="W56" s="229" t="s">
        <v>9045</v>
      </c>
      <c r="X56" s="230" t="str">
        <f>+Resortes_2[[#This Row],[MEDIDA]]&amp;Resortes_2[[#This Row],[TIPO]]</f>
        <v>3 x 40 x 100 x 8COMPRESIÓN</v>
      </c>
      <c r="Y56" s="13">
        <v>149</v>
      </c>
      <c r="Z56" s="13"/>
      <c r="AA56" s="13"/>
      <c r="AB56" s="458" t="str">
        <f>+Resortes_2[[#This Row],[Alambre]]&amp;" x "&amp;Resortes_2[[#This Row],[Diametro]]&amp;" x "&amp;Resortes_2[[#This Row],[Largo]]</f>
        <v>3 x 40 x 100</v>
      </c>
      <c r="AC56" s="13">
        <f>+Resortes_2[[#This Row],[Vueltas]]</f>
        <v>8</v>
      </c>
      <c r="AD56" s="13"/>
      <c r="AE56" s="13"/>
      <c r="AF56" s="13"/>
      <c r="AG56" s="13"/>
      <c r="AL56">
        <v>46</v>
      </c>
      <c r="AM56" t="s">
        <v>9097</v>
      </c>
      <c r="AN56" s="1">
        <v>97.975799999999992</v>
      </c>
      <c r="AO56" s="2">
        <f t="shared" si="0"/>
        <v>53.886690000000002</v>
      </c>
    </row>
    <row r="57" spans="1:41" ht="13.5" thickBot="1" x14ac:dyDescent="0.25">
      <c r="A57" s="8" t="s">
        <v>9098</v>
      </c>
      <c r="B57" s="178" t="s">
        <v>9045</v>
      </c>
      <c r="C57" s="866">
        <v>300</v>
      </c>
      <c r="D57" t="s">
        <v>8945</v>
      </c>
      <c r="E57" s="864">
        <v>864</v>
      </c>
      <c r="F57" s="227">
        <v>0.43</v>
      </c>
      <c r="G57" s="1">
        <f t="shared" si="5"/>
        <v>390.01</v>
      </c>
      <c r="H57" s="1">
        <f t="shared" si="6"/>
        <v>117003</v>
      </c>
      <c r="K57">
        <f t="shared" si="3"/>
        <v>0</v>
      </c>
      <c r="L57" s="40">
        <f t="shared" si="4"/>
        <v>0</v>
      </c>
      <c r="N57" s="93">
        <f t="shared" ca="1" si="7"/>
        <v>46132</v>
      </c>
      <c r="O57" s="226">
        <v>2</v>
      </c>
      <c r="P57" s="13">
        <v>20</v>
      </c>
      <c r="Q57" s="13">
        <v>150</v>
      </c>
      <c r="R57" s="13"/>
      <c r="S57" s="227">
        <v>0.4</v>
      </c>
      <c r="T57" s="228">
        <f>+Resortes_2[[#This Row],[Precio USD]]*$AJ$1</f>
        <v>54</v>
      </c>
      <c r="U57" s="228"/>
      <c r="V57" s="13" t="str">
        <f>+IF(Resortes_2[[#This Row],[Vueltas]]="",Resortes_2[[#This Row],[Alambre]]&amp;" x "&amp;Resortes_2[[#This Row],[Diametro]]&amp;" x "&amp;Resortes_2[[#This Row],[Largo]],Resortes_2[[#This Row],[Alambre]]&amp;" x "&amp;Resortes_2[[#This Row],[Diametro]]&amp;" x "&amp;Resortes_2[[#This Row],[Largo]]&amp;" x "&amp;Resortes_2[[#This Row],[Vueltas]])</f>
        <v>2 x 20 x 150</v>
      </c>
      <c r="W57" s="229" t="s">
        <v>9017</v>
      </c>
      <c r="X57" s="230" t="str">
        <f>+Resortes_2[[#This Row],[MEDIDA]]&amp;Resortes_2[[#This Row],[TIPO]]</f>
        <v>2 x 20 x 150EXPANSIÓN</v>
      </c>
      <c r="Y57" s="13">
        <v>172</v>
      </c>
      <c r="Z57" s="13"/>
      <c r="AA57" s="13"/>
      <c r="AB57" s="458" t="str">
        <f>+Resortes_2[[#This Row],[Alambre]]&amp;" x "&amp;Resortes_2[[#This Row],[Diametro]]&amp;" x "&amp;Resortes_2[[#This Row],[Largo]]</f>
        <v>2 x 20 x 150</v>
      </c>
      <c r="AC57" s="13">
        <f>+Resortes_2[[#This Row],[Vueltas]]</f>
        <v>0</v>
      </c>
      <c r="AD57" s="13"/>
      <c r="AE57" s="13"/>
      <c r="AF57" s="13"/>
      <c r="AG57" s="13"/>
      <c r="AL57">
        <v>47</v>
      </c>
      <c r="AM57" t="s">
        <v>9099</v>
      </c>
      <c r="AN57" s="1">
        <v>74.745059999999995</v>
      </c>
      <c r="AO57" s="2">
        <f t="shared" si="0"/>
        <v>41.109783</v>
      </c>
    </row>
    <row r="58" spans="1:41" x14ac:dyDescent="0.2">
      <c r="A58" s="859" t="s">
        <v>9007</v>
      </c>
      <c r="B58" s="860" t="s">
        <v>9008</v>
      </c>
      <c r="C58" s="600" t="s">
        <v>8753</v>
      </c>
      <c r="G58" s="865" t="s">
        <v>8164</v>
      </c>
      <c r="H58" s="576">
        <f>+SUM(H48:H57)</f>
        <v>944187</v>
      </c>
      <c r="I58" s="1490" t="s">
        <v>9100</v>
      </c>
      <c r="J58" s="1490"/>
      <c r="O58" s="226">
        <v>0.5</v>
      </c>
      <c r="P58" s="13">
        <v>4.5</v>
      </c>
      <c r="Q58" s="13">
        <v>80</v>
      </c>
      <c r="R58" s="13"/>
      <c r="S58" s="227">
        <v>0.13</v>
      </c>
      <c r="T58" s="228">
        <f>+Resortes_2[[#This Row],[Precio USD]]*$AJ$1</f>
        <v>17.55</v>
      </c>
      <c r="U58" s="228"/>
      <c r="V58" s="13" t="str">
        <f>+IF(Resortes_2[[#This Row],[Vueltas]]="",Resortes_2[[#This Row],[Alambre]]&amp;" x "&amp;Resortes_2[[#This Row],[Diametro]]&amp;" x "&amp;Resortes_2[[#This Row],[Largo]],Resortes_2[[#This Row],[Alambre]]&amp;" x "&amp;Resortes_2[[#This Row],[Diametro]]&amp;" x "&amp;Resortes_2[[#This Row],[Largo]]&amp;" x "&amp;Resortes_2[[#This Row],[Vueltas]])</f>
        <v>0,5 x 4,5 x 80</v>
      </c>
      <c r="W58" s="229" t="s">
        <v>9017</v>
      </c>
      <c r="X58" s="230" t="str">
        <f>+Resortes_2[[#This Row],[MEDIDA]]&amp;Resortes_2[[#This Row],[TIPO]]</f>
        <v>0,5 x 4,5 x 80EXPANSIÓN</v>
      </c>
      <c r="Y58" s="13">
        <v>273</v>
      </c>
      <c r="Z58" s="13"/>
      <c r="AA58" s="13"/>
      <c r="AB58" s="458" t="str">
        <f>+Resortes_2[[#This Row],[Alambre]]&amp;" x "&amp;Resortes_2[[#This Row],[Diametro]]&amp;" x "&amp;Resortes_2[[#This Row],[Largo]]</f>
        <v>0,5 x 4,5 x 80</v>
      </c>
      <c r="AC58" s="13">
        <f>+Resortes_2[[#This Row],[Vueltas]]</f>
        <v>0</v>
      </c>
      <c r="AD58" s="13"/>
      <c r="AE58" s="13"/>
      <c r="AF58" s="13"/>
      <c r="AG58" s="13"/>
      <c r="AL58">
        <v>48</v>
      </c>
      <c r="AM58" t="s">
        <v>9101</v>
      </c>
      <c r="AN58" s="1">
        <v>97.975799999999992</v>
      </c>
      <c r="AO58" s="2">
        <f t="shared" si="0"/>
        <v>53.886690000000002</v>
      </c>
    </row>
    <row r="59" spans="1:41" hidden="1" x14ac:dyDescent="0.2">
      <c r="A59" s="7" t="s">
        <v>9102</v>
      </c>
      <c r="B59" s="177" t="s">
        <v>9045</v>
      </c>
      <c r="C59" s="861">
        <v>500</v>
      </c>
      <c r="D59">
        <v>1</v>
      </c>
      <c r="E59" s="868">
        <v>52</v>
      </c>
      <c r="I59" s="406">
        <v>172</v>
      </c>
      <c r="J59" s="1">
        <f t="shared" ref="J59:J64" si="8">+I59*C59</f>
        <v>86000</v>
      </c>
      <c r="O59" s="226">
        <v>0.5</v>
      </c>
      <c r="P59" s="13">
        <v>6</v>
      </c>
      <c r="Q59" s="13">
        <v>60</v>
      </c>
      <c r="R59" s="13"/>
      <c r="S59" s="227">
        <v>0.11</v>
      </c>
      <c r="T59" s="228">
        <f>+Resortes_2[[#This Row],[Precio USD]]*$AJ$1</f>
        <v>14.85</v>
      </c>
      <c r="U59" s="228"/>
      <c r="V59" s="13" t="str">
        <f>+IF(Resortes_2[[#This Row],[Vueltas]]="",Resortes_2[[#This Row],[Alambre]]&amp;" x "&amp;Resortes_2[[#This Row],[Diametro]]&amp;" x "&amp;Resortes_2[[#This Row],[Largo]],Resortes_2[[#This Row],[Alambre]]&amp;" x "&amp;Resortes_2[[#This Row],[Diametro]]&amp;" x "&amp;Resortes_2[[#This Row],[Largo]]&amp;" x "&amp;Resortes_2[[#This Row],[Vueltas]])</f>
        <v>0,5 x 6 x 60</v>
      </c>
      <c r="W59" s="229" t="s">
        <v>9017</v>
      </c>
      <c r="X59" s="230" t="str">
        <f>+Resortes_2[[#This Row],[MEDIDA]]&amp;Resortes_2[[#This Row],[TIPO]]</f>
        <v>0,5 x 6 x 60EXPANSIÓN</v>
      </c>
      <c r="Y59" s="13">
        <v>274</v>
      </c>
      <c r="Z59" s="13"/>
      <c r="AA59" s="13"/>
      <c r="AB59" s="458" t="str">
        <f>+Resortes_2[[#This Row],[Alambre]]&amp;" x "&amp;Resortes_2[[#This Row],[Diametro]]&amp;" x "&amp;Resortes_2[[#This Row],[Largo]]</f>
        <v>0,5 x 6 x 60</v>
      </c>
      <c r="AC59" s="13">
        <f>+Resortes_2[[#This Row],[Vueltas]]</f>
        <v>0</v>
      </c>
      <c r="AD59" s="13"/>
      <c r="AE59" s="13"/>
      <c r="AF59" s="13"/>
      <c r="AG59" s="13"/>
      <c r="AL59">
        <v>50</v>
      </c>
      <c r="AM59" t="s">
        <v>9103</v>
      </c>
      <c r="AN59" s="1">
        <v>105.03129</v>
      </c>
      <c r="AO59" s="2">
        <f t="shared" si="0"/>
        <v>57.767209500000007</v>
      </c>
    </row>
    <row r="60" spans="1:41" hidden="1" x14ac:dyDescent="0.2">
      <c r="A60" s="7" t="s">
        <v>9104</v>
      </c>
      <c r="B60" s="177" t="s">
        <v>9045</v>
      </c>
      <c r="C60" s="861">
        <v>300</v>
      </c>
      <c r="D60">
        <v>2</v>
      </c>
      <c r="E60" s="868">
        <v>870</v>
      </c>
      <c r="F60" s="227">
        <v>0.57999999999999996</v>
      </c>
      <c r="G60" s="1">
        <f>+F60*$G$46</f>
        <v>526.05999999999995</v>
      </c>
      <c r="H60" s="1">
        <f>+G60*C60</f>
        <v>157817.99999999997</v>
      </c>
      <c r="I60" s="406">
        <v>233</v>
      </c>
      <c r="J60" s="1">
        <f t="shared" si="8"/>
        <v>69900</v>
      </c>
      <c r="K60" s="1">
        <v>1870.13</v>
      </c>
      <c r="O60" s="226">
        <v>0.8</v>
      </c>
      <c r="P60" s="13">
        <v>8</v>
      </c>
      <c r="Q60" s="13">
        <v>100</v>
      </c>
      <c r="R60" s="13"/>
      <c r="S60" s="227">
        <v>0.21</v>
      </c>
      <c r="T60" s="228">
        <f>+Resortes_2[[#This Row],[Precio USD]]*$AJ$1</f>
        <v>28.349999999999998</v>
      </c>
      <c r="U60" s="228"/>
      <c r="V60" s="13" t="str">
        <f>+IF(Resortes_2[[#This Row],[Vueltas]]="",Resortes_2[[#This Row],[Alambre]]&amp;" x "&amp;Resortes_2[[#This Row],[Diametro]]&amp;" x "&amp;Resortes_2[[#This Row],[Largo]],Resortes_2[[#This Row],[Alambre]]&amp;" x "&amp;Resortes_2[[#This Row],[Diametro]]&amp;" x "&amp;Resortes_2[[#This Row],[Largo]]&amp;" x "&amp;Resortes_2[[#This Row],[Vueltas]])</f>
        <v>0,8 x 8 x 100</v>
      </c>
      <c r="W60" s="229" t="s">
        <v>9017</v>
      </c>
      <c r="X60" s="230" t="str">
        <f>+Resortes_2[[#This Row],[MEDIDA]]&amp;Resortes_2[[#This Row],[TIPO]]</f>
        <v>0,8 x 8 x 100EXPANSIÓN</v>
      </c>
      <c r="Y60" s="13">
        <v>275</v>
      </c>
      <c r="Z60" s="13"/>
      <c r="AA60" s="13"/>
      <c r="AB60" s="458" t="str">
        <f>+Resortes_2[[#This Row],[Alambre]]&amp;" x "&amp;Resortes_2[[#This Row],[Diametro]]&amp;" x "&amp;Resortes_2[[#This Row],[Largo]]</f>
        <v>0,8 x 8 x 100</v>
      </c>
      <c r="AC60" s="13">
        <f>+Resortes_2[[#This Row],[Vueltas]]</f>
        <v>0</v>
      </c>
      <c r="AD60" s="13"/>
      <c r="AE60" s="13"/>
      <c r="AF60" s="13"/>
      <c r="AG60" s="13"/>
      <c r="AL60">
        <v>51</v>
      </c>
      <c r="AM60" t="s">
        <v>9105</v>
      </c>
      <c r="AN60" s="1">
        <v>97.975799999999992</v>
      </c>
      <c r="AO60" s="2">
        <f t="shared" si="0"/>
        <v>53.886690000000002</v>
      </c>
    </row>
    <row r="61" spans="1:41" x14ac:dyDescent="0.2">
      <c r="A61" s="7" t="s">
        <v>9106</v>
      </c>
      <c r="B61" s="177" t="s">
        <v>9107</v>
      </c>
      <c r="C61" s="861">
        <v>300</v>
      </c>
      <c r="D61">
        <v>3</v>
      </c>
      <c r="E61" s="869">
        <v>809</v>
      </c>
      <c r="F61" s="227">
        <v>0.59</v>
      </c>
      <c r="G61" s="1">
        <f>+F61*$G$46</f>
        <v>535.13</v>
      </c>
      <c r="H61" s="1">
        <f>+G61*C61</f>
        <v>160539</v>
      </c>
      <c r="I61" s="1">
        <v>0</v>
      </c>
      <c r="J61" s="1">
        <f t="shared" si="8"/>
        <v>0</v>
      </c>
      <c r="K61" s="1">
        <v>1870.13</v>
      </c>
      <c r="O61" s="226">
        <v>1</v>
      </c>
      <c r="P61" s="13">
        <v>13</v>
      </c>
      <c r="Q61" s="13">
        <v>50</v>
      </c>
      <c r="R61" s="13"/>
      <c r="S61" s="227">
        <v>0.14000000000000001</v>
      </c>
      <c r="T61" s="228">
        <f>+Resortes_2[[#This Row],[Precio USD]]*$AJ$1</f>
        <v>18.900000000000002</v>
      </c>
      <c r="U61" s="228"/>
      <c r="V61" s="13" t="str">
        <f>+IF(Resortes_2[[#This Row],[Vueltas]]="",Resortes_2[[#This Row],[Alambre]]&amp;" x "&amp;Resortes_2[[#This Row],[Diametro]]&amp;" x "&amp;Resortes_2[[#This Row],[Largo]],Resortes_2[[#This Row],[Alambre]]&amp;" x "&amp;Resortes_2[[#This Row],[Diametro]]&amp;" x "&amp;Resortes_2[[#This Row],[Largo]]&amp;" x "&amp;Resortes_2[[#This Row],[Vueltas]])</f>
        <v>1 x 13 x 50</v>
      </c>
      <c r="W61" s="229" t="s">
        <v>9017</v>
      </c>
      <c r="X61" s="230" t="str">
        <f>+Resortes_2[[#This Row],[MEDIDA]]&amp;Resortes_2[[#This Row],[TIPO]]</f>
        <v>1 x 13 x 50EXPANSIÓN</v>
      </c>
      <c r="Y61" s="13">
        <v>278</v>
      </c>
      <c r="Z61" s="13"/>
      <c r="AA61" s="13"/>
      <c r="AB61" s="458" t="str">
        <f>+Resortes_2[[#This Row],[Alambre]]&amp;" x "&amp;Resortes_2[[#This Row],[Diametro]]&amp;" x "&amp;Resortes_2[[#This Row],[Largo]]</f>
        <v>1 x 13 x 50</v>
      </c>
      <c r="AC61" s="13">
        <f>+Resortes_2[[#This Row],[Vueltas]]</f>
        <v>0</v>
      </c>
      <c r="AD61" s="13"/>
      <c r="AE61" s="13"/>
      <c r="AF61" s="13"/>
      <c r="AG61" s="13"/>
      <c r="AL61">
        <v>52</v>
      </c>
      <c r="AM61" t="s">
        <v>9108</v>
      </c>
      <c r="AN61" s="1">
        <v>105.03129</v>
      </c>
      <c r="AO61" s="2">
        <f t="shared" si="0"/>
        <v>57.767209500000007</v>
      </c>
    </row>
    <row r="62" spans="1:41" x14ac:dyDescent="0.2">
      <c r="A62" s="7" t="s">
        <v>9109</v>
      </c>
      <c r="B62" s="177" t="s">
        <v>9107</v>
      </c>
      <c r="C62" s="861">
        <v>200</v>
      </c>
      <c r="D62">
        <v>4</v>
      </c>
      <c r="E62" s="869">
        <v>810</v>
      </c>
      <c r="F62" s="227">
        <v>0.65</v>
      </c>
      <c r="G62" s="1">
        <f>+F62*$G$46</f>
        <v>589.55000000000007</v>
      </c>
      <c r="H62" s="1">
        <f>+G62*C62</f>
        <v>117910.00000000001</v>
      </c>
      <c r="I62" s="1">
        <v>0</v>
      </c>
      <c r="J62" s="1">
        <f t="shared" si="8"/>
        <v>0</v>
      </c>
      <c r="K62" s="1">
        <v>1985.21</v>
      </c>
      <c r="O62" s="226">
        <v>1</v>
      </c>
      <c r="P62" s="13">
        <v>13</v>
      </c>
      <c r="Q62" s="13">
        <v>95</v>
      </c>
      <c r="R62" s="13"/>
      <c r="S62" s="227">
        <v>0.27</v>
      </c>
      <c r="T62" s="228">
        <f>+Resortes_2[[#This Row],[Precio USD]]*$AJ$1</f>
        <v>36.450000000000003</v>
      </c>
      <c r="U62" s="228"/>
      <c r="V62" s="13" t="str">
        <f>+IF(Resortes_2[[#This Row],[Vueltas]]="",Resortes_2[[#This Row],[Alambre]]&amp;" x "&amp;Resortes_2[[#This Row],[Diametro]]&amp;" x "&amp;Resortes_2[[#This Row],[Largo]],Resortes_2[[#This Row],[Alambre]]&amp;" x "&amp;Resortes_2[[#This Row],[Diametro]]&amp;" x "&amp;Resortes_2[[#This Row],[Largo]]&amp;" x "&amp;Resortes_2[[#This Row],[Vueltas]])</f>
        <v>1 x 13 x 95</v>
      </c>
      <c r="W62" s="229" t="s">
        <v>9017</v>
      </c>
      <c r="X62" s="230" t="str">
        <f>+Resortes_2[[#This Row],[MEDIDA]]&amp;Resortes_2[[#This Row],[TIPO]]</f>
        <v>1 x 13 x 95EXPANSIÓN</v>
      </c>
      <c r="Y62" s="13">
        <v>279</v>
      </c>
      <c r="Z62" s="13"/>
      <c r="AA62" s="13"/>
      <c r="AB62" s="458" t="str">
        <f>+Resortes_2[[#This Row],[Alambre]]&amp;" x "&amp;Resortes_2[[#This Row],[Diametro]]&amp;" x "&amp;Resortes_2[[#This Row],[Largo]]</f>
        <v>1 x 13 x 95</v>
      </c>
      <c r="AC62" s="13">
        <f>+Resortes_2[[#This Row],[Vueltas]]</f>
        <v>0</v>
      </c>
      <c r="AD62" s="13"/>
      <c r="AE62" s="13"/>
      <c r="AF62" s="13"/>
      <c r="AG62" s="13"/>
      <c r="AL62">
        <v>53</v>
      </c>
      <c r="AM62" t="s">
        <v>9110</v>
      </c>
      <c r="AN62" s="1">
        <v>105.03129</v>
      </c>
      <c r="AO62" s="2">
        <f t="shared" si="0"/>
        <v>57.767209500000007</v>
      </c>
    </row>
    <row r="63" spans="1:41" x14ac:dyDescent="0.2">
      <c r="A63" s="7" t="s">
        <v>9111</v>
      </c>
      <c r="B63" s="177" t="s">
        <v>9107</v>
      </c>
      <c r="C63" s="861">
        <v>300</v>
      </c>
      <c r="D63">
        <v>5</v>
      </c>
      <c r="E63" s="868">
        <v>814</v>
      </c>
      <c r="F63" s="227">
        <v>0.69</v>
      </c>
      <c r="G63" s="1">
        <f>+F63*$G$46</f>
        <v>625.82999999999993</v>
      </c>
      <c r="H63" s="1">
        <f>+G63*C63</f>
        <v>187748.99999999997</v>
      </c>
      <c r="I63" s="406">
        <v>543</v>
      </c>
      <c r="J63" s="1">
        <f t="shared" si="8"/>
        <v>162900</v>
      </c>
      <c r="K63" s="1">
        <v>2157.84</v>
      </c>
      <c r="O63" s="226">
        <v>1</v>
      </c>
      <c r="P63" s="13">
        <v>13</v>
      </c>
      <c r="Q63" s="13">
        <v>177</v>
      </c>
      <c r="R63" s="13"/>
      <c r="S63" s="227">
        <v>0.37</v>
      </c>
      <c r="T63" s="228">
        <f>+Resortes_2[[#This Row],[Precio USD]]*$AJ$1</f>
        <v>49.95</v>
      </c>
      <c r="U63" s="228"/>
      <c r="V63" s="13" t="str">
        <f>+IF(Resortes_2[[#This Row],[Vueltas]]="",Resortes_2[[#This Row],[Alambre]]&amp;" x "&amp;Resortes_2[[#This Row],[Diametro]]&amp;" x "&amp;Resortes_2[[#This Row],[Largo]],Resortes_2[[#This Row],[Alambre]]&amp;" x "&amp;Resortes_2[[#This Row],[Diametro]]&amp;" x "&amp;Resortes_2[[#This Row],[Largo]]&amp;" x "&amp;Resortes_2[[#This Row],[Vueltas]])</f>
        <v>1 x 13 x 177</v>
      </c>
      <c r="W63" s="229" t="s">
        <v>9017</v>
      </c>
      <c r="X63" s="230" t="str">
        <f>+Resortes_2[[#This Row],[MEDIDA]]&amp;Resortes_2[[#This Row],[TIPO]]</f>
        <v>1 x 13 x 177EXPANSIÓN</v>
      </c>
      <c r="Y63" s="13">
        <v>280</v>
      </c>
      <c r="Z63" s="13"/>
      <c r="AA63" s="13"/>
      <c r="AB63" s="458" t="str">
        <f>+Resortes_2[[#This Row],[Alambre]]&amp;" x "&amp;Resortes_2[[#This Row],[Diametro]]&amp;" x "&amp;Resortes_2[[#This Row],[Largo]]</f>
        <v>1 x 13 x 177</v>
      </c>
      <c r="AC63" s="13">
        <f>+Resortes_2[[#This Row],[Vueltas]]</f>
        <v>0</v>
      </c>
      <c r="AD63" s="13"/>
      <c r="AE63" s="13"/>
      <c r="AF63" s="13"/>
      <c r="AG63" s="13"/>
      <c r="AL63">
        <v>55</v>
      </c>
      <c r="AM63" t="s">
        <v>9112</v>
      </c>
      <c r="AN63" s="1">
        <v>97.975799999999992</v>
      </c>
      <c r="AO63" s="2">
        <f t="shared" si="0"/>
        <v>53.886690000000002</v>
      </c>
    </row>
    <row r="64" spans="1:41" x14ac:dyDescent="0.2">
      <c r="A64" s="7" t="s">
        <v>9113</v>
      </c>
      <c r="B64" s="177" t="s">
        <v>9107</v>
      </c>
      <c r="C64" s="861">
        <v>300</v>
      </c>
      <c r="D64">
        <v>6</v>
      </c>
      <c r="E64" s="868">
        <v>815</v>
      </c>
      <c r="F64" s="227">
        <v>0.75</v>
      </c>
      <c r="G64" s="1">
        <f>+F64*$G$46</f>
        <v>680.25</v>
      </c>
      <c r="H64" s="1">
        <f>+G64*C64</f>
        <v>204075</v>
      </c>
      <c r="I64" s="406">
        <v>562</v>
      </c>
      <c r="J64" s="1">
        <f t="shared" si="8"/>
        <v>168600</v>
      </c>
      <c r="K64" s="1">
        <v>1668.73</v>
      </c>
      <c r="O64" s="226">
        <v>1.25</v>
      </c>
      <c r="P64" s="13">
        <v>7</v>
      </c>
      <c r="Q64" s="13">
        <v>80</v>
      </c>
      <c r="R64" s="13"/>
      <c r="S64" s="227">
        <v>0.16</v>
      </c>
      <c r="T64" s="228">
        <f>+Resortes_2[[#This Row],[Precio USD]]*$AJ$1</f>
        <v>21.6</v>
      </c>
      <c r="U64" s="228"/>
      <c r="V64" s="13" t="str">
        <f>+IF(Resortes_2[[#This Row],[Vueltas]]="",Resortes_2[[#This Row],[Alambre]]&amp;" x "&amp;Resortes_2[[#This Row],[Diametro]]&amp;" x "&amp;Resortes_2[[#This Row],[Largo]],Resortes_2[[#This Row],[Alambre]]&amp;" x "&amp;Resortes_2[[#This Row],[Diametro]]&amp;" x "&amp;Resortes_2[[#This Row],[Largo]]&amp;" x "&amp;Resortes_2[[#This Row],[Vueltas]])</f>
        <v>1,25 x 7 x 80</v>
      </c>
      <c r="W64" s="229" t="s">
        <v>9017</v>
      </c>
      <c r="X64" s="230" t="str">
        <f>+Resortes_2[[#This Row],[MEDIDA]]&amp;Resortes_2[[#This Row],[TIPO]]</f>
        <v>1,25 x 7 x 80EXPANSIÓN</v>
      </c>
      <c r="Y64" s="13">
        <v>281</v>
      </c>
      <c r="Z64" s="13"/>
      <c r="AA64" s="13"/>
      <c r="AB64" s="458" t="str">
        <f>+Resortes_2[[#This Row],[Alambre]]&amp;" x "&amp;Resortes_2[[#This Row],[Diametro]]&amp;" x "&amp;Resortes_2[[#This Row],[Largo]]</f>
        <v>1,25 x 7 x 80</v>
      </c>
      <c r="AC64" s="13">
        <f>+Resortes_2[[#This Row],[Vueltas]]</f>
        <v>0</v>
      </c>
      <c r="AD64" s="13"/>
      <c r="AE64" s="13"/>
      <c r="AF64" s="13"/>
      <c r="AG64" s="13"/>
      <c r="AL64">
        <v>56</v>
      </c>
      <c r="AM64" t="s">
        <v>9114</v>
      </c>
      <c r="AN64" s="1">
        <v>97.975799999999992</v>
      </c>
      <c r="AO64" s="2">
        <f t="shared" si="0"/>
        <v>53.886690000000002</v>
      </c>
    </row>
    <row r="65" spans="1:41" x14ac:dyDescent="0.2">
      <c r="J65" s="61">
        <f>+SUM(J59:J64)</f>
        <v>487400</v>
      </c>
      <c r="O65" s="226">
        <v>1.25</v>
      </c>
      <c r="P65" s="13">
        <v>7</v>
      </c>
      <c r="Q65" s="13">
        <v>140</v>
      </c>
      <c r="R65" s="13"/>
      <c r="S65" s="227">
        <v>0.27</v>
      </c>
      <c r="T65" s="228">
        <f>+Resortes_2[[#This Row],[Precio USD]]*$AJ$1</f>
        <v>36.450000000000003</v>
      </c>
      <c r="U65" s="228"/>
      <c r="V65" s="13" t="str">
        <f>+IF(Resortes_2[[#This Row],[Vueltas]]="",Resortes_2[[#This Row],[Alambre]]&amp;" x "&amp;Resortes_2[[#This Row],[Diametro]]&amp;" x "&amp;Resortes_2[[#This Row],[Largo]],Resortes_2[[#This Row],[Alambre]]&amp;" x "&amp;Resortes_2[[#This Row],[Diametro]]&amp;" x "&amp;Resortes_2[[#This Row],[Largo]]&amp;" x "&amp;Resortes_2[[#This Row],[Vueltas]])</f>
        <v>1,25 x 7 x 140</v>
      </c>
      <c r="W65" s="229" t="s">
        <v>9017</v>
      </c>
      <c r="X65" s="230" t="str">
        <f>+Resortes_2[[#This Row],[MEDIDA]]&amp;Resortes_2[[#This Row],[TIPO]]</f>
        <v>1,25 x 7 x 140EXPANSIÓN</v>
      </c>
      <c r="Y65" s="13">
        <v>282</v>
      </c>
      <c r="Z65" s="13"/>
      <c r="AA65" s="13"/>
      <c r="AB65" s="458" t="str">
        <f>+Resortes_2[[#This Row],[Alambre]]&amp;" x "&amp;Resortes_2[[#This Row],[Diametro]]&amp;" x "&amp;Resortes_2[[#This Row],[Largo]]</f>
        <v>1,25 x 7 x 140</v>
      </c>
      <c r="AC65" s="13">
        <f>+Resortes_2[[#This Row],[Vueltas]]</f>
        <v>0</v>
      </c>
      <c r="AD65" s="13"/>
      <c r="AE65" s="13"/>
      <c r="AF65" s="13"/>
      <c r="AG65" s="13"/>
      <c r="AL65">
        <v>57</v>
      </c>
      <c r="AM65" t="s">
        <v>9115</v>
      </c>
      <c r="AN65" s="1">
        <v>138.36770999999999</v>
      </c>
      <c r="AO65" s="2">
        <f t="shared" si="0"/>
        <v>76.102240499999994</v>
      </c>
    </row>
    <row r="66" spans="1:41" x14ac:dyDescent="0.2">
      <c r="O66" s="226">
        <v>1.5</v>
      </c>
      <c r="P66" s="13">
        <v>10</v>
      </c>
      <c r="Q66" s="13">
        <v>47</v>
      </c>
      <c r="R66" s="13"/>
      <c r="S66" s="227">
        <v>0.12</v>
      </c>
      <c r="T66" s="228">
        <f>+Resortes_2[[#This Row],[Precio USD]]*$AJ$1</f>
        <v>16.2</v>
      </c>
      <c r="U66" s="228"/>
      <c r="V66" s="13" t="str">
        <f>+IF(Resortes_2[[#This Row],[Vueltas]]="",Resortes_2[[#This Row],[Alambre]]&amp;" x "&amp;Resortes_2[[#This Row],[Diametro]]&amp;" x "&amp;Resortes_2[[#This Row],[Largo]],Resortes_2[[#This Row],[Alambre]]&amp;" x "&amp;Resortes_2[[#This Row],[Diametro]]&amp;" x "&amp;Resortes_2[[#This Row],[Largo]]&amp;" x "&amp;Resortes_2[[#This Row],[Vueltas]])</f>
        <v>1,5 x 10 x 47</v>
      </c>
      <c r="W66" s="229" t="s">
        <v>9017</v>
      </c>
      <c r="X66" s="230" t="str">
        <f>+Resortes_2[[#This Row],[MEDIDA]]&amp;Resortes_2[[#This Row],[TIPO]]</f>
        <v>1,5 x 10 x 47EXPANSIÓN</v>
      </c>
      <c r="Y66" s="13">
        <v>283</v>
      </c>
      <c r="Z66" s="13"/>
      <c r="AA66" s="13"/>
      <c r="AB66" s="458" t="str">
        <f>+Resortes_2[[#This Row],[Alambre]]&amp;" x "&amp;Resortes_2[[#This Row],[Diametro]]&amp;" x "&amp;Resortes_2[[#This Row],[Largo]]</f>
        <v>1,5 x 10 x 47</v>
      </c>
      <c r="AC66" s="13">
        <f>+Resortes_2[[#This Row],[Vueltas]]</f>
        <v>0</v>
      </c>
      <c r="AD66" s="13"/>
      <c r="AE66" s="13"/>
      <c r="AF66" s="13"/>
      <c r="AG66" s="13"/>
      <c r="AL66">
        <v>58</v>
      </c>
      <c r="AM66" t="s">
        <v>9116</v>
      </c>
      <c r="AN66" s="1">
        <v>138.36770999999999</v>
      </c>
      <c r="AO66" s="2">
        <f t="shared" si="0"/>
        <v>76.102240499999994</v>
      </c>
    </row>
    <row r="67" spans="1:41" x14ac:dyDescent="0.2">
      <c r="A67" s="40" t="s">
        <v>8176</v>
      </c>
      <c r="B67" t="s">
        <v>9117</v>
      </c>
      <c r="C67" t="s">
        <v>1</v>
      </c>
      <c r="E67" t="s">
        <v>8751</v>
      </c>
      <c r="F67" s="4" t="s">
        <v>8756</v>
      </c>
      <c r="G67" t="s">
        <v>8322</v>
      </c>
      <c r="O67" s="226">
        <v>1.75</v>
      </c>
      <c r="P67" s="13">
        <v>12</v>
      </c>
      <c r="Q67" s="13">
        <v>120</v>
      </c>
      <c r="R67" s="13"/>
      <c r="S67" s="227">
        <v>0.32</v>
      </c>
      <c r="T67" s="228">
        <f>+Resortes_2[[#This Row],[Precio USD]]*$AJ$1</f>
        <v>43.2</v>
      </c>
      <c r="U67" s="228"/>
      <c r="V67" s="13" t="str">
        <f>+IF(Resortes_2[[#This Row],[Vueltas]]="",Resortes_2[[#This Row],[Alambre]]&amp;" x "&amp;Resortes_2[[#This Row],[Diametro]]&amp;" x "&amp;Resortes_2[[#This Row],[Largo]],Resortes_2[[#This Row],[Alambre]]&amp;" x "&amp;Resortes_2[[#This Row],[Diametro]]&amp;" x "&amp;Resortes_2[[#This Row],[Largo]]&amp;" x "&amp;Resortes_2[[#This Row],[Vueltas]])</f>
        <v>1,75 x 12 x 120</v>
      </c>
      <c r="W67" s="229" t="s">
        <v>9017</v>
      </c>
      <c r="X67" s="230" t="str">
        <f>+Resortes_2[[#This Row],[MEDIDA]]&amp;Resortes_2[[#This Row],[TIPO]]</f>
        <v>1,75 x 12 x 120EXPANSIÓN</v>
      </c>
      <c r="Y67" s="589">
        <v>287</v>
      </c>
      <c r="Z67" s="13"/>
      <c r="AA67" s="13"/>
      <c r="AB67" s="458" t="str">
        <f>+Resortes_2[[#This Row],[Alambre]]&amp;" x "&amp;Resortes_2[[#This Row],[Diametro]]&amp;" x "&amp;Resortes_2[[#This Row],[Largo]]</f>
        <v>1,75 x 12 x 120</v>
      </c>
      <c r="AC67" s="13">
        <f>+Resortes_2[[#This Row],[Vueltas]]</f>
        <v>0</v>
      </c>
      <c r="AD67" s="13"/>
      <c r="AE67" s="13"/>
      <c r="AF67" s="13"/>
      <c r="AG67" s="13"/>
      <c r="AL67">
        <v>59</v>
      </c>
      <c r="AM67" t="s">
        <v>9118</v>
      </c>
      <c r="AN67" s="1">
        <v>105.03129</v>
      </c>
      <c r="AO67" s="2">
        <f t="shared" ref="AO67:AO130" si="9">+(1-$AO$1)*AN67</f>
        <v>57.767209500000007</v>
      </c>
    </row>
    <row r="68" spans="1:41" x14ac:dyDescent="0.2">
      <c r="A68" s="40">
        <v>44777</v>
      </c>
      <c r="B68" t="s">
        <v>1198</v>
      </c>
      <c r="C68" t="s">
        <v>1197</v>
      </c>
      <c r="E68">
        <v>21</v>
      </c>
      <c r="F68" s="4" t="s">
        <v>1239</v>
      </c>
      <c r="G68">
        <v>220</v>
      </c>
      <c r="O68" s="226">
        <v>0.8</v>
      </c>
      <c r="P68" s="13">
        <v>5.5</v>
      </c>
      <c r="Q68" s="13">
        <v>36</v>
      </c>
      <c r="R68" s="13">
        <v>15</v>
      </c>
      <c r="S68" s="227">
        <v>0.08</v>
      </c>
      <c r="T68" s="228">
        <f>+Resortes_2[[#This Row],[Precio USD]]*$AJ$1</f>
        <v>10.8</v>
      </c>
      <c r="U68" s="228"/>
      <c r="V68" s="13" t="str">
        <f>+IF(Resortes_2[[#This Row],[Vueltas]]="",Resortes_2[[#This Row],[Alambre]]&amp;" x "&amp;Resortes_2[[#This Row],[Diametro]]&amp;" x "&amp;Resortes_2[[#This Row],[Largo]],Resortes_2[[#This Row],[Alambre]]&amp;" x "&amp;Resortes_2[[#This Row],[Diametro]]&amp;" x "&amp;Resortes_2[[#This Row],[Largo]]&amp;" x "&amp;Resortes_2[[#This Row],[Vueltas]])</f>
        <v>0,8 x 5,5 x 36 x 15</v>
      </c>
      <c r="W68" s="229" t="s">
        <v>9045</v>
      </c>
      <c r="X68" s="230" t="str">
        <f>+Resortes_2[[#This Row],[MEDIDA]]&amp;Resortes_2[[#This Row],[TIPO]]</f>
        <v>0,8 x 5,5 x 36 x 15COMPRESIÓN</v>
      </c>
      <c r="Y68" s="13">
        <v>322</v>
      </c>
      <c r="Z68" s="13"/>
      <c r="AA68" s="13"/>
      <c r="AB68" s="458" t="str">
        <f>+Resortes_2[[#This Row],[Alambre]]&amp;" x "&amp;Resortes_2[[#This Row],[Diametro]]&amp;" x "&amp;Resortes_2[[#This Row],[Largo]]</f>
        <v>0,8 x 5,5 x 36</v>
      </c>
      <c r="AC68" s="13">
        <f>+Resortes_2[[#This Row],[Vueltas]]</f>
        <v>15</v>
      </c>
      <c r="AD68" s="13"/>
      <c r="AE68" s="13"/>
      <c r="AF68" s="13"/>
      <c r="AG68" s="13"/>
      <c r="AL68">
        <v>60</v>
      </c>
      <c r="AM68" t="s">
        <v>9119</v>
      </c>
      <c r="AN68" s="1">
        <v>111.10086</v>
      </c>
      <c r="AO68" s="2">
        <f t="shared" si="9"/>
        <v>61.105473000000003</v>
      </c>
    </row>
    <row r="69" spans="1:41" x14ac:dyDescent="0.2">
      <c r="A69" s="40">
        <v>44777</v>
      </c>
      <c r="B69" t="s">
        <v>1198</v>
      </c>
      <c r="C69" t="s">
        <v>1197</v>
      </c>
      <c r="E69">
        <v>26</v>
      </c>
      <c r="F69" s="4" t="s">
        <v>1249</v>
      </c>
      <c r="G69">
        <v>200</v>
      </c>
      <c r="O69" s="226">
        <v>0.8</v>
      </c>
      <c r="P69" s="13">
        <v>7</v>
      </c>
      <c r="Q69" s="13">
        <v>16</v>
      </c>
      <c r="R69" s="13">
        <v>7</v>
      </c>
      <c r="S69" s="227">
        <v>0.08</v>
      </c>
      <c r="T69" s="228">
        <f>+Resortes_2[[#This Row],[Precio USD]]*$AJ$1</f>
        <v>10.8</v>
      </c>
      <c r="U69" s="228"/>
      <c r="V69" s="13" t="str">
        <f>+IF(Resortes_2[[#This Row],[Vueltas]]="",Resortes_2[[#This Row],[Alambre]]&amp;" x "&amp;Resortes_2[[#This Row],[Diametro]]&amp;" x "&amp;Resortes_2[[#This Row],[Largo]],Resortes_2[[#This Row],[Alambre]]&amp;" x "&amp;Resortes_2[[#This Row],[Diametro]]&amp;" x "&amp;Resortes_2[[#This Row],[Largo]]&amp;" x "&amp;Resortes_2[[#This Row],[Vueltas]])</f>
        <v>0,8 x 7 x 16 x 7</v>
      </c>
      <c r="W69" s="229" t="s">
        <v>9045</v>
      </c>
      <c r="X69" s="230" t="str">
        <f>+Resortes_2[[#This Row],[MEDIDA]]&amp;Resortes_2[[#This Row],[TIPO]]</f>
        <v>0,8 x 7 x 16 x 7COMPRESIÓN</v>
      </c>
      <c r="Y69" s="13">
        <v>324</v>
      </c>
      <c r="Z69" s="13"/>
      <c r="AA69" s="13"/>
      <c r="AB69" s="458" t="str">
        <f>+Resortes_2[[#This Row],[Alambre]]&amp;" x "&amp;Resortes_2[[#This Row],[Diametro]]&amp;" x "&amp;Resortes_2[[#This Row],[Largo]]</f>
        <v>0,8 x 7 x 16</v>
      </c>
      <c r="AC69" s="13">
        <f>+Resortes_2[[#This Row],[Vueltas]]</f>
        <v>7</v>
      </c>
      <c r="AD69" s="13"/>
      <c r="AE69" s="13"/>
      <c r="AF69" s="13"/>
      <c r="AG69" s="13"/>
      <c r="AL69">
        <v>61</v>
      </c>
      <c r="AM69" t="s">
        <v>9120</v>
      </c>
      <c r="AN69" s="1">
        <v>111.10086</v>
      </c>
      <c r="AO69" s="2">
        <f t="shared" si="9"/>
        <v>61.105473000000003</v>
      </c>
    </row>
    <row r="70" spans="1:41" x14ac:dyDescent="0.2">
      <c r="A70" s="40">
        <v>44792</v>
      </c>
      <c r="B70" t="s">
        <v>9121</v>
      </c>
      <c r="C70" t="s">
        <v>1197</v>
      </c>
      <c r="E70">
        <v>3</v>
      </c>
      <c r="F70" s="4" t="s">
        <v>1203</v>
      </c>
      <c r="G70">
        <v>1500</v>
      </c>
      <c r="O70" s="226">
        <v>0.8</v>
      </c>
      <c r="P70" s="13">
        <v>7</v>
      </c>
      <c r="Q70" s="13">
        <v>32</v>
      </c>
      <c r="R70" s="13">
        <v>15</v>
      </c>
      <c r="S70" s="227">
        <v>0.08</v>
      </c>
      <c r="T70" s="228">
        <f>+Resortes_2[[#This Row],[Precio USD]]*$AJ$1</f>
        <v>10.8</v>
      </c>
      <c r="U70" s="228"/>
      <c r="V70" s="13" t="str">
        <f>+IF(Resortes_2[[#This Row],[Vueltas]]="",Resortes_2[[#This Row],[Alambre]]&amp;" x "&amp;Resortes_2[[#This Row],[Diametro]]&amp;" x "&amp;Resortes_2[[#This Row],[Largo]],Resortes_2[[#This Row],[Alambre]]&amp;" x "&amp;Resortes_2[[#This Row],[Diametro]]&amp;" x "&amp;Resortes_2[[#This Row],[Largo]]&amp;" x "&amp;Resortes_2[[#This Row],[Vueltas]])</f>
        <v>0,8 x 7 x 32 x 15</v>
      </c>
      <c r="W70" s="229" t="s">
        <v>9045</v>
      </c>
      <c r="X70" s="230" t="str">
        <f>+Resortes_2[[#This Row],[MEDIDA]]&amp;Resortes_2[[#This Row],[TIPO]]</f>
        <v>0,8 x 7 x 32 x 15COMPRESIÓN</v>
      </c>
      <c r="Y70" s="13">
        <v>326</v>
      </c>
      <c r="Z70" s="13"/>
      <c r="AA70" s="13"/>
      <c r="AB70" s="458" t="str">
        <f>+Resortes_2[[#This Row],[Alambre]]&amp;" x "&amp;Resortes_2[[#This Row],[Diametro]]&amp;" x "&amp;Resortes_2[[#This Row],[Largo]]</f>
        <v>0,8 x 7 x 32</v>
      </c>
      <c r="AC70" s="13">
        <f>+Resortes_2[[#This Row],[Vueltas]]</f>
        <v>15</v>
      </c>
      <c r="AD70" s="13"/>
      <c r="AE70" s="13"/>
      <c r="AF70" s="13"/>
      <c r="AG70" s="13"/>
      <c r="AL70">
        <v>62</v>
      </c>
      <c r="AM70" t="s">
        <v>9122</v>
      </c>
      <c r="AN70" s="1">
        <v>105.03129</v>
      </c>
      <c r="AO70" s="2">
        <f t="shared" si="9"/>
        <v>57.767209500000007</v>
      </c>
    </row>
    <row r="71" spans="1:41" x14ac:dyDescent="0.2">
      <c r="A71" s="40">
        <v>44792</v>
      </c>
      <c r="B71" t="s">
        <v>9121</v>
      </c>
      <c r="C71" t="s">
        <v>1197</v>
      </c>
      <c r="E71">
        <v>5</v>
      </c>
      <c r="F71" s="4" t="s">
        <v>1207</v>
      </c>
      <c r="G71">
        <v>1500</v>
      </c>
      <c r="O71" s="226">
        <v>0.8</v>
      </c>
      <c r="P71" s="13">
        <v>7</v>
      </c>
      <c r="Q71" s="13">
        <v>40</v>
      </c>
      <c r="R71" s="13">
        <v>14</v>
      </c>
      <c r="S71" s="227">
        <v>0.08</v>
      </c>
      <c r="T71" s="228">
        <f>+Resortes_2[[#This Row],[Precio USD]]*$AJ$1</f>
        <v>10.8</v>
      </c>
      <c r="U71" s="228"/>
      <c r="V71" s="13" t="str">
        <f>+IF(Resortes_2[[#This Row],[Vueltas]]="",Resortes_2[[#This Row],[Alambre]]&amp;" x "&amp;Resortes_2[[#This Row],[Diametro]]&amp;" x "&amp;Resortes_2[[#This Row],[Largo]],Resortes_2[[#This Row],[Alambre]]&amp;" x "&amp;Resortes_2[[#This Row],[Diametro]]&amp;" x "&amp;Resortes_2[[#This Row],[Largo]]&amp;" x "&amp;Resortes_2[[#This Row],[Vueltas]])</f>
        <v>0,8 x 7 x 40 x 14</v>
      </c>
      <c r="W71" s="229" t="s">
        <v>9045</v>
      </c>
      <c r="X71" s="230" t="str">
        <f>+Resortes_2[[#This Row],[MEDIDA]]&amp;Resortes_2[[#This Row],[TIPO]]</f>
        <v>0,8 x 7 x 40 x 14COMPRESIÓN</v>
      </c>
      <c r="Y71" s="13">
        <v>327</v>
      </c>
      <c r="Z71" s="13"/>
      <c r="AA71" s="13"/>
      <c r="AB71" s="458" t="str">
        <f>+Resortes_2[[#This Row],[Alambre]]&amp;" x "&amp;Resortes_2[[#This Row],[Diametro]]&amp;" x "&amp;Resortes_2[[#This Row],[Largo]]</f>
        <v>0,8 x 7 x 40</v>
      </c>
      <c r="AC71" s="13">
        <f>+Resortes_2[[#This Row],[Vueltas]]</f>
        <v>14</v>
      </c>
      <c r="AD71" s="13"/>
      <c r="AE71" s="13"/>
      <c r="AF71" s="13"/>
      <c r="AG71" s="13"/>
      <c r="AL71">
        <v>63</v>
      </c>
      <c r="AM71" t="s">
        <v>9123</v>
      </c>
      <c r="AN71" s="1">
        <v>105.03129</v>
      </c>
      <c r="AO71" s="2">
        <f t="shared" si="9"/>
        <v>57.767209500000007</v>
      </c>
    </row>
    <row r="72" spans="1:41" x14ac:dyDescent="0.2">
      <c r="A72" s="40">
        <v>44792</v>
      </c>
      <c r="B72" t="s">
        <v>9121</v>
      </c>
      <c r="C72" t="s">
        <v>1197</v>
      </c>
      <c r="E72">
        <v>7</v>
      </c>
      <c r="F72" s="4" t="s">
        <v>1211</v>
      </c>
      <c r="G72">
        <v>1500</v>
      </c>
      <c r="O72" s="226">
        <v>0.8</v>
      </c>
      <c r="P72" s="13">
        <v>7.5</v>
      </c>
      <c r="Q72" s="13">
        <v>23</v>
      </c>
      <c r="R72" s="13">
        <v>10</v>
      </c>
      <c r="S72" s="227">
        <v>0.06</v>
      </c>
      <c r="T72" s="228">
        <f>+Resortes_2[[#This Row],[Precio USD]]*$AJ$1</f>
        <v>8.1</v>
      </c>
      <c r="U72" s="228"/>
      <c r="V72" s="13" t="str">
        <f>+IF(Resortes_2[[#This Row],[Vueltas]]="",Resortes_2[[#This Row],[Alambre]]&amp;" x "&amp;Resortes_2[[#This Row],[Diametro]]&amp;" x "&amp;Resortes_2[[#This Row],[Largo]],Resortes_2[[#This Row],[Alambre]]&amp;" x "&amp;Resortes_2[[#This Row],[Diametro]]&amp;" x "&amp;Resortes_2[[#This Row],[Largo]]&amp;" x "&amp;Resortes_2[[#This Row],[Vueltas]])</f>
        <v>0,8 x 7,5 x 23 x 10</v>
      </c>
      <c r="W72" s="229" t="s">
        <v>9045</v>
      </c>
      <c r="X72" s="230" t="str">
        <f>+Resortes_2[[#This Row],[MEDIDA]]&amp;Resortes_2[[#This Row],[TIPO]]</f>
        <v>0,8 x 7,5 x 23 x 10COMPRESIÓN</v>
      </c>
      <c r="Y72" s="13">
        <v>330</v>
      </c>
      <c r="Z72" s="13"/>
      <c r="AA72" s="13"/>
      <c r="AB72" s="458" t="str">
        <f>+Resortes_2[[#This Row],[Alambre]]&amp;" x "&amp;Resortes_2[[#This Row],[Diametro]]&amp;" x "&amp;Resortes_2[[#This Row],[Largo]]</f>
        <v>0,8 x 7,5 x 23</v>
      </c>
      <c r="AC72" s="13">
        <f>+Resortes_2[[#This Row],[Vueltas]]</f>
        <v>10</v>
      </c>
      <c r="AD72" s="13"/>
      <c r="AE72" s="13"/>
      <c r="AF72" s="13"/>
      <c r="AG72" s="13"/>
      <c r="AL72">
        <v>64</v>
      </c>
      <c r="AM72" t="s">
        <v>9124</v>
      </c>
      <c r="AN72" s="1">
        <v>100.99517999999999</v>
      </c>
      <c r="AO72" s="2">
        <f t="shared" si="9"/>
        <v>55.547348999999997</v>
      </c>
    </row>
    <row r="73" spans="1:41" x14ac:dyDescent="0.2">
      <c r="A73" s="40">
        <v>44792</v>
      </c>
      <c r="B73" t="s">
        <v>9121</v>
      </c>
      <c r="C73" t="s">
        <v>1197</v>
      </c>
      <c r="E73">
        <v>8</v>
      </c>
      <c r="F73" s="4" t="s">
        <v>1213</v>
      </c>
      <c r="G73">
        <v>1500</v>
      </c>
      <c r="O73" s="226">
        <v>1.25</v>
      </c>
      <c r="P73" s="13">
        <v>13</v>
      </c>
      <c r="Q73" s="13">
        <v>13</v>
      </c>
      <c r="R73" s="13">
        <v>4</v>
      </c>
      <c r="S73" s="227">
        <v>7.0000000000000007E-2</v>
      </c>
      <c r="T73" s="228">
        <f>+Resortes_2[[#This Row],[Precio USD]]*$AJ$1</f>
        <v>9.4500000000000011</v>
      </c>
      <c r="U73" s="228"/>
      <c r="V73" s="13" t="str">
        <f>+IF(Resortes_2[[#This Row],[Vueltas]]="",Resortes_2[[#This Row],[Alambre]]&amp;" x "&amp;Resortes_2[[#This Row],[Diametro]]&amp;" x "&amp;Resortes_2[[#This Row],[Largo]],Resortes_2[[#This Row],[Alambre]]&amp;" x "&amp;Resortes_2[[#This Row],[Diametro]]&amp;" x "&amp;Resortes_2[[#This Row],[Largo]]&amp;" x "&amp;Resortes_2[[#This Row],[Vueltas]])</f>
        <v>1,25 x 13 x 13 x 4</v>
      </c>
      <c r="W73" s="229" t="s">
        <v>9045</v>
      </c>
      <c r="X73" s="230" t="str">
        <f>+Resortes_2[[#This Row],[MEDIDA]]&amp;Resortes_2[[#This Row],[TIPO]]</f>
        <v>1,25 x 13 x 13 x 4COMPRESIÓN</v>
      </c>
      <c r="Y73" s="13">
        <v>362</v>
      </c>
      <c r="Z73" s="13"/>
      <c r="AA73" s="13"/>
      <c r="AB73" s="458" t="str">
        <f>+Resortes_2[[#This Row],[Alambre]]&amp;" x "&amp;Resortes_2[[#This Row],[Diametro]]&amp;" x "&amp;Resortes_2[[#This Row],[Largo]]</f>
        <v>1,25 x 13 x 13</v>
      </c>
      <c r="AC73" s="13">
        <f>+Resortes_2[[#This Row],[Vueltas]]</f>
        <v>4</v>
      </c>
      <c r="AD73" s="13"/>
      <c r="AE73" s="13"/>
      <c r="AF73" s="13"/>
      <c r="AG73" s="13"/>
      <c r="AL73">
        <v>65</v>
      </c>
      <c r="AM73" t="s">
        <v>9125</v>
      </c>
      <c r="AN73" s="1">
        <v>138.36770999999999</v>
      </c>
      <c r="AO73" s="2">
        <f t="shared" si="9"/>
        <v>76.102240499999994</v>
      </c>
    </row>
    <row r="74" spans="1:41" x14ac:dyDescent="0.2">
      <c r="A74" s="40">
        <v>44792</v>
      </c>
      <c r="B74" t="s">
        <v>9121</v>
      </c>
      <c r="C74" t="s">
        <v>1197</v>
      </c>
      <c r="E74">
        <v>10</v>
      </c>
      <c r="F74" s="4" t="s">
        <v>1217</v>
      </c>
      <c r="G74">
        <v>1500</v>
      </c>
      <c r="O74" s="226">
        <v>1.25</v>
      </c>
      <c r="P74" s="13">
        <v>14</v>
      </c>
      <c r="Q74" s="13">
        <v>65</v>
      </c>
      <c r="R74" s="13">
        <v>12</v>
      </c>
      <c r="S74" s="227">
        <v>0.1</v>
      </c>
      <c r="T74" s="228">
        <f>+Resortes_2[[#This Row],[Precio USD]]*$AJ$1</f>
        <v>13.5</v>
      </c>
      <c r="U74" s="228"/>
      <c r="V74" s="13" t="str">
        <f>+IF(Resortes_2[[#This Row],[Vueltas]]="",Resortes_2[[#This Row],[Alambre]]&amp;" x "&amp;Resortes_2[[#This Row],[Diametro]]&amp;" x "&amp;Resortes_2[[#This Row],[Largo]],Resortes_2[[#This Row],[Alambre]]&amp;" x "&amp;Resortes_2[[#This Row],[Diametro]]&amp;" x "&amp;Resortes_2[[#This Row],[Largo]]&amp;" x "&amp;Resortes_2[[#This Row],[Vueltas]])</f>
        <v>1,25 x 14 x 65 x 12</v>
      </c>
      <c r="W74" s="229" t="s">
        <v>9045</v>
      </c>
      <c r="X74" s="230" t="str">
        <f>+Resortes_2[[#This Row],[MEDIDA]]&amp;Resortes_2[[#This Row],[TIPO]]</f>
        <v>1,25 x 14 x 65 x 12COMPRESIÓN</v>
      </c>
      <c r="Y74" s="13">
        <v>365</v>
      </c>
      <c r="Z74" s="13"/>
      <c r="AA74" s="13"/>
      <c r="AB74" s="458" t="str">
        <f>+Resortes_2[[#This Row],[Alambre]]&amp;" x "&amp;Resortes_2[[#This Row],[Diametro]]&amp;" x "&amp;Resortes_2[[#This Row],[Largo]]</f>
        <v>1,25 x 14 x 65</v>
      </c>
      <c r="AC74" s="13">
        <f>+Resortes_2[[#This Row],[Vueltas]]</f>
        <v>12</v>
      </c>
      <c r="AD74" s="13"/>
      <c r="AE74" s="13"/>
      <c r="AF74" s="13"/>
      <c r="AG74" s="13"/>
      <c r="AL74">
        <v>66</v>
      </c>
      <c r="AM74" t="s">
        <v>9126</v>
      </c>
      <c r="AN74" s="1">
        <v>108.26634</v>
      </c>
      <c r="AO74" s="2">
        <f t="shared" si="9"/>
        <v>59.546487000000006</v>
      </c>
    </row>
    <row r="75" spans="1:41" x14ac:dyDescent="0.2">
      <c r="A75" s="40">
        <v>44792</v>
      </c>
      <c r="B75" t="s">
        <v>9121</v>
      </c>
      <c r="C75" t="s">
        <v>1197</v>
      </c>
      <c r="E75">
        <v>12</v>
      </c>
      <c r="F75" s="4" t="s">
        <v>1221</v>
      </c>
      <c r="G75">
        <v>1500</v>
      </c>
      <c r="O75" s="226">
        <v>1.25</v>
      </c>
      <c r="P75" s="13">
        <v>16</v>
      </c>
      <c r="Q75" s="13">
        <v>38</v>
      </c>
      <c r="R75" s="13">
        <v>8</v>
      </c>
      <c r="S75" s="227">
        <v>7.0000000000000007E-2</v>
      </c>
      <c r="T75" s="228">
        <f>+Resortes_2[[#This Row],[Precio USD]]*$AJ$1</f>
        <v>9.4500000000000011</v>
      </c>
      <c r="U75" s="228"/>
      <c r="V75" s="13" t="str">
        <f>+IF(Resortes_2[[#This Row],[Vueltas]]="",Resortes_2[[#This Row],[Alambre]]&amp;" x "&amp;Resortes_2[[#This Row],[Diametro]]&amp;" x "&amp;Resortes_2[[#This Row],[Largo]],Resortes_2[[#This Row],[Alambre]]&amp;" x "&amp;Resortes_2[[#This Row],[Diametro]]&amp;" x "&amp;Resortes_2[[#This Row],[Largo]]&amp;" x "&amp;Resortes_2[[#This Row],[Vueltas]])</f>
        <v>1,25 x 16 x 38 x 8</v>
      </c>
      <c r="W75" s="229" t="s">
        <v>9045</v>
      </c>
      <c r="X75" s="230" t="str">
        <f>+Resortes_2[[#This Row],[MEDIDA]]&amp;Resortes_2[[#This Row],[TIPO]]</f>
        <v>1,25 x 16 x 38 x 8COMPRESIÓN</v>
      </c>
      <c r="Y75" s="13">
        <v>367</v>
      </c>
      <c r="Z75" s="13"/>
      <c r="AA75" s="13"/>
      <c r="AB75" s="458" t="str">
        <f>+Resortes_2[[#This Row],[Alambre]]&amp;" x "&amp;Resortes_2[[#This Row],[Diametro]]&amp;" x "&amp;Resortes_2[[#This Row],[Largo]]</f>
        <v>1,25 x 16 x 38</v>
      </c>
      <c r="AC75" s="13">
        <f>+Resortes_2[[#This Row],[Vueltas]]</f>
        <v>8</v>
      </c>
      <c r="AD75" s="13"/>
      <c r="AE75" s="13"/>
      <c r="AF75" s="13"/>
      <c r="AG75" s="13"/>
      <c r="AL75">
        <v>68</v>
      </c>
      <c r="AM75" t="s">
        <v>9127</v>
      </c>
      <c r="AN75" s="1">
        <v>145.02267000000001</v>
      </c>
      <c r="AO75" s="2">
        <f t="shared" si="9"/>
        <v>79.762468500000011</v>
      </c>
    </row>
    <row r="76" spans="1:41" x14ac:dyDescent="0.2">
      <c r="A76" s="40">
        <v>44827</v>
      </c>
      <c r="B76" t="s">
        <v>9128</v>
      </c>
      <c r="C76" t="s">
        <v>1602</v>
      </c>
      <c r="E76">
        <v>169</v>
      </c>
      <c r="F76" s="4" t="s">
        <v>1656</v>
      </c>
      <c r="G76">
        <v>182</v>
      </c>
      <c r="O76" s="226">
        <v>1.25</v>
      </c>
      <c r="P76" s="13">
        <v>18</v>
      </c>
      <c r="Q76" s="13">
        <v>45</v>
      </c>
      <c r="R76" s="13">
        <v>4</v>
      </c>
      <c r="S76" s="227">
        <v>0.1</v>
      </c>
      <c r="T76" s="228">
        <f>+Resortes_2[[#This Row],[Precio USD]]*$AJ$1</f>
        <v>13.5</v>
      </c>
      <c r="U76" s="228"/>
      <c r="V76" s="13" t="str">
        <f>+IF(Resortes_2[[#This Row],[Vueltas]]="",Resortes_2[[#This Row],[Alambre]]&amp;" x "&amp;Resortes_2[[#This Row],[Diametro]]&amp;" x "&amp;Resortes_2[[#This Row],[Largo]],Resortes_2[[#This Row],[Alambre]]&amp;" x "&amp;Resortes_2[[#This Row],[Diametro]]&amp;" x "&amp;Resortes_2[[#This Row],[Largo]]&amp;" x "&amp;Resortes_2[[#This Row],[Vueltas]])</f>
        <v>1,25 x 18 x 45 x 4</v>
      </c>
      <c r="W76" s="229" t="s">
        <v>9045</v>
      </c>
      <c r="X76" s="230" t="str">
        <f>+Resortes_2[[#This Row],[MEDIDA]]&amp;Resortes_2[[#This Row],[TIPO]]</f>
        <v>1,25 x 18 x 45 x 4COMPRESIÓN</v>
      </c>
      <c r="Y76" s="13">
        <v>368</v>
      </c>
      <c r="Z76" s="13"/>
      <c r="AA76" s="13"/>
      <c r="AB76" s="458" t="str">
        <f>+Resortes_2[[#This Row],[Alambre]]&amp;" x "&amp;Resortes_2[[#This Row],[Diametro]]&amp;" x "&amp;Resortes_2[[#This Row],[Largo]]</f>
        <v>1,25 x 18 x 45</v>
      </c>
      <c r="AC76" s="13">
        <f>+Resortes_2[[#This Row],[Vueltas]]</f>
        <v>4</v>
      </c>
      <c r="AD76" s="13"/>
      <c r="AE76" s="13"/>
      <c r="AF76" s="13"/>
      <c r="AG76" s="13"/>
      <c r="AL76">
        <v>69</v>
      </c>
      <c r="AM76" t="s">
        <v>9129</v>
      </c>
      <c r="AN76" s="1">
        <v>103.02863999999998</v>
      </c>
      <c r="AO76" s="2">
        <f t="shared" si="9"/>
        <v>56.665751999999998</v>
      </c>
    </row>
    <row r="77" spans="1:41" x14ac:dyDescent="0.2">
      <c r="A77" s="40">
        <v>44827</v>
      </c>
      <c r="B77" t="s">
        <v>9128</v>
      </c>
      <c r="C77" t="s">
        <v>1602</v>
      </c>
      <c r="E77">
        <v>167</v>
      </c>
      <c r="F77" s="4" t="s">
        <v>1654</v>
      </c>
      <c r="G77">
        <v>189</v>
      </c>
      <c r="O77" s="226">
        <v>1.25</v>
      </c>
      <c r="P77" s="13">
        <v>20</v>
      </c>
      <c r="Q77" s="13">
        <v>75</v>
      </c>
      <c r="R77" s="13">
        <v>11</v>
      </c>
      <c r="S77" s="227">
        <v>0.1</v>
      </c>
      <c r="T77" s="228">
        <f>+Resortes_2[[#This Row],[Precio USD]]*$AJ$1</f>
        <v>13.5</v>
      </c>
      <c r="U77" s="228"/>
      <c r="V77" s="13" t="str">
        <f>+IF(Resortes_2[[#This Row],[Vueltas]]="",Resortes_2[[#This Row],[Alambre]]&amp;" x "&amp;Resortes_2[[#This Row],[Diametro]]&amp;" x "&amp;Resortes_2[[#This Row],[Largo]],Resortes_2[[#This Row],[Alambre]]&amp;" x "&amp;Resortes_2[[#This Row],[Diametro]]&amp;" x "&amp;Resortes_2[[#This Row],[Largo]]&amp;" x "&amp;Resortes_2[[#This Row],[Vueltas]])</f>
        <v>1,25 x 20 x 75 x 11</v>
      </c>
      <c r="W77" s="229" t="s">
        <v>9045</v>
      </c>
      <c r="X77" s="230" t="str">
        <f>+Resortes_2[[#This Row],[MEDIDA]]&amp;Resortes_2[[#This Row],[TIPO]]</f>
        <v>1,25 x 20 x 75 x 11COMPRESIÓN</v>
      </c>
      <c r="Y77" s="13">
        <v>370</v>
      </c>
      <c r="Z77" s="13"/>
      <c r="AA77" s="13"/>
      <c r="AB77" s="458" t="str">
        <f>+Resortes_2[[#This Row],[Alambre]]&amp;" x "&amp;Resortes_2[[#This Row],[Diametro]]&amp;" x "&amp;Resortes_2[[#This Row],[Largo]]</f>
        <v>1,25 x 20 x 75</v>
      </c>
      <c r="AC77" s="13">
        <f>+Resortes_2[[#This Row],[Vueltas]]</f>
        <v>11</v>
      </c>
      <c r="AD77" s="13"/>
      <c r="AE77" s="13"/>
      <c r="AF77" s="13"/>
      <c r="AG77" s="13"/>
      <c r="AL77">
        <v>70</v>
      </c>
      <c r="AM77" t="s">
        <v>9130</v>
      </c>
      <c r="AN77" s="1">
        <v>187.13994</v>
      </c>
      <c r="AO77" s="2">
        <f t="shared" si="9"/>
        <v>102.926967</v>
      </c>
    </row>
    <row r="78" spans="1:41" x14ac:dyDescent="0.2">
      <c r="A78" s="40">
        <v>44827</v>
      </c>
      <c r="B78" t="s">
        <v>9128</v>
      </c>
      <c r="C78" t="s">
        <v>1602</v>
      </c>
      <c r="E78">
        <v>196</v>
      </c>
      <c r="F78" s="4" t="s">
        <v>1681</v>
      </c>
      <c r="G78">
        <v>88</v>
      </c>
      <c r="O78" s="226">
        <v>1.5</v>
      </c>
      <c r="P78" s="13">
        <v>16</v>
      </c>
      <c r="Q78" s="13">
        <v>60</v>
      </c>
      <c r="R78" s="13">
        <v>12</v>
      </c>
      <c r="S78" s="227">
        <v>0.09</v>
      </c>
      <c r="T78" s="228">
        <f>+Resortes_2[[#This Row],[Precio USD]]*$AJ$1</f>
        <v>12.15</v>
      </c>
      <c r="U78" s="228"/>
      <c r="V78" s="13" t="str">
        <f>+IF(Resortes_2[[#This Row],[Vueltas]]="",Resortes_2[[#This Row],[Alambre]]&amp;" x "&amp;Resortes_2[[#This Row],[Diametro]]&amp;" x "&amp;Resortes_2[[#This Row],[Largo]],Resortes_2[[#This Row],[Alambre]]&amp;" x "&amp;Resortes_2[[#This Row],[Diametro]]&amp;" x "&amp;Resortes_2[[#This Row],[Largo]]&amp;" x "&amp;Resortes_2[[#This Row],[Vueltas]])</f>
        <v>1,5 x 16 x 60 x 12</v>
      </c>
      <c r="W78" s="229" t="s">
        <v>9045</v>
      </c>
      <c r="X78" s="230" t="str">
        <f>+Resortes_2[[#This Row],[MEDIDA]]&amp;Resortes_2[[#This Row],[TIPO]]</f>
        <v>1,5 x 16 x 60 x 12COMPRESIÓN</v>
      </c>
      <c r="Y78" s="13">
        <v>372</v>
      </c>
      <c r="Z78" s="13"/>
      <c r="AA78" s="13"/>
      <c r="AB78" s="458" t="str">
        <f>+Resortes_2[[#This Row],[Alambre]]&amp;" x "&amp;Resortes_2[[#This Row],[Diametro]]&amp;" x "&amp;Resortes_2[[#This Row],[Largo]]</f>
        <v>1,5 x 16 x 60</v>
      </c>
      <c r="AC78" s="13">
        <f>+Resortes_2[[#This Row],[Vueltas]]</f>
        <v>12</v>
      </c>
      <c r="AD78" s="13"/>
      <c r="AE78" s="13"/>
      <c r="AF78" s="13"/>
      <c r="AG78" s="13"/>
      <c r="AL78">
        <v>71</v>
      </c>
      <c r="AM78" t="s">
        <v>9131</v>
      </c>
      <c r="AN78" s="1">
        <v>118.15635</v>
      </c>
      <c r="AO78" s="2">
        <f t="shared" si="9"/>
        <v>64.985992500000009</v>
      </c>
    </row>
    <row r="79" spans="1:41" x14ac:dyDescent="0.2">
      <c r="A79" s="40">
        <v>44827</v>
      </c>
      <c r="B79" t="s">
        <v>9128</v>
      </c>
      <c r="C79" t="s">
        <v>1602</v>
      </c>
      <c r="E79">
        <v>198</v>
      </c>
      <c r="F79" s="4" t="s">
        <v>1683</v>
      </c>
      <c r="G79">
        <v>82</v>
      </c>
      <c r="O79" s="226">
        <v>1.5</v>
      </c>
      <c r="P79" s="13">
        <v>24</v>
      </c>
      <c r="Q79" s="13">
        <v>45</v>
      </c>
      <c r="R79" s="13">
        <v>6</v>
      </c>
      <c r="S79" s="227">
        <v>7.0000000000000007E-2</v>
      </c>
      <c r="T79" s="228">
        <f>+Resortes_2[[#This Row],[Precio USD]]*$AJ$1</f>
        <v>9.4500000000000011</v>
      </c>
      <c r="U79" s="228"/>
      <c r="V79" s="13" t="str">
        <f>+IF(Resortes_2[[#This Row],[Vueltas]]="",Resortes_2[[#This Row],[Alambre]]&amp;" x "&amp;Resortes_2[[#This Row],[Diametro]]&amp;" x "&amp;Resortes_2[[#This Row],[Largo]],Resortes_2[[#This Row],[Alambre]]&amp;" x "&amp;Resortes_2[[#This Row],[Diametro]]&amp;" x "&amp;Resortes_2[[#This Row],[Largo]]&amp;" x "&amp;Resortes_2[[#This Row],[Vueltas]])</f>
        <v>1,5 x 24 x 45 x 6</v>
      </c>
      <c r="W79" s="229" t="s">
        <v>9045</v>
      </c>
      <c r="X79" s="230" t="str">
        <f>+Resortes_2[[#This Row],[MEDIDA]]&amp;Resortes_2[[#This Row],[TIPO]]</f>
        <v>1,5 x 24 x 45 x 6COMPRESIÓN</v>
      </c>
      <c r="Y79" s="13">
        <v>377</v>
      </c>
      <c r="Z79" s="13"/>
      <c r="AA79" s="13"/>
      <c r="AB79" s="458" t="str">
        <f>+Resortes_2[[#This Row],[Alambre]]&amp;" x "&amp;Resortes_2[[#This Row],[Diametro]]&amp;" x "&amp;Resortes_2[[#This Row],[Largo]]</f>
        <v>1,5 x 24 x 45</v>
      </c>
      <c r="AC79" s="13">
        <f>+Resortes_2[[#This Row],[Vueltas]]</f>
        <v>6</v>
      </c>
      <c r="AD79" s="13"/>
      <c r="AE79" s="13"/>
      <c r="AF79" s="13"/>
      <c r="AG79" s="13"/>
      <c r="AL79">
        <v>72</v>
      </c>
      <c r="AM79" t="s">
        <v>9132</v>
      </c>
      <c r="AN79" s="1">
        <v>118.15635</v>
      </c>
      <c r="AO79" s="2">
        <f t="shared" si="9"/>
        <v>64.985992500000009</v>
      </c>
    </row>
    <row r="80" spans="1:41" x14ac:dyDescent="0.2">
      <c r="A80" s="40">
        <v>44827</v>
      </c>
      <c r="B80" t="s">
        <v>9128</v>
      </c>
      <c r="C80" t="s">
        <v>1602</v>
      </c>
      <c r="E80">
        <v>194</v>
      </c>
      <c r="F80" s="4" t="s">
        <v>1679</v>
      </c>
      <c r="G80">
        <v>88</v>
      </c>
      <c r="O80" s="226">
        <v>1.75</v>
      </c>
      <c r="P80" s="13">
        <v>16</v>
      </c>
      <c r="Q80" s="13">
        <v>35</v>
      </c>
      <c r="R80" s="13">
        <v>3.5</v>
      </c>
      <c r="S80" s="227">
        <v>0.1</v>
      </c>
      <c r="T80" s="228">
        <f>+Resortes_2[[#This Row],[Precio USD]]*$AJ$1</f>
        <v>13.5</v>
      </c>
      <c r="U80" s="228"/>
      <c r="V80" s="13" t="str">
        <f>+IF(Resortes_2[[#This Row],[Vueltas]]="",Resortes_2[[#This Row],[Alambre]]&amp;" x "&amp;Resortes_2[[#This Row],[Diametro]]&amp;" x "&amp;Resortes_2[[#This Row],[Largo]],Resortes_2[[#This Row],[Alambre]]&amp;" x "&amp;Resortes_2[[#This Row],[Diametro]]&amp;" x "&amp;Resortes_2[[#This Row],[Largo]]&amp;" x "&amp;Resortes_2[[#This Row],[Vueltas]])</f>
        <v>1,75 x 16 x 35 x 3,5</v>
      </c>
      <c r="W80" s="229" t="s">
        <v>9045</v>
      </c>
      <c r="X80" s="230" t="str">
        <f>+Resortes_2[[#This Row],[MEDIDA]]&amp;Resortes_2[[#This Row],[TIPO]]</f>
        <v>1,75 x 16 x 35 x 3,5COMPRESIÓN</v>
      </c>
      <c r="Y80" s="589">
        <v>383</v>
      </c>
      <c r="Z80" s="13"/>
      <c r="AA80" s="13"/>
      <c r="AB80" s="458" t="str">
        <f>+Resortes_2[[#This Row],[Alambre]]&amp;" x "&amp;Resortes_2[[#This Row],[Diametro]]&amp;" x "&amp;Resortes_2[[#This Row],[Largo]]</f>
        <v>1,75 x 16 x 35</v>
      </c>
      <c r="AC80" s="13">
        <f>+Resortes_2[[#This Row],[Vueltas]]</f>
        <v>3.5</v>
      </c>
      <c r="AD80" s="13"/>
      <c r="AE80" s="13"/>
      <c r="AF80" s="13"/>
      <c r="AG80" s="13"/>
      <c r="AL80">
        <v>73</v>
      </c>
      <c r="AM80" t="s">
        <v>9133</v>
      </c>
      <c r="AN80" s="1">
        <v>118.15635</v>
      </c>
      <c r="AO80" s="2">
        <f t="shared" si="9"/>
        <v>64.985992500000009</v>
      </c>
    </row>
    <row r="81" spans="1:41" x14ac:dyDescent="0.2">
      <c r="A81" s="40">
        <v>44827</v>
      </c>
      <c r="B81" t="s">
        <v>9128</v>
      </c>
      <c r="C81" t="s">
        <v>1602</v>
      </c>
      <c r="E81">
        <v>178</v>
      </c>
      <c r="F81" s="4" t="s">
        <v>1665</v>
      </c>
      <c r="G81">
        <v>182</v>
      </c>
      <c r="O81" s="226">
        <v>1.75</v>
      </c>
      <c r="P81" s="13">
        <v>28</v>
      </c>
      <c r="Q81" s="13">
        <v>80</v>
      </c>
      <c r="R81" s="13">
        <v>9</v>
      </c>
      <c r="S81" s="227">
        <v>0.12</v>
      </c>
      <c r="T81" s="228">
        <f>+Resortes_2[[#This Row],[Precio USD]]*$AJ$1</f>
        <v>16.2</v>
      </c>
      <c r="U81" s="228"/>
      <c r="V81" s="13" t="str">
        <f>+IF(Resortes_2[[#This Row],[Vueltas]]="",Resortes_2[[#This Row],[Alambre]]&amp;" x "&amp;Resortes_2[[#This Row],[Diametro]]&amp;" x "&amp;Resortes_2[[#This Row],[Largo]],Resortes_2[[#This Row],[Alambre]]&amp;" x "&amp;Resortes_2[[#This Row],[Diametro]]&amp;" x "&amp;Resortes_2[[#This Row],[Largo]]&amp;" x "&amp;Resortes_2[[#This Row],[Vueltas]])</f>
        <v>1,75 x 28 x 80 x 9</v>
      </c>
      <c r="W81" s="229" t="s">
        <v>9045</v>
      </c>
      <c r="X81" s="230" t="str">
        <f>+Resortes_2[[#This Row],[MEDIDA]]&amp;Resortes_2[[#This Row],[TIPO]]</f>
        <v>1,75 x 28 x 80 x 9COMPRESIÓN</v>
      </c>
      <c r="Y81" s="589">
        <v>386</v>
      </c>
      <c r="Z81" s="13"/>
      <c r="AA81" s="13"/>
      <c r="AB81" s="458" t="str">
        <f>+Resortes_2[[#This Row],[Alambre]]&amp;" x "&amp;Resortes_2[[#This Row],[Diametro]]&amp;" x "&amp;Resortes_2[[#This Row],[Largo]]</f>
        <v>1,75 x 28 x 80</v>
      </c>
      <c r="AC81" s="13">
        <f>+Resortes_2[[#This Row],[Vueltas]]</f>
        <v>9</v>
      </c>
      <c r="AD81" s="13"/>
      <c r="AE81" s="13"/>
      <c r="AF81" s="13"/>
      <c r="AG81" s="13"/>
      <c r="AL81">
        <v>74</v>
      </c>
      <c r="AM81" t="s">
        <v>9134</v>
      </c>
      <c r="AN81" s="1">
        <v>118.15635</v>
      </c>
      <c r="AO81" s="2">
        <f t="shared" si="9"/>
        <v>64.985992500000009</v>
      </c>
    </row>
    <row r="82" spans="1:41" x14ac:dyDescent="0.2">
      <c r="A82" s="40">
        <v>44852</v>
      </c>
      <c r="B82" t="s">
        <v>9014</v>
      </c>
      <c r="C82" t="s">
        <v>1198</v>
      </c>
      <c r="E82" t="s">
        <v>1198</v>
      </c>
      <c r="F82" s="4" t="s">
        <v>1198</v>
      </c>
      <c r="G82">
        <v>1</v>
      </c>
      <c r="O82" s="226">
        <v>1.75</v>
      </c>
      <c r="P82" s="13">
        <v>34</v>
      </c>
      <c r="Q82" s="13">
        <v>125</v>
      </c>
      <c r="R82" s="13">
        <v>11</v>
      </c>
      <c r="S82" s="227">
        <v>0.18</v>
      </c>
      <c r="T82" s="228">
        <f>+Resortes_2[[#This Row],[Precio USD]]*$AJ$1</f>
        <v>24.3</v>
      </c>
      <c r="U82" s="228"/>
      <c r="V82" s="13" t="str">
        <f>+IF(Resortes_2[[#This Row],[Vueltas]]="",Resortes_2[[#This Row],[Alambre]]&amp;" x "&amp;Resortes_2[[#This Row],[Diametro]]&amp;" x "&amp;Resortes_2[[#This Row],[Largo]],Resortes_2[[#This Row],[Alambre]]&amp;" x "&amp;Resortes_2[[#This Row],[Diametro]]&amp;" x "&amp;Resortes_2[[#This Row],[Largo]]&amp;" x "&amp;Resortes_2[[#This Row],[Vueltas]])</f>
        <v>1,75 x 34 x 125 x 11</v>
      </c>
      <c r="W82" s="229" t="s">
        <v>9045</v>
      </c>
      <c r="X82" s="230" t="str">
        <f>+Resortes_2[[#This Row],[MEDIDA]]&amp;Resortes_2[[#This Row],[TIPO]]</f>
        <v>1,75 x 34 x 125 x 11COMPRESIÓN</v>
      </c>
      <c r="Y82" s="589">
        <v>387</v>
      </c>
      <c r="Z82" s="13"/>
      <c r="AA82" s="13"/>
      <c r="AB82" s="458" t="str">
        <f>+Resortes_2[[#This Row],[Alambre]]&amp;" x "&amp;Resortes_2[[#This Row],[Diametro]]&amp;" x "&amp;Resortes_2[[#This Row],[Largo]]</f>
        <v>1,75 x 34 x 125</v>
      </c>
      <c r="AC82" s="13">
        <f>+Resortes_2[[#This Row],[Vueltas]]</f>
        <v>11</v>
      </c>
      <c r="AD82" s="13"/>
      <c r="AE82" s="13"/>
      <c r="AF82" s="13"/>
      <c r="AG82" s="13"/>
      <c r="AL82">
        <v>75</v>
      </c>
      <c r="AM82" t="s">
        <v>9135</v>
      </c>
      <c r="AN82" s="1">
        <v>138.36770999999999</v>
      </c>
      <c r="AO82" s="2">
        <f t="shared" si="9"/>
        <v>76.102240499999994</v>
      </c>
    </row>
    <row r="83" spans="1:41" x14ac:dyDescent="0.2">
      <c r="A83" s="40">
        <v>44854</v>
      </c>
      <c r="B83" t="s">
        <v>1198</v>
      </c>
      <c r="C83" t="s">
        <v>1198</v>
      </c>
      <c r="E83" t="s">
        <v>1198</v>
      </c>
      <c r="F83" s="4" t="s">
        <v>1198</v>
      </c>
      <c r="G83">
        <v>1</v>
      </c>
      <c r="O83" s="226">
        <v>0.5</v>
      </c>
      <c r="P83" s="13">
        <v>6</v>
      </c>
      <c r="Q83" s="13">
        <v>36</v>
      </c>
      <c r="R83" s="13"/>
      <c r="S83" s="227">
        <v>0.11</v>
      </c>
      <c r="T83" s="228">
        <f>+Resortes_2[[#This Row],[Precio USD]]*$AJ$1</f>
        <v>14.85</v>
      </c>
      <c r="U83" s="228"/>
      <c r="V83" s="13" t="str">
        <f>+IF(Resortes_2[[#This Row],[Vueltas]]="",Resortes_2[[#This Row],[Alambre]]&amp;" x "&amp;Resortes_2[[#This Row],[Diametro]]&amp;" x "&amp;Resortes_2[[#This Row],[Largo]],Resortes_2[[#This Row],[Alambre]]&amp;" x "&amp;Resortes_2[[#This Row],[Diametro]]&amp;" x "&amp;Resortes_2[[#This Row],[Largo]]&amp;" x "&amp;Resortes_2[[#This Row],[Vueltas]])</f>
        <v>0,5 x 6 x 36</v>
      </c>
      <c r="W83" s="229" t="s">
        <v>9017</v>
      </c>
      <c r="X83" s="230" t="str">
        <f>+Resortes_2[[#This Row],[MEDIDA]]&amp;Resortes_2[[#This Row],[TIPO]]</f>
        <v>0,5 x 6 x 36EXPANSIÓN</v>
      </c>
      <c r="Y83" s="13" t="s">
        <v>8353</v>
      </c>
      <c r="Z83" s="13"/>
      <c r="AA83" s="13"/>
      <c r="AB83" s="458" t="str">
        <f>+Resortes_2[[#This Row],[Alambre]]&amp;" x "&amp;Resortes_2[[#This Row],[Diametro]]&amp;" x "&amp;Resortes_2[[#This Row],[Largo]]</f>
        <v>0,5 x 6 x 36</v>
      </c>
      <c r="AC83" s="13">
        <f>+Resortes_2[[#This Row],[Vueltas]]</f>
        <v>0</v>
      </c>
      <c r="AD83" s="13"/>
      <c r="AE83" s="13"/>
      <c r="AF83" s="13"/>
      <c r="AG83" s="13"/>
      <c r="AL83">
        <v>91</v>
      </c>
      <c r="AM83" t="s">
        <v>9136</v>
      </c>
      <c r="AN83" s="1">
        <v>67.658759999999987</v>
      </c>
      <c r="AO83" s="2">
        <f t="shared" si="9"/>
        <v>37.212317999999996</v>
      </c>
    </row>
    <row r="84" spans="1:41" x14ac:dyDescent="0.2">
      <c r="A84" s="40">
        <v>44854</v>
      </c>
      <c r="B84" t="s">
        <v>1198</v>
      </c>
      <c r="C84" t="s">
        <v>1381</v>
      </c>
      <c r="E84">
        <v>280</v>
      </c>
      <c r="F84" s="4" t="s">
        <v>1404</v>
      </c>
      <c r="G84">
        <v>510</v>
      </c>
      <c r="O84" s="226">
        <v>0.5</v>
      </c>
      <c r="P84" s="13">
        <v>4.5</v>
      </c>
      <c r="Q84" s="13">
        <v>50</v>
      </c>
      <c r="R84" s="13"/>
      <c r="S84" s="227">
        <v>0.11</v>
      </c>
      <c r="T84" s="228">
        <f>+Resortes_2[[#This Row],[Precio USD]]*$AJ$1</f>
        <v>14.85</v>
      </c>
      <c r="U84" s="228"/>
      <c r="V84" s="13" t="str">
        <f>+IF(Resortes_2[[#This Row],[Vueltas]]="",Resortes_2[[#This Row],[Alambre]]&amp;" x "&amp;Resortes_2[[#This Row],[Diametro]]&amp;" x "&amp;Resortes_2[[#This Row],[Largo]],Resortes_2[[#This Row],[Alambre]]&amp;" x "&amp;Resortes_2[[#This Row],[Diametro]]&amp;" x "&amp;Resortes_2[[#This Row],[Largo]]&amp;" x "&amp;Resortes_2[[#This Row],[Vueltas]])</f>
        <v>0,5 x 4,5 x 50</v>
      </c>
      <c r="W84" s="229" t="s">
        <v>9017</v>
      </c>
      <c r="X84" s="230" t="str">
        <f>+Resortes_2[[#This Row],[MEDIDA]]&amp;Resortes_2[[#This Row],[TIPO]]</f>
        <v>0,5 x 4,5 x 50EXPANSIÓN</v>
      </c>
      <c r="Y84" s="13" t="s">
        <v>8353</v>
      </c>
      <c r="Z84" s="13"/>
      <c r="AA84" s="13"/>
      <c r="AB84" s="458" t="str">
        <f>+Resortes_2[[#This Row],[Alambre]]&amp;" x "&amp;Resortes_2[[#This Row],[Diametro]]&amp;" x "&amp;Resortes_2[[#This Row],[Largo]]</f>
        <v>0,5 x 4,5 x 50</v>
      </c>
      <c r="AC84" s="13">
        <f>+Resortes_2[[#This Row],[Vueltas]]</f>
        <v>0</v>
      </c>
      <c r="AD84" s="13"/>
      <c r="AE84" s="13"/>
      <c r="AF84" s="13"/>
      <c r="AG84" s="13"/>
      <c r="AL84">
        <v>92</v>
      </c>
      <c r="AM84" t="s">
        <v>9137</v>
      </c>
      <c r="AN84" s="1">
        <v>67.658759999999987</v>
      </c>
      <c r="AO84" s="2">
        <f t="shared" si="9"/>
        <v>37.212317999999996</v>
      </c>
    </row>
    <row r="85" spans="1:41" x14ac:dyDescent="0.2">
      <c r="A85" s="40">
        <v>44854</v>
      </c>
      <c r="B85" t="s">
        <v>1198</v>
      </c>
      <c r="C85" t="s">
        <v>1381</v>
      </c>
      <c r="E85">
        <v>274</v>
      </c>
      <c r="F85" s="4" t="s">
        <v>1392</v>
      </c>
      <c r="G85">
        <v>570</v>
      </c>
      <c r="O85" s="226">
        <v>0.8</v>
      </c>
      <c r="P85" s="13">
        <v>12</v>
      </c>
      <c r="Q85" s="13">
        <v>50</v>
      </c>
      <c r="R85" s="13">
        <v>30</v>
      </c>
      <c r="S85" s="227">
        <v>0.09</v>
      </c>
      <c r="T85" s="228">
        <f>+Resortes_2[[#This Row],[Precio USD]]*$AJ$1</f>
        <v>12.15</v>
      </c>
      <c r="U85" s="228"/>
      <c r="V85" s="13" t="str">
        <f>+IF(Resortes_2[[#This Row],[Vueltas]]="",Resortes_2[[#This Row],[Alambre]]&amp;" x "&amp;Resortes_2[[#This Row],[Diametro]]&amp;" x "&amp;Resortes_2[[#This Row],[Largo]],Resortes_2[[#This Row],[Alambre]]&amp;" x "&amp;Resortes_2[[#This Row],[Diametro]]&amp;" x "&amp;Resortes_2[[#This Row],[Largo]]&amp;" x "&amp;Resortes_2[[#This Row],[Vueltas]])</f>
        <v>0,8 x 12 x 50 x 30</v>
      </c>
      <c r="W85" s="229" t="s">
        <v>9045</v>
      </c>
      <c r="X85" s="230" t="str">
        <f>+Resortes_2[[#This Row],[MEDIDA]]&amp;Resortes_2[[#This Row],[TIPO]]</f>
        <v>0,8 x 12 x 50 x 30COMPRESIÓN</v>
      </c>
      <c r="Y85" s="13" t="s">
        <v>8353</v>
      </c>
      <c r="Z85" s="13"/>
      <c r="AA85" s="13"/>
      <c r="AB85" s="458" t="str">
        <f>+Resortes_2[[#This Row],[Alambre]]&amp;" x "&amp;Resortes_2[[#This Row],[Diametro]]&amp;" x "&amp;Resortes_2[[#This Row],[Largo]]</f>
        <v>0,8 x 12 x 50</v>
      </c>
      <c r="AC85" s="13">
        <f>+Resortes_2[[#This Row],[Vueltas]]</f>
        <v>30</v>
      </c>
      <c r="AD85" s="13"/>
      <c r="AE85" s="13"/>
      <c r="AF85" s="13"/>
      <c r="AG85" s="13"/>
      <c r="AL85">
        <v>93</v>
      </c>
      <c r="AM85" t="s">
        <v>9138</v>
      </c>
      <c r="AN85" s="1">
        <v>67.658759999999987</v>
      </c>
      <c r="AO85" s="2">
        <f t="shared" si="9"/>
        <v>37.212317999999996</v>
      </c>
    </row>
    <row r="86" spans="1:41" x14ac:dyDescent="0.2">
      <c r="A86" s="40">
        <v>44854</v>
      </c>
      <c r="B86" t="s">
        <v>1198</v>
      </c>
      <c r="C86" t="s">
        <v>1197</v>
      </c>
      <c r="E86">
        <v>14</v>
      </c>
      <c r="F86" s="4" t="s">
        <v>1225</v>
      </c>
      <c r="G86">
        <v>290</v>
      </c>
      <c r="O86" s="226">
        <v>0.8</v>
      </c>
      <c r="P86" s="13">
        <v>13</v>
      </c>
      <c r="Q86" s="13">
        <v>24</v>
      </c>
      <c r="R86" s="13">
        <v>6</v>
      </c>
      <c r="S86" s="227">
        <v>7.0000000000000007E-2</v>
      </c>
      <c r="T86" s="228">
        <f>+Resortes_2[[#This Row],[Precio USD]]*$AJ$1</f>
        <v>9.4500000000000011</v>
      </c>
      <c r="U86" s="228"/>
      <c r="V86" s="13" t="str">
        <f>+IF(Resortes_2[[#This Row],[Vueltas]]="",Resortes_2[[#This Row],[Alambre]]&amp;" x "&amp;Resortes_2[[#This Row],[Diametro]]&amp;" x "&amp;Resortes_2[[#This Row],[Largo]],Resortes_2[[#This Row],[Alambre]]&amp;" x "&amp;Resortes_2[[#This Row],[Diametro]]&amp;" x "&amp;Resortes_2[[#This Row],[Largo]]&amp;" x "&amp;Resortes_2[[#This Row],[Vueltas]])</f>
        <v>0,8 x 13 x 24 x 6</v>
      </c>
      <c r="W86" s="229" t="s">
        <v>9045</v>
      </c>
      <c r="X86" s="230" t="str">
        <f>+Resortes_2[[#This Row],[MEDIDA]]&amp;Resortes_2[[#This Row],[TIPO]]</f>
        <v>0,8 x 13 x 24 x 6COMPRESIÓN</v>
      </c>
      <c r="Y86" s="13" t="s">
        <v>8353</v>
      </c>
      <c r="Z86" s="13"/>
      <c r="AA86" s="13"/>
      <c r="AB86" s="458" t="str">
        <f>+Resortes_2[[#This Row],[Alambre]]&amp;" x "&amp;Resortes_2[[#This Row],[Diametro]]&amp;" x "&amp;Resortes_2[[#This Row],[Largo]]</f>
        <v>0,8 x 13 x 24</v>
      </c>
      <c r="AC86" s="13">
        <f>+Resortes_2[[#This Row],[Vueltas]]</f>
        <v>6</v>
      </c>
      <c r="AD86" s="13"/>
      <c r="AE86" s="13"/>
      <c r="AF86" s="13"/>
      <c r="AG86" s="13"/>
      <c r="AL86">
        <v>94</v>
      </c>
      <c r="AM86" t="s">
        <v>9139</v>
      </c>
      <c r="AN86" s="1">
        <v>67.658759999999987</v>
      </c>
      <c r="AO86" s="2">
        <f t="shared" si="9"/>
        <v>37.212317999999996</v>
      </c>
    </row>
    <row r="87" spans="1:41" x14ac:dyDescent="0.2">
      <c r="A87" s="40">
        <v>44854</v>
      </c>
      <c r="B87" t="s">
        <v>1198</v>
      </c>
      <c r="C87" t="s">
        <v>1197</v>
      </c>
      <c r="E87">
        <v>17</v>
      </c>
      <c r="F87" s="4" t="s">
        <v>1231</v>
      </c>
      <c r="G87">
        <v>325</v>
      </c>
      <c r="O87" s="226">
        <v>0.8</v>
      </c>
      <c r="P87" s="13">
        <v>8</v>
      </c>
      <c r="Q87" s="13">
        <v>50</v>
      </c>
      <c r="R87" s="13"/>
      <c r="S87" s="227">
        <v>0.13</v>
      </c>
      <c r="T87" s="228">
        <f>+Resortes_2[[#This Row],[Precio USD]]*$AJ$1</f>
        <v>17.55</v>
      </c>
      <c r="U87" s="228">
        <v>11</v>
      </c>
      <c r="V87" s="13" t="str">
        <f>+IF(Resortes_2[[#This Row],[Vueltas]]="",Resortes_2[[#This Row],[Alambre]]&amp;" x "&amp;Resortes_2[[#This Row],[Diametro]]&amp;" x "&amp;Resortes_2[[#This Row],[Largo]],Resortes_2[[#This Row],[Alambre]]&amp;" x "&amp;Resortes_2[[#This Row],[Diametro]]&amp;" x "&amp;Resortes_2[[#This Row],[Largo]]&amp;" x "&amp;Resortes_2[[#This Row],[Vueltas]])</f>
        <v>0,8 x 8 x 50</v>
      </c>
      <c r="W87" s="229" t="s">
        <v>9017</v>
      </c>
      <c r="X87" s="230" t="str">
        <f>+Resortes_2[[#This Row],[MEDIDA]]&amp;Resortes_2[[#This Row],[TIPO]]</f>
        <v>0,8 x 8 x 50EXPANSIÓN</v>
      </c>
      <c r="Y87" s="13" t="s">
        <v>8353</v>
      </c>
      <c r="Z87" s="13"/>
      <c r="AA87" s="13"/>
      <c r="AB87" s="458" t="str">
        <f>+Resortes_2[[#This Row],[Alambre]]&amp;" x "&amp;Resortes_2[[#This Row],[Diametro]]&amp;" x "&amp;Resortes_2[[#This Row],[Largo]]</f>
        <v>0,8 x 8 x 50</v>
      </c>
      <c r="AC87" s="13">
        <f>+Resortes_2[[#This Row],[Vueltas]]</f>
        <v>0</v>
      </c>
      <c r="AD87" s="13"/>
      <c r="AE87" s="13"/>
      <c r="AF87" s="13"/>
      <c r="AG87" s="13"/>
      <c r="AL87">
        <v>95</v>
      </c>
      <c r="AM87" t="s">
        <v>9140</v>
      </c>
      <c r="AN87" s="1">
        <v>67.658759999999987</v>
      </c>
      <c r="AO87" s="2">
        <f t="shared" si="9"/>
        <v>37.212317999999996</v>
      </c>
    </row>
    <row r="88" spans="1:41" x14ac:dyDescent="0.2">
      <c r="A88" s="40">
        <v>44854</v>
      </c>
      <c r="B88" t="s">
        <v>1198</v>
      </c>
      <c r="C88" t="s">
        <v>2023</v>
      </c>
      <c r="E88">
        <v>800</v>
      </c>
      <c r="F88" s="4" t="s">
        <v>2024</v>
      </c>
      <c r="G88">
        <v>200</v>
      </c>
      <c r="O88" s="226">
        <v>0.8</v>
      </c>
      <c r="P88" s="13">
        <v>10</v>
      </c>
      <c r="Q88" s="13">
        <v>50</v>
      </c>
      <c r="R88" s="13"/>
      <c r="S88" s="227">
        <v>0.13</v>
      </c>
      <c r="T88" s="228">
        <f>+Resortes_2[[#This Row],[Precio USD]]*$AJ$1</f>
        <v>17.55</v>
      </c>
      <c r="U88" s="228">
        <v>12.5</v>
      </c>
      <c r="V88" s="13" t="str">
        <f>+IF(Resortes_2[[#This Row],[Vueltas]]="",Resortes_2[[#This Row],[Alambre]]&amp;" x "&amp;Resortes_2[[#This Row],[Diametro]]&amp;" x "&amp;Resortes_2[[#This Row],[Largo]],Resortes_2[[#This Row],[Alambre]]&amp;" x "&amp;Resortes_2[[#This Row],[Diametro]]&amp;" x "&amp;Resortes_2[[#This Row],[Largo]]&amp;" x "&amp;Resortes_2[[#This Row],[Vueltas]])</f>
        <v>0,8 x 10 x 50</v>
      </c>
      <c r="W88" s="229" t="s">
        <v>9017</v>
      </c>
      <c r="X88" s="230" t="str">
        <f>+Resortes_2[[#This Row],[MEDIDA]]&amp;Resortes_2[[#This Row],[TIPO]]</f>
        <v>0,8 x 10 x 50EXPANSIÓN</v>
      </c>
      <c r="Y88" s="13" t="s">
        <v>8353</v>
      </c>
      <c r="Z88" s="13"/>
      <c r="AA88" s="13"/>
      <c r="AB88" s="458" t="str">
        <f>+Resortes_2[[#This Row],[Alambre]]&amp;" x "&amp;Resortes_2[[#This Row],[Diametro]]&amp;" x "&amp;Resortes_2[[#This Row],[Largo]]</f>
        <v>0,8 x 10 x 50</v>
      </c>
      <c r="AC88" s="13">
        <f>+Resortes_2[[#This Row],[Vueltas]]</f>
        <v>0</v>
      </c>
      <c r="AD88" s="13"/>
      <c r="AE88" s="13"/>
      <c r="AF88" s="13"/>
      <c r="AG88" s="13"/>
      <c r="AL88">
        <v>96</v>
      </c>
      <c r="AM88" t="s">
        <v>9141</v>
      </c>
      <c r="AN88" s="1">
        <v>67.658759999999987</v>
      </c>
      <c r="AO88" s="2">
        <f t="shared" si="9"/>
        <v>37.212317999999996</v>
      </c>
    </row>
    <row r="89" spans="1:41" x14ac:dyDescent="0.2">
      <c r="A89" s="40">
        <v>44854</v>
      </c>
      <c r="B89" t="s">
        <v>1198</v>
      </c>
      <c r="C89" t="s">
        <v>2023</v>
      </c>
      <c r="E89">
        <v>801</v>
      </c>
      <c r="F89" s="4" t="s">
        <v>2026</v>
      </c>
      <c r="G89">
        <v>200</v>
      </c>
      <c r="O89" s="226">
        <v>1</v>
      </c>
      <c r="P89" s="13">
        <v>100</v>
      </c>
      <c r="Q89" s="13">
        <v>144</v>
      </c>
      <c r="R89" s="13"/>
      <c r="S89" s="227">
        <v>0.27</v>
      </c>
      <c r="T89" s="228">
        <f>+Resortes_2[[#This Row],[Precio USD]]*$AJ$1</f>
        <v>36.450000000000003</v>
      </c>
      <c r="U89" s="228"/>
      <c r="V89" s="13" t="str">
        <f>+IF(Resortes_2[[#This Row],[Vueltas]]="",Resortes_2[[#This Row],[Alambre]]&amp;" x "&amp;Resortes_2[[#This Row],[Diametro]]&amp;" x "&amp;Resortes_2[[#This Row],[Largo]],Resortes_2[[#This Row],[Alambre]]&amp;" x "&amp;Resortes_2[[#This Row],[Diametro]]&amp;" x "&amp;Resortes_2[[#This Row],[Largo]]&amp;" x "&amp;Resortes_2[[#This Row],[Vueltas]])</f>
        <v>1 x 100 x 144</v>
      </c>
      <c r="W89" s="229" t="s">
        <v>9017</v>
      </c>
      <c r="X89" s="230" t="str">
        <f>+Resortes_2[[#This Row],[MEDIDA]]&amp;Resortes_2[[#This Row],[TIPO]]</f>
        <v>1 x 100 x 144EXPANSIÓN</v>
      </c>
      <c r="Y89" s="13" t="s">
        <v>8353</v>
      </c>
      <c r="Z89" s="13"/>
      <c r="AA89" s="13"/>
      <c r="AB89" s="458" t="str">
        <f>+Resortes_2[[#This Row],[Alambre]]&amp;" x "&amp;Resortes_2[[#This Row],[Diametro]]&amp;" x "&amp;Resortes_2[[#This Row],[Largo]]</f>
        <v>1 x 100 x 144</v>
      </c>
      <c r="AC89" s="13">
        <f>+Resortes_2[[#This Row],[Vueltas]]</f>
        <v>0</v>
      </c>
      <c r="AD89" s="13"/>
      <c r="AE89" s="13"/>
      <c r="AF89" s="13"/>
      <c r="AG89" s="13"/>
      <c r="AL89">
        <v>97</v>
      </c>
      <c r="AM89" t="s">
        <v>9142</v>
      </c>
      <c r="AN89" s="1">
        <v>67.658759999999987</v>
      </c>
      <c r="AO89" s="2">
        <f t="shared" si="9"/>
        <v>37.212317999999996</v>
      </c>
    </row>
    <row r="90" spans="1:41" x14ac:dyDescent="0.2">
      <c r="A90" s="40">
        <v>44861</v>
      </c>
      <c r="B90" t="s">
        <v>1198</v>
      </c>
      <c r="C90" t="s">
        <v>1197</v>
      </c>
      <c r="E90">
        <v>55</v>
      </c>
      <c r="F90" s="4" t="s">
        <v>1318</v>
      </c>
      <c r="G90">
        <v>5100</v>
      </c>
      <c r="O90" s="226">
        <v>1</v>
      </c>
      <c r="P90" s="13">
        <v>10</v>
      </c>
      <c r="Q90" s="13">
        <v>100</v>
      </c>
      <c r="R90" s="13"/>
      <c r="S90" s="227">
        <v>0.23</v>
      </c>
      <c r="T90" s="228">
        <f>+Resortes_2[[#This Row],[Precio USD]]*$AJ$1</f>
        <v>31.05</v>
      </c>
      <c r="U90" s="228"/>
      <c r="V90" s="13" t="str">
        <f>+IF(Resortes_2[[#This Row],[Vueltas]]="",Resortes_2[[#This Row],[Alambre]]&amp;" x "&amp;Resortes_2[[#This Row],[Diametro]]&amp;" x "&amp;Resortes_2[[#This Row],[Largo]],Resortes_2[[#This Row],[Alambre]]&amp;" x "&amp;Resortes_2[[#This Row],[Diametro]]&amp;" x "&amp;Resortes_2[[#This Row],[Largo]]&amp;" x "&amp;Resortes_2[[#This Row],[Vueltas]])</f>
        <v>1 x 10 x 100</v>
      </c>
      <c r="W90" s="229" t="s">
        <v>9017</v>
      </c>
      <c r="X90" s="230" t="str">
        <f>+Resortes_2[[#This Row],[MEDIDA]]&amp;Resortes_2[[#This Row],[TIPO]]</f>
        <v>1 x 10 x 100EXPANSIÓN</v>
      </c>
      <c r="Y90" s="13" t="s">
        <v>8353</v>
      </c>
      <c r="Z90" s="13"/>
      <c r="AA90" s="13"/>
      <c r="AB90" s="458" t="str">
        <f>+Resortes_2[[#This Row],[Alambre]]&amp;" x "&amp;Resortes_2[[#This Row],[Diametro]]&amp;" x "&amp;Resortes_2[[#This Row],[Largo]]</f>
        <v>1 x 10 x 100</v>
      </c>
      <c r="AC90" s="13">
        <f>+Resortes_2[[#This Row],[Vueltas]]</f>
        <v>0</v>
      </c>
      <c r="AD90" s="13"/>
      <c r="AE90" s="13"/>
      <c r="AF90" s="13"/>
      <c r="AG90" s="13"/>
      <c r="AL90">
        <v>98</v>
      </c>
      <c r="AM90" t="s">
        <v>9143</v>
      </c>
      <c r="AN90" s="1">
        <v>67.658759999999987</v>
      </c>
      <c r="AO90" s="2">
        <f t="shared" si="9"/>
        <v>37.212317999999996</v>
      </c>
    </row>
    <row r="91" spans="1:41" x14ac:dyDescent="0.2">
      <c r="A91" s="40">
        <v>44861</v>
      </c>
      <c r="B91" t="s">
        <v>1198</v>
      </c>
      <c r="C91" t="s">
        <v>1197</v>
      </c>
      <c r="E91">
        <v>61</v>
      </c>
      <c r="F91" s="4" t="s">
        <v>1328</v>
      </c>
      <c r="G91">
        <v>2100</v>
      </c>
      <c r="O91" s="226">
        <v>1.25</v>
      </c>
      <c r="P91" s="13">
        <v>10</v>
      </c>
      <c r="Q91" s="13">
        <v>35</v>
      </c>
      <c r="R91" s="13">
        <v>5</v>
      </c>
      <c r="S91" s="227">
        <v>0.08</v>
      </c>
      <c r="T91" s="228">
        <f>+Resortes_2[[#This Row],[Precio USD]]*$AJ$1</f>
        <v>10.8</v>
      </c>
      <c r="U91" s="228"/>
      <c r="V91" s="13" t="str">
        <f>+IF(Resortes_2[[#This Row],[Vueltas]]="",Resortes_2[[#This Row],[Alambre]]&amp;" x "&amp;Resortes_2[[#This Row],[Diametro]]&amp;" x "&amp;Resortes_2[[#This Row],[Largo]],Resortes_2[[#This Row],[Alambre]]&amp;" x "&amp;Resortes_2[[#This Row],[Diametro]]&amp;" x "&amp;Resortes_2[[#This Row],[Largo]]&amp;" x "&amp;Resortes_2[[#This Row],[Vueltas]])</f>
        <v>1,25 x 10 x 35 x 5</v>
      </c>
      <c r="W91" s="229" t="s">
        <v>9045</v>
      </c>
      <c r="X91" s="230" t="str">
        <f>+Resortes_2[[#This Row],[MEDIDA]]&amp;Resortes_2[[#This Row],[TIPO]]</f>
        <v>1,25 x 10 x 35 x 5COMPRESIÓN</v>
      </c>
      <c r="Y91" s="13" t="s">
        <v>8353</v>
      </c>
      <c r="Z91" s="13"/>
      <c r="AA91" s="13"/>
      <c r="AB91" s="458" t="str">
        <f>+Resortes_2[[#This Row],[Alambre]]&amp;" x "&amp;Resortes_2[[#This Row],[Diametro]]&amp;" x "&amp;Resortes_2[[#This Row],[Largo]]</f>
        <v>1,25 x 10 x 35</v>
      </c>
      <c r="AC91" s="13">
        <f>+Resortes_2[[#This Row],[Vueltas]]</f>
        <v>5</v>
      </c>
      <c r="AD91" s="13"/>
      <c r="AE91" s="13"/>
      <c r="AF91" s="13"/>
      <c r="AG91" s="13"/>
      <c r="AL91">
        <v>99</v>
      </c>
      <c r="AM91" t="s">
        <v>9144</v>
      </c>
      <c r="AN91" s="1">
        <v>67.658759999999987</v>
      </c>
      <c r="AO91" s="2">
        <f t="shared" si="9"/>
        <v>37.212317999999996</v>
      </c>
    </row>
    <row r="92" spans="1:41" x14ac:dyDescent="0.2">
      <c r="A92" s="40">
        <v>44861</v>
      </c>
      <c r="B92" t="s">
        <v>1198</v>
      </c>
      <c r="C92" t="s">
        <v>1197</v>
      </c>
      <c r="E92">
        <v>64</v>
      </c>
      <c r="F92" s="4" t="s">
        <v>1334</v>
      </c>
      <c r="G92">
        <v>2010</v>
      </c>
      <c r="O92" s="226">
        <v>1.25</v>
      </c>
      <c r="P92" s="13">
        <v>10</v>
      </c>
      <c r="Q92" s="13">
        <v>35</v>
      </c>
      <c r="R92" s="13">
        <v>5</v>
      </c>
      <c r="S92" s="227">
        <v>0.08</v>
      </c>
      <c r="T92" s="228">
        <f>+Resortes_2[[#This Row],[Precio USD]]*$AJ$1</f>
        <v>10.8</v>
      </c>
      <c r="U92" s="228"/>
      <c r="V92" s="13" t="str">
        <f>+IF(Resortes_2[[#This Row],[Vueltas]]="",Resortes_2[[#This Row],[Alambre]]&amp;" x "&amp;Resortes_2[[#This Row],[Diametro]]&amp;" x "&amp;Resortes_2[[#This Row],[Largo]],Resortes_2[[#This Row],[Alambre]]&amp;" x "&amp;Resortes_2[[#This Row],[Diametro]]&amp;" x "&amp;Resortes_2[[#This Row],[Largo]]&amp;" x "&amp;Resortes_2[[#This Row],[Vueltas]])</f>
        <v>1,25 x 10 x 35 x 5</v>
      </c>
      <c r="W92" s="229" t="s">
        <v>9045</v>
      </c>
      <c r="X92" s="230" t="str">
        <f>+Resortes_2[[#This Row],[MEDIDA]]&amp;Resortes_2[[#This Row],[TIPO]]</f>
        <v>1,25 x 10 x 35 x 5COMPRESIÓN</v>
      </c>
      <c r="Y92" s="13" t="s">
        <v>8353</v>
      </c>
      <c r="Z92" s="13"/>
      <c r="AA92" s="13"/>
      <c r="AB92" s="458" t="str">
        <f>+Resortes_2[[#This Row],[Alambre]]&amp;" x "&amp;Resortes_2[[#This Row],[Diametro]]&amp;" x "&amp;Resortes_2[[#This Row],[Largo]]</f>
        <v>1,25 x 10 x 35</v>
      </c>
      <c r="AC92" s="13">
        <f>+Resortes_2[[#This Row],[Vueltas]]</f>
        <v>5</v>
      </c>
      <c r="AD92" s="13"/>
      <c r="AE92" s="13"/>
      <c r="AF92" s="13"/>
      <c r="AG92" s="13"/>
      <c r="AL92">
        <v>100</v>
      </c>
      <c r="AM92" t="s">
        <v>9145</v>
      </c>
      <c r="AN92" s="1">
        <v>67.658759999999987</v>
      </c>
      <c r="AO92" s="2">
        <f t="shared" si="9"/>
        <v>37.212317999999996</v>
      </c>
    </row>
    <row r="93" spans="1:41" x14ac:dyDescent="0.2">
      <c r="A93" s="40">
        <v>44861</v>
      </c>
      <c r="B93" t="s">
        <v>1198</v>
      </c>
      <c r="C93" t="s">
        <v>1197</v>
      </c>
      <c r="E93">
        <v>50</v>
      </c>
      <c r="F93" s="4" t="s">
        <v>1311</v>
      </c>
      <c r="G93">
        <v>2060</v>
      </c>
      <c r="O93" s="226">
        <v>1.25</v>
      </c>
      <c r="P93" s="13">
        <v>14</v>
      </c>
      <c r="Q93" s="13">
        <v>25</v>
      </c>
      <c r="R93" s="13">
        <v>5</v>
      </c>
      <c r="S93" s="227">
        <v>0.08</v>
      </c>
      <c r="T93" s="228">
        <f>+Resortes_2[[#This Row],[Precio USD]]*$AJ$1</f>
        <v>10.8</v>
      </c>
      <c r="U93" s="228"/>
      <c r="V93" s="13" t="str">
        <f>+IF(Resortes_2[[#This Row],[Vueltas]]="",Resortes_2[[#This Row],[Alambre]]&amp;" x "&amp;Resortes_2[[#This Row],[Diametro]]&amp;" x "&amp;Resortes_2[[#This Row],[Largo]],Resortes_2[[#This Row],[Alambre]]&amp;" x "&amp;Resortes_2[[#This Row],[Diametro]]&amp;" x "&amp;Resortes_2[[#This Row],[Largo]]&amp;" x "&amp;Resortes_2[[#This Row],[Vueltas]])</f>
        <v>1,25 x 14 x 25 x 5</v>
      </c>
      <c r="W93" s="229" t="s">
        <v>9045</v>
      </c>
      <c r="X93" s="230" t="str">
        <f>+Resortes_2[[#This Row],[MEDIDA]]&amp;Resortes_2[[#This Row],[TIPO]]</f>
        <v>1,25 x 14 x 25 x 5COMPRESIÓN</v>
      </c>
      <c r="Y93" s="13" t="s">
        <v>8353</v>
      </c>
      <c r="Z93" s="13"/>
      <c r="AA93" s="13"/>
      <c r="AB93" s="458" t="str">
        <f>+Resortes_2[[#This Row],[Alambre]]&amp;" x "&amp;Resortes_2[[#This Row],[Diametro]]&amp;" x "&amp;Resortes_2[[#This Row],[Largo]]</f>
        <v>1,25 x 14 x 25</v>
      </c>
      <c r="AC93" s="13">
        <f>+Resortes_2[[#This Row],[Vueltas]]</f>
        <v>5</v>
      </c>
      <c r="AD93" s="13"/>
      <c r="AE93" s="13"/>
      <c r="AF93" s="13"/>
      <c r="AG93" s="13"/>
      <c r="AL93">
        <v>101</v>
      </c>
      <c r="AM93" t="s">
        <v>9146</v>
      </c>
      <c r="AN93" s="1">
        <v>67.658759999999987</v>
      </c>
      <c r="AO93" s="2">
        <f t="shared" si="9"/>
        <v>37.212317999999996</v>
      </c>
    </row>
    <row r="94" spans="1:41" x14ac:dyDescent="0.2">
      <c r="A94" s="40">
        <v>44861</v>
      </c>
      <c r="B94" t="s">
        <v>1198</v>
      </c>
      <c r="C94" t="s">
        <v>1197</v>
      </c>
      <c r="E94">
        <v>58</v>
      </c>
      <c r="F94" s="4" t="s">
        <v>1323</v>
      </c>
      <c r="G94">
        <v>2085</v>
      </c>
      <c r="O94" s="226">
        <v>1.25</v>
      </c>
      <c r="P94" s="13">
        <v>8</v>
      </c>
      <c r="Q94" s="13">
        <v>29</v>
      </c>
      <c r="R94" s="13"/>
      <c r="S94" s="227">
        <v>0.11</v>
      </c>
      <c r="T94" s="228">
        <f>+Resortes_2[[#This Row],[Precio USD]]*$AJ$1</f>
        <v>14.85</v>
      </c>
      <c r="U94" s="228"/>
      <c r="V94" s="13" t="str">
        <f>+IF(Resortes_2[[#This Row],[Vueltas]]="",Resortes_2[[#This Row],[Alambre]]&amp;" x "&amp;Resortes_2[[#This Row],[Diametro]]&amp;" x "&amp;Resortes_2[[#This Row],[Largo]],Resortes_2[[#This Row],[Alambre]]&amp;" x "&amp;Resortes_2[[#This Row],[Diametro]]&amp;" x "&amp;Resortes_2[[#This Row],[Largo]]&amp;" x "&amp;Resortes_2[[#This Row],[Vueltas]])</f>
        <v>1,25 x 8 x 29</v>
      </c>
      <c r="W94" s="229" t="s">
        <v>9017</v>
      </c>
      <c r="X94" s="230" t="str">
        <f>+Resortes_2[[#This Row],[MEDIDA]]&amp;Resortes_2[[#This Row],[TIPO]]</f>
        <v>1,25 x 8 x 29EXPANSIÓN</v>
      </c>
      <c r="Y94" s="13" t="s">
        <v>8353</v>
      </c>
      <c r="Z94" s="13"/>
      <c r="AA94" s="13"/>
      <c r="AB94" s="458" t="str">
        <f>+Resortes_2[[#This Row],[Alambre]]&amp;" x "&amp;Resortes_2[[#This Row],[Diametro]]&amp;" x "&amp;Resortes_2[[#This Row],[Largo]]</f>
        <v>1,25 x 8 x 29</v>
      </c>
      <c r="AC94" s="13">
        <f>+Resortes_2[[#This Row],[Vueltas]]</f>
        <v>0</v>
      </c>
      <c r="AD94" s="13"/>
      <c r="AE94" s="13"/>
      <c r="AF94" s="13"/>
      <c r="AG94" s="13"/>
      <c r="AL94">
        <v>102</v>
      </c>
      <c r="AM94" t="s">
        <v>9147</v>
      </c>
      <c r="AN94" s="1">
        <v>67.658759999999987</v>
      </c>
      <c r="AO94" s="2">
        <f t="shared" si="9"/>
        <v>37.212317999999996</v>
      </c>
    </row>
    <row r="95" spans="1:41" x14ac:dyDescent="0.2">
      <c r="A95" s="40">
        <v>44964</v>
      </c>
      <c r="B95" t="s">
        <v>1198</v>
      </c>
      <c r="C95" t="s">
        <v>1197</v>
      </c>
      <c r="E95">
        <v>16</v>
      </c>
      <c r="F95" s="4" t="s">
        <v>1229</v>
      </c>
      <c r="G95">
        <v>408</v>
      </c>
      <c r="O95" s="226">
        <v>1.5</v>
      </c>
      <c r="P95" s="13">
        <v>17</v>
      </c>
      <c r="Q95" s="13">
        <v>17</v>
      </c>
      <c r="R95" s="13">
        <v>75</v>
      </c>
      <c r="S95" s="227">
        <v>0.12</v>
      </c>
      <c r="T95" s="228">
        <f>+Resortes_2[[#This Row],[Precio USD]]*$AJ$1</f>
        <v>16.2</v>
      </c>
      <c r="U95" s="228"/>
      <c r="V95" s="13" t="str">
        <f>+IF(Resortes_2[[#This Row],[Vueltas]]="",Resortes_2[[#This Row],[Alambre]]&amp;" x "&amp;Resortes_2[[#This Row],[Diametro]]&amp;" x "&amp;Resortes_2[[#This Row],[Largo]],Resortes_2[[#This Row],[Alambre]]&amp;" x "&amp;Resortes_2[[#This Row],[Diametro]]&amp;" x "&amp;Resortes_2[[#This Row],[Largo]]&amp;" x "&amp;Resortes_2[[#This Row],[Vueltas]])</f>
        <v>1,5 x 17 x 17 x 75</v>
      </c>
      <c r="W95" s="229" t="s">
        <v>9045</v>
      </c>
      <c r="X95" s="230" t="str">
        <f>+Resortes_2[[#This Row],[MEDIDA]]&amp;Resortes_2[[#This Row],[TIPO]]</f>
        <v>1,5 x 17 x 17 x 75COMPRESIÓN</v>
      </c>
      <c r="Y95" s="13" t="s">
        <v>8353</v>
      </c>
      <c r="Z95" s="13"/>
      <c r="AA95" s="13"/>
      <c r="AB95" s="458" t="str">
        <f>+Resortes_2[[#This Row],[Alambre]]&amp;" x "&amp;Resortes_2[[#This Row],[Diametro]]&amp;" x "&amp;Resortes_2[[#This Row],[Largo]]</f>
        <v>1,5 x 17 x 17</v>
      </c>
      <c r="AC95" s="13">
        <f>+Resortes_2[[#This Row],[Vueltas]]</f>
        <v>75</v>
      </c>
      <c r="AD95" s="13"/>
      <c r="AE95" s="13"/>
      <c r="AF95" s="13"/>
      <c r="AG95" s="13"/>
      <c r="AL95">
        <v>103</v>
      </c>
      <c r="AM95" t="s">
        <v>9148</v>
      </c>
      <c r="AN95" s="1">
        <v>70.708949999999987</v>
      </c>
      <c r="AO95" s="2">
        <f t="shared" si="9"/>
        <v>38.889922499999997</v>
      </c>
    </row>
    <row r="96" spans="1:41" x14ac:dyDescent="0.2">
      <c r="A96" s="40">
        <v>44964</v>
      </c>
      <c r="B96" t="s">
        <v>1198</v>
      </c>
      <c r="C96" t="s">
        <v>1197</v>
      </c>
      <c r="E96">
        <v>20</v>
      </c>
      <c r="F96" s="4" t="s">
        <v>1237</v>
      </c>
      <c r="G96">
        <v>467</v>
      </c>
      <c r="O96" s="226">
        <v>1.5</v>
      </c>
      <c r="P96" s="13">
        <v>20</v>
      </c>
      <c r="Q96" s="13">
        <v>30</v>
      </c>
      <c r="R96" s="13">
        <v>5</v>
      </c>
      <c r="S96" s="227">
        <v>0.12</v>
      </c>
      <c r="T96" s="228">
        <f>+Resortes_2[[#This Row],[Precio USD]]*$AJ$1</f>
        <v>16.2</v>
      </c>
      <c r="U96" s="228"/>
      <c r="V96" s="13" t="str">
        <f>+IF(Resortes_2[[#This Row],[Vueltas]]="",Resortes_2[[#This Row],[Alambre]]&amp;" x "&amp;Resortes_2[[#This Row],[Diametro]]&amp;" x "&amp;Resortes_2[[#This Row],[Largo]],Resortes_2[[#This Row],[Alambre]]&amp;" x "&amp;Resortes_2[[#This Row],[Diametro]]&amp;" x "&amp;Resortes_2[[#This Row],[Largo]]&amp;" x "&amp;Resortes_2[[#This Row],[Vueltas]])</f>
        <v>1,5 x 20 x 30 x 5</v>
      </c>
      <c r="W96" s="229" t="s">
        <v>9045</v>
      </c>
      <c r="X96" s="230" t="str">
        <f>+Resortes_2[[#This Row],[MEDIDA]]&amp;Resortes_2[[#This Row],[TIPO]]</f>
        <v>1,5 x 20 x 30 x 5COMPRESIÓN</v>
      </c>
      <c r="Y96" s="13" t="s">
        <v>8353</v>
      </c>
      <c r="Z96" s="13"/>
      <c r="AA96" s="13"/>
      <c r="AB96" s="458" t="str">
        <f>+Resortes_2[[#This Row],[Alambre]]&amp;" x "&amp;Resortes_2[[#This Row],[Diametro]]&amp;" x "&amp;Resortes_2[[#This Row],[Largo]]</f>
        <v>1,5 x 20 x 30</v>
      </c>
      <c r="AC96" s="13">
        <f>+Resortes_2[[#This Row],[Vueltas]]</f>
        <v>5</v>
      </c>
      <c r="AD96" s="13"/>
      <c r="AE96" s="13"/>
      <c r="AF96" s="13"/>
      <c r="AG96" s="13"/>
      <c r="AL96">
        <v>269</v>
      </c>
      <c r="AM96" t="s">
        <v>9149</v>
      </c>
      <c r="AN96" s="1">
        <v>284.00657999999999</v>
      </c>
      <c r="AO96" s="2">
        <f t="shared" si="9"/>
        <v>156.203619</v>
      </c>
    </row>
    <row r="97" spans="1:41" x14ac:dyDescent="0.2">
      <c r="A97" s="40">
        <v>44964</v>
      </c>
      <c r="B97" t="s">
        <v>1198</v>
      </c>
      <c r="C97" t="s">
        <v>1197</v>
      </c>
      <c r="E97">
        <v>15</v>
      </c>
      <c r="F97" s="4" t="s">
        <v>1227</v>
      </c>
      <c r="G97">
        <v>400</v>
      </c>
      <c r="O97" s="226">
        <v>1.5</v>
      </c>
      <c r="P97" s="13">
        <v>13</v>
      </c>
      <c r="Q97" s="13">
        <v>30</v>
      </c>
      <c r="R97" s="13">
        <v>7</v>
      </c>
      <c r="S97" s="227">
        <v>7.0000000000000007E-2</v>
      </c>
      <c r="T97" s="228">
        <f>+Resortes_2[[#This Row],[Precio USD]]*$AJ$1</f>
        <v>9.4500000000000011</v>
      </c>
      <c r="U97" s="228"/>
      <c r="V97" s="13" t="str">
        <f>+IF(Resortes_2[[#This Row],[Vueltas]]="",Resortes_2[[#This Row],[Alambre]]&amp;" x "&amp;Resortes_2[[#This Row],[Diametro]]&amp;" x "&amp;Resortes_2[[#This Row],[Largo]],Resortes_2[[#This Row],[Alambre]]&amp;" x "&amp;Resortes_2[[#This Row],[Diametro]]&amp;" x "&amp;Resortes_2[[#This Row],[Largo]]&amp;" x "&amp;Resortes_2[[#This Row],[Vueltas]])</f>
        <v>1,5 x 13 x 30 x 7</v>
      </c>
      <c r="W97" s="229" t="s">
        <v>9045</v>
      </c>
      <c r="X97" s="230" t="str">
        <f>+Resortes_2[[#This Row],[MEDIDA]]&amp;Resortes_2[[#This Row],[TIPO]]</f>
        <v>1,5 x 13 x 30 x 7COMPRESIÓN</v>
      </c>
      <c r="Y97" s="13" t="s">
        <v>8353</v>
      </c>
      <c r="Z97" s="13"/>
      <c r="AA97" s="13"/>
      <c r="AB97" s="458" t="str">
        <f>+Resortes_2[[#This Row],[Alambre]]&amp;" x "&amp;Resortes_2[[#This Row],[Diametro]]&amp;" x "&amp;Resortes_2[[#This Row],[Largo]]</f>
        <v>1,5 x 13 x 30</v>
      </c>
      <c r="AC97" s="13">
        <f>+Resortes_2[[#This Row],[Vueltas]]</f>
        <v>7</v>
      </c>
      <c r="AD97" s="13"/>
      <c r="AE97" s="13"/>
      <c r="AF97" s="13"/>
      <c r="AG97" s="13"/>
      <c r="AL97">
        <v>270</v>
      </c>
      <c r="AM97" t="s">
        <v>9150</v>
      </c>
      <c r="AN97" s="1">
        <v>77.764439999999993</v>
      </c>
      <c r="AO97" s="2">
        <f t="shared" si="9"/>
        <v>42.770442000000003</v>
      </c>
    </row>
    <row r="98" spans="1:41" x14ac:dyDescent="0.2">
      <c r="A98" s="40">
        <v>44964</v>
      </c>
      <c r="B98" t="s">
        <v>1198</v>
      </c>
      <c r="C98" t="s">
        <v>1197</v>
      </c>
      <c r="E98">
        <v>33</v>
      </c>
      <c r="F98" s="4" t="s">
        <v>1261</v>
      </c>
      <c r="G98">
        <v>600</v>
      </c>
      <c r="O98" s="226">
        <v>1.5</v>
      </c>
      <c r="P98" s="13">
        <v>12</v>
      </c>
      <c r="Q98" s="13">
        <v>120</v>
      </c>
      <c r="R98" s="13"/>
      <c r="S98" s="227">
        <v>0.27</v>
      </c>
      <c r="T98" s="228">
        <f>+Resortes_2[[#This Row],[Precio USD]]*$AJ$1</f>
        <v>36.450000000000003</v>
      </c>
      <c r="U98" s="228"/>
      <c r="V98" s="13" t="str">
        <f>+IF(Resortes_2[[#This Row],[Vueltas]]="",Resortes_2[[#This Row],[Alambre]]&amp;" x "&amp;Resortes_2[[#This Row],[Diametro]]&amp;" x "&amp;Resortes_2[[#This Row],[Largo]],Resortes_2[[#This Row],[Alambre]]&amp;" x "&amp;Resortes_2[[#This Row],[Diametro]]&amp;" x "&amp;Resortes_2[[#This Row],[Largo]]&amp;" x "&amp;Resortes_2[[#This Row],[Vueltas]])</f>
        <v>1,5 x 12 x 120</v>
      </c>
      <c r="W98" s="229" t="s">
        <v>9017</v>
      </c>
      <c r="X98" s="230" t="str">
        <f>+Resortes_2[[#This Row],[MEDIDA]]&amp;Resortes_2[[#This Row],[TIPO]]</f>
        <v>1,5 x 12 x 120EXPANSIÓN</v>
      </c>
      <c r="Y98" s="13" t="s">
        <v>8353</v>
      </c>
      <c r="Z98" s="13"/>
      <c r="AA98" s="13"/>
      <c r="AB98" s="458" t="str">
        <f>+Resortes_2[[#This Row],[Alambre]]&amp;" x "&amp;Resortes_2[[#This Row],[Diametro]]&amp;" x "&amp;Resortes_2[[#This Row],[Largo]]</f>
        <v>1,5 x 12 x 120</v>
      </c>
      <c r="AC98" s="13">
        <f>+Resortes_2[[#This Row],[Vueltas]]</f>
        <v>0</v>
      </c>
      <c r="AD98" s="13"/>
      <c r="AE98" s="13"/>
      <c r="AF98" s="13"/>
      <c r="AG98" s="13"/>
      <c r="AL98">
        <v>271</v>
      </c>
      <c r="AM98" t="s">
        <v>9151</v>
      </c>
      <c r="AN98" s="1">
        <v>77.764439999999993</v>
      </c>
      <c r="AO98" s="2">
        <f t="shared" si="9"/>
        <v>42.770442000000003</v>
      </c>
    </row>
    <row r="99" spans="1:41" x14ac:dyDescent="0.2">
      <c r="A99" s="40">
        <v>44964</v>
      </c>
      <c r="B99" t="s">
        <v>1198</v>
      </c>
      <c r="C99" t="s">
        <v>1197</v>
      </c>
      <c r="E99">
        <v>11</v>
      </c>
      <c r="F99" s="4" t="s">
        <v>1219</v>
      </c>
      <c r="G99">
        <v>360</v>
      </c>
      <c r="O99" s="226">
        <v>1.5</v>
      </c>
      <c r="P99" s="13">
        <v>12</v>
      </c>
      <c r="Q99" s="13">
        <v>50</v>
      </c>
      <c r="R99" s="13"/>
      <c r="S99" s="227">
        <v>0.14000000000000001</v>
      </c>
      <c r="T99" s="228">
        <f>+Resortes_2[[#This Row],[Precio USD]]*$AJ$1</f>
        <v>18.900000000000002</v>
      </c>
      <c r="U99" s="228"/>
      <c r="V99" s="13" t="str">
        <f>+IF(Resortes_2[[#This Row],[Vueltas]]="",Resortes_2[[#This Row],[Alambre]]&amp;" x "&amp;Resortes_2[[#This Row],[Diametro]]&amp;" x "&amp;Resortes_2[[#This Row],[Largo]],Resortes_2[[#This Row],[Alambre]]&amp;" x "&amp;Resortes_2[[#This Row],[Diametro]]&amp;" x "&amp;Resortes_2[[#This Row],[Largo]]&amp;" x "&amp;Resortes_2[[#This Row],[Vueltas]])</f>
        <v>1,5 x 12 x 50</v>
      </c>
      <c r="W99" s="229" t="s">
        <v>9017</v>
      </c>
      <c r="X99" s="230" t="str">
        <f>+Resortes_2[[#This Row],[MEDIDA]]&amp;Resortes_2[[#This Row],[TIPO]]</f>
        <v>1,5 x 12 x 50EXPANSIÓN</v>
      </c>
      <c r="Y99" s="13" t="s">
        <v>8353</v>
      </c>
      <c r="Z99" s="13"/>
      <c r="AA99" s="13"/>
      <c r="AB99" s="458" t="str">
        <f>+Resortes_2[[#This Row],[Alambre]]&amp;" x "&amp;Resortes_2[[#This Row],[Diametro]]&amp;" x "&amp;Resortes_2[[#This Row],[Largo]]</f>
        <v>1,5 x 12 x 50</v>
      </c>
      <c r="AC99" s="13">
        <f>+Resortes_2[[#This Row],[Vueltas]]</f>
        <v>0</v>
      </c>
      <c r="AD99" s="13"/>
      <c r="AE99" s="13"/>
      <c r="AF99" s="13"/>
      <c r="AG99" s="13"/>
      <c r="AL99">
        <v>272</v>
      </c>
      <c r="AM99" t="s">
        <v>9152</v>
      </c>
      <c r="AN99" s="1">
        <v>77.764439999999993</v>
      </c>
      <c r="AO99" s="2">
        <f t="shared" si="9"/>
        <v>42.770442000000003</v>
      </c>
    </row>
    <row r="100" spans="1:41" x14ac:dyDescent="0.2">
      <c r="A100" s="40">
        <v>44964</v>
      </c>
      <c r="B100" t="s">
        <v>1198</v>
      </c>
      <c r="C100" t="s">
        <v>1197</v>
      </c>
      <c r="E100">
        <v>80</v>
      </c>
      <c r="F100" s="4" t="s">
        <v>1269</v>
      </c>
      <c r="G100">
        <v>200</v>
      </c>
      <c r="O100" s="226">
        <v>1.75</v>
      </c>
      <c r="P100" s="13">
        <v>16</v>
      </c>
      <c r="Q100" s="13">
        <v>60</v>
      </c>
      <c r="R100" s="13">
        <v>10</v>
      </c>
      <c r="S100" s="227">
        <v>0.09</v>
      </c>
      <c r="T100" s="228">
        <f>+Resortes_2[[#This Row],[Precio USD]]*$AJ$1</f>
        <v>12.15</v>
      </c>
      <c r="U100" s="228"/>
      <c r="V100" s="13" t="str">
        <f>+IF(Resortes_2[[#This Row],[Vueltas]]="",Resortes_2[[#This Row],[Alambre]]&amp;" x "&amp;Resortes_2[[#This Row],[Diametro]]&amp;" x "&amp;Resortes_2[[#This Row],[Largo]],Resortes_2[[#This Row],[Alambre]]&amp;" x "&amp;Resortes_2[[#This Row],[Diametro]]&amp;" x "&amp;Resortes_2[[#This Row],[Largo]]&amp;" x "&amp;Resortes_2[[#This Row],[Vueltas]])</f>
        <v>1,75 x 16 x 60 x 10</v>
      </c>
      <c r="W100" s="229" t="s">
        <v>9045</v>
      </c>
      <c r="X100" s="230" t="str">
        <f>+Resortes_2[[#This Row],[MEDIDA]]&amp;Resortes_2[[#This Row],[TIPO]]</f>
        <v>1,75 x 16 x 60 x 10COMPRESIÓN</v>
      </c>
      <c r="Y100" s="13" t="s">
        <v>8353</v>
      </c>
      <c r="Z100" s="13"/>
      <c r="AA100" s="13"/>
      <c r="AB100" s="458" t="str">
        <f>+Resortes_2[[#This Row],[Alambre]]&amp;" x "&amp;Resortes_2[[#This Row],[Diametro]]&amp;" x "&amp;Resortes_2[[#This Row],[Largo]]</f>
        <v>1,75 x 16 x 60</v>
      </c>
      <c r="AC100" s="13">
        <f>+Resortes_2[[#This Row],[Vueltas]]</f>
        <v>10</v>
      </c>
      <c r="AD100" s="13"/>
      <c r="AE100" s="13"/>
      <c r="AF100" s="13"/>
      <c r="AG100" s="13"/>
      <c r="AL100">
        <v>273</v>
      </c>
      <c r="AM100" t="s">
        <v>9153</v>
      </c>
      <c r="AN100" s="1">
        <v>126.04370999999998</v>
      </c>
      <c r="AO100" s="2">
        <f t="shared" si="9"/>
        <v>69.324040499999995</v>
      </c>
    </row>
    <row r="101" spans="1:41" x14ac:dyDescent="0.2">
      <c r="A101" s="40">
        <v>44964</v>
      </c>
      <c r="B101" t="s">
        <v>1198</v>
      </c>
      <c r="C101" t="s">
        <v>1197</v>
      </c>
      <c r="E101">
        <v>73</v>
      </c>
      <c r="F101" s="4" t="s">
        <v>1349</v>
      </c>
      <c r="G101">
        <v>555</v>
      </c>
      <c r="O101" s="226">
        <v>1.75</v>
      </c>
      <c r="P101" s="13">
        <v>12</v>
      </c>
      <c r="Q101" s="13">
        <v>80</v>
      </c>
      <c r="R101" s="13">
        <v>15</v>
      </c>
      <c r="S101" s="227">
        <v>0.12</v>
      </c>
      <c r="T101" s="228">
        <f>+Resortes_2[[#This Row],[Precio USD]]*$AJ$1</f>
        <v>16.2</v>
      </c>
      <c r="U101" s="228"/>
      <c r="V101" s="13" t="str">
        <f>+IF(Resortes_2[[#This Row],[Vueltas]]="",Resortes_2[[#This Row],[Alambre]]&amp;" x "&amp;Resortes_2[[#This Row],[Diametro]]&amp;" x "&amp;Resortes_2[[#This Row],[Largo]],Resortes_2[[#This Row],[Alambre]]&amp;" x "&amp;Resortes_2[[#This Row],[Diametro]]&amp;" x "&amp;Resortes_2[[#This Row],[Largo]]&amp;" x "&amp;Resortes_2[[#This Row],[Vueltas]])</f>
        <v>1,75 x 12 x 80 x 15</v>
      </c>
      <c r="W101" s="229" t="s">
        <v>9045</v>
      </c>
      <c r="X101" s="230" t="str">
        <f>+Resortes_2[[#This Row],[MEDIDA]]&amp;Resortes_2[[#This Row],[TIPO]]</f>
        <v>1,75 x 12 x 80 x 15COMPRESIÓN</v>
      </c>
      <c r="Y101" s="13" t="s">
        <v>8353</v>
      </c>
      <c r="Z101" s="13"/>
      <c r="AA101" s="13"/>
      <c r="AB101" s="458" t="str">
        <f>+Resortes_2[[#This Row],[Alambre]]&amp;" x "&amp;Resortes_2[[#This Row],[Diametro]]&amp;" x "&amp;Resortes_2[[#This Row],[Largo]]</f>
        <v>1,75 x 12 x 80</v>
      </c>
      <c r="AC101" s="13">
        <f>+Resortes_2[[#This Row],[Vueltas]]</f>
        <v>15</v>
      </c>
      <c r="AD101" s="13"/>
      <c r="AE101" s="13"/>
      <c r="AF101" s="13"/>
      <c r="AG101" s="13"/>
      <c r="AL101">
        <v>274</v>
      </c>
      <c r="AM101" t="s">
        <v>9154</v>
      </c>
      <c r="AN101" s="1">
        <v>106.66421999999997</v>
      </c>
      <c r="AO101" s="2">
        <f t="shared" si="9"/>
        <v>58.665320999999992</v>
      </c>
    </row>
    <row r="102" spans="1:41" x14ac:dyDescent="0.2">
      <c r="A102" s="40">
        <v>44964</v>
      </c>
      <c r="B102" t="s">
        <v>1198</v>
      </c>
      <c r="C102" t="s">
        <v>1381</v>
      </c>
      <c r="E102">
        <v>386</v>
      </c>
      <c r="F102" s="4" t="s">
        <v>1562</v>
      </c>
      <c r="G102">
        <v>400</v>
      </c>
      <c r="O102" s="226">
        <v>1.75</v>
      </c>
      <c r="P102" s="13">
        <v>12</v>
      </c>
      <c r="Q102" s="13">
        <v>140</v>
      </c>
      <c r="R102" s="13"/>
      <c r="S102" s="227">
        <v>0.32</v>
      </c>
      <c r="T102" s="228">
        <f>+Resortes_2[[#This Row],[Precio USD]]*$AJ$1</f>
        <v>43.2</v>
      </c>
      <c r="U102" s="228"/>
      <c r="V102" s="13" t="str">
        <f>+IF(Resortes_2[[#This Row],[Vueltas]]="",Resortes_2[[#This Row],[Alambre]]&amp;" x "&amp;Resortes_2[[#This Row],[Diametro]]&amp;" x "&amp;Resortes_2[[#This Row],[Largo]],Resortes_2[[#This Row],[Alambre]]&amp;" x "&amp;Resortes_2[[#This Row],[Diametro]]&amp;" x "&amp;Resortes_2[[#This Row],[Largo]]&amp;" x "&amp;Resortes_2[[#This Row],[Vueltas]])</f>
        <v>1,75 x 12 x 140</v>
      </c>
      <c r="W102" s="229" t="s">
        <v>9017</v>
      </c>
      <c r="X102" s="230" t="str">
        <f>+Resortes_2[[#This Row],[MEDIDA]]&amp;Resortes_2[[#This Row],[TIPO]]</f>
        <v>1,75 x 12 x 140EXPANSIÓN</v>
      </c>
      <c r="Y102" s="13" t="s">
        <v>8353</v>
      </c>
      <c r="Z102" s="13"/>
      <c r="AA102" s="13"/>
      <c r="AB102" s="458" t="str">
        <f>+Resortes_2[[#This Row],[Alambre]]&amp;" x "&amp;Resortes_2[[#This Row],[Diametro]]&amp;" x "&amp;Resortes_2[[#This Row],[Largo]]</f>
        <v>1,75 x 12 x 140</v>
      </c>
      <c r="AC102" s="13">
        <f>+Resortes_2[[#This Row],[Vueltas]]</f>
        <v>0</v>
      </c>
      <c r="AD102" s="13"/>
      <c r="AE102" s="13"/>
      <c r="AF102" s="13"/>
      <c r="AG102" s="13"/>
      <c r="AL102">
        <v>275</v>
      </c>
      <c r="AM102" t="s">
        <v>9155</v>
      </c>
      <c r="AN102" s="1">
        <v>156.94613999999999</v>
      </c>
      <c r="AO102" s="2">
        <f t="shared" si="9"/>
        <v>86.320376999999993</v>
      </c>
    </row>
    <row r="103" spans="1:41" x14ac:dyDescent="0.2">
      <c r="A103" s="40">
        <v>45026</v>
      </c>
      <c r="B103" t="s">
        <v>9013</v>
      </c>
      <c r="C103" t="s">
        <v>1197</v>
      </c>
      <c r="E103">
        <v>7</v>
      </c>
      <c r="F103" s="4" t="s">
        <v>9024</v>
      </c>
      <c r="G103">
        <v>500</v>
      </c>
      <c r="O103" s="226">
        <v>1.75</v>
      </c>
      <c r="P103" s="13">
        <v>12</v>
      </c>
      <c r="Q103" s="13">
        <v>175</v>
      </c>
      <c r="R103" s="13"/>
      <c r="S103" s="227">
        <v>0.32</v>
      </c>
      <c r="T103" s="228">
        <f>+Resortes_2[[#This Row],[Precio USD]]*$AJ$1</f>
        <v>43.2</v>
      </c>
      <c r="U103" s="228"/>
      <c r="V103" s="13" t="str">
        <f>+IF(Resortes_2[[#This Row],[Vueltas]]="",Resortes_2[[#This Row],[Alambre]]&amp;" x "&amp;Resortes_2[[#This Row],[Diametro]]&amp;" x "&amp;Resortes_2[[#This Row],[Largo]],Resortes_2[[#This Row],[Alambre]]&amp;" x "&amp;Resortes_2[[#This Row],[Diametro]]&amp;" x "&amp;Resortes_2[[#This Row],[Largo]]&amp;" x "&amp;Resortes_2[[#This Row],[Vueltas]])</f>
        <v>1,75 x 12 x 175</v>
      </c>
      <c r="W103" s="229" t="s">
        <v>9017</v>
      </c>
      <c r="X103" s="230" t="str">
        <f>+Resortes_2[[#This Row],[MEDIDA]]&amp;Resortes_2[[#This Row],[TIPO]]</f>
        <v>1,75 x 12 x 175EXPANSIÓN</v>
      </c>
      <c r="Y103" s="13" t="s">
        <v>8353</v>
      </c>
      <c r="Z103" s="13"/>
      <c r="AA103" s="13"/>
      <c r="AB103" s="458" t="str">
        <f>+Resortes_2[[#This Row],[Alambre]]&amp;" x "&amp;Resortes_2[[#This Row],[Diametro]]&amp;" x "&amp;Resortes_2[[#This Row],[Largo]]</f>
        <v>1,75 x 12 x 175</v>
      </c>
      <c r="AC103" s="13">
        <f>+Resortes_2[[#This Row],[Vueltas]]</f>
        <v>0</v>
      </c>
      <c r="AD103" s="13"/>
      <c r="AE103" s="13"/>
      <c r="AF103" s="13"/>
      <c r="AG103" s="13"/>
      <c r="AL103">
        <v>276</v>
      </c>
      <c r="AM103" t="s">
        <v>9156</v>
      </c>
      <c r="AN103" s="1">
        <v>209.26151999999996</v>
      </c>
      <c r="AO103" s="2">
        <f t="shared" si="9"/>
        <v>115.09383599999998</v>
      </c>
    </row>
    <row r="104" spans="1:41" x14ac:dyDescent="0.2">
      <c r="A104" s="40">
        <v>45026</v>
      </c>
      <c r="B104" t="s">
        <v>9013</v>
      </c>
      <c r="C104" t="s">
        <v>1197</v>
      </c>
      <c r="E104">
        <v>4</v>
      </c>
      <c r="F104" s="4" t="s">
        <v>9021</v>
      </c>
      <c r="G104">
        <v>500</v>
      </c>
      <c r="O104" s="226">
        <v>1.75</v>
      </c>
      <c r="P104" s="13">
        <v>12</v>
      </c>
      <c r="Q104" s="13">
        <v>117</v>
      </c>
      <c r="R104" s="13"/>
      <c r="S104" s="227">
        <v>0.32</v>
      </c>
      <c r="T104" s="228">
        <f>+Resortes_2[[#This Row],[Precio USD]]*$AJ$1</f>
        <v>43.2</v>
      </c>
      <c r="U104" s="228"/>
      <c r="V104" s="13" t="str">
        <f>+IF(Resortes_2[[#This Row],[Vueltas]]="",Resortes_2[[#This Row],[Alambre]]&amp;" x "&amp;Resortes_2[[#This Row],[Diametro]]&amp;" x "&amp;Resortes_2[[#This Row],[Largo]],Resortes_2[[#This Row],[Alambre]]&amp;" x "&amp;Resortes_2[[#This Row],[Diametro]]&amp;" x "&amp;Resortes_2[[#This Row],[Largo]]&amp;" x "&amp;Resortes_2[[#This Row],[Vueltas]])</f>
        <v>1,75 x 12 x 117</v>
      </c>
      <c r="W104" s="229" t="s">
        <v>9017</v>
      </c>
      <c r="X104" s="230" t="str">
        <f>+Resortes_2[[#This Row],[MEDIDA]]&amp;Resortes_2[[#This Row],[TIPO]]</f>
        <v>1,75 x 12 x 117EXPANSIÓN</v>
      </c>
      <c r="Y104" s="13" t="s">
        <v>8353</v>
      </c>
      <c r="Z104" s="13"/>
      <c r="AA104" s="13"/>
      <c r="AB104" s="458" t="str">
        <f>+Resortes_2[[#This Row],[Alambre]]&amp;" x "&amp;Resortes_2[[#This Row],[Diametro]]&amp;" x "&amp;Resortes_2[[#This Row],[Largo]]</f>
        <v>1,75 x 12 x 117</v>
      </c>
      <c r="AC104" s="13">
        <f>+Resortes_2[[#This Row],[Vueltas]]</f>
        <v>0</v>
      </c>
      <c r="AD104" s="13"/>
      <c r="AE104" s="13"/>
      <c r="AF104" s="13"/>
      <c r="AG104" s="13"/>
      <c r="AL104">
        <v>277</v>
      </c>
      <c r="AM104" t="s">
        <v>9157</v>
      </c>
      <c r="AN104" s="1">
        <v>261.57690000000002</v>
      </c>
      <c r="AO104" s="2">
        <f t="shared" si="9"/>
        <v>143.86729500000001</v>
      </c>
    </row>
    <row r="105" spans="1:41" x14ac:dyDescent="0.2">
      <c r="A105" s="40">
        <v>45026</v>
      </c>
      <c r="B105" t="s">
        <v>9013</v>
      </c>
      <c r="C105" t="s">
        <v>1197</v>
      </c>
      <c r="E105">
        <v>2</v>
      </c>
      <c r="F105" s="4" t="s">
        <v>9019</v>
      </c>
      <c r="G105">
        <v>500</v>
      </c>
      <c r="O105" s="226">
        <v>1.75</v>
      </c>
      <c r="P105" s="13">
        <v>12</v>
      </c>
      <c r="Q105" s="13">
        <v>140</v>
      </c>
      <c r="R105" s="13"/>
      <c r="S105" s="227">
        <v>0.32</v>
      </c>
      <c r="T105" s="228">
        <f>+Resortes_2[[#This Row],[Precio USD]]*$AJ$1</f>
        <v>43.2</v>
      </c>
      <c r="U105" s="228"/>
      <c r="V105" s="13" t="str">
        <f>+IF(Resortes_2[[#This Row],[Vueltas]]="",Resortes_2[[#This Row],[Alambre]]&amp;" x "&amp;Resortes_2[[#This Row],[Diametro]]&amp;" x "&amp;Resortes_2[[#This Row],[Largo]],Resortes_2[[#This Row],[Alambre]]&amp;" x "&amp;Resortes_2[[#This Row],[Diametro]]&amp;" x "&amp;Resortes_2[[#This Row],[Largo]]&amp;" x "&amp;Resortes_2[[#This Row],[Vueltas]])</f>
        <v>1,75 x 12 x 140</v>
      </c>
      <c r="W105" s="229" t="s">
        <v>9017</v>
      </c>
      <c r="X105" s="230" t="str">
        <f>+Resortes_2[[#This Row],[MEDIDA]]&amp;Resortes_2[[#This Row],[TIPO]]</f>
        <v>1,75 x 12 x 140EXPANSIÓN</v>
      </c>
      <c r="Y105" s="13" t="s">
        <v>8353</v>
      </c>
      <c r="Z105" s="13"/>
      <c r="AA105" s="13"/>
      <c r="AB105" s="458" t="str">
        <f>+Resortes_2[[#This Row],[Alambre]]&amp;" x "&amp;Resortes_2[[#This Row],[Diametro]]&amp;" x "&amp;Resortes_2[[#This Row],[Largo]]</f>
        <v>1,75 x 12 x 140</v>
      </c>
      <c r="AC105" s="13">
        <f>+Resortes_2[[#This Row],[Vueltas]]</f>
        <v>0</v>
      </c>
      <c r="AD105" s="13"/>
      <c r="AE105" s="13"/>
      <c r="AF105" s="13"/>
      <c r="AG105" s="13"/>
      <c r="AL105">
        <v>278</v>
      </c>
      <c r="AM105" t="s">
        <v>9158</v>
      </c>
      <c r="AN105" s="1">
        <v>156.94613999999999</v>
      </c>
      <c r="AO105" s="2">
        <f t="shared" si="9"/>
        <v>86.320376999999993</v>
      </c>
    </row>
    <row r="106" spans="1:41" x14ac:dyDescent="0.2">
      <c r="A106" s="40">
        <v>45026</v>
      </c>
      <c r="B106" t="s">
        <v>9013</v>
      </c>
      <c r="C106" t="s">
        <v>2023</v>
      </c>
      <c r="E106">
        <v>805</v>
      </c>
      <c r="F106" s="4" t="s">
        <v>2030</v>
      </c>
      <c r="G106">
        <v>183</v>
      </c>
      <c r="O106" s="226">
        <v>1.75</v>
      </c>
      <c r="P106" s="13">
        <v>12</v>
      </c>
      <c r="Q106" s="13">
        <v>80</v>
      </c>
      <c r="R106" s="13"/>
      <c r="S106" s="227">
        <v>0.21</v>
      </c>
      <c r="T106" s="228">
        <f>+Resortes_2[[#This Row],[Precio USD]]*$AJ$1</f>
        <v>28.349999999999998</v>
      </c>
      <c r="U106" s="228"/>
      <c r="V106" s="13" t="str">
        <f>+IF(Resortes_2[[#This Row],[Vueltas]]="",Resortes_2[[#This Row],[Alambre]]&amp;" x "&amp;Resortes_2[[#This Row],[Diametro]]&amp;" x "&amp;Resortes_2[[#This Row],[Largo]],Resortes_2[[#This Row],[Alambre]]&amp;" x "&amp;Resortes_2[[#This Row],[Diametro]]&amp;" x "&amp;Resortes_2[[#This Row],[Largo]]&amp;" x "&amp;Resortes_2[[#This Row],[Vueltas]])</f>
        <v>1,75 x 12 x 80</v>
      </c>
      <c r="W106" s="229" t="s">
        <v>9017</v>
      </c>
      <c r="X106" s="230" t="str">
        <f>+Resortes_2[[#This Row],[MEDIDA]]&amp;Resortes_2[[#This Row],[TIPO]]</f>
        <v>1,75 x 12 x 80EXPANSIÓN</v>
      </c>
      <c r="Y106" s="13" t="s">
        <v>8353</v>
      </c>
      <c r="Z106" s="13"/>
      <c r="AA106" s="13"/>
      <c r="AB106" s="458" t="str">
        <f>+Resortes_2[[#This Row],[Alambre]]&amp;" x "&amp;Resortes_2[[#This Row],[Diametro]]&amp;" x "&amp;Resortes_2[[#This Row],[Largo]]</f>
        <v>1,75 x 12 x 80</v>
      </c>
      <c r="AC106" s="13">
        <f>+Resortes_2[[#This Row],[Vueltas]]</f>
        <v>0</v>
      </c>
      <c r="AD106" s="13"/>
      <c r="AE106" s="13"/>
      <c r="AF106" s="13"/>
      <c r="AG106" s="13"/>
      <c r="AL106">
        <v>279</v>
      </c>
      <c r="AM106" t="s">
        <v>9159</v>
      </c>
      <c r="AN106" s="1">
        <v>246.63404999999995</v>
      </c>
      <c r="AO106" s="2">
        <f t="shared" si="9"/>
        <v>135.64872749999998</v>
      </c>
    </row>
    <row r="107" spans="1:41" x14ac:dyDescent="0.2">
      <c r="A107" s="40">
        <v>45026</v>
      </c>
      <c r="B107" t="s">
        <v>9013</v>
      </c>
      <c r="C107" t="s">
        <v>2023</v>
      </c>
      <c r="E107">
        <v>803</v>
      </c>
      <c r="F107" s="4" t="s">
        <v>2028</v>
      </c>
      <c r="G107">
        <v>283</v>
      </c>
      <c r="O107" s="226">
        <v>1.75</v>
      </c>
      <c r="P107" s="13">
        <v>61</v>
      </c>
      <c r="Q107" s="13">
        <v>61</v>
      </c>
      <c r="R107" s="13"/>
      <c r="S107" s="227">
        <v>0.14000000000000001</v>
      </c>
      <c r="T107" s="228">
        <f>+Resortes_2[[#This Row],[Precio USD]]*$AJ$1</f>
        <v>18.900000000000002</v>
      </c>
      <c r="U107" s="228"/>
      <c r="V107" s="13" t="str">
        <f>+IF(Resortes_2[[#This Row],[Vueltas]]="",Resortes_2[[#This Row],[Alambre]]&amp;" x "&amp;Resortes_2[[#This Row],[Diametro]]&amp;" x "&amp;Resortes_2[[#This Row],[Largo]],Resortes_2[[#This Row],[Alambre]]&amp;" x "&amp;Resortes_2[[#This Row],[Diametro]]&amp;" x "&amp;Resortes_2[[#This Row],[Largo]]&amp;" x "&amp;Resortes_2[[#This Row],[Vueltas]])</f>
        <v>1,75 x 61 x 61</v>
      </c>
      <c r="W107" s="229" t="s">
        <v>9017</v>
      </c>
      <c r="X107" s="230" t="str">
        <f>+Resortes_2[[#This Row],[MEDIDA]]&amp;Resortes_2[[#This Row],[TIPO]]</f>
        <v>1,75 x 61 x 61EXPANSIÓN</v>
      </c>
      <c r="Y107" s="13" t="s">
        <v>8353</v>
      </c>
      <c r="Z107" s="13"/>
      <c r="AA107" s="13"/>
      <c r="AB107" s="458" t="str">
        <f>+Resortes_2[[#This Row],[Alambre]]&amp;" x "&amp;Resortes_2[[#This Row],[Diametro]]&amp;" x "&amp;Resortes_2[[#This Row],[Largo]]</f>
        <v>1,75 x 61 x 61</v>
      </c>
      <c r="AC107" s="13">
        <f>+Resortes_2[[#This Row],[Vueltas]]</f>
        <v>0</v>
      </c>
      <c r="AD107" s="13"/>
      <c r="AE107" s="13"/>
      <c r="AF107" s="13"/>
      <c r="AG107" s="13"/>
      <c r="AL107">
        <v>280</v>
      </c>
      <c r="AM107" t="s">
        <v>9160</v>
      </c>
      <c r="AN107" s="1">
        <v>343.77797999999996</v>
      </c>
      <c r="AO107" s="2">
        <f t="shared" si="9"/>
        <v>189.077889</v>
      </c>
    </row>
    <row r="108" spans="1:41" x14ac:dyDescent="0.2">
      <c r="A108" s="40">
        <v>45026</v>
      </c>
      <c r="B108" t="s">
        <v>9013</v>
      </c>
      <c r="C108" t="s">
        <v>2023</v>
      </c>
      <c r="E108">
        <v>807</v>
      </c>
      <c r="F108" s="4" t="s">
        <v>2032</v>
      </c>
      <c r="G108">
        <v>170</v>
      </c>
      <c r="O108" s="226">
        <v>1.85</v>
      </c>
      <c r="P108" s="13">
        <v>16</v>
      </c>
      <c r="Q108" s="13">
        <v>100</v>
      </c>
      <c r="R108" s="13">
        <v>16</v>
      </c>
      <c r="S108" s="227">
        <v>0.12</v>
      </c>
      <c r="T108" s="228">
        <f>+Resortes_2[[#This Row],[Precio USD]]*$AJ$1</f>
        <v>16.2</v>
      </c>
      <c r="U108" s="228"/>
      <c r="V108" s="13" t="str">
        <f>+IF(Resortes_2[[#This Row],[Vueltas]]="",Resortes_2[[#This Row],[Alambre]]&amp;" x "&amp;Resortes_2[[#This Row],[Diametro]]&amp;" x "&amp;Resortes_2[[#This Row],[Largo]],Resortes_2[[#This Row],[Alambre]]&amp;" x "&amp;Resortes_2[[#This Row],[Diametro]]&amp;" x "&amp;Resortes_2[[#This Row],[Largo]]&amp;" x "&amp;Resortes_2[[#This Row],[Vueltas]])</f>
        <v>1,85 x 16 x 100 x 16</v>
      </c>
      <c r="W108" s="229" t="s">
        <v>9045</v>
      </c>
      <c r="X108" s="230" t="str">
        <f>+Resortes_2[[#This Row],[MEDIDA]]&amp;Resortes_2[[#This Row],[TIPO]]</f>
        <v>1,85 x 16 x 100 x 16COMPRESIÓN</v>
      </c>
      <c r="Y108" s="13" t="s">
        <v>8353</v>
      </c>
      <c r="Z108" s="13"/>
      <c r="AA108" s="13"/>
      <c r="AB108" s="458" t="str">
        <f>+Resortes_2[[#This Row],[Alambre]]&amp;" x "&amp;Resortes_2[[#This Row],[Diametro]]&amp;" x "&amp;Resortes_2[[#This Row],[Largo]]</f>
        <v>1,85 x 16 x 100</v>
      </c>
      <c r="AC108" s="13">
        <f>+Resortes_2[[#This Row],[Vueltas]]</f>
        <v>16</v>
      </c>
      <c r="AD108" s="13"/>
      <c r="AE108" s="13"/>
      <c r="AF108" s="13"/>
      <c r="AG108" s="13"/>
      <c r="AL108">
        <v>281</v>
      </c>
      <c r="AM108" t="s">
        <v>9161</v>
      </c>
      <c r="AN108" s="1">
        <v>179.37581999999998</v>
      </c>
      <c r="AO108" s="2">
        <f t="shared" si="9"/>
        <v>98.656700999999998</v>
      </c>
    </row>
    <row r="109" spans="1:41" x14ac:dyDescent="0.2">
      <c r="A109" s="40">
        <v>45026</v>
      </c>
      <c r="B109" t="s">
        <v>9013</v>
      </c>
      <c r="C109" t="s">
        <v>9162</v>
      </c>
      <c r="E109" t="s">
        <v>9163</v>
      </c>
      <c r="F109" s="4" t="s">
        <v>4463</v>
      </c>
      <c r="G109">
        <v>4</v>
      </c>
      <c r="O109" s="226">
        <v>2</v>
      </c>
      <c r="P109" s="13">
        <v>16</v>
      </c>
      <c r="Q109" s="13">
        <v>50</v>
      </c>
      <c r="R109" s="13">
        <v>8</v>
      </c>
      <c r="S109" s="227">
        <v>0.12</v>
      </c>
      <c r="T109" s="228">
        <f>+Resortes_2[[#This Row],[Precio USD]]*$AJ$1</f>
        <v>16.2</v>
      </c>
      <c r="U109" s="228"/>
      <c r="V109" s="13" t="str">
        <f>+IF(Resortes_2[[#This Row],[Vueltas]]="",Resortes_2[[#This Row],[Alambre]]&amp;" x "&amp;Resortes_2[[#This Row],[Diametro]]&amp;" x "&amp;Resortes_2[[#This Row],[Largo]],Resortes_2[[#This Row],[Alambre]]&amp;" x "&amp;Resortes_2[[#This Row],[Diametro]]&amp;" x "&amp;Resortes_2[[#This Row],[Largo]]&amp;" x "&amp;Resortes_2[[#This Row],[Vueltas]])</f>
        <v>2 x 16 x 50 x 8</v>
      </c>
      <c r="W109" s="229" t="s">
        <v>9045</v>
      </c>
      <c r="X109" s="230" t="str">
        <f>+Resortes_2[[#This Row],[MEDIDA]]&amp;Resortes_2[[#This Row],[TIPO]]</f>
        <v>2 x 16 x 50 x 8COMPRESIÓN</v>
      </c>
      <c r="Y109" s="13" t="s">
        <v>8353</v>
      </c>
      <c r="Z109" s="13"/>
      <c r="AA109" s="13"/>
      <c r="AB109" s="458" t="str">
        <f>+Resortes_2[[#This Row],[Alambre]]&amp;" x "&amp;Resortes_2[[#This Row],[Diametro]]&amp;" x "&amp;Resortes_2[[#This Row],[Largo]]</f>
        <v>2 x 16 x 50</v>
      </c>
      <c r="AC109" s="13">
        <f>+Resortes_2[[#This Row],[Vueltas]]</f>
        <v>8</v>
      </c>
      <c r="AD109" s="13"/>
      <c r="AE109" s="13"/>
      <c r="AF109" s="13"/>
      <c r="AG109" s="13"/>
      <c r="AL109">
        <v>282</v>
      </c>
      <c r="AM109" t="s">
        <v>9164</v>
      </c>
      <c r="AN109" s="1">
        <v>216.74834999999996</v>
      </c>
      <c r="AO109" s="2">
        <f t="shared" si="9"/>
        <v>119.21159249999998</v>
      </c>
    </row>
    <row r="110" spans="1:41" x14ac:dyDescent="0.2">
      <c r="A110" s="40">
        <v>45029</v>
      </c>
      <c r="B110" t="s">
        <v>1198</v>
      </c>
      <c r="C110" t="s">
        <v>1602</v>
      </c>
      <c r="E110">
        <v>128</v>
      </c>
      <c r="F110" s="4" t="s">
        <v>9165</v>
      </c>
      <c r="G110">
        <v>400</v>
      </c>
      <c r="O110" s="226">
        <v>2</v>
      </c>
      <c r="P110" s="13">
        <v>12</v>
      </c>
      <c r="Q110" s="13">
        <v>175</v>
      </c>
      <c r="R110" s="13"/>
      <c r="S110" s="227">
        <v>0.4</v>
      </c>
      <c r="T110" s="228">
        <f>+Resortes_2[[#This Row],[Precio USD]]*$AJ$1</f>
        <v>54</v>
      </c>
      <c r="U110" s="228"/>
      <c r="V110" s="13" t="str">
        <f>+IF(Resortes_2[[#This Row],[Vueltas]]="",Resortes_2[[#This Row],[Alambre]]&amp;" x "&amp;Resortes_2[[#This Row],[Diametro]]&amp;" x "&amp;Resortes_2[[#This Row],[Largo]],Resortes_2[[#This Row],[Alambre]]&amp;" x "&amp;Resortes_2[[#This Row],[Diametro]]&amp;" x "&amp;Resortes_2[[#This Row],[Largo]]&amp;" x "&amp;Resortes_2[[#This Row],[Vueltas]])</f>
        <v>2 x 12 x 175</v>
      </c>
      <c r="W110" s="229" t="s">
        <v>9017</v>
      </c>
      <c r="X110" s="230" t="str">
        <f>+Resortes_2[[#This Row],[MEDIDA]]&amp;Resortes_2[[#This Row],[TIPO]]</f>
        <v>2 x 12 x 175EXPANSIÓN</v>
      </c>
      <c r="Y110" s="13" t="s">
        <v>8353</v>
      </c>
      <c r="Z110" s="13"/>
      <c r="AA110" s="13"/>
      <c r="AB110" s="458" t="str">
        <f>+Resortes_2[[#This Row],[Alambre]]&amp;" x "&amp;Resortes_2[[#This Row],[Diametro]]&amp;" x "&amp;Resortes_2[[#This Row],[Largo]]</f>
        <v>2 x 12 x 175</v>
      </c>
      <c r="AC110" s="13">
        <f>+Resortes_2[[#This Row],[Vueltas]]</f>
        <v>0</v>
      </c>
      <c r="AD110" s="13"/>
      <c r="AE110" s="13"/>
      <c r="AF110" s="13"/>
      <c r="AG110" s="13"/>
      <c r="AL110">
        <v>283</v>
      </c>
      <c r="AM110" t="s">
        <v>9166</v>
      </c>
      <c r="AN110" s="1">
        <v>168.16098</v>
      </c>
      <c r="AO110" s="2">
        <f t="shared" si="9"/>
        <v>92.488539000000003</v>
      </c>
    </row>
    <row r="111" spans="1:41" x14ac:dyDescent="0.2">
      <c r="A111" s="40">
        <v>45029</v>
      </c>
      <c r="B111" t="s">
        <v>1198</v>
      </c>
      <c r="C111" t="s">
        <v>1381</v>
      </c>
      <c r="E111">
        <v>370</v>
      </c>
      <c r="F111" s="4" t="s">
        <v>9167</v>
      </c>
      <c r="G111">
        <v>650</v>
      </c>
      <c r="O111" s="226">
        <v>2.5</v>
      </c>
      <c r="P111" s="13">
        <v>340</v>
      </c>
      <c r="Q111" s="13">
        <v>25</v>
      </c>
      <c r="R111" s="13">
        <v>3.5</v>
      </c>
      <c r="S111" s="227">
        <v>0.15</v>
      </c>
      <c r="T111" s="228">
        <f>+Resortes_2[[#This Row],[Precio USD]]*$AJ$1</f>
        <v>20.25</v>
      </c>
      <c r="U111" s="228"/>
      <c r="V111" s="13" t="str">
        <f>+IF(Resortes_2[[#This Row],[Vueltas]]="",Resortes_2[[#This Row],[Alambre]]&amp;" x "&amp;Resortes_2[[#This Row],[Diametro]]&amp;" x "&amp;Resortes_2[[#This Row],[Largo]],Resortes_2[[#This Row],[Alambre]]&amp;" x "&amp;Resortes_2[[#This Row],[Diametro]]&amp;" x "&amp;Resortes_2[[#This Row],[Largo]]&amp;" x "&amp;Resortes_2[[#This Row],[Vueltas]])</f>
        <v>2,5 x 340 x 25 x 3,5</v>
      </c>
      <c r="W111" s="229" t="s">
        <v>9045</v>
      </c>
      <c r="X111" s="230" t="str">
        <f>+Resortes_2[[#This Row],[MEDIDA]]&amp;Resortes_2[[#This Row],[TIPO]]</f>
        <v>2,5 x 340 x 25 x 3,5COMPRESIÓN</v>
      </c>
      <c r="Y111" s="13" t="s">
        <v>8353</v>
      </c>
      <c r="Z111" s="13"/>
      <c r="AA111" s="13"/>
      <c r="AB111" s="458" t="str">
        <f>+Resortes_2[[#This Row],[Alambre]]&amp;" x "&amp;Resortes_2[[#This Row],[Diametro]]&amp;" x "&amp;Resortes_2[[#This Row],[Largo]]</f>
        <v>2,5 x 340 x 25</v>
      </c>
      <c r="AC111" s="13">
        <f>+Resortes_2[[#This Row],[Vueltas]]</f>
        <v>3.5</v>
      </c>
      <c r="AD111" s="13"/>
      <c r="AE111" s="13"/>
      <c r="AF111" s="13"/>
      <c r="AG111" s="13"/>
      <c r="AL111">
        <v>284</v>
      </c>
      <c r="AM111" t="s">
        <v>9168</v>
      </c>
      <c r="AN111" s="1">
        <v>168.16098</v>
      </c>
      <c r="AO111" s="2">
        <f t="shared" si="9"/>
        <v>92.488539000000003</v>
      </c>
    </row>
    <row r="112" spans="1:41" x14ac:dyDescent="0.2">
      <c r="A112" s="40">
        <v>45029</v>
      </c>
      <c r="B112" t="s">
        <v>1198</v>
      </c>
      <c r="C112" t="s">
        <v>1197</v>
      </c>
      <c r="E112">
        <v>6</v>
      </c>
      <c r="F112" s="4" t="s">
        <v>9023</v>
      </c>
      <c r="G112">
        <v>500</v>
      </c>
      <c r="O112" s="226">
        <v>2.5</v>
      </c>
      <c r="P112" s="13">
        <v>35</v>
      </c>
      <c r="Q112" s="13">
        <v>80</v>
      </c>
      <c r="R112" s="13">
        <v>10</v>
      </c>
      <c r="S112" s="227">
        <v>0.16</v>
      </c>
      <c r="T112" s="228">
        <f>+Resortes_2[[#This Row],[Precio USD]]*$AJ$1</f>
        <v>21.6</v>
      </c>
      <c r="U112" s="228"/>
      <c r="V112" s="13" t="str">
        <f>+IF(Resortes_2[[#This Row],[Vueltas]]="",Resortes_2[[#This Row],[Alambre]]&amp;" x "&amp;Resortes_2[[#This Row],[Diametro]]&amp;" x "&amp;Resortes_2[[#This Row],[Largo]],Resortes_2[[#This Row],[Alambre]]&amp;" x "&amp;Resortes_2[[#This Row],[Diametro]]&amp;" x "&amp;Resortes_2[[#This Row],[Largo]]&amp;" x "&amp;Resortes_2[[#This Row],[Vueltas]])</f>
        <v>2,5 x 35 x 80 x 10</v>
      </c>
      <c r="W112" s="229" t="s">
        <v>9045</v>
      </c>
      <c r="X112" s="230" t="str">
        <f>+Resortes_2[[#This Row],[MEDIDA]]&amp;Resortes_2[[#This Row],[TIPO]]</f>
        <v>2,5 x 35 x 80 x 10COMPRESIÓN</v>
      </c>
      <c r="Y112" s="13" t="s">
        <v>8353</v>
      </c>
      <c r="Z112" s="13"/>
      <c r="AA112" s="13"/>
      <c r="AB112" s="458" t="str">
        <f>+Resortes_2[[#This Row],[Alambre]]&amp;" x "&amp;Resortes_2[[#This Row],[Diametro]]&amp;" x "&amp;Resortes_2[[#This Row],[Largo]]</f>
        <v>2,5 x 35 x 80</v>
      </c>
      <c r="AC112" s="13">
        <f>+Resortes_2[[#This Row],[Vueltas]]</f>
        <v>10</v>
      </c>
      <c r="AD112" s="13"/>
      <c r="AE112" s="13"/>
      <c r="AF112" s="13"/>
      <c r="AG112" s="13"/>
      <c r="AL112">
        <v>285</v>
      </c>
      <c r="AM112" t="s">
        <v>9169</v>
      </c>
      <c r="AN112" s="1">
        <v>269.06372999999996</v>
      </c>
      <c r="AO112" s="2">
        <f t="shared" si="9"/>
        <v>147.9850515</v>
      </c>
    </row>
    <row r="113" spans="1:41" x14ac:dyDescent="0.2">
      <c r="A113" s="40">
        <v>45029</v>
      </c>
      <c r="B113" t="s">
        <v>1198</v>
      </c>
      <c r="C113" t="s">
        <v>1197</v>
      </c>
      <c r="E113">
        <v>9</v>
      </c>
      <c r="F113" s="4" t="s">
        <v>9026</v>
      </c>
      <c r="G113">
        <v>500</v>
      </c>
      <c r="O113" s="226">
        <v>2.5</v>
      </c>
      <c r="P113" s="13">
        <v>25</v>
      </c>
      <c r="Q113" s="13">
        <v>50</v>
      </c>
      <c r="R113" s="13">
        <v>7</v>
      </c>
      <c r="S113" s="227">
        <v>0.15</v>
      </c>
      <c r="T113" s="228">
        <f>+Resortes_2[[#This Row],[Precio USD]]*$AJ$1</f>
        <v>20.25</v>
      </c>
      <c r="U113" s="228"/>
      <c r="V113" s="13" t="str">
        <f>+IF(Resortes_2[[#This Row],[Vueltas]]="",Resortes_2[[#This Row],[Alambre]]&amp;" x "&amp;Resortes_2[[#This Row],[Diametro]]&amp;" x "&amp;Resortes_2[[#This Row],[Largo]],Resortes_2[[#This Row],[Alambre]]&amp;" x "&amp;Resortes_2[[#This Row],[Diametro]]&amp;" x "&amp;Resortes_2[[#This Row],[Largo]]&amp;" x "&amp;Resortes_2[[#This Row],[Vueltas]])</f>
        <v>2,5 x 25 x 50 x 7</v>
      </c>
      <c r="W113" s="229" t="s">
        <v>9045</v>
      </c>
      <c r="X113" s="230" t="str">
        <f>+Resortes_2[[#This Row],[MEDIDA]]&amp;Resortes_2[[#This Row],[TIPO]]</f>
        <v>2,5 x 25 x 50 x 7COMPRESIÓN</v>
      </c>
      <c r="Y113" s="13" t="s">
        <v>8353</v>
      </c>
      <c r="Z113" s="13"/>
      <c r="AA113" s="13"/>
      <c r="AB113" s="458" t="str">
        <f>+Resortes_2[[#This Row],[Alambre]]&amp;" x "&amp;Resortes_2[[#This Row],[Diametro]]&amp;" x "&amp;Resortes_2[[#This Row],[Largo]]</f>
        <v>2,5 x 25 x 50</v>
      </c>
      <c r="AC113" s="13">
        <f>+Resortes_2[[#This Row],[Vueltas]]</f>
        <v>7</v>
      </c>
      <c r="AD113" s="13"/>
      <c r="AE113" s="13"/>
      <c r="AF113" s="13"/>
      <c r="AG113" s="13"/>
      <c r="AL113">
        <v>286</v>
      </c>
      <c r="AM113" t="s">
        <v>9170</v>
      </c>
      <c r="AN113" s="1">
        <v>168.16098</v>
      </c>
      <c r="AO113" s="2">
        <f t="shared" si="9"/>
        <v>92.488539000000003</v>
      </c>
    </row>
    <row r="114" spans="1:41" x14ac:dyDescent="0.2">
      <c r="A114" s="40">
        <v>45029</v>
      </c>
      <c r="B114" t="s">
        <v>1198</v>
      </c>
      <c r="C114" t="s">
        <v>1198</v>
      </c>
      <c r="E114" t="s">
        <v>9163</v>
      </c>
      <c r="F114" s="4" t="s">
        <v>9163</v>
      </c>
      <c r="G114">
        <v>3</v>
      </c>
      <c r="O114" s="226">
        <v>2.5</v>
      </c>
      <c r="P114" s="13">
        <v>34</v>
      </c>
      <c r="Q114" s="13">
        <v>50</v>
      </c>
      <c r="R114" s="13">
        <v>6</v>
      </c>
      <c r="S114" s="227">
        <v>0.21</v>
      </c>
      <c r="T114" s="228">
        <f>+Resortes_2[[#This Row],[Precio USD]]*$AJ$1</f>
        <v>28.349999999999998</v>
      </c>
      <c r="U114" s="228"/>
      <c r="V114" s="13" t="str">
        <f>+IF(Resortes_2[[#This Row],[Vueltas]]="",Resortes_2[[#This Row],[Alambre]]&amp;" x "&amp;Resortes_2[[#This Row],[Diametro]]&amp;" x "&amp;Resortes_2[[#This Row],[Largo]],Resortes_2[[#This Row],[Alambre]]&amp;" x "&amp;Resortes_2[[#This Row],[Diametro]]&amp;" x "&amp;Resortes_2[[#This Row],[Largo]]&amp;" x "&amp;Resortes_2[[#This Row],[Vueltas]])</f>
        <v>2,5 x 34 x 50 x 6</v>
      </c>
      <c r="W114" s="229" t="s">
        <v>9045</v>
      </c>
      <c r="X114" s="230" t="str">
        <f>+Resortes_2[[#This Row],[MEDIDA]]&amp;Resortes_2[[#This Row],[TIPO]]</f>
        <v>2,5 x 34 x 50 x 6COMPRESIÓN</v>
      </c>
      <c r="Y114" s="13" t="s">
        <v>8353</v>
      </c>
      <c r="Z114" s="13"/>
      <c r="AA114" s="13"/>
      <c r="AB114" s="458" t="str">
        <f>+Resortes_2[[#This Row],[Alambre]]&amp;" x "&amp;Resortes_2[[#This Row],[Diametro]]&amp;" x "&amp;Resortes_2[[#This Row],[Largo]]</f>
        <v>2,5 x 34 x 50</v>
      </c>
      <c r="AC114" s="13">
        <f>+Resortes_2[[#This Row],[Vueltas]]</f>
        <v>6</v>
      </c>
      <c r="AD114" s="13"/>
      <c r="AE114" s="13"/>
      <c r="AF114" s="13"/>
      <c r="AG114" s="13"/>
      <c r="AL114">
        <v>287</v>
      </c>
      <c r="AM114" t="s">
        <v>9171</v>
      </c>
      <c r="AN114" s="1">
        <v>257.84888999999998</v>
      </c>
      <c r="AO114" s="2">
        <f t="shared" si="9"/>
        <v>141.8168895</v>
      </c>
    </row>
    <row r="115" spans="1:41" x14ac:dyDescent="0.2">
      <c r="A115" s="40">
        <v>45033</v>
      </c>
      <c r="B115" t="s">
        <v>9013</v>
      </c>
      <c r="C115" t="s">
        <v>1602</v>
      </c>
      <c r="E115">
        <v>176</v>
      </c>
      <c r="F115" s="4" t="s">
        <v>9172</v>
      </c>
      <c r="G115">
        <v>95</v>
      </c>
      <c r="O115" s="226">
        <v>3.5</v>
      </c>
      <c r="P115" s="13">
        <v>40</v>
      </c>
      <c r="Q115" s="13">
        <v>40</v>
      </c>
      <c r="R115" s="13">
        <v>6</v>
      </c>
      <c r="S115" s="227">
        <v>0.32</v>
      </c>
      <c r="T115" s="228">
        <f>+Resortes_2[[#This Row],[Precio USD]]*$AJ$1</f>
        <v>43.2</v>
      </c>
      <c r="U115" s="228"/>
      <c r="V115" s="13" t="str">
        <f>+IF(Resortes_2[[#This Row],[Vueltas]]="",Resortes_2[[#This Row],[Alambre]]&amp;" x "&amp;Resortes_2[[#This Row],[Diametro]]&amp;" x "&amp;Resortes_2[[#This Row],[Largo]],Resortes_2[[#This Row],[Alambre]]&amp;" x "&amp;Resortes_2[[#This Row],[Diametro]]&amp;" x "&amp;Resortes_2[[#This Row],[Largo]]&amp;" x "&amp;Resortes_2[[#This Row],[Vueltas]])</f>
        <v>3,5 x 40 x 40 x 6</v>
      </c>
      <c r="W115" s="229" t="s">
        <v>9045</v>
      </c>
      <c r="X115" s="230" t="str">
        <f>+Resortes_2[[#This Row],[MEDIDA]]&amp;Resortes_2[[#This Row],[TIPO]]</f>
        <v>3,5 x 40 x 40 x 6COMPRESIÓN</v>
      </c>
      <c r="Y115" s="13" t="s">
        <v>8353</v>
      </c>
      <c r="Z115" s="13"/>
      <c r="AA115" s="13"/>
      <c r="AB115" s="458" t="str">
        <f>+Resortes_2[[#This Row],[Alambre]]&amp;" x "&amp;Resortes_2[[#This Row],[Diametro]]&amp;" x "&amp;Resortes_2[[#This Row],[Largo]]</f>
        <v>3,5 x 40 x 40</v>
      </c>
      <c r="AC115" s="13">
        <f>+Resortes_2[[#This Row],[Vueltas]]</f>
        <v>6</v>
      </c>
      <c r="AD115" s="13"/>
      <c r="AE115" s="13"/>
      <c r="AF115" s="13"/>
      <c r="AG115" s="13"/>
      <c r="AL115">
        <v>288</v>
      </c>
      <c r="AM115" t="s">
        <v>9173</v>
      </c>
      <c r="AN115" s="1">
        <v>205.53350999999998</v>
      </c>
      <c r="AO115" s="2">
        <f t="shared" si="9"/>
        <v>113.0434305</v>
      </c>
    </row>
    <row r="116" spans="1:41" x14ac:dyDescent="0.2">
      <c r="A116" s="40">
        <v>45033</v>
      </c>
      <c r="B116" t="s">
        <v>9013</v>
      </c>
      <c r="C116" t="s">
        <v>1381</v>
      </c>
      <c r="E116">
        <v>286</v>
      </c>
      <c r="F116" s="4" t="s">
        <v>9174</v>
      </c>
      <c r="G116">
        <v>500</v>
      </c>
      <c r="O116" s="226">
        <v>4</v>
      </c>
      <c r="P116" s="13">
        <v>30</v>
      </c>
      <c r="Q116" s="13">
        <v>60</v>
      </c>
      <c r="R116" s="13">
        <v>7</v>
      </c>
      <c r="S116" s="227">
        <v>0.35</v>
      </c>
      <c r="T116" s="228">
        <f>+Resortes_2[[#This Row],[Precio USD]]*$AJ$1</f>
        <v>47.25</v>
      </c>
      <c r="U116" s="228"/>
      <c r="V116" s="13" t="str">
        <f>+IF(Resortes_2[[#This Row],[Vueltas]]="",Resortes_2[[#This Row],[Alambre]]&amp;" x "&amp;Resortes_2[[#This Row],[Diametro]]&amp;" x "&amp;Resortes_2[[#This Row],[Largo]],Resortes_2[[#This Row],[Alambre]]&amp;" x "&amp;Resortes_2[[#This Row],[Diametro]]&amp;" x "&amp;Resortes_2[[#This Row],[Largo]]&amp;" x "&amp;Resortes_2[[#This Row],[Vueltas]])</f>
        <v>4 x 30 x 60 x 7</v>
      </c>
      <c r="W116" s="229" t="s">
        <v>9045</v>
      </c>
      <c r="X116" s="230" t="str">
        <f>+Resortes_2[[#This Row],[MEDIDA]]&amp;Resortes_2[[#This Row],[TIPO]]</f>
        <v>4 x 30 x 60 x 7COMPRESIÓN</v>
      </c>
      <c r="Y116" s="13" t="s">
        <v>8353</v>
      </c>
      <c r="Z116" s="13"/>
      <c r="AA116" s="13"/>
      <c r="AB116" s="458" t="str">
        <f>+Resortes_2[[#This Row],[Alambre]]&amp;" x "&amp;Resortes_2[[#This Row],[Diametro]]&amp;" x "&amp;Resortes_2[[#This Row],[Largo]]</f>
        <v>4 x 30 x 60</v>
      </c>
      <c r="AC116" s="13">
        <f>+Resortes_2[[#This Row],[Vueltas]]</f>
        <v>7</v>
      </c>
      <c r="AD116" s="13"/>
      <c r="AE116" s="13"/>
      <c r="AF116" s="13"/>
      <c r="AG116" s="13"/>
      <c r="AL116">
        <v>289</v>
      </c>
      <c r="AM116" t="s">
        <v>1422</v>
      </c>
      <c r="AN116" s="1">
        <v>358.72082999999998</v>
      </c>
      <c r="AO116" s="2">
        <f t="shared" si="9"/>
        <v>197.29645650000001</v>
      </c>
    </row>
    <row r="117" spans="1:41" x14ac:dyDescent="0.2">
      <c r="A117" s="40">
        <v>45049</v>
      </c>
      <c r="B117" t="s">
        <v>1198</v>
      </c>
      <c r="C117" t="s">
        <v>1197</v>
      </c>
      <c r="E117">
        <v>56</v>
      </c>
      <c r="F117" s="4" t="s">
        <v>9114</v>
      </c>
      <c r="G117">
        <v>1000</v>
      </c>
      <c r="O117" s="226">
        <v>0.8</v>
      </c>
      <c r="P117" s="13">
        <v>6</v>
      </c>
      <c r="Q117" s="13">
        <v>50</v>
      </c>
      <c r="R117" s="13"/>
      <c r="S117" s="227"/>
      <c r="T117" s="228">
        <f>+Resortes_2[[#This Row],[Precio USD]]*$AJ$1</f>
        <v>0</v>
      </c>
      <c r="U117" s="228">
        <v>9</v>
      </c>
      <c r="V117" s="13" t="str">
        <f>+IF(Resortes_2[[#This Row],[Vueltas]]="",Resortes_2[[#This Row],[Alambre]]&amp;" x "&amp;Resortes_2[[#This Row],[Diametro]]&amp;" x "&amp;Resortes_2[[#This Row],[Largo]],Resortes_2[[#This Row],[Alambre]]&amp;" x "&amp;Resortes_2[[#This Row],[Diametro]]&amp;" x "&amp;Resortes_2[[#This Row],[Largo]]&amp;" x "&amp;Resortes_2[[#This Row],[Vueltas]])</f>
        <v>0,8 x 6 x 50</v>
      </c>
      <c r="W117" s="229" t="s">
        <v>9017</v>
      </c>
      <c r="X117" s="230" t="str">
        <f>+Resortes_2[[#This Row],[MEDIDA]]&amp;Resortes_2[[#This Row],[TIPO]]</f>
        <v>0,8 x 6 x 50EXPANSIÓN</v>
      </c>
      <c r="Y117" s="13"/>
      <c r="Z117" s="13"/>
      <c r="AB117" s="458" t="str">
        <f>+Resortes_2[[#This Row],[Alambre]]&amp;" x "&amp;Resortes_2[[#This Row],[Diametro]]&amp;" x "&amp;Resortes_2[[#This Row],[Largo]]</f>
        <v>0,8 x 6 x 50</v>
      </c>
      <c r="AC117" s="13">
        <f>+Resortes_2[[#This Row],[Vueltas]]</f>
        <v>0</v>
      </c>
      <c r="AL117">
        <v>290</v>
      </c>
      <c r="AM117" t="s">
        <v>1424</v>
      </c>
      <c r="AN117" s="1">
        <v>108.35876999999999</v>
      </c>
      <c r="AO117" s="2">
        <f t="shared" si="9"/>
        <v>59.597323500000002</v>
      </c>
    </row>
    <row r="118" spans="1:41" x14ac:dyDescent="0.2">
      <c r="A118" s="40">
        <v>45049</v>
      </c>
      <c r="B118" t="s">
        <v>1198</v>
      </c>
      <c r="C118" t="s">
        <v>1381</v>
      </c>
      <c r="E118">
        <v>362</v>
      </c>
      <c r="F118" s="4" t="s">
        <v>9175</v>
      </c>
      <c r="G118">
        <v>1000</v>
      </c>
      <c r="O118" s="226">
        <v>0.8</v>
      </c>
      <c r="P118" s="13">
        <v>10</v>
      </c>
      <c r="Q118" s="13">
        <v>100</v>
      </c>
      <c r="R118" s="13"/>
      <c r="S118" s="227"/>
      <c r="T118" s="228">
        <f>+Resortes_2[[#This Row],[Precio USD]]*$AJ$1</f>
        <v>0</v>
      </c>
      <c r="U118" s="228">
        <v>33</v>
      </c>
      <c r="V118" s="13" t="str">
        <f>+IF(Resortes_2[[#This Row],[Vueltas]]="",Resortes_2[[#This Row],[Alambre]]&amp;" x "&amp;Resortes_2[[#This Row],[Diametro]]&amp;" x "&amp;Resortes_2[[#This Row],[Largo]],Resortes_2[[#This Row],[Alambre]]&amp;" x "&amp;Resortes_2[[#This Row],[Diametro]]&amp;" x "&amp;Resortes_2[[#This Row],[Largo]]&amp;" x "&amp;Resortes_2[[#This Row],[Vueltas]])</f>
        <v>0,8 x 10 x 100</v>
      </c>
      <c r="W118" s="229" t="s">
        <v>9017</v>
      </c>
      <c r="X118" s="230" t="str">
        <f>+Resortes_2[[#This Row],[MEDIDA]]&amp;Resortes_2[[#This Row],[TIPO]]</f>
        <v>0,8 x 10 x 100EXPANSIÓN</v>
      </c>
      <c r="Y118" s="13"/>
      <c r="Z118" s="13"/>
      <c r="AB118" s="458" t="str">
        <f>+Resortes_2[[#This Row],[Alambre]]&amp;" x "&amp;Resortes_2[[#This Row],[Diametro]]&amp;" x "&amp;Resortes_2[[#This Row],[Largo]]</f>
        <v>0,8 x 10 x 100</v>
      </c>
      <c r="AC118" s="13">
        <f>+Resortes_2[[#This Row],[Vueltas]]</f>
        <v>0</v>
      </c>
      <c r="AL118">
        <v>291</v>
      </c>
      <c r="AM118" t="s">
        <v>1426</v>
      </c>
      <c r="AN118" s="1">
        <v>67.658759999999987</v>
      </c>
      <c r="AO118" s="2">
        <f t="shared" si="9"/>
        <v>37.212317999999996</v>
      </c>
    </row>
    <row r="119" spans="1:41" x14ac:dyDescent="0.2">
      <c r="A119" s="40">
        <v>45049</v>
      </c>
      <c r="B119" t="s">
        <v>1198</v>
      </c>
      <c r="C119" t="s">
        <v>1197</v>
      </c>
      <c r="E119">
        <v>1</v>
      </c>
      <c r="F119" s="4" t="s">
        <v>9018</v>
      </c>
      <c r="G119">
        <v>700</v>
      </c>
      <c r="AL119">
        <v>292</v>
      </c>
      <c r="AM119" t="s">
        <v>1428</v>
      </c>
      <c r="AN119" s="1">
        <v>67.658759999999987</v>
      </c>
      <c r="AO119" s="2">
        <f t="shared" si="9"/>
        <v>37.212317999999996</v>
      </c>
    </row>
    <row r="120" spans="1:41" x14ac:dyDescent="0.2">
      <c r="A120" s="40">
        <v>45049</v>
      </c>
      <c r="B120" t="s">
        <v>1198</v>
      </c>
      <c r="C120" t="s">
        <v>1381</v>
      </c>
      <c r="E120">
        <v>368</v>
      </c>
      <c r="F120" s="4" t="s">
        <v>9176</v>
      </c>
      <c r="G120">
        <v>1000</v>
      </c>
      <c r="AL120">
        <v>293</v>
      </c>
      <c r="AM120" t="s">
        <v>1430</v>
      </c>
      <c r="AN120" s="1">
        <v>67.658759999999987</v>
      </c>
      <c r="AO120" s="2">
        <f t="shared" si="9"/>
        <v>37.212317999999996</v>
      </c>
    </row>
    <row r="121" spans="1:41" x14ac:dyDescent="0.2">
      <c r="A121" s="40">
        <v>45054</v>
      </c>
      <c r="B121" t="s">
        <v>9013</v>
      </c>
      <c r="C121" t="s">
        <v>1197</v>
      </c>
      <c r="E121">
        <v>66</v>
      </c>
      <c r="F121" s="4" t="s">
        <v>9126</v>
      </c>
      <c r="G121">
        <v>600</v>
      </c>
      <c r="AL121">
        <v>294</v>
      </c>
      <c r="AM121" t="s">
        <v>1432</v>
      </c>
      <c r="AN121" s="1">
        <v>67.658759999999987</v>
      </c>
      <c r="AO121" s="2">
        <f t="shared" si="9"/>
        <v>37.212317999999996</v>
      </c>
    </row>
    <row r="122" spans="1:41" x14ac:dyDescent="0.2">
      <c r="A122" s="40">
        <v>45054</v>
      </c>
      <c r="B122" t="s">
        <v>9013</v>
      </c>
      <c r="C122" t="s">
        <v>1197</v>
      </c>
      <c r="E122">
        <v>65</v>
      </c>
      <c r="F122" s="4" t="s">
        <v>9125</v>
      </c>
      <c r="G122">
        <v>500</v>
      </c>
      <c r="AL122">
        <v>295</v>
      </c>
      <c r="AM122" t="s">
        <v>1434</v>
      </c>
      <c r="AN122" s="1">
        <v>67.658759999999987</v>
      </c>
      <c r="AO122" s="2">
        <f t="shared" si="9"/>
        <v>37.212317999999996</v>
      </c>
    </row>
    <row r="123" spans="1:41" x14ac:dyDescent="0.2">
      <c r="A123" s="40">
        <v>45054</v>
      </c>
      <c r="B123" t="s">
        <v>9013</v>
      </c>
      <c r="C123" t="s">
        <v>1381</v>
      </c>
      <c r="E123">
        <v>276</v>
      </c>
      <c r="F123" s="4" t="s">
        <v>9156</v>
      </c>
      <c r="G123">
        <v>100</v>
      </c>
      <c r="AL123">
        <v>296</v>
      </c>
      <c r="AM123" t="s">
        <v>1436</v>
      </c>
      <c r="AN123" s="1">
        <v>108.35876999999999</v>
      </c>
      <c r="AO123" s="2">
        <f t="shared" si="9"/>
        <v>59.597323500000002</v>
      </c>
    </row>
    <row r="124" spans="1:41" x14ac:dyDescent="0.2">
      <c r="A124" s="40">
        <v>45090</v>
      </c>
      <c r="B124" t="s">
        <v>9128</v>
      </c>
      <c r="C124" t="s">
        <v>1381</v>
      </c>
      <c r="E124">
        <v>316</v>
      </c>
      <c r="F124" s="4" t="s">
        <v>9177</v>
      </c>
      <c r="G124">
        <v>5200</v>
      </c>
      <c r="AL124">
        <v>297</v>
      </c>
      <c r="AM124" t="s">
        <v>1438</v>
      </c>
      <c r="AN124" s="1">
        <v>164.43296999999998</v>
      </c>
      <c r="AO124" s="2">
        <f t="shared" si="9"/>
        <v>90.438133499999992</v>
      </c>
    </row>
    <row r="125" spans="1:41" x14ac:dyDescent="0.2">
      <c r="A125" s="40">
        <v>45090</v>
      </c>
      <c r="B125" t="s">
        <v>9128</v>
      </c>
      <c r="C125" t="s">
        <v>1602</v>
      </c>
      <c r="E125">
        <v>184</v>
      </c>
      <c r="F125" s="4" t="s">
        <v>9178</v>
      </c>
      <c r="G125">
        <v>153</v>
      </c>
      <c r="AL125">
        <v>298</v>
      </c>
      <c r="AM125" t="s">
        <v>1438</v>
      </c>
      <c r="AN125" s="1">
        <v>179.37581999999998</v>
      </c>
      <c r="AO125" s="2">
        <f t="shared" si="9"/>
        <v>98.656700999999998</v>
      </c>
    </row>
    <row r="126" spans="1:41" x14ac:dyDescent="0.2">
      <c r="A126" s="40">
        <v>45090</v>
      </c>
      <c r="B126" t="s">
        <v>9128</v>
      </c>
      <c r="C126" t="s">
        <v>1602</v>
      </c>
      <c r="E126">
        <v>184</v>
      </c>
      <c r="F126" s="4" t="s">
        <v>9178</v>
      </c>
      <c r="G126">
        <v>50</v>
      </c>
      <c r="AL126">
        <v>299</v>
      </c>
      <c r="AM126" t="s">
        <v>1441</v>
      </c>
      <c r="AN126" s="1">
        <v>156.94613999999999</v>
      </c>
      <c r="AO126" s="2">
        <f t="shared" si="9"/>
        <v>86.320376999999993</v>
      </c>
    </row>
    <row r="127" spans="1:41" x14ac:dyDescent="0.2">
      <c r="A127" s="40">
        <v>45090</v>
      </c>
      <c r="B127" t="s">
        <v>9128</v>
      </c>
      <c r="C127" t="s">
        <v>1381</v>
      </c>
      <c r="E127">
        <v>342</v>
      </c>
      <c r="F127" s="4" t="s">
        <v>9145</v>
      </c>
      <c r="G127">
        <v>5180</v>
      </c>
      <c r="AL127">
        <v>300</v>
      </c>
      <c r="AM127" t="s">
        <v>9179</v>
      </c>
      <c r="AN127" s="1">
        <v>67.658759999999987</v>
      </c>
      <c r="AO127" s="2">
        <f t="shared" si="9"/>
        <v>37.212317999999996</v>
      </c>
    </row>
    <row r="128" spans="1:41" x14ac:dyDescent="0.2">
      <c r="A128" s="40">
        <v>45090</v>
      </c>
      <c r="B128" t="s">
        <v>9128</v>
      </c>
      <c r="C128" t="s">
        <v>1602</v>
      </c>
      <c r="E128">
        <v>180</v>
      </c>
      <c r="F128" s="4" t="s">
        <v>9180</v>
      </c>
      <c r="G128">
        <v>154</v>
      </c>
      <c r="AL128">
        <v>302</v>
      </c>
      <c r="AM128" t="s">
        <v>9181</v>
      </c>
      <c r="AN128" s="1">
        <v>67.658759999999987</v>
      </c>
      <c r="AO128" s="2">
        <f t="shared" si="9"/>
        <v>37.212317999999996</v>
      </c>
    </row>
    <row r="129" spans="1:41" x14ac:dyDescent="0.2">
      <c r="A129" s="40">
        <v>45090</v>
      </c>
      <c r="B129" t="s">
        <v>9128</v>
      </c>
      <c r="C129" t="s">
        <v>1602</v>
      </c>
      <c r="E129">
        <v>180</v>
      </c>
      <c r="F129" s="4" t="s">
        <v>9180</v>
      </c>
      <c r="G129">
        <v>50</v>
      </c>
      <c r="AL129">
        <v>303</v>
      </c>
      <c r="AM129" t="s">
        <v>9182</v>
      </c>
      <c r="AN129" s="1">
        <v>67.658759999999987</v>
      </c>
      <c r="AO129" s="2">
        <f t="shared" si="9"/>
        <v>37.212317999999996</v>
      </c>
    </row>
    <row r="130" spans="1:41" x14ac:dyDescent="0.2">
      <c r="A130" s="40">
        <v>45090</v>
      </c>
      <c r="B130" t="s">
        <v>9128</v>
      </c>
      <c r="C130" t="s">
        <v>1381</v>
      </c>
      <c r="E130" t="s">
        <v>8140</v>
      </c>
      <c r="F130" s="4" t="s">
        <v>8140</v>
      </c>
      <c r="G130">
        <v>1</v>
      </c>
      <c r="AL130">
        <v>304</v>
      </c>
      <c r="AM130" t="s">
        <v>9183</v>
      </c>
      <c r="AN130" s="1">
        <v>67.658759999999987</v>
      </c>
      <c r="AO130" s="2">
        <f t="shared" si="9"/>
        <v>37.212317999999996</v>
      </c>
    </row>
    <row r="131" spans="1:41" x14ac:dyDescent="0.2">
      <c r="A131" s="40">
        <v>45103</v>
      </c>
      <c r="B131" t="s">
        <v>9013</v>
      </c>
      <c r="C131" t="s">
        <v>1197</v>
      </c>
      <c r="E131">
        <v>19</v>
      </c>
      <c r="F131" s="4" t="s">
        <v>9037</v>
      </c>
      <c r="G131">
        <v>405</v>
      </c>
      <c r="AL131">
        <v>305</v>
      </c>
      <c r="AM131" t="s">
        <v>9184</v>
      </c>
      <c r="AN131" s="1">
        <v>67.658759999999987</v>
      </c>
      <c r="AO131" s="2">
        <f t="shared" ref="AO131:AO194" si="10">+(1-$AO$1)*AN131</f>
        <v>37.212317999999996</v>
      </c>
    </row>
    <row r="132" spans="1:41" x14ac:dyDescent="0.2">
      <c r="A132" s="40">
        <v>45103</v>
      </c>
      <c r="B132" t="s">
        <v>9013</v>
      </c>
      <c r="C132" t="s">
        <v>1197</v>
      </c>
      <c r="E132">
        <v>72</v>
      </c>
      <c r="F132" s="4" t="s">
        <v>9132</v>
      </c>
      <c r="G132">
        <v>600</v>
      </c>
      <c r="AL132">
        <v>306</v>
      </c>
      <c r="AM132" t="s">
        <v>9185</v>
      </c>
      <c r="AN132" s="1">
        <v>67.658759999999987</v>
      </c>
      <c r="AO132" s="2">
        <f t="shared" si="10"/>
        <v>37.212317999999996</v>
      </c>
    </row>
    <row r="133" spans="1:41" x14ac:dyDescent="0.2">
      <c r="A133" s="40">
        <v>45166</v>
      </c>
      <c r="B133" t="s">
        <v>8114</v>
      </c>
      <c r="C133" t="s">
        <v>1197</v>
      </c>
      <c r="E133">
        <v>61</v>
      </c>
      <c r="F133" s="4" t="s">
        <v>9120</v>
      </c>
      <c r="G133">
        <v>1050</v>
      </c>
      <c r="AL133">
        <v>308</v>
      </c>
      <c r="AM133" t="s">
        <v>9186</v>
      </c>
      <c r="AN133" s="1">
        <v>67.658759999999987</v>
      </c>
      <c r="AO133" s="2">
        <f t="shared" si="10"/>
        <v>37.212317999999996</v>
      </c>
    </row>
    <row r="134" spans="1:41" x14ac:dyDescent="0.2">
      <c r="A134" s="40">
        <v>45166</v>
      </c>
      <c r="B134" t="s">
        <v>8114</v>
      </c>
      <c r="C134" t="s">
        <v>1197</v>
      </c>
      <c r="E134">
        <v>60</v>
      </c>
      <c r="F134" s="4" t="s">
        <v>9119</v>
      </c>
      <c r="G134">
        <v>1050</v>
      </c>
      <c r="AL134">
        <v>309</v>
      </c>
      <c r="AM134" t="s">
        <v>9187</v>
      </c>
      <c r="AN134" s="1">
        <v>77.764439999999993</v>
      </c>
      <c r="AO134" s="2">
        <f t="shared" si="10"/>
        <v>42.770442000000003</v>
      </c>
    </row>
    <row r="135" spans="1:41" x14ac:dyDescent="0.2">
      <c r="A135" s="40">
        <v>45166</v>
      </c>
      <c r="B135" t="s">
        <v>8114</v>
      </c>
      <c r="C135" t="s">
        <v>1197</v>
      </c>
      <c r="E135">
        <v>59</v>
      </c>
      <c r="F135" s="4" t="s">
        <v>9118</v>
      </c>
      <c r="G135">
        <v>1050</v>
      </c>
      <c r="AL135">
        <v>310</v>
      </c>
      <c r="AM135" t="s">
        <v>9188</v>
      </c>
      <c r="AN135" s="1">
        <v>67.658759999999987</v>
      </c>
      <c r="AO135" s="2">
        <f t="shared" si="10"/>
        <v>37.212317999999996</v>
      </c>
    </row>
    <row r="136" spans="1:41" x14ac:dyDescent="0.2">
      <c r="A136" s="40">
        <v>45166</v>
      </c>
      <c r="B136" t="s">
        <v>8114</v>
      </c>
      <c r="C136" t="s">
        <v>1197</v>
      </c>
      <c r="E136">
        <v>47</v>
      </c>
      <c r="F136" s="4" t="s">
        <v>9099</v>
      </c>
      <c r="G136">
        <v>1050</v>
      </c>
      <c r="AL136">
        <v>312</v>
      </c>
      <c r="AM136" t="s">
        <v>9189</v>
      </c>
      <c r="AN136" s="1">
        <v>67.658759999999987</v>
      </c>
      <c r="AO136" s="2">
        <f t="shared" si="10"/>
        <v>37.212317999999996</v>
      </c>
    </row>
    <row r="137" spans="1:41" x14ac:dyDescent="0.2">
      <c r="A137" s="40">
        <v>45166</v>
      </c>
      <c r="B137" t="s">
        <v>8114</v>
      </c>
      <c r="C137" t="s">
        <v>1197</v>
      </c>
      <c r="E137">
        <v>28</v>
      </c>
      <c r="F137" s="4" t="s">
        <v>9190</v>
      </c>
      <c r="G137">
        <v>1100</v>
      </c>
      <c r="AL137">
        <v>313</v>
      </c>
      <c r="AM137" t="s">
        <v>9191</v>
      </c>
      <c r="AN137" s="1">
        <v>67.658759999999987</v>
      </c>
      <c r="AO137" s="2">
        <f t="shared" si="10"/>
        <v>37.212317999999996</v>
      </c>
    </row>
    <row r="138" spans="1:41" x14ac:dyDescent="0.2">
      <c r="A138" s="40">
        <v>45166</v>
      </c>
      <c r="B138" t="s">
        <v>8114</v>
      </c>
      <c r="C138" t="s">
        <v>1197</v>
      </c>
      <c r="E138">
        <v>21</v>
      </c>
      <c r="F138" s="4" t="s">
        <v>9040</v>
      </c>
      <c r="G138">
        <v>536</v>
      </c>
      <c r="AL138">
        <v>316</v>
      </c>
      <c r="AM138" t="s">
        <v>9177</v>
      </c>
      <c r="AN138" s="1">
        <v>67.658759999999987</v>
      </c>
      <c r="AO138" s="2">
        <f t="shared" si="10"/>
        <v>37.212317999999996</v>
      </c>
    </row>
    <row r="139" spans="1:41" x14ac:dyDescent="0.2">
      <c r="A139" s="40">
        <v>45175</v>
      </c>
      <c r="B139" t="s">
        <v>1198</v>
      </c>
      <c r="C139" t="s">
        <v>1197</v>
      </c>
      <c r="E139">
        <v>71</v>
      </c>
      <c r="F139" s="4" t="s">
        <v>9131</v>
      </c>
      <c r="G139">
        <v>600</v>
      </c>
      <c r="AL139">
        <v>317</v>
      </c>
      <c r="AM139" t="s">
        <v>9192</v>
      </c>
      <c r="AN139" s="1">
        <v>87.192300000000003</v>
      </c>
      <c r="AO139" s="2">
        <f t="shared" si="10"/>
        <v>47.955765000000007</v>
      </c>
    </row>
    <row r="140" spans="1:41" x14ac:dyDescent="0.2">
      <c r="A140" s="40">
        <v>45175</v>
      </c>
      <c r="B140" t="s">
        <v>1198</v>
      </c>
      <c r="C140" t="s">
        <v>1197</v>
      </c>
      <c r="E140">
        <v>75</v>
      </c>
      <c r="F140" s="4" t="s">
        <v>9135</v>
      </c>
      <c r="G140">
        <v>400</v>
      </c>
      <c r="AL140">
        <v>318</v>
      </c>
      <c r="AM140" t="s">
        <v>9193</v>
      </c>
      <c r="AN140" s="1">
        <v>67.658759999999987</v>
      </c>
      <c r="AO140" s="2">
        <f t="shared" si="10"/>
        <v>37.212317999999996</v>
      </c>
    </row>
    <row r="141" spans="1:41" x14ac:dyDescent="0.2">
      <c r="A141" s="40">
        <v>45203</v>
      </c>
      <c r="B141" t="s">
        <v>1198</v>
      </c>
      <c r="C141" t="s">
        <v>1197</v>
      </c>
      <c r="E141">
        <v>86</v>
      </c>
      <c r="F141" s="4" t="s">
        <v>9075</v>
      </c>
      <c r="G141">
        <v>100</v>
      </c>
      <c r="AL141">
        <v>320</v>
      </c>
      <c r="AM141" t="s">
        <v>9194</v>
      </c>
      <c r="AN141" s="1">
        <v>67.658759999999987</v>
      </c>
      <c r="AO141" s="2">
        <f t="shared" si="10"/>
        <v>37.212317999999996</v>
      </c>
    </row>
    <row r="142" spans="1:41" x14ac:dyDescent="0.2">
      <c r="A142" s="40">
        <v>45203</v>
      </c>
      <c r="B142" t="s">
        <v>1198</v>
      </c>
      <c r="C142" t="s">
        <v>1197</v>
      </c>
      <c r="E142" t="s">
        <v>9195</v>
      </c>
      <c r="F142" s="4" t="s">
        <v>4463</v>
      </c>
      <c r="G142">
        <v>1</v>
      </c>
      <c r="AL142">
        <v>322</v>
      </c>
      <c r="AM142" t="s">
        <v>9196</v>
      </c>
      <c r="AN142" s="1">
        <v>67.658759999999987</v>
      </c>
      <c r="AO142" s="2">
        <f t="shared" si="10"/>
        <v>37.212317999999996</v>
      </c>
    </row>
    <row r="143" spans="1:41" x14ac:dyDescent="0.2">
      <c r="A143" s="40">
        <v>45219</v>
      </c>
      <c r="B143" t="s">
        <v>1198</v>
      </c>
      <c r="C143" t="s">
        <v>1197</v>
      </c>
      <c r="E143">
        <v>81</v>
      </c>
      <c r="F143" s="4" t="s">
        <v>9197</v>
      </c>
      <c r="G143">
        <v>150</v>
      </c>
      <c r="AL143">
        <v>324</v>
      </c>
      <c r="AM143" t="s">
        <v>9198</v>
      </c>
      <c r="AN143" s="1">
        <v>67.658759999999987</v>
      </c>
      <c r="AO143" s="2">
        <f t="shared" si="10"/>
        <v>37.212317999999996</v>
      </c>
    </row>
    <row r="144" spans="1:41" x14ac:dyDescent="0.2">
      <c r="A144" s="40">
        <v>45219</v>
      </c>
      <c r="B144" t="s">
        <v>1198</v>
      </c>
      <c r="C144" t="s">
        <v>1197</v>
      </c>
      <c r="E144">
        <v>86</v>
      </c>
      <c r="F144" s="4" t="s">
        <v>9199</v>
      </c>
      <c r="G144">
        <v>150</v>
      </c>
      <c r="AL144">
        <v>326</v>
      </c>
      <c r="AM144" t="s">
        <v>9200</v>
      </c>
      <c r="AN144" s="1">
        <v>67.658759999999987</v>
      </c>
      <c r="AO144" s="2">
        <f t="shared" si="10"/>
        <v>37.212317999999996</v>
      </c>
    </row>
    <row r="145" spans="1:41" x14ac:dyDescent="0.2">
      <c r="A145" s="40">
        <v>45219</v>
      </c>
      <c r="B145" t="s">
        <v>1198</v>
      </c>
      <c r="C145" t="s">
        <v>1197</v>
      </c>
      <c r="E145">
        <v>34</v>
      </c>
      <c r="F145" s="4" t="s">
        <v>9201</v>
      </c>
      <c r="G145">
        <v>550</v>
      </c>
      <c r="AL145">
        <v>327</v>
      </c>
      <c r="AM145" t="s">
        <v>9202</v>
      </c>
      <c r="AN145" s="1">
        <v>76.347179999999994</v>
      </c>
      <c r="AO145" s="2">
        <f t="shared" si="10"/>
        <v>41.990949000000001</v>
      </c>
    </row>
    <row r="146" spans="1:41" x14ac:dyDescent="0.2">
      <c r="A146" s="40">
        <v>45230</v>
      </c>
      <c r="B146" t="s">
        <v>9013</v>
      </c>
      <c r="C146" t="s">
        <v>1197</v>
      </c>
      <c r="E146">
        <v>25</v>
      </c>
      <c r="F146" s="4" t="s">
        <v>9203</v>
      </c>
      <c r="G146">
        <v>320</v>
      </c>
      <c r="AL146">
        <v>328</v>
      </c>
      <c r="AM146" t="s">
        <v>9204</v>
      </c>
      <c r="AN146" s="1">
        <v>67.658759999999987</v>
      </c>
      <c r="AO146" s="2">
        <f t="shared" si="10"/>
        <v>37.212317999999996</v>
      </c>
    </row>
    <row r="147" spans="1:41" x14ac:dyDescent="0.2">
      <c r="A147" s="40">
        <v>45230</v>
      </c>
      <c r="B147" t="s">
        <v>9013</v>
      </c>
      <c r="C147" t="s">
        <v>1197</v>
      </c>
      <c r="E147">
        <v>2</v>
      </c>
      <c r="F147" s="4" t="s">
        <v>9205</v>
      </c>
      <c r="G147">
        <v>900</v>
      </c>
      <c r="AL147">
        <v>330</v>
      </c>
      <c r="AM147" t="s">
        <v>9206</v>
      </c>
      <c r="AN147" s="1">
        <v>67.658759999999987</v>
      </c>
      <c r="AO147" s="2">
        <f t="shared" si="10"/>
        <v>37.212317999999996</v>
      </c>
    </row>
    <row r="148" spans="1:41" x14ac:dyDescent="0.2">
      <c r="A148" s="40">
        <v>45252</v>
      </c>
      <c r="B148" t="s">
        <v>1198</v>
      </c>
      <c r="C148" t="s">
        <v>1197</v>
      </c>
      <c r="E148">
        <v>27</v>
      </c>
      <c r="F148" s="4" t="s">
        <v>9207</v>
      </c>
      <c r="G148">
        <v>500</v>
      </c>
      <c r="AL148">
        <v>332</v>
      </c>
      <c r="AM148" t="s">
        <v>9208</v>
      </c>
      <c r="AN148" s="1">
        <v>67.658759999999987</v>
      </c>
      <c r="AO148" s="2">
        <f t="shared" si="10"/>
        <v>37.212317999999996</v>
      </c>
    </row>
    <row r="149" spans="1:41" x14ac:dyDescent="0.2">
      <c r="A149" s="40">
        <v>45261</v>
      </c>
      <c r="B149" t="s">
        <v>1198</v>
      </c>
      <c r="C149" t="s">
        <v>1197</v>
      </c>
      <c r="E149">
        <v>37</v>
      </c>
      <c r="F149" s="4" t="s">
        <v>9089</v>
      </c>
      <c r="G149">
        <v>500</v>
      </c>
      <c r="AL149">
        <v>334</v>
      </c>
      <c r="AM149" t="s">
        <v>9209</v>
      </c>
      <c r="AN149" s="1">
        <v>67.658759999999987</v>
      </c>
      <c r="AO149" s="2">
        <f t="shared" si="10"/>
        <v>37.212317999999996</v>
      </c>
    </row>
    <row r="150" spans="1:41" x14ac:dyDescent="0.2">
      <c r="A150" s="40">
        <v>45261</v>
      </c>
      <c r="B150" t="s">
        <v>1198</v>
      </c>
      <c r="C150" t="s">
        <v>1197</v>
      </c>
      <c r="E150">
        <v>80</v>
      </c>
      <c r="F150" s="4" t="s">
        <v>9210</v>
      </c>
      <c r="G150">
        <v>50</v>
      </c>
      <c r="AL150">
        <v>336</v>
      </c>
      <c r="AM150" t="s">
        <v>9211</v>
      </c>
      <c r="AN150" s="1">
        <v>67.658759999999987</v>
      </c>
      <c r="AO150" s="2">
        <f t="shared" si="10"/>
        <v>37.212317999999996</v>
      </c>
    </row>
    <row r="151" spans="1:41" x14ac:dyDescent="0.2">
      <c r="A151" s="40">
        <v>45261</v>
      </c>
      <c r="B151" t="s">
        <v>9212</v>
      </c>
      <c r="C151" t="s">
        <v>1198</v>
      </c>
      <c r="E151" t="s">
        <v>8140</v>
      </c>
      <c r="F151" s="4" t="s">
        <v>4463</v>
      </c>
      <c r="G151">
        <v>1</v>
      </c>
      <c r="AL151">
        <v>338</v>
      </c>
      <c r="AM151" t="s">
        <v>9213</v>
      </c>
      <c r="AN151" s="1">
        <v>67.658759999999987</v>
      </c>
      <c r="AO151" s="2">
        <f t="shared" si="10"/>
        <v>37.212317999999996</v>
      </c>
    </row>
    <row r="152" spans="1:41" x14ac:dyDescent="0.2">
      <c r="A152" s="40">
        <v>45280</v>
      </c>
      <c r="B152" t="s">
        <v>1198</v>
      </c>
      <c r="C152" t="s">
        <v>1197</v>
      </c>
      <c r="E152">
        <v>84</v>
      </c>
      <c r="F152" s="4" t="s">
        <v>9214</v>
      </c>
      <c r="G152">
        <v>150</v>
      </c>
      <c r="AL152">
        <v>340</v>
      </c>
      <c r="AM152" t="s">
        <v>9215</v>
      </c>
      <c r="AN152" s="1">
        <v>97.975799999999992</v>
      </c>
      <c r="AO152" s="2">
        <f t="shared" si="10"/>
        <v>53.886690000000002</v>
      </c>
    </row>
    <row r="153" spans="1:41" x14ac:dyDescent="0.2">
      <c r="A153" s="40">
        <v>45280</v>
      </c>
      <c r="B153" t="s">
        <v>1198</v>
      </c>
      <c r="C153" t="s">
        <v>1197</v>
      </c>
      <c r="E153">
        <v>82</v>
      </c>
      <c r="F153" s="4" t="s">
        <v>9216</v>
      </c>
      <c r="G153">
        <v>70</v>
      </c>
      <c r="AL153">
        <v>341</v>
      </c>
      <c r="AM153" t="s">
        <v>9217</v>
      </c>
      <c r="AN153" s="1">
        <v>77.764439999999993</v>
      </c>
      <c r="AO153" s="2">
        <f t="shared" si="10"/>
        <v>42.770442000000003</v>
      </c>
    </row>
    <row r="154" spans="1:41" x14ac:dyDescent="0.2">
      <c r="A154" s="40">
        <v>45316</v>
      </c>
      <c r="B154" t="s">
        <v>1198</v>
      </c>
      <c r="C154" t="s">
        <v>1197</v>
      </c>
      <c r="E154">
        <v>9</v>
      </c>
      <c r="F154" s="4" t="s">
        <v>9218</v>
      </c>
      <c r="G154">
        <v>550</v>
      </c>
      <c r="AL154">
        <v>342</v>
      </c>
      <c r="AM154" t="s">
        <v>9145</v>
      </c>
      <c r="AN154" s="1">
        <v>77.764439999999993</v>
      </c>
      <c r="AO154" s="2">
        <f t="shared" si="10"/>
        <v>42.770442000000003</v>
      </c>
    </row>
    <row r="155" spans="1:41" x14ac:dyDescent="0.2">
      <c r="A155" s="40">
        <v>45316</v>
      </c>
      <c r="B155" t="s">
        <v>1198</v>
      </c>
      <c r="C155" t="s">
        <v>1197</v>
      </c>
      <c r="E155">
        <v>17</v>
      </c>
      <c r="F155" s="4" t="s">
        <v>9219</v>
      </c>
      <c r="G155">
        <v>314</v>
      </c>
      <c r="AL155">
        <v>343</v>
      </c>
      <c r="AM155" t="s">
        <v>9220</v>
      </c>
      <c r="AN155" s="1">
        <v>85.836659999999995</v>
      </c>
      <c r="AO155" s="2">
        <f t="shared" si="10"/>
        <v>47.210163000000001</v>
      </c>
    </row>
    <row r="156" spans="1:41" x14ac:dyDescent="0.2">
      <c r="A156" s="40">
        <v>45316</v>
      </c>
      <c r="B156" t="s">
        <v>1198</v>
      </c>
      <c r="C156" t="s">
        <v>1197</v>
      </c>
      <c r="E156">
        <v>45</v>
      </c>
      <c r="F156" s="4" t="s">
        <v>9096</v>
      </c>
      <c r="G156">
        <v>1040</v>
      </c>
      <c r="AL156">
        <v>344</v>
      </c>
      <c r="AM156" t="s">
        <v>9221</v>
      </c>
      <c r="AN156" s="1">
        <v>67.658759999999987</v>
      </c>
      <c r="AO156" s="2">
        <f t="shared" si="10"/>
        <v>37.212317999999996</v>
      </c>
    </row>
    <row r="157" spans="1:41" x14ac:dyDescent="0.2">
      <c r="A157" s="40">
        <v>45316</v>
      </c>
      <c r="B157" t="s">
        <v>1198</v>
      </c>
      <c r="C157" t="s">
        <v>1197</v>
      </c>
      <c r="E157">
        <v>69</v>
      </c>
      <c r="F157" s="4" t="s">
        <v>9129</v>
      </c>
      <c r="G157">
        <v>518</v>
      </c>
      <c r="AL157">
        <v>346</v>
      </c>
      <c r="AM157" t="s">
        <v>9222</v>
      </c>
      <c r="AN157" s="1">
        <v>67.658759999999987</v>
      </c>
      <c r="AO157" s="2">
        <f t="shared" si="10"/>
        <v>37.212317999999996</v>
      </c>
    </row>
    <row r="158" spans="1:41" x14ac:dyDescent="0.2">
      <c r="A158" s="40">
        <v>45316</v>
      </c>
      <c r="B158" t="s">
        <v>1198</v>
      </c>
      <c r="C158" t="s">
        <v>1197</v>
      </c>
      <c r="E158" t="s">
        <v>8140</v>
      </c>
      <c r="F158" s="4" t="s">
        <v>4463</v>
      </c>
      <c r="G158">
        <v>1</v>
      </c>
      <c r="AL158">
        <v>348</v>
      </c>
      <c r="AM158" t="s">
        <v>9223</v>
      </c>
      <c r="AN158" s="1">
        <v>67.658759999999987</v>
      </c>
      <c r="AO158" s="2">
        <f t="shared" si="10"/>
        <v>37.212317999999996</v>
      </c>
    </row>
    <row r="159" spans="1:41" x14ac:dyDescent="0.2">
      <c r="A159" s="40">
        <v>45344</v>
      </c>
      <c r="B159" t="s">
        <v>1198</v>
      </c>
      <c r="C159" t="s">
        <v>1197</v>
      </c>
      <c r="E159">
        <v>82</v>
      </c>
      <c r="F159" s="4" t="s">
        <v>9216</v>
      </c>
      <c r="G159">
        <v>10</v>
      </c>
      <c r="AL159">
        <v>349</v>
      </c>
      <c r="AM159" t="s">
        <v>9224</v>
      </c>
      <c r="AN159" s="1">
        <v>97.975799999999992</v>
      </c>
      <c r="AO159" s="2">
        <f t="shared" si="10"/>
        <v>53.886690000000002</v>
      </c>
    </row>
    <row r="160" spans="1:41" x14ac:dyDescent="0.2">
      <c r="A160" s="40">
        <v>45344</v>
      </c>
      <c r="B160" t="s">
        <v>1198</v>
      </c>
      <c r="C160" t="s">
        <v>1197</v>
      </c>
      <c r="E160">
        <v>86</v>
      </c>
      <c r="F160" s="4" t="s">
        <v>9199</v>
      </c>
      <c r="G160">
        <v>5</v>
      </c>
      <c r="AL160">
        <v>350</v>
      </c>
      <c r="AM160" t="s">
        <v>9225</v>
      </c>
      <c r="AN160" s="1">
        <v>97.975799999999992</v>
      </c>
      <c r="AO160" s="2">
        <f t="shared" si="10"/>
        <v>53.886690000000002</v>
      </c>
    </row>
    <row r="161" spans="1:41" x14ac:dyDescent="0.2">
      <c r="A161" s="40">
        <v>45351</v>
      </c>
      <c r="B161" t="s">
        <v>1198</v>
      </c>
      <c r="C161" t="s">
        <v>1197</v>
      </c>
      <c r="E161">
        <v>82</v>
      </c>
      <c r="F161" s="4" t="s">
        <v>9216</v>
      </c>
      <c r="G161">
        <v>300</v>
      </c>
      <c r="AL161">
        <v>352</v>
      </c>
      <c r="AM161" t="s">
        <v>9226</v>
      </c>
      <c r="AN161" s="1">
        <v>87.87012</v>
      </c>
      <c r="AO161" s="2">
        <f t="shared" si="10"/>
        <v>48.328566000000002</v>
      </c>
    </row>
    <row r="162" spans="1:41" x14ac:dyDescent="0.2">
      <c r="A162" s="40">
        <v>45351</v>
      </c>
      <c r="B162" t="s">
        <v>1198</v>
      </c>
      <c r="C162" t="s">
        <v>1197</v>
      </c>
      <c r="E162">
        <v>86</v>
      </c>
      <c r="F162" s="4" t="s">
        <v>9199</v>
      </c>
      <c r="G162">
        <v>300</v>
      </c>
      <c r="AL162">
        <v>353</v>
      </c>
      <c r="AM162" t="s">
        <v>9226</v>
      </c>
      <c r="AN162" s="1">
        <v>87.87012</v>
      </c>
      <c r="AO162" s="2">
        <f t="shared" si="10"/>
        <v>48.328566000000002</v>
      </c>
    </row>
    <row r="163" spans="1:41" x14ac:dyDescent="0.2">
      <c r="A163" s="40">
        <v>45370</v>
      </c>
      <c r="B163" t="s">
        <v>8114</v>
      </c>
      <c r="C163" t="s">
        <v>1197</v>
      </c>
      <c r="E163">
        <v>26</v>
      </c>
      <c r="F163" s="4" t="s">
        <v>9227</v>
      </c>
      <c r="G163">
        <v>510</v>
      </c>
      <c r="AL163">
        <v>354</v>
      </c>
      <c r="AM163" t="s">
        <v>9228</v>
      </c>
      <c r="AN163" s="1">
        <v>87.87012</v>
      </c>
      <c r="AO163" s="2">
        <f t="shared" si="10"/>
        <v>48.328566000000002</v>
      </c>
    </row>
    <row r="164" spans="1:41" x14ac:dyDescent="0.2">
      <c r="A164" s="40">
        <v>45376</v>
      </c>
      <c r="B164" t="s">
        <v>9229</v>
      </c>
      <c r="C164" t="s">
        <v>1685</v>
      </c>
      <c r="E164">
        <v>2101</v>
      </c>
      <c r="F164" s="4" t="s">
        <v>1691</v>
      </c>
      <c r="G164">
        <v>25</v>
      </c>
      <c r="AL164">
        <v>355</v>
      </c>
      <c r="AM164" t="s">
        <v>9230</v>
      </c>
      <c r="AN164" s="1">
        <v>87.87012</v>
      </c>
      <c r="AO164" s="2">
        <f t="shared" si="10"/>
        <v>48.328566000000002</v>
      </c>
    </row>
    <row r="165" spans="1:41" x14ac:dyDescent="0.2">
      <c r="A165" s="40">
        <v>45376</v>
      </c>
      <c r="B165" t="s">
        <v>9229</v>
      </c>
      <c r="C165" t="s">
        <v>1685</v>
      </c>
      <c r="E165">
        <v>2105</v>
      </c>
      <c r="F165" s="4" t="s">
        <v>1697</v>
      </c>
      <c r="G165">
        <v>25</v>
      </c>
      <c r="AL165">
        <v>356</v>
      </c>
      <c r="AM165" t="s">
        <v>9231</v>
      </c>
      <c r="AN165" s="1">
        <v>87.87012</v>
      </c>
      <c r="AO165" s="2">
        <f t="shared" si="10"/>
        <v>48.328566000000002</v>
      </c>
    </row>
    <row r="166" spans="1:41" x14ac:dyDescent="0.2">
      <c r="A166" s="40">
        <v>45376</v>
      </c>
      <c r="B166" t="s">
        <v>9229</v>
      </c>
      <c r="C166" t="s">
        <v>1685</v>
      </c>
      <c r="E166">
        <v>2116</v>
      </c>
      <c r="F166" s="4" t="s">
        <v>1709</v>
      </c>
      <c r="G166">
        <v>100</v>
      </c>
      <c r="AL166">
        <v>358</v>
      </c>
      <c r="AM166" t="s">
        <v>9232</v>
      </c>
      <c r="AN166" s="1">
        <v>87.87012</v>
      </c>
      <c r="AO166" s="2">
        <f t="shared" si="10"/>
        <v>48.328566000000002</v>
      </c>
    </row>
    <row r="167" spans="1:41" x14ac:dyDescent="0.2">
      <c r="A167" s="40">
        <v>45376</v>
      </c>
      <c r="B167" t="s">
        <v>9229</v>
      </c>
      <c r="C167" t="s">
        <v>1685</v>
      </c>
      <c r="E167">
        <v>2121</v>
      </c>
      <c r="F167" s="4" t="s">
        <v>1712</v>
      </c>
      <c r="G167">
        <v>25</v>
      </c>
      <c r="AL167">
        <v>360</v>
      </c>
      <c r="AM167" t="s">
        <v>9233</v>
      </c>
      <c r="AN167" s="1">
        <v>87.87012</v>
      </c>
      <c r="AO167" s="2">
        <f t="shared" si="10"/>
        <v>48.328566000000002</v>
      </c>
    </row>
    <row r="168" spans="1:41" x14ac:dyDescent="0.2">
      <c r="A168" s="40">
        <v>45376</v>
      </c>
      <c r="B168" t="s">
        <v>9229</v>
      </c>
      <c r="C168" t="s">
        <v>1685</v>
      </c>
      <c r="E168">
        <v>2203</v>
      </c>
      <c r="F168" s="4" t="s">
        <v>1736</v>
      </c>
      <c r="G168">
        <v>10</v>
      </c>
      <c r="AL168">
        <v>362</v>
      </c>
      <c r="AM168" t="s">
        <v>9175</v>
      </c>
      <c r="AN168" s="1">
        <v>87.87012</v>
      </c>
      <c r="AO168" s="2">
        <f t="shared" si="10"/>
        <v>48.328566000000002</v>
      </c>
    </row>
    <row r="169" spans="1:41" x14ac:dyDescent="0.2">
      <c r="A169" s="40">
        <v>45376</v>
      </c>
      <c r="B169" t="s">
        <v>9229</v>
      </c>
      <c r="C169" t="s">
        <v>1685</v>
      </c>
      <c r="E169">
        <v>2211</v>
      </c>
      <c r="F169" s="4" t="s">
        <v>1748</v>
      </c>
      <c r="G169">
        <v>25</v>
      </c>
      <c r="AL169">
        <v>364</v>
      </c>
      <c r="AM169" t="s">
        <v>9234</v>
      </c>
      <c r="AN169" s="1">
        <v>87.87012</v>
      </c>
      <c r="AO169" s="2">
        <f t="shared" si="10"/>
        <v>48.328566000000002</v>
      </c>
    </row>
    <row r="170" spans="1:41" x14ac:dyDescent="0.2">
      <c r="A170" s="40">
        <v>45376</v>
      </c>
      <c r="B170" t="s">
        <v>9229</v>
      </c>
      <c r="C170" t="s">
        <v>1685</v>
      </c>
      <c r="E170">
        <v>2215</v>
      </c>
      <c r="F170" s="4" t="s">
        <v>1754</v>
      </c>
      <c r="G170">
        <v>25</v>
      </c>
      <c r="AL170">
        <v>365</v>
      </c>
      <c r="AM170" t="s">
        <v>9235</v>
      </c>
      <c r="AN170" s="1">
        <v>97.975799999999992</v>
      </c>
      <c r="AO170" s="2">
        <f t="shared" si="10"/>
        <v>53.886690000000002</v>
      </c>
    </row>
    <row r="171" spans="1:41" x14ac:dyDescent="0.2">
      <c r="A171" s="40">
        <v>45376</v>
      </c>
      <c r="B171" t="s">
        <v>9229</v>
      </c>
      <c r="C171" t="s">
        <v>1685</v>
      </c>
      <c r="E171">
        <v>2235</v>
      </c>
      <c r="F171" s="4" t="s">
        <v>1763</v>
      </c>
      <c r="G171">
        <v>25</v>
      </c>
      <c r="AL171">
        <v>366</v>
      </c>
      <c r="AM171" t="s">
        <v>9236</v>
      </c>
      <c r="AN171" s="1">
        <v>75.761789999999991</v>
      </c>
      <c r="AO171" s="2">
        <f t="shared" si="10"/>
        <v>41.668984500000001</v>
      </c>
    </row>
    <row r="172" spans="1:41" x14ac:dyDescent="0.2">
      <c r="A172" s="40">
        <v>45376</v>
      </c>
      <c r="B172" t="s">
        <v>9229</v>
      </c>
      <c r="C172" t="s">
        <v>1685</v>
      </c>
      <c r="E172">
        <v>2236</v>
      </c>
      <c r="F172" s="4" t="s">
        <v>1766</v>
      </c>
      <c r="G172">
        <v>25</v>
      </c>
      <c r="AL172">
        <v>367</v>
      </c>
      <c r="AM172" t="s">
        <v>9237</v>
      </c>
      <c r="AN172" s="1">
        <v>97.975799999999992</v>
      </c>
      <c r="AO172" s="2">
        <f t="shared" si="10"/>
        <v>53.886690000000002</v>
      </c>
    </row>
    <row r="173" spans="1:41" x14ac:dyDescent="0.2">
      <c r="A173" s="40">
        <v>45376</v>
      </c>
      <c r="B173" t="s">
        <v>9229</v>
      </c>
      <c r="C173" t="s">
        <v>1685</v>
      </c>
      <c r="E173">
        <v>2237</v>
      </c>
      <c r="F173" s="4" t="s">
        <v>1769</v>
      </c>
      <c r="G173">
        <v>25</v>
      </c>
      <c r="AL173">
        <v>368</v>
      </c>
      <c r="AM173" t="s">
        <v>9176</v>
      </c>
      <c r="AN173" s="1">
        <v>97.975799999999992</v>
      </c>
      <c r="AO173" s="2">
        <f t="shared" si="10"/>
        <v>53.886690000000002</v>
      </c>
    </row>
    <row r="174" spans="1:41" x14ac:dyDescent="0.2">
      <c r="A174" s="40">
        <v>45376</v>
      </c>
      <c r="B174" t="s">
        <v>9229</v>
      </c>
      <c r="C174" t="s">
        <v>1685</v>
      </c>
      <c r="E174">
        <v>0</v>
      </c>
      <c r="F174" s="4" t="s">
        <v>1709</v>
      </c>
      <c r="G174">
        <v>25</v>
      </c>
      <c r="AL174">
        <v>370</v>
      </c>
      <c r="AM174" t="s">
        <v>9167</v>
      </c>
      <c r="AN174" s="1">
        <v>122.16164999999998</v>
      </c>
      <c r="AO174" s="2">
        <f t="shared" si="10"/>
        <v>67.188907499999999</v>
      </c>
    </row>
    <row r="175" spans="1:41" x14ac:dyDescent="0.2">
      <c r="A175" s="40">
        <v>45376</v>
      </c>
      <c r="B175" t="s">
        <v>9229</v>
      </c>
      <c r="C175" t="s">
        <v>1685</v>
      </c>
      <c r="E175">
        <v>2245</v>
      </c>
      <c r="F175" s="4" t="s">
        <v>1786</v>
      </c>
      <c r="G175">
        <v>25</v>
      </c>
      <c r="AL175">
        <v>371</v>
      </c>
      <c r="AM175" t="s">
        <v>9238</v>
      </c>
      <c r="AN175" s="1">
        <v>87.87012</v>
      </c>
      <c r="AO175" s="2">
        <f t="shared" si="10"/>
        <v>48.328566000000002</v>
      </c>
    </row>
    <row r="176" spans="1:41" x14ac:dyDescent="0.2">
      <c r="A176" s="40">
        <v>45376</v>
      </c>
      <c r="B176" t="s">
        <v>9229</v>
      </c>
      <c r="C176" t="s">
        <v>1685</v>
      </c>
      <c r="E176">
        <v>2249</v>
      </c>
      <c r="F176" s="4" t="s">
        <v>1789</v>
      </c>
      <c r="G176">
        <v>25</v>
      </c>
      <c r="AL176">
        <v>372</v>
      </c>
      <c r="AM176" t="s">
        <v>9239</v>
      </c>
      <c r="AN176" s="1">
        <v>136.33425</v>
      </c>
      <c r="AO176" s="2">
        <f t="shared" si="10"/>
        <v>74.983837500000007</v>
      </c>
    </row>
    <row r="177" spans="1:41" x14ac:dyDescent="0.2">
      <c r="A177" s="40">
        <v>45376</v>
      </c>
      <c r="B177" t="s">
        <v>9229</v>
      </c>
      <c r="C177" t="s">
        <v>1685</v>
      </c>
      <c r="E177">
        <v>2278</v>
      </c>
      <c r="F177" s="4" t="s">
        <v>1807</v>
      </c>
      <c r="G177">
        <v>25</v>
      </c>
      <c r="AL177">
        <v>374</v>
      </c>
      <c r="AM177" t="s">
        <v>9240</v>
      </c>
      <c r="AN177" s="1">
        <v>136.33425</v>
      </c>
      <c r="AO177" s="2">
        <f t="shared" si="10"/>
        <v>74.983837500000007</v>
      </c>
    </row>
    <row r="178" spans="1:41" x14ac:dyDescent="0.2">
      <c r="A178" s="40">
        <v>45376</v>
      </c>
      <c r="B178" t="s">
        <v>9229</v>
      </c>
      <c r="C178" t="s">
        <v>1685</v>
      </c>
      <c r="E178">
        <v>2324</v>
      </c>
      <c r="F178" s="4" t="s">
        <v>1828</v>
      </c>
      <c r="G178">
        <v>25</v>
      </c>
      <c r="AL178">
        <v>375</v>
      </c>
      <c r="AM178" t="s">
        <v>9241</v>
      </c>
      <c r="AN178" s="1">
        <v>158.48663999999997</v>
      </c>
      <c r="AO178" s="2">
        <f t="shared" si="10"/>
        <v>87.16765199999999</v>
      </c>
    </row>
    <row r="179" spans="1:41" x14ac:dyDescent="0.2">
      <c r="A179" s="40">
        <v>45376</v>
      </c>
      <c r="B179" t="s">
        <v>9229</v>
      </c>
      <c r="C179" t="s">
        <v>1685</v>
      </c>
      <c r="E179">
        <v>2510</v>
      </c>
      <c r="F179" s="4" t="s">
        <v>1837</v>
      </c>
      <c r="G179">
        <v>25</v>
      </c>
      <c r="AL179">
        <v>376</v>
      </c>
      <c r="AM179" t="s">
        <v>9242</v>
      </c>
      <c r="AN179" s="1">
        <v>97.975799999999992</v>
      </c>
      <c r="AO179" s="2">
        <f t="shared" si="10"/>
        <v>53.886690000000002</v>
      </c>
    </row>
    <row r="180" spans="1:41" x14ac:dyDescent="0.2">
      <c r="A180" s="40">
        <v>45376</v>
      </c>
      <c r="B180" t="s">
        <v>9229</v>
      </c>
      <c r="C180" t="s">
        <v>1685</v>
      </c>
      <c r="E180">
        <v>2541</v>
      </c>
      <c r="F180" s="4" t="s">
        <v>1860</v>
      </c>
      <c r="G180">
        <v>25</v>
      </c>
      <c r="AL180">
        <v>377</v>
      </c>
      <c r="AM180" t="s">
        <v>9243</v>
      </c>
      <c r="AN180" s="1">
        <v>97.975799999999992</v>
      </c>
      <c r="AO180" s="2">
        <f t="shared" si="10"/>
        <v>53.886690000000002</v>
      </c>
    </row>
    <row r="181" spans="1:41" x14ac:dyDescent="0.2">
      <c r="A181" s="40">
        <v>45376</v>
      </c>
      <c r="B181" t="s">
        <v>9229</v>
      </c>
      <c r="C181" t="s">
        <v>1685</v>
      </c>
      <c r="E181">
        <v>2528</v>
      </c>
      <c r="F181" s="4" t="s">
        <v>1869</v>
      </c>
      <c r="G181">
        <v>25</v>
      </c>
      <c r="AL181">
        <v>378</v>
      </c>
      <c r="AM181" t="s">
        <v>9244</v>
      </c>
      <c r="AN181" s="1">
        <v>97.975799999999992</v>
      </c>
      <c r="AO181" s="2">
        <f t="shared" si="10"/>
        <v>53.886690000000002</v>
      </c>
    </row>
    <row r="182" spans="1:41" x14ac:dyDescent="0.2">
      <c r="A182" s="40">
        <v>45376</v>
      </c>
      <c r="B182" t="s">
        <v>9229</v>
      </c>
      <c r="C182" t="s">
        <v>1685</v>
      </c>
      <c r="E182">
        <v>2529</v>
      </c>
      <c r="F182" s="4" t="s">
        <v>1872</v>
      </c>
      <c r="G182">
        <v>25</v>
      </c>
      <c r="AL182">
        <v>380</v>
      </c>
      <c r="AM182" t="s">
        <v>9245</v>
      </c>
      <c r="AN182" s="1">
        <v>109.22145</v>
      </c>
      <c r="AO182" s="2">
        <f t="shared" si="10"/>
        <v>60.07179750000001</v>
      </c>
    </row>
    <row r="183" spans="1:41" x14ac:dyDescent="0.2">
      <c r="A183" s="40">
        <v>45376</v>
      </c>
      <c r="B183" t="s">
        <v>9229</v>
      </c>
      <c r="C183" t="s">
        <v>1685</v>
      </c>
      <c r="E183">
        <v>2559</v>
      </c>
      <c r="F183" s="4" t="s">
        <v>1894</v>
      </c>
      <c r="G183">
        <v>25</v>
      </c>
      <c r="AL183">
        <v>381</v>
      </c>
      <c r="AM183" t="s">
        <v>9246</v>
      </c>
      <c r="AN183" s="1">
        <v>109.22145</v>
      </c>
      <c r="AO183" s="2">
        <f t="shared" si="10"/>
        <v>60.07179750000001</v>
      </c>
    </row>
    <row r="184" spans="1:41" x14ac:dyDescent="0.2">
      <c r="A184" s="40">
        <v>45376</v>
      </c>
      <c r="B184" t="s">
        <v>9229</v>
      </c>
      <c r="C184" t="s">
        <v>1685</v>
      </c>
      <c r="E184">
        <v>2560</v>
      </c>
      <c r="F184" s="4" t="s">
        <v>1897</v>
      </c>
      <c r="G184">
        <v>25</v>
      </c>
      <c r="AL184">
        <v>382</v>
      </c>
      <c r="AM184" t="s">
        <v>9247</v>
      </c>
      <c r="AN184" s="1">
        <v>109.22145</v>
      </c>
      <c r="AO184" s="2">
        <f t="shared" si="10"/>
        <v>60.07179750000001</v>
      </c>
    </row>
    <row r="185" spans="1:41" x14ac:dyDescent="0.2">
      <c r="A185" s="40">
        <v>45376</v>
      </c>
      <c r="B185" t="s">
        <v>9229</v>
      </c>
      <c r="C185" t="s">
        <v>1685</v>
      </c>
      <c r="E185">
        <v>2622</v>
      </c>
      <c r="F185" s="4" t="s">
        <v>1912</v>
      </c>
      <c r="G185">
        <v>25</v>
      </c>
      <c r="AL185">
        <v>383</v>
      </c>
      <c r="AM185" t="s">
        <v>9248</v>
      </c>
      <c r="AN185" s="1">
        <v>109.22145</v>
      </c>
      <c r="AO185" s="2">
        <f t="shared" si="10"/>
        <v>60.07179750000001</v>
      </c>
    </row>
    <row r="186" spans="1:41" x14ac:dyDescent="0.2">
      <c r="A186" s="40">
        <v>45376</v>
      </c>
      <c r="B186" t="s">
        <v>9229</v>
      </c>
      <c r="C186" t="s">
        <v>1685</v>
      </c>
      <c r="E186">
        <v>2626</v>
      </c>
      <c r="F186" s="4" t="s">
        <v>1921</v>
      </c>
      <c r="G186">
        <v>25</v>
      </c>
      <c r="AL186">
        <v>384</v>
      </c>
      <c r="AM186" t="s">
        <v>9249</v>
      </c>
      <c r="AN186" s="1">
        <v>136.33425</v>
      </c>
      <c r="AO186" s="2">
        <f t="shared" si="10"/>
        <v>74.983837500000007</v>
      </c>
    </row>
    <row r="187" spans="1:41" x14ac:dyDescent="0.2">
      <c r="A187" s="40">
        <v>45376</v>
      </c>
      <c r="B187" t="s">
        <v>9229</v>
      </c>
      <c r="C187" t="s">
        <v>1685</v>
      </c>
      <c r="E187">
        <v>2701</v>
      </c>
      <c r="F187" s="4" t="s">
        <v>1927</v>
      </c>
      <c r="G187">
        <v>25</v>
      </c>
      <c r="AL187">
        <v>385</v>
      </c>
      <c r="AM187" t="s">
        <v>9250</v>
      </c>
      <c r="AN187" s="1">
        <v>158.14773</v>
      </c>
      <c r="AO187" s="2">
        <f t="shared" si="10"/>
        <v>86.981251499999999</v>
      </c>
    </row>
    <row r="188" spans="1:41" x14ac:dyDescent="0.2">
      <c r="A188" s="40">
        <v>45376</v>
      </c>
      <c r="B188" t="s">
        <v>9229</v>
      </c>
      <c r="C188" t="s">
        <v>1685</v>
      </c>
      <c r="E188">
        <v>2704</v>
      </c>
      <c r="F188" s="4" t="s">
        <v>1933</v>
      </c>
      <c r="G188">
        <v>25</v>
      </c>
      <c r="AL188">
        <v>386</v>
      </c>
      <c r="AM188" t="s">
        <v>9251</v>
      </c>
      <c r="AN188" s="1">
        <v>190.86795000000001</v>
      </c>
      <c r="AO188" s="2">
        <f t="shared" si="10"/>
        <v>104.97737250000002</v>
      </c>
    </row>
    <row r="189" spans="1:41" x14ac:dyDescent="0.2">
      <c r="A189" s="40">
        <v>45376</v>
      </c>
      <c r="B189" t="s">
        <v>9229</v>
      </c>
      <c r="C189" t="s">
        <v>1685</v>
      </c>
      <c r="E189">
        <v>2715</v>
      </c>
      <c r="F189" s="4" t="s">
        <v>1939</v>
      </c>
      <c r="G189">
        <v>25</v>
      </c>
      <c r="AL189">
        <v>387</v>
      </c>
      <c r="AM189" t="s">
        <v>9252</v>
      </c>
      <c r="AN189" s="1">
        <v>229.07234999999997</v>
      </c>
      <c r="AO189" s="2">
        <f t="shared" si="10"/>
        <v>125.98979249999999</v>
      </c>
    </row>
    <row r="190" spans="1:41" x14ac:dyDescent="0.2">
      <c r="A190" s="40">
        <v>45376</v>
      </c>
      <c r="B190" t="s">
        <v>9229</v>
      </c>
      <c r="C190" t="s">
        <v>1685</v>
      </c>
      <c r="E190">
        <v>2721</v>
      </c>
      <c r="F190" s="4" t="s">
        <v>1945</v>
      </c>
      <c r="G190">
        <v>25</v>
      </c>
      <c r="AL190">
        <v>388</v>
      </c>
      <c r="AM190" t="s">
        <v>9253</v>
      </c>
      <c r="AN190" s="1">
        <v>144.34485000000001</v>
      </c>
      <c r="AO190" s="2">
        <f t="shared" si="10"/>
        <v>79.389667500000016</v>
      </c>
    </row>
    <row r="191" spans="1:41" x14ac:dyDescent="0.2">
      <c r="A191" s="40">
        <v>45376</v>
      </c>
      <c r="B191" t="s">
        <v>9229</v>
      </c>
      <c r="C191" t="s">
        <v>1685</v>
      </c>
      <c r="E191">
        <v>2722</v>
      </c>
      <c r="F191" s="4" t="s">
        <v>1948</v>
      </c>
      <c r="G191">
        <v>25</v>
      </c>
      <c r="AL191">
        <v>389</v>
      </c>
      <c r="AM191" t="s">
        <v>9254</v>
      </c>
      <c r="AN191" s="1">
        <v>201.77468999999996</v>
      </c>
      <c r="AO191" s="2">
        <f t="shared" si="10"/>
        <v>110.97607949999998</v>
      </c>
    </row>
    <row r="192" spans="1:41" x14ac:dyDescent="0.2">
      <c r="A192" s="40">
        <v>45377</v>
      </c>
      <c r="B192" t="s">
        <v>8114</v>
      </c>
      <c r="C192" t="s">
        <v>1381</v>
      </c>
      <c r="E192">
        <v>370</v>
      </c>
      <c r="F192" s="4" t="s">
        <v>9167</v>
      </c>
      <c r="G192">
        <v>1030</v>
      </c>
      <c r="AL192">
        <v>393</v>
      </c>
      <c r="AM192" t="s">
        <v>1570</v>
      </c>
      <c r="AN192" s="1">
        <v>67.658759999999987</v>
      </c>
      <c r="AO192" s="2">
        <f t="shared" si="10"/>
        <v>37.212317999999996</v>
      </c>
    </row>
    <row r="193" spans="1:41" x14ac:dyDescent="0.2">
      <c r="A193" s="40">
        <v>45377</v>
      </c>
      <c r="B193" t="s">
        <v>8114</v>
      </c>
      <c r="C193" t="s">
        <v>1381</v>
      </c>
      <c r="E193" t="s">
        <v>8140</v>
      </c>
      <c r="F193" s="4" t="s">
        <v>4463</v>
      </c>
      <c r="G193">
        <v>1</v>
      </c>
      <c r="AL193">
        <v>394</v>
      </c>
      <c r="AM193" t="s">
        <v>1572</v>
      </c>
      <c r="AN193" s="1">
        <v>67.658759999999987</v>
      </c>
      <c r="AO193" s="2">
        <f t="shared" si="10"/>
        <v>37.212317999999996</v>
      </c>
    </row>
    <row r="194" spans="1:41" x14ac:dyDescent="0.2">
      <c r="A194" s="40">
        <v>45378</v>
      </c>
      <c r="B194" t="s">
        <v>9255</v>
      </c>
      <c r="C194" t="s">
        <v>1197</v>
      </c>
      <c r="E194">
        <v>18</v>
      </c>
      <c r="F194" s="4" t="s">
        <v>9256</v>
      </c>
      <c r="G194">
        <v>50</v>
      </c>
      <c r="AL194">
        <v>395</v>
      </c>
      <c r="AM194" t="s">
        <v>1574</v>
      </c>
      <c r="AN194" s="1">
        <v>67.658759999999987</v>
      </c>
      <c r="AO194" s="2">
        <f t="shared" si="10"/>
        <v>37.212317999999996</v>
      </c>
    </row>
    <row r="195" spans="1:41" x14ac:dyDescent="0.2">
      <c r="A195" s="40">
        <v>45378</v>
      </c>
      <c r="B195" t="s">
        <v>9255</v>
      </c>
      <c r="C195" t="s">
        <v>1197</v>
      </c>
      <c r="E195">
        <v>20</v>
      </c>
      <c r="F195" s="4" t="s">
        <v>8976</v>
      </c>
      <c r="G195">
        <v>50</v>
      </c>
      <c r="AL195">
        <v>396</v>
      </c>
      <c r="AM195" t="s">
        <v>1576</v>
      </c>
      <c r="AN195" s="1">
        <v>67.658759999999987</v>
      </c>
      <c r="AO195" s="2">
        <f t="shared" ref="AO195:AO258" si="11">+(1-$AO$1)*AN195</f>
        <v>37.212317999999996</v>
      </c>
    </row>
    <row r="196" spans="1:41" x14ac:dyDescent="0.2">
      <c r="A196" s="40">
        <v>45378</v>
      </c>
      <c r="B196" t="s">
        <v>9255</v>
      </c>
      <c r="C196" t="s">
        <v>2023</v>
      </c>
      <c r="E196">
        <v>812</v>
      </c>
      <c r="F196" s="4" t="s">
        <v>2040</v>
      </c>
      <c r="G196">
        <v>50</v>
      </c>
      <c r="AL196">
        <v>397</v>
      </c>
      <c r="AM196" t="s">
        <v>1578</v>
      </c>
      <c r="AN196" s="1">
        <v>67.658759999999987</v>
      </c>
      <c r="AO196" s="2">
        <f t="shared" si="11"/>
        <v>37.212317999999996</v>
      </c>
    </row>
    <row r="197" spans="1:41" x14ac:dyDescent="0.2">
      <c r="A197" s="40">
        <v>45378</v>
      </c>
      <c r="B197" t="s">
        <v>9255</v>
      </c>
      <c r="C197" t="s">
        <v>2023</v>
      </c>
      <c r="E197">
        <v>816</v>
      </c>
      <c r="F197" s="4" t="s">
        <v>2048</v>
      </c>
      <c r="G197">
        <v>50</v>
      </c>
      <c r="AL197">
        <v>398</v>
      </c>
      <c r="AM197" t="s">
        <v>1580</v>
      </c>
      <c r="AN197" s="1">
        <v>67.658759999999987</v>
      </c>
      <c r="AO197" s="2">
        <f t="shared" si="11"/>
        <v>37.212317999999996</v>
      </c>
    </row>
    <row r="198" spans="1:41" x14ac:dyDescent="0.2">
      <c r="A198" s="40">
        <v>45378</v>
      </c>
      <c r="B198" t="s">
        <v>9255</v>
      </c>
      <c r="C198" t="s">
        <v>2023</v>
      </c>
      <c r="E198">
        <v>820</v>
      </c>
      <c r="F198" s="4" t="s">
        <v>2052</v>
      </c>
      <c r="G198">
        <v>50</v>
      </c>
      <c r="AL198">
        <v>399</v>
      </c>
      <c r="AM198" t="s">
        <v>1582</v>
      </c>
      <c r="AN198" s="1">
        <v>76.347179999999994</v>
      </c>
      <c r="AO198" s="2">
        <f t="shared" si="11"/>
        <v>41.990949000000001</v>
      </c>
    </row>
    <row r="199" spans="1:41" x14ac:dyDescent="0.2">
      <c r="A199" s="40">
        <v>45378</v>
      </c>
      <c r="B199" t="s">
        <v>9255</v>
      </c>
      <c r="C199" t="s">
        <v>2023</v>
      </c>
      <c r="E199">
        <v>828</v>
      </c>
      <c r="F199" s="4" t="s">
        <v>2058</v>
      </c>
      <c r="G199">
        <v>50</v>
      </c>
      <c r="AL199">
        <v>400</v>
      </c>
      <c r="AM199" t="s">
        <v>1584</v>
      </c>
      <c r="AN199" s="1">
        <v>186.64697999999999</v>
      </c>
      <c r="AO199" s="2">
        <f t="shared" si="11"/>
        <v>102.655839</v>
      </c>
    </row>
    <row r="200" spans="1:41" x14ac:dyDescent="0.2">
      <c r="A200" s="40">
        <v>45378</v>
      </c>
      <c r="B200" t="s">
        <v>9255</v>
      </c>
      <c r="C200" t="s">
        <v>1197</v>
      </c>
      <c r="E200">
        <v>81</v>
      </c>
      <c r="F200" s="4" t="s">
        <v>9197</v>
      </c>
      <c r="G200">
        <v>50</v>
      </c>
      <c r="AL200">
        <v>401</v>
      </c>
      <c r="AM200" t="s">
        <v>1586</v>
      </c>
      <c r="AN200" s="1">
        <v>195.98240999999996</v>
      </c>
      <c r="AO200" s="2">
        <f t="shared" si="11"/>
        <v>107.79032549999998</v>
      </c>
    </row>
    <row r="201" spans="1:41" x14ac:dyDescent="0.2">
      <c r="A201" s="40">
        <v>45386</v>
      </c>
      <c r="B201" t="s">
        <v>8114</v>
      </c>
      <c r="C201" t="s">
        <v>1381</v>
      </c>
      <c r="E201">
        <v>348</v>
      </c>
      <c r="F201" s="4" t="s">
        <v>9257</v>
      </c>
      <c r="G201">
        <v>1035</v>
      </c>
      <c r="AL201">
        <v>402</v>
      </c>
      <c r="AM201" t="s">
        <v>1588</v>
      </c>
      <c r="AN201" s="1">
        <v>268.63238999999999</v>
      </c>
      <c r="AO201" s="2">
        <f t="shared" si="11"/>
        <v>147.7478145</v>
      </c>
    </row>
    <row r="202" spans="1:41" x14ac:dyDescent="0.2">
      <c r="A202" s="40">
        <v>45386</v>
      </c>
      <c r="B202" t="s">
        <v>8114</v>
      </c>
      <c r="C202" t="s">
        <v>1381</v>
      </c>
      <c r="E202">
        <v>372</v>
      </c>
      <c r="F202" s="4" t="s">
        <v>9239</v>
      </c>
      <c r="G202">
        <v>1030</v>
      </c>
      <c r="AL202">
        <v>403</v>
      </c>
      <c r="AM202" t="s">
        <v>1590</v>
      </c>
      <c r="AN202" s="1">
        <v>125.55074999999999</v>
      </c>
      <c r="AO202" s="2">
        <f t="shared" si="11"/>
        <v>69.052912500000005</v>
      </c>
    </row>
    <row r="203" spans="1:41" x14ac:dyDescent="0.2">
      <c r="A203" s="40">
        <v>45386</v>
      </c>
      <c r="B203" t="s">
        <v>8114</v>
      </c>
      <c r="C203" t="s">
        <v>1197</v>
      </c>
      <c r="E203">
        <v>18</v>
      </c>
      <c r="F203" s="4" t="s">
        <v>9256</v>
      </c>
      <c r="G203">
        <v>540</v>
      </c>
      <c r="AL203">
        <v>404</v>
      </c>
      <c r="AM203" t="s">
        <v>1588</v>
      </c>
      <c r="AN203" s="1">
        <v>125.55074999999999</v>
      </c>
      <c r="AO203" s="2">
        <f t="shared" si="11"/>
        <v>69.052912500000005</v>
      </c>
    </row>
    <row r="204" spans="1:41" x14ac:dyDescent="0.2">
      <c r="A204" s="40">
        <v>45386</v>
      </c>
      <c r="B204" t="s">
        <v>8114</v>
      </c>
      <c r="C204" t="s">
        <v>1197</v>
      </c>
      <c r="E204">
        <v>70</v>
      </c>
      <c r="F204" s="4" t="s">
        <v>9130</v>
      </c>
      <c r="G204">
        <v>1050</v>
      </c>
      <c r="AL204">
        <v>405</v>
      </c>
      <c r="AM204" t="s">
        <v>1593</v>
      </c>
      <c r="AN204" s="1">
        <v>182.91896999999997</v>
      </c>
      <c r="AO204" s="2">
        <f t="shared" si="11"/>
        <v>100.60543349999999</v>
      </c>
    </row>
    <row r="205" spans="1:41" x14ac:dyDescent="0.2">
      <c r="A205" s="40">
        <v>45393</v>
      </c>
      <c r="B205" t="s">
        <v>9255</v>
      </c>
      <c r="C205" t="s">
        <v>1197</v>
      </c>
      <c r="E205">
        <v>18</v>
      </c>
      <c r="F205" s="4" t="s">
        <v>9256</v>
      </c>
      <c r="G205">
        <v>50</v>
      </c>
      <c r="AL205">
        <v>407</v>
      </c>
      <c r="AM205" t="s">
        <v>1595</v>
      </c>
      <c r="AN205" s="1">
        <v>138.15204</v>
      </c>
      <c r="AO205" s="2">
        <f t="shared" si="11"/>
        <v>75.983622000000011</v>
      </c>
    </row>
    <row r="206" spans="1:41" x14ac:dyDescent="0.2">
      <c r="A206" s="40">
        <v>45393</v>
      </c>
      <c r="B206" t="s">
        <v>9255</v>
      </c>
      <c r="C206" t="s">
        <v>1197</v>
      </c>
      <c r="E206">
        <v>20</v>
      </c>
      <c r="F206" s="4" t="s">
        <v>8976</v>
      </c>
      <c r="G206">
        <v>50</v>
      </c>
      <c r="AL206">
        <v>408</v>
      </c>
      <c r="AM206" t="s">
        <v>1267</v>
      </c>
      <c r="AN206" s="1">
        <v>138.15204</v>
      </c>
      <c r="AO206" s="2">
        <f t="shared" si="11"/>
        <v>75.983622000000011</v>
      </c>
    </row>
    <row r="207" spans="1:41" x14ac:dyDescent="0.2">
      <c r="A207" s="40">
        <v>45393</v>
      </c>
      <c r="B207" t="s">
        <v>9255</v>
      </c>
      <c r="C207" t="s">
        <v>2023</v>
      </c>
      <c r="E207">
        <v>812</v>
      </c>
      <c r="F207" s="4" t="s">
        <v>2040</v>
      </c>
      <c r="G207">
        <v>50</v>
      </c>
      <c r="AL207">
        <v>410</v>
      </c>
      <c r="AM207" t="s">
        <v>1598</v>
      </c>
      <c r="AN207" s="1">
        <v>138.15204</v>
      </c>
      <c r="AO207" s="2">
        <f t="shared" si="11"/>
        <v>75.983622000000011</v>
      </c>
    </row>
    <row r="208" spans="1:41" x14ac:dyDescent="0.2">
      <c r="A208" s="40">
        <v>45393</v>
      </c>
      <c r="B208" t="s">
        <v>9255</v>
      </c>
      <c r="C208" t="s">
        <v>2023</v>
      </c>
      <c r="E208">
        <v>816</v>
      </c>
      <c r="F208" s="4" t="s">
        <v>2048</v>
      </c>
      <c r="G208">
        <v>50</v>
      </c>
      <c r="AL208">
        <v>411</v>
      </c>
      <c r="AM208" t="s">
        <v>1600</v>
      </c>
      <c r="AN208" s="1">
        <v>165.78244800000002</v>
      </c>
      <c r="AO208" s="2">
        <f t="shared" si="11"/>
        <v>91.180346400000019</v>
      </c>
    </row>
    <row r="209" spans="1:41" x14ac:dyDescent="0.2">
      <c r="A209" s="40">
        <v>45393</v>
      </c>
      <c r="B209" t="s">
        <v>9255</v>
      </c>
      <c r="C209" t="s">
        <v>1197</v>
      </c>
      <c r="E209">
        <v>26</v>
      </c>
      <c r="F209" s="4" t="s">
        <v>9227</v>
      </c>
      <c r="G209">
        <v>50</v>
      </c>
      <c r="AL209">
        <v>110</v>
      </c>
      <c r="AM209" t="s">
        <v>9258</v>
      </c>
      <c r="AN209" s="1">
        <v>236.34350999999998</v>
      </c>
      <c r="AO209" s="2">
        <f t="shared" si="11"/>
        <v>129.98893050000001</v>
      </c>
    </row>
    <row r="210" spans="1:41" x14ac:dyDescent="0.2">
      <c r="A210" s="40">
        <v>45393</v>
      </c>
      <c r="B210" t="s">
        <v>9255</v>
      </c>
      <c r="C210" t="s">
        <v>2023</v>
      </c>
      <c r="E210">
        <v>820</v>
      </c>
      <c r="F210" s="4" t="s">
        <v>2052</v>
      </c>
      <c r="G210">
        <v>50</v>
      </c>
      <c r="AL210">
        <v>112</v>
      </c>
      <c r="AM210" t="s">
        <v>9259</v>
      </c>
      <c r="AN210" s="1">
        <v>236.34350999999998</v>
      </c>
      <c r="AO210" s="2">
        <f t="shared" si="11"/>
        <v>129.98893050000001</v>
      </c>
    </row>
    <row r="211" spans="1:41" x14ac:dyDescent="0.2">
      <c r="A211" s="40">
        <v>45393</v>
      </c>
      <c r="B211" t="s">
        <v>9255</v>
      </c>
      <c r="C211" t="s">
        <v>2023</v>
      </c>
      <c r="E211">
        <v>828</v>
      </c>
      <c r="F211" s="4" t="s">
        <v>2058</v>
      </c>
      <c r="G211">
        <v>50</v>
      </c>
      <c r="AL211">
        <v>114</v>
      </c>
      <c r="AM211" t="s">
        <v>9260</v>
      </c>
      <c r="AN211" s="1">
        <v>204.02381999999997</v>
      </c>
      <c r="AO211" s="2">
        <f t="shared" si="11"/>
        <v>112.21310099999999</v>
      </c>
    </row>
    <row r="212" spans="1:41" x14ac:dyDescent="0.2">
      <c r="A212" s="40">
        <v>45393</v>
      </c>
      <c r="B212" t="s">
        <v>9255</v>
      </c>
      <c r="C212" t="s">
        <v>1197</v>
      </c>
      <c r="E212">
        <v>81</v>
      </c>
      <c r="F212" s="4" t="s">
        <v>9197</v>
      </c>
      <c r="G212">
        <v>50</v>
      </c>
      <c r="AL212">
        <v>116</v>
      </c>
      <c r="AM212" t="s">
        <v>9261</v>
      </c>
      <c r="AN212" s="1">
        <v>220.47636</v>
      </c>
      <c r="AO212" s="2">
        <f t="shared" si="11"/>
        <v>121.26199800000001</v>
      </c>
    </row>
    <row r="213" spans="1:41" x14ac:dyDescent="0.2">
      <c r="AL213">
        <v>118</v>
      </c>
      <c r="AM213" t="s">
        <v>9262</v>
      </c>
      <c r="AN213" s="1">
        <v>180.85470000000001</v>
      </c>
      <c r="AO213" s="2">
        <f t="shared" si="11"/>
        <v>99.470085000000012</v>
      </c>
    </row>
    <row r="214" spans="1:41" x14ac:dyDescent="0.2">
      <c r="AL214">
        <v>120</v>
      </c>
      <c r="AM214" t="s">
        <v>9130</v>
      </c>
      <c r="AN214" s="1">
        <v>239.14722</v>
      </c>
      <c r="AO214" s="2">
        <f t="shared" si="11"/>
        <v>131.53097100000002</v>
      </c>
    </row>
    <row r="215" spans="1:41" x14ac:dyDescent="0.2">
      <c r="AL215">
        <v>122</v>
      </c>
      <c r="AM215" t="s">
        <v>9263</v>
      </c>
      <c r="AN215" s="1">
        <v>180.85470000000001</v>
      </c>
      <c r="AO215" s="2">
        <f t="shared" si="11"/>
        <v>99.470085000000012</v>
      </c>
    </row>
    <row r="216" spans="1:41" x14ac:dyDescent="0.2">
      <c r="AL216">
        <v>124</v>
      </c>
      <c r="AM216" t="s">
        <v>9264</v>
      </c>
      <c r="AN216" s="1">
        <v>180.85470000000001</v>
      </c>
      <c r="AO216" s="2">
        <f t="shared" si="11"/>
        <v>99.470085000000012</v>
      </c>
    </row>
    <row r="217" spans="1:41" x14ac:dyDescent="0.2">
      <c r="AL217">
        <v>125</v>
      </c>
      <c r="AM217" t="s">
        <v>9265</v>
      </c>
      <c r="AN217" s="1">
        <v>180.85470000000001</v>
      </c>
      <c r="AO217" s="2">
        <f t="shared" si="11"/>
        <v>99.470085000000012</v>
      </c>
    </row>
    <row r="218" spans="1:41" x14ac:dyDescent="0.2">
      <c r="AL218">
        <v>126</v>
      </c>
      <c r="AM218" t="s">
        <v>9266</v>
      </c>
      <c r="AN218" s="1">
        <v>205.53350999999998</v>
      </c>
      <c r="AO218" s="2">
        <f t="shared" si="11"/>
        <v>113.0434305</v>
      </c>
    </row>
    <row r="219" spans="1:41" x14ac:dyDescent="0.2">
      <c r="AL219">
        <v>128</v>
      </c>
      <c r="AM219" t="s">
        <v>9165</v>
      </c>
      <c r="AN219" s="1">
        <v>219.73691999999997</v>
      </c>
      <c r="AO219" s="2">
        <f t="shared" si="11"/>
        <v>120.855306</v>
      </c>
    </row>
    <row r="220" spans="1:41" x14ac:dyDescent="0.2">
      <c r="AL220">
        <v>130</v>
      </c>
      <c r="AM220" t="s">
        <v>9267</v>
      </c>
      <c r="AN220" s="1">
        <v>231.69120000000001</v>
      </c>
      <c r="AO220" s="2">
        <f t="shared" si="11"/>
        <v>127.43016000000001</v>
      </c>
    </row>
    <row r="221" spans="1:41" x14ac:dyDescent="0.2">
      <c r="AL221">
        <v>132</v>
      </c>
      <c r="AM221" t="s">
        <v>9268</v>
      </c>
      <c r="AN221" s="1">
        <v>231.69120000000001</v>
      </c>
      <c r="AO221" s="2">
        <f t="shared" si="11"/>
        <v>127.43016000000001</v>
      </c>
    </row>
    <row r="222" spans="1:41" x14ac:dyDescent="0.2">
      <c r="AL222">
        <v>134</v>
      </c>
      <c r="AM222" t="s">
        <v>9269</v>
      </c>
      <c r="AN222" s="1">
        <v>239.14722</v>
      </c>
      <c r="AO222" s="2">
        <f t="shared" si="11"/>
        <v>131.53097100000002</v>
      </c>
    </row>
    <row r="223" spans="1:41" x14ac:dyDescent="0.2">
      <c r="AL223">
        <v>136</v>
      </c>
      <c r="AM223" t="s">
        <v>9270</v>
      </c>
      <c r="AN223" s="1">
        <v>207.78263999999999</v>
      </c>
      <c r="AO223" s="2">
        <f t="shared" si="11"/>
        <v>114.280452</v>
      </c>
    </row>
    <row r="224" spans="1:41" x14ac:dyDescent="0.2">
      <c r="AL224">
        <v>138</v>
      </c>
      <c r="AM224" t="s">
        <v>9271</v>
      </c>
      <c r="AN224" s="1">
        <v>412.85399999999998</v>
      </c>
      <c r="AO224" s="2">
        <f t="shared" si="11"/>
        <v>227.06970000000001</v>
      </c>
    </row>
    <row r="225" spans="1:41" x14ac:dyDescent="0.2">
      <c r="AL225">
        <v>140</v>
      </c>
      <c r="AM225" t="s">
        <v>9272</v>
      </c>
      <c r="AN225" s="1">
        <v>446.89904999999999</v>
      </c>
      <c r="AO225" s="2">
        <f t="shared" si="11"/>
        <v>245.7944775</v>
      </c>
    </row>
    <row r="226" spans="1:41" x14ac:dyDescent="0.2">
      <c r="AL226">
        <v>145</v>
      </c>
      <c r="AM226" t="s">
        <v>9273</v>
      </c>
      <c r="AN226" s="1">
        <v>263.82602999999995</v>
      </c>
      <c r="AO226" s="2">
        <f t="shared" si="11"/>
        <v>145.10431649999998</v>
      </c>
    </row>
    <row r="227" spans="1:41" x14ac:dyDescent="0.2">
      <c r="AL227">
        <v>146</v>
      </c>
      <c r="AM227" t="s">
        <v>9274</v>
      </c>
      <c r="AN227" s="1">
        <v>369.93566999999996</v>
      </c>
      <c r="AO227" s="2">
        <f t="shared" si="11"/>
        <v>203.4646185</v>
      </c>
    </row>
    <row r="228" spans="1:41" x14ac:dyDescent="0.2">
      <c r="AL228">
        <v>149</v>
      </c>
      <c r="AM228" t="s">
        <v>9275</v>
      </c>
      <c r="AN228" s="1">
        <v>369.93566999999996</v>
      </c>
      <c r="AO228" s="2">
        <f t="shared" si="11"/>
        <v>203.4646185</v>
      </c>
    </row>
    <row r="229" spans="1:41" x14ac:dyDescent="0.2">
      <c r="AL229">
        <v>151</v>
      </c>
      <c r="AM229" t="s">
        <v>9276</v>
      </c>
      <c r="AN229" s="1">
        <v>332.56313999999998</v>
      </c>
      <c r="AO229" s="2">
        <f t="shared" si="11"/>
        <v>182.909727</v>
      </c>
    </row>
    <row r="230" spans="1:41" x14ac:dyDescent="0.2">
      <c r="AL230">
        <v>153</v>
      </c>
      <c r="AM230" t="s">
        <v>9277</v>
      </c>
      <c r="AN230" s="1">
        <v>325.10711999999995</v>
      </c>
      <c r="AO230" s="2">
        <f t="shared" si="11"/>
        <v>178.80891599999998</v>
      </c>
    </row>
    <row r="231" spans="1:41" x14ac:dyDescent="0.2">
      <c r="AL231">
        <v>157</v>
      </c>
      <c r="AM231" t="s">
        <v>9278</v>
      </c>
      <c r="AN231" s="1">
        <v>332.56313999999998</v>
      </c>
      <c r="AO231" s="2">
        <f t="shared" si="11"/>
        <v>182.909727</v>
      </c>
    </row>
    <row r="232" spans="1:41" x14ac:dyDescent="0.2">
      <c r="AL232">
        <v>161</v>
      </c>
      <c r="AM232" t="s">
        <v>9279</v>
      </c>
      <c r="AN232" s="1">
        <v>358.72082999999998</v>
      </c>
      <c r="AO232" s="2">
        <f t="shared" si="11"/>
        <v>197.29645650000001</v>
      </c>
    </row>
    <row r="233" spans="1:41" x14ac:dyDescent="0.2">
      <c r="AL233">
        <v>163</v>
      </c>
      <c r="AM233" t="s">
        <v>9280</v>
      </c>
      <c r="AN233" s="1">
        <v>369.93566999999996</v>
      </c>
      <c r="AO233" s="2">
        <f t="shared" si="11"/>
        <v>203.4646185</v>
      </c>
    </row>
    <row r="234" spans="1:41" x14ac:dyDescent="0.2">
      <c r="AL234">
        <v>165</v>
      </c>
      <c r="AM234" t="s">
        <v>9281</v>
      </c>
      <c r="AN234" s="1">
        <v>638.29076999999995</v>
      </c>
      <c r="AO234" s="2">
        <f t="shared" si="11"/>
        <v>351.05992350000002</v>
      </c>
    </row>
    <row r="235" spans="1:41" x14ac:dyDescent="0.2">
      <c r="AL235">
        <v>167</v>
      </c>
      <c r="AM235" t="s">
        <v>9282</v>
      </c>
      <c r="AN235" s="1">
        <v>751.39427999999987</v>
      </c>
      <c r="AO235" s="2">
        <f t="shared" si="11"/>
        <v>413.26685399999997</v>
      </c>
    </row>
    <row r="236" spans="1:41" x14ac:dyDescent="0.2">
      <c r="AL236">
        <v>169</v>
      </c>
      <c r="AM236" t="s">
        <v>9283</v>
      </c>
      <c r="AN236" s="1">
        <v>760.29836999999998</v>
      </c>
      <c r="AO236" s="2">
        <f t="shared" si="11"/>
        <v>418.16410350000001</v>
      </c>
    </row>
    <row r="237" spans="1:41" ht="13.5" thickBot="1" x14ac:dyDescent="0.25">
      <c r="AL237">
        <v>170</v>
      </c>
      <c r="AM237" t="s">
        <v>9284</v>
      </c>
      <c r="AN237" s="1">
        <v>448.40873999999997</v>
      </c>
      <c r="AO237" s="2">
        <f t="shared" si="11"/>
        <v>246.624807</v>
      </c>
    </row>
    <row r="238" spans="1:41" ht="13.5" thickBot="1" x14ac:dyDescent="0.25">
      <c r="A238" s="32" t="s">
        <v>9007</v>
      </c>
      <c r="B238" s="32" t="s">
        <v>9008</v>
      </c>
      <c r="C238" s="32" t="s">
        <v>8753</v>
      </c>
      <c r="E238" s="33" t="s">
        <v>8189</v>
      </c>
      <c r="AL238">
        <v>172</v>
      </c>
      <c r="AM238" t="s">
        <v>9285</v>
      </c>
      <c r="AN238" s="1">
        <v>597.89886000000001</v>
      </c>
      <c r="AO238" s="2">
        <f t="shared" si="11"/>
        <v>328.84437300000002</v>
      </c>
    </row>
    <row r="239" spans="1:41" x14ac:dyDescent="0.2">
      <c r="A239" s="13" t="s">
        <v>1203</v>
      </c>
      <c r="B239" s="3" t="s">
        <v>9017</v>
      </c>
      <c r="C239" s="13">
        <v>500</v>
      </c>
      <c r="E239" s="4">
        <v>3</v>
      </c>
      <c r="F239" t="s">
        <v>9286</v>
      </c>
      <c r="AL239">
        <v>174</v>
      </c>
      <c r="AM239" t="s">
        <v>9287</v>
      </c>
      <c r="AN239" s="1">
        <v>448.40873999999997</v>
      </c>
      <c r="AO239" s="2">
        <f t="shared" si="11"/>
        <v>246.624807</v>
      </c>
    </row>
    <row r="240" spans="1:41" x14ac:dyDescent="0.2">
      <c r="A240" s="13" t="s">
        <v>1225</v>
      </c>
      <c r="B240" s="3" t="s">
        <v>9017</v>
      </c>
      <c r="C240" s="13">
        <v>500</v>
      </c>
      <c r="E240" s="4">
        <v>14</v>
      </c>
      <c r="F240" t="s">
        <v>9286</v>
      </c>
      <c r="AL240">
        <v>176</v>
      </c>
      <c r="AM240" t="s">
        <v>9288</v>
      </c>
      <c r="AN240" s="1">
        <v>635.27138999999988</v>
      </c>
      <c r="AO240" s="2">
        <f t="shared" si="11"/>
        <v>349.39926449999996</v>
      </c>
    </row>
    <row r="241" spans="1:41" x14ac:dyDescent="0.2">
      <c r="A241" s="4" t="s">
        <v>9289</v>
      </c>
      <c r="B241" s="3" t="s">
        <v>9045</v>
      </c>
      <c r="C241" s="13">
        <v>500</v>
      </c>
      <c r="E241" s="4">
        <v>44</v>
      </c>
      <c r="F241" t="s">
        <v>9290</v>
      </c>
      <c r="AL241">
        <v>178</v>
      </c>
      <c r="AM241" t="s">
        <v>9291</v>
      </c>
      <c r="AN241" s="1">
        <v>709.98563999999988</v>
      </c>
      <c r="AO241" s="2">
        <f t="shared" si="11"/>
        <v>390.49210199999999</v>
      </c>
    </row>
    <row r="242" spans="1:41" x14ac:dyDescent="0.2">
      <c r="A242" s="13" t="s">
        <v>9292</v>
      </c>
      <c r="B242" s="3" t="s">
        <v>9293</v>
      </c>
      <c r="C242" s="13">
        <v>500</v>
      </c>
      <c r="E242" s="4">
        <v>39</v>
      </c>
      <c r="AL242">
        <v>179</v>
      </c>
      <c r="AM242" t="s">
        <v>9294</v>
      </c>
      <c r="AN242" s="1">
        <v>683</v>
      </c>
      <c r="AO242" s="2">
        <f t="shared" si="11"/>
        <v>375.65000000000003</v>
      </c>
    </row>
    <row r="243" spans="1:41" x14ac:dyDescent="0.2">
      <c r="A243" s="32" t="s">
        <v>1505</v>
      </c>
      <c r="B243" s="366" t="s">
        <v>9045</v>
      </c>
      <c r="C243" s="32">
        <v>500</v>
      </c>
      <c r="E243" s="30">
        <v>349</v>
      </c>
      <c r="F243" s="31" t="s">
        <v>9295</v>
      </c>
      <c r="AL243">
        <v>180</v>
      </c>
      <c r="AM243" t="s">
        <v>9296</v>
      </c>
      <c r="AN243" s="1">
        <v>919.24716000000001</v>
      </c>
      <c r="AO243" s="2">
        <f t="shared" si="11"/>
        <v>505.58593800000006</v>
      </c>
    </row>
    <row r="244" spans="1:41" ht="13.5" thickBot="1" x14ac:dyDescent="0.25">
      <c r="AL244">
        <v>182</v>
      </c>
      <c r="AM244" t="s">
        <v>9297</v>
      </c>
      <c r="AN244" s="1">
        <v>911.79113999999981</v>
      </c>
      <c r="AO244" s="2">
        <f t="shared" si="11"/>
        <v>501.48512699999992</v>
      </c>
    </row>
    <row r="245" spans="1:41" ht="13.5" thickBot="1" x14ac:dyDescent="0.25">
      <c r="A245" s="32" t="s">
        <v>9007</v>
      </c>
      <c r="B245" s="32" t="s">
        <v>9008</v>
      </c>
      <c r="C245" s="32" t="s">
        <v>8753</v>
      </c>
      <c r="E245" s="33" t="s">
        <v>8189</v>
      </c>
      <c r="F245" s="639" t="s">
        <v>8773</v>
      </c>
      <c r="G245" s="639" t="s">
        <v>8162</v>
      </c>
      <c r="H245" s="597" t="s">
        <v>8955</v>
      </c>
      <c r="J245">
        <v>1200</v>
      </c>
      <c r="AL245">
        <v>184</v>
      </c>
      <c r="AM245" t="s">
        <v>9298</v>
      </c>
      <c r="AN245" s="1">
        <v>1158.4251899999999</v>
      </c>
      <c r="AO245" s="2">
        <f t="shared" si="11"/>
        <v>637.13385449999998</v>
      </c>
    </row>
    <row r="246" spans="1:41" x14ac:dyDescent="0.2">
      <c r="A246" s="13" t="s">
        <v>1247</v>
      </c>
      <c r="B246" s="3" t="s">
        <v>9017</v>
      </c>
      <c r="C246" s="13">
        <v>300</v>
      </c>
      <c r="E246" s="4">
        <v>25</v>
      </c>
      <c r="F246" s="1">
        <v>506</v>
      </c>
      <c r="G246" s="1">
        <f>+F246*Tabla29[[#This Row],[CANTIDAD]]</f>
        <v>151800</v>
      </c>
      <c r="H246" s="1">
        <v>1280.6135999999999</v>
      </c>
      <c r="I246" s="62">
        <f t="shared" ref="I246:I255" si="12">+H246/F246-1</f>
        <v>1.5308569169960471</v>
      </c>
      <c r="AL246">
        <v>188</v>
      </c>
      <c r="AM246" t="s">
        <v>9299</v>
      </c>
      <c r="AN246" s="1">
        <v>1307.8844999999999</v>
      </c>
      <c r="AO246" s="2">
        <f t="shared" si="11"/>
        <v>719.33647499999995</v>
      </c>
    </row>
    <row r="247" spans="1:41" x14ac:dyDescent="0.2">
      <c r="A247" s="13" t="s">
        <v>1388</v>
      </c>
      <c r="B247" s="3" t="s">
        <v>9017</v>
      </c>
      <c r="C247" s="13">
        <v>500</v>
      </c>
      <c r="E247" s="4">
        <v>272</v>
      </c>
      <c r="F247" s="1">
        <v>100</v>
      </c>
      <c r="G247" s="1">
        <f>+F247*Tabla29[[#This Row],[CANTIDAD]]</f>
        <v>50000</v>
      </c>
      <c r="H247" s="1">
        <v>391.92719999999997</v>
      </c>
      <c r="I247" s="62">
        <f t="shared" si="12"/>
        <v>2.9192719999999999</v>
      </c>
      <c r="AL247">
        <v>190</v>
      </c>
      <c r="AM247" t="s">
        <v>9300</v>
      </c>
      <c r="AN247" s="1">
        <v>1434.9449399999999</v>
      </c>
      <c r="AO247" s="2">
        <f t="shared" si="11"/>
        <v>789.21971699999995</v>
      </c>
    </row>
    <row r="248" spans="1:41" x14ac:dyDescent="0.2">
      <c r="A248" s="13" t="s">
        <v>9301</v>
      </c>
      <c r="B248" s="3" t="s">
        <v>9045</v>
      </c>
      <c r="C248" s="13">
        <v>1000</v>
      </c>
      <c r="D248" s="31"/>
      <c r="E248" s="499">
        <v>338</v>
      </c>
      <c r="F248" s="1">
        <v>40</v>
      </c>
      <c r="G248" s="1">
        <f>+F248*Tabla29[[#This Row],[CANTIDAD]]</f>
        <v>40000</v>
      </c>
      <c r="H248" s="1">
        <v>341.00639999999999</v>
      </c>
      <c r="I248" s="62">
        <f t="shared" si="12"/>
        <v>7.5251599999999996</v>
      </c>
      <c r="AL248">
        <v>194</v>
      </c>
      <c r="AM248" t="s">
        <v>9302</v>
      </c>
      <c r="AN248" s="1">
        <v>1158.4251899999999</v>
      </c>
      <c r="AO248" s="2">
        <f t="shared" si="11"/>
        <v>637.13385449999998</v>
      </c>
    </row>
    <row r="249" spans="1:41" x14ac:dyDescent="0.2">
      <c r="A249" s="13" t="s">
        <v>9303</v>
      </c>
      <c r="B249" s="3" t="s">
        <v>9045</v>
      </c>
      <c r="C249" s="13">
        <v>300</v>
      </c>
      <c r="E249" s="4">
        <v>389</v>
      </c>
      <c r="F249" s="1">
        <v>232</v>
      </c>
      <c r="G249" s="1">
        <f>+F249*Tabla29[[#This Row],[CANTIDAD]]</f>
        <v>69600</v>
      </c>
      <c r="H249" s="1">
        <v>1016.9376000000001</v>
      </c>
      <c r="I249" s="62">
        <f t="shared" si="12"/>
        <v>3.3833517241379312</v>
      </c>
      <c r="AL249">
        <v>196</v>
      </c>
      <c r="AM249" t="s">
        <v>9304</v>
      </c>
      <c r="AN249" s="1">
        <v>1718.9515199999996</v>
      </c>
      <c r="AO249" s="2">
        <f t="shared" si="11"/>
        <v>945.42333599999984</v>
      </c>
    </row>
    <row r="250" spans="1:41" x14ac:dyDescent="0.2">
      <c r="A250" s="13" t="s">
        <v>9305</v>
      </c>
      <c r="B250" s="3" t="s">
        <v>9045</v>
      </c>
      <c r="C250" s="13">
        <v>500</v>
      </c>
      <c r="E250" s="499">
        <v>840</v>
      </c>
      <c r="F250" s="1">
        <v>230</v>
      </c>
      <c r="G250" s="1">
        <f>+F250*Tabla29[[#This Row],[CANTIDAD]]</f>
        <v>115000</v>
      </c>
      <c r="H250" s="1">
        <v>751.16160000000002</v>
      </c>
      <c r="I250" s="62">
        <f t="shared" si="12"/>
        <v>2.2659199999999999</v>
      </c>
      <c r="J250">
        <v>0.23</v>
      </c>
      <c r="AL250">
        <v>198</v>
      </c>
      <c r="AM250" t="s">
        <v>9306</v>
      </c>
      <c r="AN250" s="1">
        <v>1868.4108299999998</v>
      </c>
      <c r="AO250" s="2">
        <f t="shared" si="11"/>
        <v>1027.6259565</v>
      </c>
    </row>
    <row r="251" spans="1:41" x14ac:dyDescent="0.2">
      <c r="A251" s="13" t="s">
        <v>9307</v>
      </c>
      <c r="B251" s="3" t="s">
        <v>9045</v>
      </c>
      <c r="C251" s="13">
        <v>500</v>
      </c>
      <c r="E251" s="499">
        <v>842</v>
      </c>
      <c r="F251" s="1">
        <v>210</v>
      </c>
      <c r="G251" s="1">
        <f>+F251*Tabla29[[#This Row],[CANTIDAD]]</f>
        <v>105000</v>
      </c>
      <c r="H251" s="1">
        <v>751.16160000000002</v>
      </c>
      <c r="I251" s="62">
        <f t="shared" si="12"/>
        <v>2.5769600000000001</v>
      </c>
      <c r="J251">
        <v>0.23</v>
      </c>
      <c r="AL251">
        <v>800</v>
      </c>
      <c r="AM251" t="s">
        <v>2024</v>
      </c>
      <c r="AN251" s="1">
        <v>259.20000000000005</v>
      </c>
      <c r="AO251" s="2">
        <f t="shared" si="11"/>
        <v>142.56000000000003</v>
      </c>
    </row>
    <row r="252" spans="1:41" x14ac:dyDescent="0.2">
      <c r="A252" s="13" t="s">
        <v>9308</v>
      </c>
      <c r="B252" s="3" t="s">
        <v>9045</v>
      </c>
      <c r="C252" s="13">
        <v>200</v>
      </c>
      <c r="E252" s="4">
        <v>856</v>
      </c>
      <c r="F252" s="1">
        <v>461</v>
      </c>
      <c r="G252" s="1">
        <f>+F252*Tabla29[[#This Row],[CANTIDAD]]</f>
        <v>92200</v>
      </c>
      <c r="H252" s="1">
        <v>1208.3904</v>
      </c>
      <c r="I252" s="62">
        <f t="shared" si="12"/>
        <v>1.6212373101952275</v>
      </c>
      <c r="J252">
        <v>0.37</v>
      </c>
      <c r="AL252">
        <v>801</v>
      </c>
      <c r="AM252" t="s">
        <v>2026</v>
      </c>
      <c r="AN252" s="1">
        <v>259.20000000000005</v>
      </c>
      <c r="AO252" s="2">
        <f t="shared" si="11"/>
        <v>142.56000000000003</v>
      </c>
    </row>
    <row r="253" spans="1:41" x14ac:dyDescent="0.2">
      <c r="A253" s="13" t="s">
        <v>9309</v>
      </c>
      <c r="B253" s="3" t="s">
        <v>9045</v>
      </c>
      <c r="C253" s="13">
        <v>300</v>
      </c>
      <c r="E253" s="4">
        <v>866</v>
      </c>
      <c r="F253" s="1">
        <v>260</v>
      </c>
      <c r="G253" s="1">
        <f>+F253*Tabla29[[#This Row],[CANTIDAD]]</f>
        <v>78000</v>
      </c>
      <c r="H253" s="1">
        <v>1665.6192000000001</v>
      </c>
      <c r="I253" s="62">
        <f t="shared" si="12"/>
        <v>5.4062276923076924</v>
      </c>
      <c r="J253">
        <v>0.51</v>
      </c>
      <c r="AL253">
        <v>803</v>
      </c>
      <c r="AM253" t="s">
        <v>2028</v>
      </c>
      <c r="AN253" s="1">
        <v>259.20000000000005</v>
      </c>
      <c r="AO253" s="2">
        <f t="shared" si="11"/>
        <v>142.56000000000003</v>
      </c>
    </row>
    <row r="254" spans="1:41" x14ac:dyDescent="0.2">
      <c r="A254" s="13" t="s">
        <v>9310</v>
      </c>
      <c r="B254" s="3" t="s">
        <v>9045</v>
      </c>
      <c r="C254" s="13">
        <v>300</v>
      </c>
      <c r="E254" s="4">
        <v>136</v>
      </c>
      <c r="F254" s="1">
        <v>215</v>
      </c>
      <c r="G254" s="1">
        <f>+F254*Tabla29[[#This Row],[CANTIDAD]]</f>
        <v>64500</v>
      </c>
      <c r="H254" s="1">
        <v>1047.2280000000001</v>
      </c>
      <c r="I254" s="62">
        <f t="shared" si="12"/>
        <v>3.8708279069767446</v>
      </c>
      <c r="J254">
        <v>0.48</v>
      </c>
      <c r="AL254">
        <v>805</v>
      </c>
      <c r="AM254" t="s">
        <v>2030</v>
      </c>
      <c r="AN254" s="1">
        <v>272.15999999999997</v>
      </c>
      <c r="AO254" s="2">
        <f t="shared" si="11"/>
        <v>149.68799999999999</v>
      </c>
    </row>
    <row r="255" spans="1:41" x14ac:dyDescent="0.2">
      <c r="A255" s="13" t="s">
        <v>1675</v>
      </c>
      <c r="B255" s="3" t="s">
        <v>9017</v>
      </c>
      <c r="C255" s="13">
        <v>100</v>
      </c>
      <c r="E255" s="4">
        <v>188</v>
      </c>
      <c r="F255" s="1">
        <v>1085</v>
      </c>
      <c r="G255" s="1">
        <f>+F255*Tabla29[[#This Row],[CANTIDAD]]</f>
        <v>108500</v>
      </c>
      <c r="H255" s="1">
        <v>6591.732</v>
      </c>
      <c r="I255" s="62">
        <f t="shared" si="12"/>
        <v>5.0753290322580646</v>
      </c>
      <c r="AL255">
        <v>807</v>
      </c>
      <c r="AM255" t="s">
        <v>2032</v>
      </c>
      <c r="AN255" s="1">
        <v>311.03999999999996</v>
      </c>
      <c r="AO255" s="2">
        <f t="shared" si="11"/>
        <v>171.072</v>
      </c>
    </row>
    <row r="256" spans="1:41" x14ac:dyDescent="0.2">
      <c r="A256" s="3"/>
      <c r="B256" s="3"/>
      <c r="C256" s="13"/>
      <c r="E256" s="30"/>
      <c r="AL256">
        <v>808</v>
      </c>
      <c r="AM256" t="s">
        <v>2034</v>
      </c>
      <c r="AN256" s="1">
        <v>382.32</v>
      </c>
      <c r="AO256" s="2">
        <f t="shared" si="11"/>
        <v>210.27600000000001</v>
      </c>
    </row>
    <row r="257" spans="1:41" x14ac:dyDescent="0.2">
      <c r="A257" s="3"/>
      <c r="B257" s="3"/>
      <c r="C257" s="13"/>
      <c r="G257" s="1043">
        <f>+SUM(G246:G255)</f>
        <v>874600</v>
      </c>
      <c r="AL257">
        <v>809</v>
      </c>
      <c r="AM257" t="s">
        <v>2036</v>
      </c>
      <c r="AN257" s="1">
        <v>421.20000000000005</v>
      </c>
      <c r="AO257" s="2">
        <f t="shared" si="11"/>
        <v>231.66000000000005</v>
      </c>
    </row>
    <row r="258" spans="1:41" x14ac:dyDescent="0.2">
      <c r="AL258">
        <v>810</v>
      </c>
      <c r="AM258" t="s">
        <v>2038</v>
      </c>
      <c r="AN258" s="1">
        <v>421.20000000000005</v>
      </c>
      <c r="AO258" s="2">
        <f t="shared" si="11"/>
        <v>231.66000000000005</v>
      </c>
    </row>
    <row r="259" spans="1:41" x14ac:dyDescent="0.2">
      <c r="AL259">
        <v>812</v>
      </c>
      <c r="AM259" t="s">
        <v>2040</v>
      </c>
      <c r="AN259" s="1">
        <v>518.40000000000009</v>
      </c>
      <c r="AO259" s="2">
        <f t="shared" ref="AO259:AO286" si="13">+(1-$AO$1)*AN259</f>
        <v>285.12000000000006</v>
      </c>
    </row>
    <row r="260" spans="1:41" x14ac:dyDescent="0.2">
      <c r="AL260">
        <v>813</v>
      </c>
      <c r="AM260" t="s">
        <v>2042</v>
      </c>
      <c r="AN260" s="1">
        <v>447.12</v>
      </c>
      <c r="AO260" s="2">
        <f t="shared" si="13"/>
        <v>245.91600000000003</v>
      </c>
    </row>
    <row r="261" spans="1:41" x14ac:dyDescent="0.2">
      <c r="AL261">
        <v>814</v>
      </c>
      <c r="AM261" t="s">
        <v>2044</v>
      </c>
      <c r="AN261" s="1">
        <v>447.12</v>
      </c>
      <c r="AO261" s="2">
        <f t="shared" si="13"/>
        <v>245.91600000000003</v>
      </c>
    </row>
    <row r="262" spans="1:41" x14ac:dyDescent="0.2">
      <c r="AL262">
        <v>815</v>
      </c>
      <c r="AM262" t="s">
        <v>2046</v>
      </c>
      <c r="AN262" s="1">
        <v>486</v>
      </c>
      <c r="AO262" s="2">
        <f t="shared" si="13"/>
        <v>267.3</v>
      </c>
    </row>
    <row r="263" spans="1:41" x14ac:dyDescent="0.2">
      <c r="AL263">
        <v>816</v>
      </c>
      <c r="AM263" t="s">
        <v>2048</v>
      </c>
      <c r="AN263" s="1">
        <v>615.59999999999991</v>
      </c>
      <c r="AO263" s="2">
        <f t="shared" si="13"/>
        <v>338.58</v>
      </c>
    </row>
    <row r="264" spans="1:41" x14ac:dyDescent="0.2">
      <c r="AL264">
        <v>818</v>
      </c>
      <c r="AM264" t="s">
        <v>2050</v>
      </c>
      <c r="AN264" s="1">
        <v>712.80000000000007</v>
      </c>
      <c r="AO264" s="2">
        <f t="shared" si="13"/>
        <v>392.04000000000008</v>
      </c>
    </row>
    <row r="265" spans="1:41" x14ac:dyDescent="0.2">
      <c r="AL265">
        <v>820</v>
      </c>
      <c r="AM265" t="s">
        <v>2052</v>
      </c>
      <c r="AN265" s="1">
        <v>615.59999999999991</v>
      </c>
      <c r="AO265" s="2">
        <f t="shared" si="13"/>
        <v>338.58</v>
      </c>
    </row>
    <row r="266" spans="1:41" x14ac:dyDescent="0.2">
      <c r="AL266">
        <v>822</v>
      </c>
      <c r="AM266" t="s">
        <v>2054</v>
      </c>
      <c r="AN266" s="1">
        <v>615.59999999999991</v>
      </c>
      <c r="AO266" s="2">
        <f t="shared" si="13"/>
        <v>338.58</v>
      </c>
    </row>
    <row r="267" spans="1:41" x14ac:dyDescent="0.2">
      <c r="AL267">
        <v>824</v>
      </c>
      <c r="AM267" t="s">
        <v>2056</v>
      </c>
      <c r="AN267" s="1">
        <v>712.80000000000007</v>
      </c>
      <c r="AO267" s="2">
        <f t="shared" si="13"/>
        <v>392.04000000000008</v>
      </c>
    </row>
    <row r="268" spans="1:41" x14ac:dyDescent="0.2">
      <c r="AL268">
        <v>828</v>
      </c>
      <c r="AM268" t="s">
        <v>2058</v>
      </c>
      <c r="AN268" s="1">
        <v>1036.8000000000002</v>
      </c>
      <c r="AO268" s="2">
        <f t="shared" si="13"/>
        <v>570.24000000000012</v>
      </c>
    </row>
    <row r="269" spans="1:41" x14ac:dyDescent="0.2">
      <c r="AL269">
        <v>840</v>
      </c>
      <c r="AM269" t="s">
        <v>2060</v>
      </c>
      <c r="AN269" s="1">
        <v>149.04</v>
      </c>
      <c r="AO269" s="2">
        <f t="shared" si="13"/>
        <v>81.972000000000008</v>
      </c>
    </row>
    <row r="270" spans="1:41" x14ac:dyDescent="0.2">
      <c r="AL270">
        <v>842</v>
      </c>
      <c r="AM270" t="s">
        <v>2062</v>
      </c>
      <c r="AN270" s="1">
        <v>149.04</v>
      </c>
      <c r="AO270" s="2">
        <f t="shared" si="13"/>
        <v>81.972000000000008</v>
      </c>
    </row>
    <row r="271" spans="1:41" x14ac:dyDescent="0.2">
      <c r="AL271">
        <v>844</v>
      </c>
      <c r="AM271" t="s">
        <v>2064</v>
      </c>
      <c r="AN271" s="1">
        <v>162</v>
      </c>
      <c r="AO271" s="2">
        <f t="shared" si="13"/>
        <v>89.100000000000009</v>
      </c>
    </row>
    <row r="272" spans="1:41" x14ac:dyDescent="0.2">
      <c r="AL272">
        <v>846</v>
      </c>
      <c r="AM272" t="s">
        <v>2066</v>
      </c>
      <c r="AN272" s="1">
        <v>162</v>
      </c>
      <c r="AO272" s="2">
        <f t="shared" si="13"/>
        <v>89.100000000000009</v>
      </c>
    </row>
    <row r="273" spans="38:41" x14ac:dyDescent="0.2">
      <c r="AL273">
        <v>847</v>
      </c>
      <c r="AM273" t="s">
        <v>2068</v>
      </c>
      <c r="AN273" s="1">
        <v>207.36</v>
      </c>
      <c r="AO273" s="2">
        <f t="shared" si="13"/>
        <v>114.04800000000002</v>
      </c>
    </row>
    <row r="274" spans="38:41" x14ac:dyDescent="0.2">
      <c r="AL274">
        <v>848</v>
      </c>
      <c r="AM274" t="s">
        <v>2070</v>
      </c>
      <c r="AN274" s="1">
        <v>207.36</v>
      </c>
      <c r="AO274" s="2">
        <f t="shared" si="13"/>
        <v>114.04800000000002</v>
      </c>
    </row>
    <row r="275" spans="38:41" x14ac:dyDescent="0.2">
      <c r="AL275">
        <v>850</v>
      </c>
      <c r="AM275" t="s">
        <v>2072</v>
      </c>
      <c r="AN275" s="1">
        <v>207.36</v>
      </c>
      <c r="AO275" s="2">
        <f t="shared" si="13"/>
        <v>114.04800000000002</v>
      </c>
    </row>
    <row r="276" spans="38:41" x14ac:dyDescent="0.2">
      <c r="AL276">
        <v>852</v>
      </c>
      <c r="AM276" t="s">
        <v>2074</v>
      </c>
      <c r="AN276" s="1">
        <v>207.36</v>
      </c>
      <c r="AO276" s="2">
        <f t="shared" si="13"/>
        <v>114.04800000000002</v>
      </c>
    </row>
    <row r="277" spans="38:41" x14ac:dyDescent="0.2">
      <c r="AL277">
        <v>854</v>
      </c>
      <c r="AM277" t="s">
        <v>2076</v>
      </c>
      <c r="AN277" s="1">
        <v>239.76</v>
      </c>
      <c r="AO277" s="2">
        <f t="shared" si="13"/>
        <v>131.86799999999999</v>
      </c>
    </row>
    <row r="278" spans="38:41" x14ac:dyDescent="0.2">
      <c r="AL278">
        <v>856</v>
      </c>
      <c r="AM278" t="s">
        <v>2078</v>
      </c>
      <c r="AN278" s="1">
        <v>239.76</v>
      </c>
      <c r="AO278" s="2">
        <f t="shared" si="13"/>
        <v>131.86799999999999</v>
      </c>
    </row>
    <row r="279" spans="38:41" x14ac:dyDescent="0.2">
      <c r="AL279">
        <v>858</v>
      </c>
      <c r="AM279" t="s">
        <v>2080</v>
      </c>
      <c r="AN279" s="1">
        <v>239.76</v>
      </c>
      <c r="AO279" s="2">
        <f t="shared" si="13"/>
        <v>131.86799999999999</v>
      </c>
    </row>
    <row r="280" spans="38:41" x14ac:dyDescent="0.2">
      <c r="AL280">
        <v>860</v>
      </c>
      <c r="AM280" t="s">
        <v>2082</v>
      </c>
      <c r="AN280" s="1">
        <v>239.76</v>
      </c>
      <c r="AO280" s="2">
        <f t="shared" si="13"/>
        <v>131.86799999999999</v>
      </c>
    </row>
    <row r="281" spans="38:41" x14ac:dyDescent="0.2">
      <c r="AL281">
        <v>862</v>
      </c>
      <c r="AM281" t="s">
        <v>2084</v>
      </c>
      <c r="AN281" s="1">
        <v>272.15999999999997</v>
      </c>
      <c r="AO281" s="2">
        <f t="shared" si="13"/>
        <v>149.68799999999999</v>
      </c>
    </row>
    <row r="282" spans="38:41" x14ac:dyDescent="0.2">
      <c r="AL282">
        <v>864</v>
      </c>
      <c r="AM282" t="s">
        <v>2086</v>
      </c>
      <c r="AN282" s="1">
        <v>278.64</v>
      </c>
      <c r="AO282" s="2">
        <f t="shared" si="13"/>
        <v>153.25200000000001</v>
      </c>
    </row>
    <row r="283" spans="38:41" x14ac:dyDescent="0.2">
      <c r="AL283">
        <v>866</v>
      </c>
      <c r="AM283" t="s">
        <v>2088</v>
      </c>
      <c r="AN283" s="1">
        <v>330.48</v>
      </c>
      <c r="AO283" s="2">
        <f t="shared" si="13"/>
        <v>181.76400000000004</v>
      </c>
    </row>
    <row r="284" spans="38:41" x14ac:dyDescent="0.2">
      <c r="AL284">
        <v>868</v>
      </c>
      <c r="AM284" t="s">
        <v>2090</v>
      </c>
      <c r="AN284" s="1">
        <v>330.48</v>
      </c>
      <c r="AO284" s="2">
        <f t="shared" si="13"/>
        <v>181.76400000000004</v>
      </c>
    </row>
    <row r="285" spans="38:41" x14ac:dyDescent="0.2">
      <c r="AL285">
        <v>870</v>
      </c>
      <c r="AM285" t="s">
        <v>2092</v>
      </c>
      <c r="AN285" s="1">
        <v>375.84</v>
      </c>
      <c r="AO285" s="2">
        <f t="shared" si="13"/>
        <v>206.71199999999999</v>
      </c>
    </row>
    <row r="286" spans="38:41" x14ac:dyDescent="0.2">
      <c r="AL286">
        <v>872</v>
      </c>
      <c r="AM286" t="s">
        <v>2094</v>
      </c>
      <c r="AN286" s="1">
        <v>375.84</v>
      </c>
      <c r="AO286" s="2">
        <f t="shared" si="13"/>
        <v>206.71199999999999</v>
      </c>
    </row>
  </sheetData>
  <autoFilter ref="AL1:AN286" xr:uid="{49270212-A069-4CE4-AE21-8615F3C467D1}"/>
  <mergeCells count="2">
    <mergeCell ref="A22:C22"/>
    <mergeCell ref="I58:J58"/>
  </mergeCells>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9079C-D3BE-4E2B-93DC-E7A526F1E085}">
  <sheetPr codeName="Hoja34"/>
  <dimension ref="A1:V578"/>
  <sheetViews>
    <sheetView zoomScale="115" zoomScaleNormal="115" workbookViewId="0">
      <pane ySplit="2" topLeftCell="A3" activePane="bottomLeft" state="frozen"/>
      <selection activeCell="C11" activeCellId="6" sqref="C4 C5 C6 C7 C8 C10 C11"/>
      <selection pane="bottomLeft" activeCell="E5" sqref="E5"/>
    </sheetView>
  </sheetViews>
  <sheetFormatPr baseColWidth="10" defaultColWidth="11.42578125" defaultRowHeight="12.75" x14ac:dyDescent="0.2"/>
  <cols>
    <col min="1" max="1" width="15.85546875" customWidth="1"/>
    <col min="3" max="3" width="2.7109375" customWidth="1"/>
    <col min="4" max="4" width="7.28515625" customWidth="1"/>
    <col min="7" max="7" width="15.28515625" customWidth="1"/>
    <col min="8" max="8" width="11.7109375" bestFit="1" customWidth="1"/>
    <col min="11" max="11" width="4.28515625" customWidth="1"/>
    <col min="12" max="12" width="10.5703125" bestFit="1" customWidth="1"/>
    <col min="18" max="18" width="35.28515625" customWidth="1"/>
  </cols>
  <sheetData>
    <row r="1" spans="1:22" ht="28.15" customHeight="1" thickBot="1" x14ac:dyDescent="0.25">
      <c r="A1" s="1496" t="s">
        <v>9311</v>
      </c>
      <c r="B1" s="1497"/>
      <c r="G1" s="780">
        <f>+SUM(G3:G140)</f>
        <v>118444.4</v>
      </c>
      <c r="H1" s="782">
        <v>1060</v>
      </c>
      <c r="I1" s="597" t="s">
        <v>8751</v>
      </c>
      <c r="J1" s="597" t="s">
        <v>9312</v>
      </c>
      <c r="L1" s="30" t="s">
        <v>8767</v>
      </c>
      <c r="M1" s="781">
        <v>0.26</v>
      </c>
      <c r="O1" s="446" t="s">
        <v>0</v>
      </c>
      <c r="P1" s="446" t="s">
        <v>1</v>
      </c>
      <c r="Q1" s="446" t="s">
        <v>2</v>
      </c>
      <c r="R1" s="446" t="s">
        <v>8756</v>
      </c>
      <c r="S1" s="446" t="s">
        <v>3</v>
      </c>
      <c r="T1" s="446" t="s">
        <v>8188</v>
      </c>
      <c r="U1" s="446" t="s">
        <v>8322</v>
      </c>
    </row>
    <row r="2" spans="1:22" x14ac:dyDescent="0.2">
      <c r="A2" s="778" t="s">
        <v>8751</v>
      </c>
      <c r="B2" s="779" t="s">
        <v>8322</v>
      </c>
      <c r="D2" s="32" t="s">
        <v>8160</v>
      </c>
      <c r="E2" s="32" t="s">
        <v>8189</v>
      </c>
      <c r="F2" s="32" t="s">
        <v>8326</v>
      </c>
      <c r="G2" s="32" t="s">
        <v>9081</v>
      </c>
      <c r="H2" t="s">
        <v>8168</v>
      </c>
      <c r="I2" s="740">
        <v>2000</v>
      </c>
      <c r="J2" s="741">
        <v>12</v>
      </c>
      <c r="O2" t="s">
        <v>1684</v>
      </c>
      <c r="P2" t="s">
        <v>1685</v>
      </c>
      <c r="Q2">
        <v>400</v>
      </c>
      <c r="R2" t="s">
        <v>1688</v>
      </c>
      <c r="S2">
        <v>2239.7600000000002</v>
      </c>
      <c r="T2">
        <v>2100</v>
      </c>
      <c r="U2">
        <v>25</v>
      </c>
      <c r="V2">
        <f>+T2+0</f>
        <v>2100</v>
      </c>
    </row>
    <row r="3" spans="1:22" x14ac:dyDescent="0.2">
      <c r="A3" s="177" t="s">
        <v>21565</v>
      </c>
      <c r="B3" s="177" t="s">
        <v>9313</v>
      </c>
      <c r="D3" s="13"/>
      <c r="E3" s="13"/>
      <c r="F3" s="1223">
        <f>(IFERROR(IF(VLOOKUP(A3,$I$1:$J$577,2,0)="NO",0,VLOOKUP(A3,$I$1:$J$577,2,0)),0)*$H$1)-(IFERROR(IF(VLOOKUP(A3,$I$1:$J$577,2,0)="NO",0,VLOOKUP(A3,$I$1:$J$577,2,0)),0)*$H$1)*$M$1</f>
        <v>0</v>
      </c>
      <c r="G3" s="1">
        <f>+F3*D3</f>
        <v>0</v>
      </c>
      <c r="I3" s="740">
        <v>2001</v>
      </c>
      <c r="J3" s="741">
        <v>12</v>
      </c>
      <c r="O3" t="s">
        <v>1689</v>
      </c>
      <c r="P3" t="s">
        <v>1685</v>
      </c>
      <c r="Q3">
        <v>401</v>
      </c>
      <c r="R3" t="s">
        <v>1691</v>
      </c>
      <c r="S3">
        <v>2351.8000000000002</v>
      </c>
      <c r="T3">
        <v>2101</v>
      </c>
      <c r="U3">
        <v>25</v>
      </c>
      <c r="V3">
        <f t="shared" ref="V3:V66" si="0">+T3+0</f>
        <v>2101</v>
      </c>
    </row>
    <row r="4" spans="1:22" x14ac:dyDescent="0.2">
      <c r="A4" s="177">
        <f t="shared" ref="A4:A32" si="1">IFERROR(_xlfn.XLOOKUP(E4,$Q$1:$Q$109,$T$1:$T$109,"",0)+0,0)</f>
        <v>2122</v>
      </c>
      <c r="B4" s="177" t="s">
        <v>9313</v>
      </c>
      <c r="D4" s="13">
        <v>100</v>
      </c>
      <c r="E4" s="13">
        <v>421</v>
      </c>
      <c r="F4" s="1223">
        <f t="shared" ref="F4:F32" si="2">(IFERROR(IF(VLOOKUP(A4,$I$1:$J$577,2,0)="NO",0,VLOOKUP(A4,$I$1:$J$577,2,0)),0)*$H$1)-(IFERROR(IF(VLOOKUP(A4,$I$1:$J$577,2,0)="NO",0,VLOOKUP(A4,$I$1:$J$577,2,0)),0)*$H$1)*$M$1</f>
        <v>0</v>
      </c>
      <c r="G4" s="1">
        <f t="shared" ref="G4:G32" si="3">+F4*D4</f>
        <v>0</v>
      </c>
      <c r="I4" s="742">
        <v>2002</v>
      </c>
      <c r="J4" s="743">
        <v>3.88</v>
      </c>
      <c r="O4" t="s">
        <v>1692</v>
      </c>
      <c r="P4" t="s">
        <v>1685</v>
      </c>
      <c r="Q4">
        <v>402</v>
      </c>
      <c r="R4" t="s">
        <v>1694</v>
      </c>
      <c r="S4">
        <v>3223.6</v>
      </c>
      <c r="T4">
        <v>2102</v>
      </c>
      <c r="U4">
        <v>25</v>
      </c>
      <c r="V4">
        <f t="shared" si="0"/>
        <v>2102</v>
      </c>
    </row>
    <row r="5" spans="1:22" x14ac:dyDescent="0.2">
      <c r="A5" s="177">
        <f t="shared" si="1"/>
        <v>2239</v>
      </c>
      <c r="B5" s="177" t="s">
        <v>9313</v>
      </c>
      <c r="D5" s="13">
        <v>100</v>
      </c>
      <c r="E5" s="13">
        <v>482</v>
      </c>
      <c r="F5" s="1223">
        <f t="shared" si="2"/>
        <v>1184.444</v>
      </c>
      <c r="G5" s="1">
        <f t="shared" si="3"/>
        <v>118444.4</v>
      </c>
      <c r="I5" s="742">
        <v>2003</v>
      </c>
      <c r="J5" s="743">
        <v>1.8</v>
      </c>
      <c r="O5" t="s">
        <v>1695</v>
      </c>
      <c r="P5" t="s">
        <v>1685</v>
      </c>
      <c r="Q5">
        <v>405</v>
      </c>
      <c r="R5" t="s">
        <v>1697</v>
      </c>
      <c r="S5">
        <v>2195.04</v>
      </c>
      <c r="T5">
        <v>2105</v>
      </c>
      <c r="U5">
        <v>25</v>
      </c>
      <c r="V5">
        <f t="shared" si="0"/>
        <v>2105</v>
      </c>
    </row>
    <row r="6" spans="1:22" x14ac:dyDescent="0.2">
      <c r="A6" s="177">
        <f t="shared" si="1"/>
        <v>2237</v>
      </c>
      <c r="B6" s="177">
        <v>100</v>
      </c>
      <c r="D6" s="13"/>
      <c r="E6" s="13">
        <v>86</v>
      </c>
      <c r="F6" s="1223">
        <f t="shared" si="2"/>
        <v>517.70399999999995</v>
      </c>
      <c r="G6" s="1">
        <f t="shared" si="3"/>
        <v>0</v>
      </c>
      <c r="I6" s="742">
        <v>2004</v>
      </c>
      <c r="J6" s="744">
        <v>3.54</v>
      </c>
      <c r="O6" t="s">
        <v>1698</v>
      </c>
      <c r="P6" t="s">
        <v>1685</v>
      </c>
      <c r="Q6">
        <v>406</v>
      </c>
      <c r="R6" t="s">
        <v>1700</v>
      </c>
      <c r="S6">
        <v>1523.24</v>
      </c>
      <c r="T6">
        <v>2106</v>
      </c>
      <c r="U6">
        <v>25</v>
      </c>
      <c r="V6">
        <f t="shared" si="0"/>
        <v>2106</v>
      </c>
    </row>
    <row r="7" spans="1:22" x14ac:dyDescent="0.2">
      <c r="A7" s="177">
        <f t="shared" si="1"/>
        <v>0</v>
      </c>
      <c r="B7" s="177" t="s">
        <v>9313</v>
      </c>
      <c r="D7" s="13"/>
      <c r="E7" s="13"/>
      <c r="F7" s="1223">
        <f t="shared" si="2"/>
        <v>0</v>
      </c>
      <c r="G7" s="1">
        <f t="shared" si="3"/>
        <v>0</v>
      </c>
      <c r="I7" s="742">
        <v>2005</v>
      </c>
      <c r="J7" s="743">
        <v>3.38</v>
      </c>
      <c r="O7" t="s">
        <v>1701</v>
      </c>
      <c r="P7" t="s">
        <v>1685</v>
      </c>
      <c r="Q7">
        <v>409</v>
      </c>
      <c r="R7" t="s">
        <v>1703</v>
      </c>
      <c r="S7">
        <v>1522.88</v>
      </c>
      <c r="T7">
        <v>2109</v>
      </c>
      <c r="U7">
        <v>25</v>
      </c>
      <c r="V7">
        <f t="shared" si="0"/>
        <v>2109</v>
      </c>
    </row>
    <row r="8" spans="1:22" x14ac:dyDescent="0.2">
      <c r="A8" s="177">
        <f t="shared" si="1"/>
        <v>0</v>
      </c>
      <c r="B8" s="177" t="s">
        <v>9313</v>
      </c>
      <c r="D8" s="13"/>
      <c r="E8" s="13"/>
      <c r="F8" s="1223">
        <f t="shared" si="2"/>
        <v>0</v>
      </c>
      <c r="G8" s="1">
        <f t="shared" si="3"/>
        <v>0</v>
      </c>
      <c r="I8" s="742">
        <v>2006</v>
      </c>
      <c r="J8" s="743">
        <v>1.95</v>
      </c>
      <c r="O8" t="s">
        <v>1704</v>
      </c>
      <c r="P8" t="s">
        <v>1685</v>
      </c>
      <c r="Q8">
        <v>414</v>
      </c>
      <c r="R8" t="s">
        <v>1706</v>
      </c>
      <c r="S8">
        <v>1187.56</v>
      </c>
      <c r="T8">
        <v>2115</v>
      </c>
      <c r="U8">
        <v>25</v>
      </c>
      <c r="V8">
        <f t="shared" si="0"/>
        <v>2115</v>
      </c>
    </row>
    <row r="9" spans="1:22" x14ac:dyDescent="0.2">
      <c r="A9" s="177">
        <f t="shared" si="1"/>
        <v>0</v>
      </c>
      <c r="B9" s="177" t="s">
        <v>9313</v>
      </c>
      <c r="D9" s="13"/>
      <c r="E9" s="13"/>
      <c r="F9" s="1223">
        <f t="shared" si="2"/>
        <v>0</v>
      </c>
      <c r="G9" s="1">
        <f t="shared" si="3"/>
        <v>0</v>
      </c>
      <c r="I9" s="742">
        <v>2007</v>
      </c>
      <c r="J9" s="745">
        <v>2.13</v>
      </c>
      <c r="O9" t="s">
        <v>1707</v>
      </c>
      <c r="P9" t="s">
        <v>1685</v>
      </c>
      <c r="Q9">
        <v>415</v>
      </c>
      <c r="R9" t="s">
        <v>1709</v>
      </c>
      <c r="S9">
        <v>1187.56</v>
      </c>
      <c r="T9">
        <v>2116</v>
      </c>
      <c r="U9">
        <v>100</v>
      </c>
      <c r="V9">
        <f t="shared" si="0"/>
        <v>2116</v>
      </c>
    </row>
    <row r="10" spans="1:22" x14ac:dyDescent="0.2">
      <c r="A10" s="177">
        <f t="shared" si="1"/>
        <v>0</v>
      </c>
      <c r="B10" s="177" t="s">
        <v>9313</v>
      </c>
      <c r="D10" s="13"/>
      <c r="E10" s="13"/>
      <c r="F10" s="1223">
        <f t="shared" si="2"/>
        <v>0</v>
      </c>
      <c r="G10" s="1">
        <f t="shared" si="3"/>
        <v>0</v>
      </c>
      <c r="I10" s="742">
        <v>2008</v>
      </c>
      <c r="J10" s="743">
        <v>2.36</v>
      </c>
      <c r="O10" t="s">
        <v>1710</v>
      </c>
      <c r="P10" t="s">
        <v>1685</v>
      </c>
      <c r="Q10">
        <v>420</v>
      </c>
      <c r="R10" t="s">
        <v>1712</v>
      </c>
      <c r="S10">
        <v>3225.08</v>
      </c>
      <c r="T10">
        <v>2121</v>
      </c>
      <c r="U10">
        <v>25</v>
      </c>
      <c r="V10">
        <f t="shared" si="0"/>
        <v>2121</v>
      </c>
    </row>
    <row r="11" spans="1:22" x14ac:dyDescent="0.2">
      <c r="A11" s="177">
        <f t="shared" si="1"/>
        <v>0</v>
      </c>
      <c r="B11" s="177" t="s">
        <v>9313</v>
      </c>
      <c r="D11" s="13"/>
      <c r="E11" s="13"/>
      <c r="F11" s="1223">
        <f t="shared" si="2"/>
        <v>0</v>
      </c>
      <c r="G11" s="1">
        <f t="shared" si="3"/>
        <v>0</v>
      </c>
      <c r="I11" s="742">
        <v>2009</v>
      </c>
      <c r="J11" s="743">
        <v>1.62</v>
      </c>
      <c r="O11" t="s">
        <v>1713</v>
      </c>
      <c r="P11" t="s">
        <v>1685</v>
      </c>
      <c r="Q11">
        <v>421</v>
      </c>
      <c r="R11" t="s">
        <v>1715</v>
      </c>
      <c r="S11">
        <v>1187.56</v>
      </c>
      <c r="T11">
        <v>2122</v>
      </c>
      <c r="U11">
        <v>25</v>
      </c>
      <c r="V11">
        <f t="shared" si="0"/>
        <v>2122</v>
      </c>
    </row>
    <row r="12" spans="1:22" x14ac:dyDescent="0.2">
      <c r="A12" s="177">
        <f t="shared" si="1"/>
        <v>0</v>
      </c>
      <c r="B12" s="177" t="s">
        <v>9313</v>
      </c>
      <c r="D12" s="13"/>
      <c r="E12" s="13"/>
      <c r="F12" s="1223">
        <f t="shared" si="2"/>
        <v>0</v>
      </c>
      <c r="G12" s="1">
        <f t="shared" si="3"/>
        <v>0</v>
      </c>
      <c r="I12" s="742">
        <v>2010</v>
      </c>
      <c r="J12" s="743">
        <v>2.1800000000000002</v>
      </c>
      <c r="O12" t="s">
        <v>1716</v>
      </c>
      <c r="P12" t="s">
        <v>1685</v>
      </c>
      <c r="Q12">
        <v>429</v>
      </c>
      <c r="R12" t="s">
        <v>1718</v>
      </c>
      <c r="S12">
        <v>3919.4</v>
      </c>
      <c r="T12">
        <v>2130</v>
      </c>
      <c r="U12">
        <v>25</v>
      </c>
      <c r="V12">
        <f t="shared" si="0"/>
        <v>2130</v>
      </c>
    </row>
    <row r="13" spans="1:22" x14ac:dyDescent="0.2">
      <c r="A13" s="177">
        <f t="shared" si="1"/>
        <v>0</v>
      </c>
      <c r="B13" s="177" t="s">
        <v>9313</v>
      </c>
      <c r="D13" s="13"/>
      <c r="E13" s="13"/>
      <c r="F13" s="1223">
        <f t="shared" si="2"/>
        <v>0</v>
      </c>
      <c r="G13" s="1">
        <f t="shared" si="3"/>
        <v>0</v>
      </c>
      <c r="I13" s="742">
        <v>2011</v>
      </c>
      <c r="J13" s="743">
        <v>1.84</v>
      </c>
      <c r="O13" t="s">
        <v>1719</v>
      </c>
      <c r="P13" t="s">
        <v>1685</v>
      </c>
      <c r="Q13">
        <v>440</v>
      </c>
      <c r="R13" t="s">
        <v>1721</v>
      </c>
      <c r="S13">
        <v>2956.28</v>
      </c>
      <c r="T13">
        <v>2141</v>
      </c>
      <c r="U13">
        <v>25</v>
      </c>
      <c r="V13">
        <f t="shared" si="0"/>
        <v>2141</v>
      </c>
    </row>
    <row r="14" spans="1:22" x14ac:dyDescent="0.2">
      <c r="A14" s="177">
        <f t="shared" si="1"/>
        <v>0</v>
      </c>
      <c r="B14" s="177" t="s">
        <v>9313</v>
      </c>
      <c r="D14" s="13"/>
      <c r="E14" s="13"/>
      <c r="F14" s="1223">
        <f t="shared" si="2"/>
        <v>0</v>
      </c>
      <c r="G14" s="1">
        <f t="shared" si="3"/>
        <v>0</v>
      </c>
      <c r="I14" s="742">
        <v>2012</v>
      </c>
      <c r="J14" s="743">
        <v>4.83</v>
      </c>
      <c r="O14" t="s">
        <v>1722</v>
      </c>
      <c r="P14" t="s">
        <v>1685</v>
      </c>
      <c r="Q14">
        <v>441</v>
      </c>
      <c r="R14" t="s">
        <v>1724</v>
      </c>
      <c r="S14">
        <v>2956.28</v>
      </c>
      <c r="T14">
        <v>2142</v>
      </c>
      <c r="U14">
        <v>25</v>
      </c>
      <c r="V14">
        <f t="shared" si="0"/>
        <v>2142</v>
      </c>
    </row>
    <row r="15" spans="1:22" x14ac:dyDescent="0.2">
      <c r="A15" s="177">
        <f t="shared" si="1"/>
        <v>0</v>
      </c>
      <c r="B15" s="177" t="s">
        <v>9313</v>
      </c>
      <c r="D15" s="13"/>
      <c r="E15" s="13"/>
      <c r="F15" s="1223">
        <f t="shared" si="2"/>
        <v>0</v>
      </c>
      <c r="G15" s="1">
        <f t="shared" si="3"/>
        <v>0</v>
      </c>
      <c r="I15" s="742">
        <v>2013</v>
      </c>
      <c r="J15" s="743">
        <v>2.96</v>
      </c>
      <c r="O15" t="s">
        <v>1725</v>
      </c>
      <c r="P15" t="s">
        <v>1685</v>
      </c>
      <c r="Q15">
        <v>442</v>
      </c>
      <c r="R15" t="s">
        <v>1727</v>
      </c>
      <c r="S15">
        <v>1791.68</v>
      </c>
      <c r="T15">
        <v>2143</v>
      </c>
      <c r="U15">
        <v>25</v>
      </c>
      <c r="V15">
        <f t="shared" si="0"/>
        <v>2143</v>
      </c>
    </row>
    <row r="16" spans="1:22" x14ac:dyDescent="0.2">
      <c r="A16" s="177">
        <f t="shared" si="1"/>
        <v>0</v>
      </c>
      <c r="B16" s="177" t="s">
        <v>9313</v>
      </c>
      <c r="D16" s="13"/>
      <c r="E16" s="13"/>
      <c r="F16" s="1223">
        <f t="shared" si="2"/>
        <v>0</v>
      </c>
      <c r="G16" s="1">
        <f t="shared" si="3"/>
        <v>0</v>
      </c>
      <c r="I16" s="742">
        <v>2014</v>
      </c>
      <c r="J16" s="743">
        <v>0.18</v>
      </c>
      <c r="O16" t="s">
        <v>1728</v>
      </c>
      <c r="P16" t="s">
        <v>1685</v>
      </c>
      <c r="Q16">
        <v>443</v>
      </c>
      <c r="R16" t="s">
        <v>1730</v>
      </c>
      <c r="S16">
        <v>3493.84</v>
      </c>
      <c r="T16">
        <v>2144</v>
      </c>
      <c r="U16">
        <v>25</v>
      </c>
      <c r="V16">
        <f t="shared" si="0"/>
        <v>2144</v>
      </c>
    </row>
    <row r="17" spans="1:22" x14ac:dyDescent="0.2">
      <c r="A17" s="177">
        <f t="shared" si="1"/>
        <v>0</v>
      </c>
      <c r="B17" s="177" t="s">
        <v>9313</v>
      </c>
      <c r="D17" s="13"/>
      <c r="E17" s="13"/>
      <c r="F17" s="1223">
        <f t="shared" si="2"/>
        <v>0</v>
      </c>
      <c r="G17" s="1">
        <f t="shared" si="3"/>
        <v>0</v>
      </c>
      <c r="I17" s="740">
        <v>2015</v>
      </c>
      <c r="J17" s="741">
        <v>13.63</v>
      </c>
      <c r="O17" t="s">
        <v>1731</v>
      </c>
      <c r="P17" t="s">
        <v>1685</v>
      </c>
      <c r="Q17">
        <v>460</v>
      </c>
      <c r="R17" t="s">
        <v>1733</v>
      </c>
      <c r="S17">
        <v>4120.88</v>
      </c>
      <c r="T17">
        <v>2202</v>
      </c>
      <c r="U17">
        <v>25</v>
      </c>
      <c r="V17">
        <f t="shared" si="0"/>
        <v>2202</v>
      </c>
    </row>
    <row r="18" spans="1:22" x14ac:dyDescent="0.2">
      <c r="A18" s="177">
        <f t="shared" si="1"/>
        <v>0</v>
      </c>
      <c r="B18" s="177" t="s">
        <v>9313</v>
      </c>
      <c r="D18" s="13"/>
      <c r="E18" s="13"/>
      <c r="F18" s="1223">
        <f t="shared" si="2"/>
        <v>0</v>
      </c>
      <c r="G18" s="1">
        <f t="shared" si="3"/>
        <v>0</v>
      </c>
      <c r="I18" s="740">
        <v>2016</v>
      </c>
      <c r="J18" s="741">
        <v>1.49</v>
      </c>
      <c r="O18" t="s">
        <v>1734</v>
      </c>
      <c r="P18" t="s">
        <v>1685</v>
      </c>
      <c r="Q18">
        <v>461</v>
      </c>
      <c r="R18" t="s">
        <v>1736</v>
      </c>
      <c r="S18">
        <v>4031.44</v>
      </c>
      <c r="T18">
        <v>2203</v>
      </c>
      <c r="U18">
        <v>10</v>
      </c>
      <c r="V18">
        <f t="shared" si="0"/>
        <v>2203</v>
      </c>
    </row>
    <row r="19" spans="1:22" x14ac:dyDescent="0.2">
      <c r="A19" s="177">
        <f t="shared" si="1"/>
        <v>0</v>
      </c>
      <c r="B19" s="177" t="s">
        <v>9313</v>
      </c>
      <c r="D19" s="13"/>
      <c r="E19" s="13"/>
      <c r="F19" s="1223">
        <f t="shared" si="2"/>
        <v>0</v>
      </c>
      <c r="G19" s="1">
        <f t="shared" si="3"/>
        <v>0</v>
      </c>
      <c r="I19" s="740">
        <v>2017</v>
      </c>
      <c r="J19" s="741">
        <v>0.83</v>
      </c>
      <c r="O19" t="s">
        <v>1737</v>
      </c>
      <c r="P19" t="s">
        <v>1685</v>
      </c>
      <c r="Q19">
        <v>462</v>
      </c>
      <c r="R19" t="s">
        <v>1739</v>
      </c>
      <c r="S19">
        <v>2508.56</v>
      </c>
      <c r="T19">
        <v>2207</v>
      </c>
      <c r="U19">
        <v>25</v>
      </c>
      <c r="V19">
        <f t="shared" si="0"/>
        <v>2207</v>
      </c>
    </row>
    <row r="20" spans="1:22" x14ac:dyDescent="0.2">
      <c r="A20" s="177">
        <f t="shared" si="1"/>
        <v>0</v>
      </c>
      <c r="B20" s="177" t="s">
        <v>9313</v>
      </c>
      <c r="D20" s="13"/>
      <c r="E20" s="13"/>
      <c r="F20" s="1223">
        <f t="shared" si="2"/>
        <v>0</v>
      </c>
      <c r="G20" s="1">
        <f t="shared" si="3"/>
        <v>0</v>
      </c>
      <c r="I20" s="740">
        <v>2018</v>
      </c>
      <c r="J20" s="741">
        <v>3.2</v>
      </c>
      <c r="O20" t="s">
        <v>1740</v>
      </c>
      <c r="P20" t="s">
        <v>1685</v>
      </c>
      <c r="Q20">
        <v>463</v>
      </c>
      <c r="R20" t="s">
        <v>1742</v>
      </c>
      <c r="S20">
        <v>1433.4</v>
      </c>
      <c r="T20">
        <v>2208</v>
      </c>
      <c r="U20">
        <v>25</v>
      </c>
      <c r="V20">
        <f t="shared" si="0"/>
        <v>2208</v>
      </c>
    </row>
    <row r="21" spans="1:22" x14ac:dyDescent="0.2">
      <c r="A21" s="177">
        <f t="shared" si="1"/>
        <v>0</v>
      </c>
      <c r="B21" s="177" t="s">
        <v>9313</v>
      </c>
      <c r="D21" s="13"/>
      <c r="E21" s="13"/>
      <c r="F21" s="1223">
        <f t="shared" si="2"/>
        <v>0</v>
      </c>
      <c r="G21" s="1">
        <f t="shared" si="3"/>
        <v>0</v>
      </c>
      <c r="I21" s="740">
        <v>2019</v>
      </c>
      <c r="J21" s="741">
        <v>1.49</v>
      </c>
      <c r="O21" t="s">
        <v>1743</v>
      </c>
      <c r="P21" t="s">
        <v>1685</v>
      </c>
      <c r="Q21">
        <v>464</v>
      </c>
      <c r="R21" t="s">
        <v>1745</v>
      </c>
      <c r="S21">
        <v>1433.4</v>
      </c>
      <c r="T21">
        <v>2209</v>
      </c>
      <c r="U21">
        <v>25</v>
      </c>
      <c r="V21">
        <f t="shared" si="0"/>
        <v>2209</v>
      </c>
    </row>
    <row r="22" spans="1:22" x14ac:dyDescent="0.2">
      <c r="A22" s="177">
        <f t="shared" si="1"/>
        <v>0</v>
      </c>
      <c r="B22" s="177" t="s">
        <v>9313</v>
      </c>
      <c r="D22" s="13"/>
      <c r="E22" s="13"/>
      <c r="F22" s="1223">
        <f t="shared" si="2"/>
        <v>0</v>
      </c>
      <c r="G22" s="1">
        <f t="shared" si="3"/>
        <v>0</v>
      </c>
      <c r="I22" s="740">
        <v>2020</v>
      </c>
      <c r="J22" s="741">
        <v>0.23</v>
      </c>
      <c r="O22" t="s">
        <v>1746</v>
      </c>
      <c r="P22" t="s">
        <v>1685</v>
      </c>
      <c r="Q22">
        <v>465</v>
      </c>
      <c r="R22" t="s">
        <v>1748</v>
      </c>
      <c r="S22">
        <v>1433.4</v>
      </c>
      <c r="T22">
        <v>2211</v>
      </c>
      <c r="U22">
        <v>25</v>
      </c>
      <c r="V22">
        <f t="shared" si="0"/>
        <v>2211</v>
      </c>
    </row>
    <row r="23" spans="1:22" x14ac:dyDescent="0.2">
      <c r="A23" s="177">
        <f t="shared" si="1"/>
        <v>0</v>
      </c>
      <c r="B23" s="177" t="s">
        <v>9313</v>
      </c>
      <c r="D23" s="13"/>
      <c r="E23" s="13"/>
      <c r="F23" s="1223">
        <f t="shared" si="2"/>
        <v>0</v>
      </c>
      <c r="G23" s="1">
        <f t="shared" si="3"/>
        <v>0</v>
      </c>
      <c r="I23" s="740">
        <v>2021</v>
      </c>
      <c r="J23" s="741">
        <v>1.1499999999999999</v>
      </c>
      <c r="O23" t="s">
        <v>1749</v>
      </c>
      <c r="P23" t="s">
        <v>1685</v>
      </c>
      <c r="Q23">
        <v>466</v>
      </c>
      <c r="R23" t="s">
        <v>1751</v>
      </c>
      <c r="S23">
        <v>2239.7600000000002</v>
      </c>
      <c r="T23">
        <v>2212</v>
      </c>
      <c r="U23">
        <v>25</v>
      </c>
      <c r="V23">
        <f t="shared" si="0"/>
        <v>2212</v>
      </c>
    </row>
    <row r="24" spans="1:22" x14ac:dyDescent="0.2">
      <c r="A24" s="177">
        <f t="shared" si="1"/>
        <v>0</v>
      </c>
      <c r="B24" s="177" t="s">
        <v>9313</v>
      </c>
      <c r="D24" s="13"/>
      <c r="E24" s="13"/>
      <c r="F24" s="1223">
        <f t="shared" si="2"/>
        <v>0</v>
      </c>
      <c r="G24" s="1">
        <f t="shared" si="3"/>
        <v>0</v>
      </c>
      <c r="I24" s="740">
        <v>2022</v>
      </c>
      <c r="J24" s="741">
        <v>1.38</v>
      </c>
      <c r="O24" t="s">
        <v>1752</v>
      </c>
      <c r="P24" t="s">
        <v>1685</v>
      </c>
      <c r="Q24">
        <v>467</v>
      </c>
      <c r="R24" t="s">
        <v>1754</v>
      </c>
      <c r="S24">
        <v>2690.44</v>
      </c>
      <c r="T24">
        <v>2215</v>
      </c>
      <c r="U24">
        <v>25</v>
      </c>
      <c r="V24">
        <f t="shared" si="0"/>
        <v>2215</v>
      </c>
    </row>
    <row r="25" spans="1:22" x14ac:dyDescent="0.2">
      <c r="A25" s="177">
        <f t="shared" si="1"/>
        <v>0</v>
      </c>
      <c r="B25" s="177" t="s">
        <v>9313</v>
      </c>
      <c r="D25" s="13"/>
      <c r="E25" s="13"/>
      <c r="F25" s="1223">
        <f t="shared" si="2"/>
        <v>0</v>
      </c>
      <c r="G25" s="1">
        <f t="shared" si="3"/>
        <v>0</v>
      </c>
      <c r="I25" s="740">
        <v>2023</v>
      </c>
      <c r="J25" s="741">
        <v>0.48</v>
      </c>
      <c r="O25" t="s">
        <v>1755</v>
      </c>
      <c r="P25" t="s">
        <v>1685</v>
      </c>
      <c r="Q25">
        <v>470</v>
      </c>
      <c r="R25" t="s">
        <v>1757</v>
      </c>
      <c r="S25">
        <v>2508.56</v>
      </c>
      <c r="T25">
        <v>2224</v>
      </c>
      <c r="U25">
        <v>25</v>
      </c>
      <c r="V25">
        <f t="shared" si="0"/>
        <v>2224</v>
      </c>
    </row>
    <row r="26" spans="1:22" x14ac:dyDescent="0.2">
      <c r="A26" s="177">
        <f t="shared" si="1"/>
        <v>0</v>
      </c>
      <c r="B26" s="177" t="s">
        <v>9313</v>
      </c>
      <c r="D26" s="13"/>
      <c r="E26" s="13"/>
      <c r="F26" s="1223">
        <f t="shared" si="2"/>
        <v>0</v>
      </c>
      <c r="G26" s="1">
        <f t="shared" si="3"/>
        <v>0</v>
      </c>
      <c r="I26" s="740">
        <v>2024</v>
      </c>
      <c r="J26" s="741">
        <v>0.48</v>
      </c>
      <c r="O26" t="s">
        <v>1758</v>
      </c>
      <c r="P26" t="s">
        <v>1685</v>
      </c>
      <c r="Q26">
        <v>473</v>
      </c>
      <c r="R26" t="s">
        <v>1760</v>
      </c>
      <c r="S26">
        <v>1187.56</v>
      </c>
      <c r="T26">
        <v>2229</v>
      </c>
      <c r="U26">
        <v>25</v>
      </c>
      <c r="V26">
        <f t="shared" si="0"/>
        <v>2229</v>
      </c>
    </row>
    <row r="27" spans="1:22" x14ac:dyDescent="0.2">
      <c r="A27" s="177">
        <f t="shared" si="1"/>
        <v>0</v>
      </c>
      <c r="B27" s="177" t="s">
        <v>9313</v>
      </c>
      <c r="D27" s="13"/>
      <c r="E27" s="13"/>
      <c r="F27" s="1223">
        <f t="shared" si="2"/>
        <v>0</v>
      </c>
      <c r="G27" s="1">
        <f t="shared" si="3"/>
        <v>0</v>
      </c>
      <c r="I27" s="740">
        <v>2025</v>
      </c>
      <c r="J27" s="741">
        <v>1.9</v>
      </c>
      <c r="O27" t="s">
        <v>1761</v>
      </c>
      <c r="P27" t="s">
        <v>1685</v>
      </c>
      <c r="Q27">
        <v>478</v>
      </c>
      <c r="R27" t="s">
        <v>1763</v>
      </c>
      <c r="S27">
        <v>3583.32</v>
      </c>
      <c r="T27">
        <v>2235</v>
      </c>
      <c r="U27">
        <v>25</v>
      </c>
      <c r="V27">
        <f t="shared" si="0"/>
        <v>2235</v>
      </c>
    </row>
    <row r="28" spans="1:22" x14ac:dyDescent="0.2">
      <c r="A28" s="177">
        <f t="shared" si="1"/>
        <v>0</v>
      </c>
      <c r="B28" s="177" t="s">
        <v>9313</v>
      </c>
      <c r="D28" s="13"/>
      <c r="E28" s="13"/>
      <c r="F28" s="1223">
        <f t="shared" si="2"/>
        <v>0</v>
      </c>
      <c r="G28" s="1">
        <f t="shared" si="3"/>
        <v>0</v>
      </c>
      <c r="I28" s="740">
        <v>2026</v>
      </c>
      <c r="J28" s="741">
        <v>3.89</v>
      </c>
      <c r="O28" t="s">
        <v>1764</v>
      </c>
      <c r="P28" t="s">
        <v>1685</v>
      </c>
      <c r="Q28">
        <v>479</v>
      </c>
      <c r="R28" t="s">
        <v>1766</v>
      </c>
      <c r="S28">
        <v>2331.84</v>
      </c>
      <c r="T28">
        <v>2236</v>
      </c>
      <c r="U28">
        <v>25</v>
      </c>
      <c r="V28">
        <f t="shared" si="0"/>
        <v>2236</v>
      </c>
    </row>
    <row r="29" spans="1:22" x14ac:dyDescent="0.2">
      <c r="A29" s="177">
        <f t="shared" si="1"/>
        <v>0</v>
      </c>
      <c r="B29" s="177" t="s">
        <v>9313</v>
      </c>
      <c r="D29" s="13"/>
      <c r="E29" s="13"/>
      <c r="F29" s="1223">
        <f t="shared" si="2"/>
        <v>0</v>
      </c>
      <c r="G29" s="1">
        <f t="shared" si="3"/>
        <v>0</v>
      </c>
      <c r="I29" s="740">
        <v>2027</v>
      </c>
      <c r="J29" s="741">
        <v>5.72</v>
      </c>
      <c r="O29" t="s">
        <v>1767</v>
      </c>
      <c r="P29" t="s">
        <v>1685</v>
      </c>
      <c r="Q29">
        <v>480</v>
      </c>
      <c r="R29" t="s">
        <v>1769</v>
      </c>
      <c r="S29">
        <v>2690.44</v>
      </c>
      <c r="T29">
        <v>2237</v>
      </c>
      <c r="U29">
        <v>25</v>
      </c>
      <c r="V29">
        <f t="shared" si="0"/>
        <v>2237</v>
      </c>
    </row>
    <row r="30" spans="1:22" x14ac:dyDescent="0.2">
      <c r="A30" s="177">
        <f t="shared" si="1"/>
        <v>0</v>
      </c>
      <c r="B30" s="177" t="s">
        <v>9313</v>
      </c>
      <c r="D30" s="13"/>
      <c r="E30" s="13"/>
      <c r="F30" s="1223">
        <f t="shared" si="2"/>
        <v>0</v>
      </c>
      <c r="G30" s="1">
        <f t="shared" si="3"/>
        <v>0</v>
      </c>
      <c r="I30" s="740">
        <v>2028</v>
      </c>
      <c r="J30" s="741">
        <v>4.25</v>
      </c>
      <c r="O30" t="s">
        <v>1770</v>
      </c>
      <c r="P30" t="s">
        <v>1685</v>
      </c>
      <c r="Q30">
        <v>481</v>
      </c>
      <c r="R30" t="s">
        <v>1709</v>
      </c>
      <c r="S30">
        <v>1187.56</v>
      </c>
      <c r="T30">
        <v>0</v>
      </c>
      <c r="U30">
        <v>25</v>
      </c>
      <c r="V30">
        <f t="shared" si="0"/>
        <v>0</v>
      </c>
    </row>
    <row r="31" spans="1:22" x14ac:dyDescent="0.2">
      <c r="A31" s="177">
        <f t="shared" si="1"/>
        <v>0</v>
      </c>
      <c r="B31" s="177" t="s">
        <v>9313</v>
      </c>
      <c r="D31" s="13"/>
      <c r="E31" s="13"/>
      <c r="F31" s="1223">
        <f t="shared" si="2"/>
        <v>0</v>
      </c>
      <c r="G31" s="1">
        <f t="shared" si="3"/>
        <v>0</v>
      </c>
      <c r="I31" s="740">
        <v>2029</v>
      </c>
      <c r="J31" s="741">
        <v>3.36</v>
      </c>
      <c r="O31" t="s">
        <v>1772</v>
      </c>
      <c r="P31" t="s">
        <v>1685</v>
      </c>
      <c r="Q31">
        <v>482</v>
      </c>
      <c r="R31" t="s">
        <v>1774</v>
      </c>
      <c r="S31">
        <v>3673.16</v>
      </c>
      <c r="T31">
        <v>2239</v>
      </c>
      <c r="U31">
        <v>25</v>
      </c>
      <c r="V31">
        <f t="shared" si="0"/>
        <v>2239</v>
      </c>
    </row>
    <row r="32" spans="1:22" x14ac:dyDescent="0.2">
      <c r="A32" s="177">
        <f t="shared" si="1"/>
        <v>0</v>
      </c>
      <c r="D32" s="13"/>
      <c r="E32" s="13"/>
      <c r="F32" s="1223">
        <f t="shared" si="2"/>
        <v>0</v>
      </c>
      <c r="G32" s="1">
        <f t="shared" si="3"/>
        <v>0</v>
      </c>
      <c r="I32" s="740">
        <v>2030</v>
      </c>
      <c r="J32" s="746">
        <v>0.77</v>
      </c>
      <c r="O32" t="s">
        <v>1775</v>
      </c>
      <c r="P32" t="s">
        <v>1685</v>
      </c>
      <c r="Q32">
        <v>484</v>
      </c>
      <c r="R32" t="s">
        <v>1777</v>
      </c>
      <c r="S32">
        <v>1970.96</v>
      </c>
      <c r="T32">
        <v>2241</v>
      </c>
      <c r="U32">
        <v>25</v>
      </c>
      <c r="V32">
        <f t="shared" si="0"/>
        <v>2241</v>
      </c>
    </row>
    <row r="33" spans="1:22" x14ac:dyDescent="0.2">
      <c r="I33" s="740">
        <v>2031</v>
      </c>
      <c r="J33" s="741">
        <v>3.48</v>
      </c>
      <c r="O33" t="s">
        <v>1778</v>
      </c>
      <c r="P33" t="s">
        <v>1685</v>
      </c>
      <c r="Q33">
        <v>485</v>
      </c>
      <c r="R33" t="s">
        <v>1780</v>
      </c>
      <c r="S33">
        <v>1187.56</v>
      </c>
      <c r="T33">
        <v>2242</v>
      </c>
      <c r="U33">
        <v>25</v>
      </c>
      <c r="V33">
        <f t="shared" si="0"/>
        <v>2242</v>
      </c>
    </row>
    <row r="34" spans="1:22" x14ac:dyDescent="0.2">
      <c r="I34" s="740">
        <v>2032</v>
      </c>
      <c r="J34" s="741">
        <v>0.98</v>
      </c>
      <c r="O34" t="s">
        <v>1781</v>
      </c>
      <c r="P34" t="s">
        <v>1685</v>
      </c>
      <c r="Q34">
        <v>487</v>
      </c>
      <c r="R34" t="s">
        <v>1783</v>
      </c>
      <c r="S34">
        <v>2239.7600000000002</v>
      </c>
      <c r="T34">
        <v>2244</v>
      </c>
      <c r="U34">
        <v>25</v>
      </c>
      <c r="V34">
        <f t="shared" si="0"/>
        <v>2244</v>
      </c>
    </row>
    <row r="35" spans="1:22" x14ac:dyDescent="0.2">
      <c r="I35" s="740">
        <v>2033</v>
      </c>
      <c r="J35" s="741">
        <v>4.72</v>
      </c>
      <c r="O35" t="s">
        <v>1784</v>
      </c>
      <c r="P35" t="s">
        <v>1685</v>
      </c>
      <c r="Q35">
        <v>488</v>
      </c>
      <c r="R35" t="s">
        <v>1786</v>
      </c>
      <c r="S35">
        <v>2463.8000000000002</v>
      </c>
      <c r="T35">
        <v>2245</v>
      </c>
      <c r="U35">
        <v>25</v>
      </c>
      <c r="V35">
        <f t="shared" si="0"/>
        <v>2245</v>
      </c>
    </row>
    <row r="36" spans="1:22" x14ac:dyDescent="0.2">
      <c r="I36" s="740">
        <v>2034</v>
      </c>
      <c r="J36" s="741">
        <v>1.4</v>
      </c>
      <c r="O36" t="s">
        <v>1787</v>
      </c>
      <c r="P36" t="s">
        <v>1685</v>
      </c>
      <c r="Q36">
        <v>491</v>
      </c>
      <c r="R36" t="s">
        <v>1789</v>
      </c>
      <c r="S36">
        <v>3493.84</v>
      </c>
      <c r="T36">
        <v>2249</v>
      </c>
      <c r="U36">
        <v>25</v>
      </c>
      <c r="V36">
        <f t="shared" si="0"/>
        <v>2249</v>
      </c>
    </row>
    <row r="37" spans="1:22" x14ac:dyDescent="0.2">
      <c r="I37" s="740">
        <v>2035</v>
      </c>
      <c r="J37" s="741">
        <v>10.55</v>
      </c>
      <c r="O37" t="s">
        <v>1790</v>
      </c>
      <c r="P37" t="s">
        <v>1685</v>
      </c>
      <c r="Q37">
        <v>504</v>
      </c>
      <c r="R37" t="s">
        <v>1792</v>
      </c>
      <c r="S37">
        <v>1260.3599999999999</v>
      </c>
      <c r="T37">
        <v>2265</v>
      </c>
      <c r="U37">
        <v>25</v>
      </c>
      <c r="V37">
        <f t="shared" si="0"/>
        <v>2265</v>
      </c>
    </row>
    <row r="38" spans="1:22" x14ac:dyDescent="0.2">
      <c r="I38" s="740">
        <v>2036</v>
      </c>
      <c r="J38" s="741">
        <v>1.72</v>
      </c>
      <c r="O38" t="s">
        <v>1793</v>
      </c>
      <c r="P38" t="s">
        <v>1685</v>
      </c>
      <c r="Q38">
        <v>505</v>
      </c>
      <c r="R38" t="s">
        <v>1795</v>
      </c>
      <c r="S38">
        <v>1260.3599999999999</v>
      </c>
      <c r="T38">
        <v>2266</v>
      </c>
      <c r="U38">
        <v>25</v>
      </c>
      <c r="V38">
        <f t="shared" si="0"/>
        <v>2266</v>
      </c>
    </row>
    <row r="39" spans="1:22" x14ac:dyDescent="0.2">
      <c r="I39" s="740">
        <v>2037</v>
      </c>
      <c r="J39" s="741">
        <v>1.65</v>
      </c>
      <c r="O39" t="s">
        <v>1796</v>
      </c>
      <c r="P39" t="s">
        <v>1685</v>
      </c>
      <c r="Q39">
        <v>506</v>
      </c>
      <c r="R39" t="s">
        <v>1798</v>
      </c>
      <c r="S39">
        <v>1260.3599999999999</v>
      </c>
      <c r="T39">
        <v>2267</v>
      </c>
      <c r="U39">
        <v>25</v>
      </c>
      <c r="V39">
        <f t="shared" si="0"/>
        <v>2267</v>
      </c>
    </row>
    <row r="40" spans="1:22" x14ac:dyDescent="0.2">
      <c r="I40" s="740">
        <v>2038</v>
      </c>
      <c r="J40" s="741">
        <v>5.95</v>
      </c>
      <c r="O40" t="s">
        <v>1799</v>
      </c>
      <c r="P40" t="s">
        <v>1685</v>
      </c>
      <c r="Q40">
        <v>507</v>
      </c>
      <c r="R40" t="s">
        <v>1801</v>
      </c>
      <c r="S40">
        <v>1260.3599999999999</v>
      </c>
      <c r="T40">
        <v>2268</v>
      </c>
      <c r="U40">
        <v>25</v>
      </c>
      <c r="V40">
        <f t="shared" si="0"/>
        <v>2268</v>
      </c>
    </row>
    <row r="41" spans="1:22" x14ac:dyDescent="0.2">
      <c r="A41">
        <v>2122</v>
      </c>
      <c r="B41">
        <f>+_xlfn.XLOOKUP(A41,$V$1:$V$109,$Q$1:$Q$109,0,0)</f>
        <v>421</v>
      </c>
      <c r="I41" s="740">
        <v>2039</v>
      </c>
      <c r="J41" s="741">
        <v>11.8</v>
      </c>
      <c r="O41" t="s">
        <v>1802</v>
      </c>
      <c r="P41" t="s">
        <v>1685</v>
      </c>
      <c r="Q41">
        <v>508</v>
      </c>
      <c r="R41" t="s">
        <v>1804</v>
      </c>
      <c r="S41">
        <v>1260.3599999999999</v>
      </c>
      <c r="T41">
        <v>2269</v>
      </c>
      <c r="U41">
        <v>25</v>
      </c>
      <c r="V41">
        <f t="shared" si="0"/>
        <v>2269</v>
      </c>
    </row>
    <row r="42" spans="1:22" x14ac:dyDescent="0.2">
      <c r="A42">
        <v>2522</v>
      </c>
      <c r="B42">
        <f t="shared" ref="B42:B44" si="4">+_xlfn.XLOOKUP(A42,$V$1:$V$109,$Q$1:$Q$109,0,0)</f>
        <v>594</v>
      </c>
      <c r="I42" s="740">
        <v>2040</v>
      </c>
      <c r="J42" s="741">
        <v>1.75</v>
      </c>
      <c r="O42" t="s">
        <v>1805</v>
      </c>
      <c r="P42" t="s">
        <v>1685</v>
      </c>
      <c r="Q42">
        <v>511</v>
      </c>
      <c r="R42" t="s">
        <v>1807</v>
      </c>
      <c r="S42">
        <v>2060.44</v>
      </c>
      <c r="T42">
        <v>2278</v>
      </c>
      <c r="U42">
        <v>25</v>
      </c>
      <c r="V42">
        <f t="shared" si="0"/>
        <v>2278</v>
      </c>
    </row>
    <row r="43" spans="1:22" x14ac:dyDescent="0.2">
      <c r="A43">
        <v>2541</v>
      </c>
      <c r="B43">
        <f t="shared" si="4"/>
        <v>595</v>
      </c>
      <c r="I43" s="740">
        <v>2041</v>
      </c>
      <c r="J43" s="741">
        <v>0.62</v>
      </c>
      <c r="O43" t="s">
        <v>1808</v>
      </c>
      <c r="P43" t="s">
        <v>1685</v>
      </c>
      <c r="Q43">
        <v>512</v>
      </c>
      <c r="R43" t="s">
        <v>1810</v>
      </c>
      <c r="S43">
        <v>2060.44</v>
      </c>
      <c r="T43">
        <v>2279</v>
      </c>
      <c r="U43">
        <v>25</v>
      </c>
      <c r="V43">
        <f t="shared" si="0"/>
        <v>2279</v>
      </c>
    </row>
    <row r="44" spans="1:22" x14ac:dyDescent="0.2">
      <c r="A44">
        <v>2715</v>
      </c>
      <c r="B44">
        <f t="shared" si="4"/>
        <v>700</v>
      </c>
      <c r="I44" s="740">
        <v>2042</v>
      </c>
      <c r="J44" s="741">
        <v>0.77</v>
      </c>
      <c r="O44" t="s">
        <v>1811</v>
      </c>
      <c r="P44" t="s">
        <v>1685</v>
      </c>
      <c r="Q44">
        <v>513</v>
      </c>
      <c r="R44" t="s">
        <v>1813</v>
      </c>
      <c r="S44">
        <v>1612.72</v>
      </c>
      <c r="T44">
        <v>2280</v>
      </c>
      <c r="U44">
        <v>25</v>
      </c>
      <c r="V44">
        <f t="shared" si="0"/>
        <v>2280</v>
      </c>
    </row>
    <row r="45" spans="1:22" x14ac:dyDescent="0.2">
      <c r="I45" s="740">
        <v>2043</v>
      </c>
      <c r="J45" s="741">
        <v>0.85</v>
      </c>
      <c r="O45" t="s">
        <v>1814</v>
      </c>
      <c r="P45" t="s">
        <v>1685</v>
      </c>
      <c r="Q45">
        <v>524</v>
      </c>
      <c r="R45" t="s">
        <v>1816</v>
      </c>
      <c r="S45">
        <v>1343.92</v>
      </c>
      <c r="T45">
        <v>22004</v>
      </c>
      <c r="U45">
        <v>25</v>
      </c>
      <c r="V45">
        <f t="shared" si="0"/>
        <v>22004</v>
      </c>
    </row>
    <row r="46" spans="1:22" x14ac:dyDescent="0.2">
      <c r="I46" s="740">
        <v>2044</v>
      </c>
      <c r="J46" s="741">
        <v>0.42</v>
      </c>
      <c r="O46" t="s">
        <v>1817</v>
      </c>
      <c r="P46" t="s">
        <v>1685</v>
      </c>
      <c r="Q46">
        <v>526</v>
      </c>
      <c r="R46" t="s">
        <v>1819</v>
      </c>
      <c r="S46">
        <v>1612.72</v>
      </c>
      <c r="T46">
        <v>22010</v>
      </c>
      <c r="U46">
        <v>25</v>
      </c>
      <c r="V46">
        <f t="shared" si="0"/>
        <v>22010</v>
      </c>
    </row>
    <row r="47" spans="1:22" x14ac:dyDescent="0.2">
      <c r="I47" s="740">
        <v>2045</v>
      </c>
      <c r="J47" s="741">
        <v>0.13</v>
      </c>
      <c r="O47" t="s">
        <v>1820</v>
      </c>
      <c r="P47" t="s">
        <v>1685</v>
      </c>
      <c r="Q47">
        <v>545</v>
      </c>
      <c r="R47" t="s">
        <v>1822</v>
      </c>
      <c r="S47">
        <v>2508.56</v>
      </c>
      <c r="T47">
        <v>2319</v>
      </c>
      <c r="U47">
        <v>25</v>
      </c>
      <c r="V47">
        <f t="shared" si="0"/>
        <v>2319</v>
      </c>
    </row>
    <row r="48" spans="1:22" x14ac:dyDescent="0.2">
      <c r="I48" s="740">
        <v>2046</v>
      </c>
      <c r="J48" s="750" t="s">
        <v>9314</v>
      </c>
      <c r="O48" t="s">
        <v>1823</v>
      </c>
      <c r="P48" t="s">
        <v>1685</v>
      </c>
      <c r="Q48">
        <v>547</v>
      </c>
      <c r="R48" t="s">
        <v>1825</v>
      </c>
      <c r="S48">
        <v>2956.28</v>
      </c>
      <c r="T48">
        <v>2321</v>
      </c>
      <c r="U48">
        <v>25</v>
      </c>
      <c r="V48">
        <f t="shared" si="0"/>
        <v>2321</v>
      </c>
    </row>
    <row r="49" spans="9:22" x14ac:dyDescent="0.2">
      <c r="I49" s="740">
        <v>2047</v>
      </c>
      <c r="J49" s="750">
        <v>1.29</v>
      </c>
      <c r="O49" t="s">
        <v>1826</v>
      </c>
      <c r="P49" t="s">
        <v>1685</v>
      </c>
      <c r="Q49">
        <v>548</v>
      </c>
      <c r="R49" t="s">
        <v>1828</v>
      </c>
      <c r="S49">
        <v>2598.04</v>
      </c>
      <c r="T49">
        <v>2324</v>
      </c>
      <c r="U49">
        <v>25</v>
      </c>
      <c r="V49">
        <f t="shared" si="0"/>
        <v>2324</v>
      </c>
    </row>
    <row r="50" spans="9:22" x14ac:dyDescent="0.2">
      <c r="I50" s="740">
        <v>2048</v>
      </c>
      <c r="J50" s="750">
        <v>1.71</v>
      </c>
      <c r="O50" t="s">
        <v>1829</v>
      </c>
      <c r="P50" t="s">
        <v>1685</v>
      </c>
      <c r="Q50">
        <v>550</v>
      </c>
      <c r="R50" t="s">
        <v>1831</v>
      </c>
      <c r="S50">
        <v>2239.7600000000002</v>
      </c>
      <c r="T50">
        <v>2336</v>
      </c>
      <c r="U50">
        <v>25</v>
      </c>
      <c r="V50">
        <f t="shared" si="0"/>
        <v>2336</v>
      </c>
    </row>
    <row r="51" spans="9:22" x14ac:dyDescent="0.2">
      <c r="I51" s="740">
        <v>2049</v>
      </c>
      <c r="J51" s="750">
        <v>1.19</v>
      </c>
      <c r="O51" t="s">
        <v>1832</v>
      </c>
      <c r="P51" t="s">
        <v>1685</v>
      </c>
      <c r="Q51">
        <v>555</v>
      </c>
      <c r="R51" t="s">
        <v>1834</v>
      </c>
      <c r="S51">
        <v>1612.72</v>
      </c>
      <c r="T51">
        <v>2332</v>
      </c>
      <c r="U51">
        <v>25</v>
      </c>
      <c r="V51">
        <f t="shared" si="0"/>
        <v>2332</v>
      </c>
    </row>
    <row r="52" spans="9:22" x14ac:dyDescent="0.2">
      <c r="I52" s="740">
        <v>2050</v>
      </c>
      <c r="J52" s="750">
        <v>2.79</v>
      </c>
      <c r="O52" t="s">
        <v>1835</v>
      </c>
      <c r="P52" t="s">
        <v>1685</v>
      </c>
      <c r="Q52">
        <v>575</v>
      </c>
      <c r="R52" t="s">
        <v>1837</v>
      </c>
      <c r="S52">
        <v>1970.96</v>
      </c>
      <c r="T52">
        <v>2510</v>
      </c>
      <c r="U52">
        <v>25</v>
      </c>
      <c r="V52">
        <f t="shared" si="0"/>
        <v>2510</v>
      </c>
    </row>
    <row r="53" spans="9:22" x14ac:dyDescent="0.2">
      <c r="I53" s="740">
        <v>2051</v>
      </c>
      <c r="J53" s="750">
        <v>1.77</v>
      </c>
      <c r="O53" t="s">
        <v>1838</v>
      </c>
      <c r="P53" t="s">
        <v>1685</v>
      </c>
      <c r="Q53">
        <v>576</v>
      </c>
      <c r="R53" t="s">
        <v>1840</v>
      </c>
      <c r="S53">
        <v>2015.72</v>
      </c>
      <c r="T53">
        <v>2543</v>
      </c>
      <c r="U53">
        <v>25</v>
      </c>
      <c r="V53">
        <f t="shared" si="0"/>
        <v>2543</v>
      </c>
    </row>
    <row r="54" spans="9:22" x14ac:dyDescent="0.2">
      <c r="I54" s="740">
        <v>2052</v>
      </c>
      <c r="J54" s="750">
        <v>0.47</v>
      </c>
      <c r="O54" t="s">
        <v>1841</v>
      </c>
      <c r="P54" t="s">
        <v>1685</v>
      </c>
      <c r="Q54">
        <v>583</v>
      </c>
      <c r="R54" t="s">
        <v>1837</v>
      </c>
      <c r="S54">
        <v>1433.4</v>
      </c>
      <c r="T54">
        <v>2504</v>
      </c>
      <c r="U54">
        <v>25</v>
      </c>
      <c r="V54">
        <f t="shared" si="0"/>
        <v>2504</v>
      </c>
    </row>
    <row r="55" spans="9:22" x14ac:dyDescent="0.2">
      <c r="I55" s="740">
        <v>2053</v>
      </c>
      <c r="J55" s="750">
        <v>0.36</v>
      </c>
      <c r="O55" t="s">
        <v>1843</v>
      </c>
      <c r="P55" t="s">
        <v>1685</v>
      </c>
      <c r="Q55">
        <v>584</v>
      </c>
      <c r="R55" t="s">
        <v>1845</v>
      </c>
      <c r="S55">
        <v>1433.4</v>
      </c>
      <c r="T55">
        <v>2511</v>
      </c>
      <c r="U55">
        <v>25</v>
      </c>
      <c r="V55">
        <f t="shared" si="0"/>
        <v>2511</v>
      </c>
    </row>
    <row r="56" spans="9:22" x14ac:dyDescent="0.2">
      <c r="I56" s="740">
        <v>2054</v>
      </c>
      <c r="J56" s="750">
        <v>0.26</v>
      </c>
      <c r="O56" t="s">
        <v>1846</v>
      </c>
      <c r="P56" t="s">
        <v>1685</v>
      </c>
      <c r="Q56">
        <v>585</v>
      </c>
      <c r="R56" t="s">
        <v>1848</v>
      </c>
      <c r="S56">
        <v>1254.08</v>
      </c>
      <c r="T56">
        <v>2512</v>
      </c>
      <c r="U56">
        <v>25</v>
      </c>
      <c r="V56">
        <f t="shared" si="0"/>
        <v>2512</v>
      </c>
    </row>
    <row r="57" spans="9:22" x14ac:dyDescent="0.2">
      <c r="I57" s="742">
        <v>2055</v>
      </c>
      <c r="J57" s="749">
        <v>0.26</v>
      </c>
      <c r="O57" t="s">
        <v>1849</v>
      </c>
      <c r="P57" t="s">
        <v>1685</v>
      </c>
      <c r="Q57">
        <v>589</v>
      </c>
      <c r="R57" t="s">
        <v>1851</v>
      </c>
      <c r="S57">
        <v>1612.72</v>
      </c>
      <c r="T57">
        <v>2517</v>
      </c>
      <c r="U57">
        <v>25</v>
      </c>
      <c r="V57">
        <f t="shared" si="0"/>
        <v>2517</v>
      </c>
    </row>
    <row r="58" spans="9:22" x14ac:dyDescent="0.2">
      <c r="I58" s="742">
        <v>2056</v>
      </c>
      <c r="J58" s="749">
        <v>0.38</v>
      </c>
      <c r="O58" t="s">
        <v>1852</v>
      </c>
      <c r="P58" t="s">
        <v>1685</v>
      </c>
      <c r="Q58">
        <v>590</v>
      </c>
      <c r="R58" t="s">
        <v>1854</v>
      </c>
      <c r="S58">
        <v>2239.7600000000002</v>
      </c>
      <c r="T58">
        <v>2518</v>
      </c>
      <c r="U58">
        <v>25</v>
      </c>
      <c r="V58">
        <f t="shared" si="0"/>
        <v>2518</v>
      </c>
    </row>
    <row r="59" spans="9:22" x14ac:dyDescent="0.2">
      <c r="I59" s="742">
        <v>2057</v>
      </c>
      <c r="J59" s="749">
        <v>0.26</v>
      </c>
      <c r="O59" t="s">
        <v>1855</v>
      </c>
      <c r="P59" t="s">
        <v>1685</v>
      </c>
      <c r="Q59">
        <v>594</v>
      </c>
      <c r="R59" t="s">
        <v>1857</v>
      </c>
      <c r="S59">
        <v>1119.8800000000001</v>
      </c>
      <c r="T59">
        <v>2522</v>
      </c>
      <c r="U59">
        <v>25</v>
      </c>
      <c r="V59">
        <f t="shared" si="0"/>
        <v>2522</v>
      </c>
    </row>
    <row r="60" spans="9:22" x14ac:dyDescent="0.2">
      <c r="I60" s="742">
        <v>2058</v>
      </c>
      <c r="J60" s="749">
        <v>4.72</v>
      </c>
      <c r="O60" t="s">
        <v>1858</v>
      </c>
      <c r="P60" t="s">
        <v>1685</v>
      </c>
      <c r="Q60">
        <v>595</v>
      </c>
      <c r="R60" t="s">
        <v>1860</v>
      </c>
      <c r="S60">
        <v>1119.8800000000001</v>
      </c>
      <c r="T60">
        <v>2541</v>
      </c>
      <c r="U60">
        <v>25</v>
      </c>
      <c r="V60">
        <f t="shared" si="0"/>
        <v>2541</v>
      </c>
    </row>
    <row r="61" spans="9:22" x14ac:dyDescent="0.2">
      <c r="I61" s="748">
        <v>2059</v>
      </c>
      <c r="J61" s="747">
        <v>4.72</v>
      </c>
      <c r="O61" t="s">
        <v>1861</v>
      </c>
      <c r="P61" t="s">
        <v>1685</v>
      </c>
      <c r="Q61">
        <v>598</v>
      </c>
      <c r="R61" t="s">
        <v>1863</v>
      </c>
      <c r="S61">
        <v>2060.44</v>
      </c>
      <c r="T61">
        <v>2526</v>
      </c>
      <c r="U61">
        <v>25</v>
      </c>
      <c r="V61">
        <f t="shared" si="0"/>
        <v>2526</v>
      </c>
    </row>
    <row r="62" spans="9:22" x14ac:dyDescent="0.2">
      <c r="I62" s="740">
        <v>2100</v>
      </c>
      <c r="J62" s="741">
        <v>0.75</v>
      </c>
      <c r="O62" t="s">
        <v>1864</v>
      </c>
      <c r="P62" t="s">
        <v>1685</v>
      </c>
      <c r="Q62">
        <v>599</v>
      </c>
      <c r="R62" t="s">
        <v>1866</v>
      </c>
      <c r="S62">
        <v>1119.8800000000001</v>
      </c>
      <c r="T62">
        <v>2527</v>
      </c>
      <c r="U62">
        <v>25</v>
      </c>
      <c r="V62">
        <f t="shared" si="0"/>
        <v>2527</v>
      </c>
    </row>
    <row r="63" spans="9:22" x14ac:dyDescent="0.2">
      <c r="I63" s="740">
        <v>2101</v>
      </c>
      <c r="J63" s="746">
        <v>0.83</v>
      </c>
      <c r="O63" t="s">
        <v>1867</v>
      </c>
      <c r="P63" t="s">
        <v>1685</v>
      </c>
      <c r="Q63">
        <v>600</v>
      </c>
      <c r="R63" t="s">
        <v>1869</v>
      </c>
      <c r="S63">
        <v>1119.8800000000001</v>
      </c>
      <c r="T63">
        <v>2528</v>
      </c>
      <c r="U63">
        <v>25</v>
      </c>
      <c r="V63">
        <f t="shared" si="0"/>
        <v>2528</v>
      </c>
    </row>
    <row r="64" spans="9:22" x14ac:dyDescent="0.2">
      <c r="I64" s="740">
        <v>2102</v>
      </c>
      <c r="J64" s="746">
        <v>0.55000000000000004</v>
      </c>
      <c r="O64" t="s">
        <v>1870</v>
      </c>
      <c r="P64" t="s">
        <v>1685</v>
      </c>
      <c r="Q64">
        <v>601</v>
      </c>
      <c r="R64" t="s">
        <v>1872</v>
      </c>
      <c r="S64">
        <v>1119.8800000000001</v>
      </c>
      <c r="T64">
        <v>2529</v>
      </c>
      <c r="U64">
        <v>25</v>
      </c>
      <c r="V64">
        <f t="shared" si="0"/>
        <v>2529</v>
      </c>
    </row>
    <row r="65" spans="9:22" x14ac:dyDescent="0.2">
      <c r="I65" s="740">
        <v>2103</v>
      </c>
      <c r="J65" s="746">
        <v>0.75</v>
      </c>
      <c r="O65" t="s">
        <v>1873</v>
      </c>
      <c r="P65" t="s">
        <v>1685</v>
      </c>
      <c r="Q65">
        <v>606</v>
      </c>
      <c r="R65" t="s">
        <v>1875</v>
      </c>
      <c r="S65">
        <v>1433.4</v>
      </c>
      <c r="T65">
        <v>2534</v>
      </c>
      <c r="U65">
        <v>25</v>
      </c>
      <c r="V65">
        <f t="shared" si="0"/>
        <v>2534</v>
      </c>
    </row>
    <row r="66" spans="9:22" x14ac:dyDescent="0.2">
      <c r="I66" s="740">
        <v>2104</v>
      </c>
      <c r="J66" s="746">
        <v>1.01</v>
      </c>
      <c r="O66" t="s">
        <v>1876</v>
      </c>
      <c r="P66" t="s">
        <v>1685</v>
      </c>
      <c r="Q66">
        <v>607</v>
      </c>
      <c r="R66" t="s">
        <v>1878</v>
      </c>
      <c r="S66">
        <v>1343.92</v>
      </c>
      <c r="T66">
        <v>2535</v>
      </c>
      <c r="U66">
        <v>25</v>
      </c>
      <c r="V66">
        <f t="shared" si="0"/>
        <v>2535</v>
      </c>
    </row>
    <row r="67" spans="9:22" x14ac:dyDescent="0.2">
      <c r="I67" s="740">
        <v>2105</v>
      </c>
      <c r="J67" s="746">
        <v>0.93</v>
      </c>
      <c r="O67" t="s">
        <v>1879</v>
      </c>
      <c r="P67" t="s">
        <v>1685</v>
      </c>
      <c r="Q67">
        <v>608</v>
      </c>
      <c r="R67" t="s">
        <v>1881</v>
      </c>
      <c r="S67">
        <v>1791.68</v>
      </c>
      <c r="T67">
        <v>2536</v>
      </c>
      <c r="U67">
        <v>25</v>
      </c>
      <c r="V67">
        <f t="shared" ref="V67:V109" si="5">+T67+0</f>
        <v>2536</v>
      </c>
    </row>
    <row r="68" spans="9:22" x14ac:dyDescent="0.2">
      <c r="I68" s="740">
        <v>2106</v>
      </c>
      <c r="J68" s="746">
        <v>0.3</v>
      </c>
      <c r="O68" t="s">
        <v>1882</v>
      </c>
      <c r="P68" t="s">
        <v>1685</v>
      </c>
      <c r="Q68">
        <v>609</v>
      </c>
      <c r="R68" t="s">
        <v>1884</v>
      </c>
      <c r="S68">
        <v>2015.72</v>
      </c>
      <c r="T68">
        <v>2537</v>
      </c>
      <c r="U68">
        <v>25</v>
      </c>
      <c r="V68">
        <f t="shared" si="5"/>
        <v>2537</v>
      </c>
    </row>
    <row r="69" spans="9:22" x14ac:dyDescent="0.2">
      <c r="I69" s="740">
        <v>2107</v>
      </c>
      <c r="J69" s="746">
        <v>0.19</v>
      </c>
      <c r="O69" t="s">
        <v>1885</v>
      </c>
      <c r="P69" t="s">
        <v>1685</v>
      </c>
      <c r="Q69">
        <v>612</v>
      </c>
      <c r="R69" t="s">
        <v>1886</v>
      </c>
      <c r="S69">
        <v>1254.08</v>
      </c>
      <c r="T69">
        <v>2522</v>
      </c>
      <c r="U69">
        <v>25</v>
      </c>
      <c r="V69">
        <f t="shared" si="5"/>
        <v>2522</v>
      </c>
    </row>
    <row r="70" spans="9:22" x14ac:dyDescent="0.2">
      <c r="I70" s="740">
        <v>2108</v>
      </c>
      <c r="J70" s="746">
        <v>0.18</v>
      </c>
      <c r="O70" t="s">
        <v>1887</v>
      </c>
      <c r="P70" t="s">
        <v>1685</v>
      </c>
      <c r="Q70">
        <v>613</v>
      </c>
      <c r="R70" t="s">
        <v>1889</v>
      </c>
      <c r="S70">
        <v>1254.08</v>
      </c>
      <c r="T70">
        <v>2523</v>
      </c>
      <c r="U70">
        <v>25</v>
      </c>
      <c r="V70">
        <f t="shared" si="5"/>
        <v>2523</v>
      </c>
    </row>
    <row r="71" spans="9:22" x14ac:dyDescent="0.2">
      <c r="I71" s="740">
        <v>2109</v>
      </c>
      <c r="J71" s="746">
        <v>0.65</v>
      </c>
      <c r="O71" t="s">
        <v>1890</v>
      </c>
      <c r="P71" t="s">
        <v>1685</v>
      </c>
      <c r="Q71">
        <v>615</v>
      </c>
      <c r="R71" t="s">
        <v>1891</v>
      </c>
      <c r="S71">
        <v>2015.72</v>
      </c>
      <c r="T71">
        <v>2543</v>
      </c>
      <c r="U71">
        <v>25</v>
      </c>
      <c r="V71">
        <f t="shared" si="5"/>
        <v>2543</v>
      </c>
    </row>
    <row r="72" spans="9:22" x14ac:dyDescent="0.2">
      <c r="I72" s="740">
        <v>2110</v>
      </c>
      <c r="J72" s="746" t="s">
        <v>9314</v>
      </c>
      <c r="O72" t="s">
        <v>1892</v>
      </c>
      <c r="P72" t="s">
        <v>1685</v>
      </c>
      <c r="Q72">
        <v>631</v>
      </c>
      <c r="R72" t="s">
        <v>1894</v>
      </c>
      <c r="S72">
        <v>1567.6</v>
      </c>
      <c r="T72">
        <v>2559</v>
      </c>
      <c r="U72">
        <v>25</v>
      </c>
      <c r="V72">
        <f t="shared" si="5"/>
        <v>2559</v>
      </c>
    </row>
    <row r="73" spans="9:22" x14ac:dyDescent="0.2">
      <c r="I73" s="740">
        <v>2111</v>
      </c>
      <c r="J73" s="746">
        <v>0.6</v>
      </c>
      <c r="O73" t="s">
        <v>1895</v>
      </c>
      <c r="P73" t="s">
        <v>1685</v>
      </c>
      <c r="Q73">
        <v>632</v>
      </c>
      <c r="R73" t="s">
        <v>1897</v>
      </c>
      <c r="S73">
        <v>1567.6</v>
      </c>
      <c r="T73">
        <v>2560</v>
      </c>
      <c r="U73">
        <v>25</v>
      </c>
      <c r="V73">
        <f t="shared" si="5"/>
        <v>2560</v>
      </c>
    </row>
    <row r="74" spans="9:22" x14ac:dyDescent="0.2">
      <c r="I74" s="740">
        <v>2112</v>
      </c>
      <c r="J74" s="746">
        <v>0.12</v>
      </c>
      <c r="O74" t="s">
        <v>1898</v>
      </c>
      <c r="P74" t="s">
        <v>1685</v>
      </c>
      <c r="Q74">
        <v>633</v>
      </c>
      <c r="R74" t="s">
        <v>1900</v>
      </c>
      <c r="S74">
        <v>2956.28</v>
      </c>
      <c r="T74">
        <v>2561</v>
      </c>
      <c r="U74">
        <v>25</v>
      </c>
      <c r="V74">
        <f t="shared" si="5"/>
        <v>2561</v>
      </c>
    </row>
    <row r="75" spans="9:22" x14ac:dyDescent="0.2">
      <c r="I75" s="742">
        <v>2113</v>
      </c>
      <c r="J75" s="745">
        <v>2.0099999999999998</v>
      </c>
      <c r="O75" t="s">
        <v>1901</v>
      </c>
      <c r="P75" t="s">
        <v>1685</v>
      </c>
      <c r="Q75">
        <v>658</v>
      </c>
      <c r="R75" t="s">
        <v>1903</v>
      </c>
      <c r="S75">
        <v>1254.08</v>
      </c>
      <c r="T75">
        <v>2615</v>
      </c>
      <c r="U75">
        <v>25</v>
      </c>
      <c r="V75">
        <f t="shared" si="5"/>
        <v>2615</v>
      </c>
    </row>
    <row r="76" spans="9:22" x14ac:dyDescent="0.2">
      <c r="I76" s="742">
        <v>2114</v>
      </c>
      <c r="J76" s="745">
        <v>0.14000000000000001</v>
      </c>
      <c r="O76" t="s">
        <v>1904</v>
      </c>
      <c r="P76" t="s">
        <v>1685</v>
      </c>
      <c r="Q76">
        <v>659</v>
      </c>
      <c r="R76" t="s">
        <v>1906</v>
      </c>
      <c r="S76">
        <v>1567.6</v>
      </c>
      <c r="T76">
        <v>2616</v>
      </c>
      <c r="U76">
        <v>25</v>
      </c>
      <c r="V76">
        <f t="shared" si="5"/>
        <v>2616</v>
      </c>
    </row>
    <row r="77" spans="9:22" x14ac:dyDescent="0.2">
      <c r="I77" s="742">
        <v>2115</v>
      </c>
      <c r="J77" s="743">
        <v>0.22</v>
      </c>
      <c r="O77" t="s">
        <v>1907</v>
      </c>
      <c r="P77" t="s">
        <v>1685</v>
      </c>
      <c r="Q77">
        <v>660</v>
      </c>
      <c r="R77" t="s">
        <v>1909</v>
      </c>
      <c r="S77">
        <v>1970.96</v>
      </c>
      <c r="T77">
        <v>2617</v>
      </c>
      <c r="U77">
        <v>25</v>
      </c>
      <c r="V77">
        <f t="shared" si="5"/>
        <v>2617</v>
      </c>
    </row>
    <row r="78" spans="9:22" x14ac:dyDescent="0.2">
      <c r="I78" s="742">
        <v>2116</v>
      </c>
      <c r="J78" s="743">
        <v>0.14000000000000001</v>
      </c>
      <c r="O78" t="s">
        <v>1910</v>
      </c>
      <c r="P78" t="s">
        <v>1685</v>
      </c>
      <c r="Q78">
        <v>664</v>
      </c>
      <c r="R78" t="s">
        <v>1912</v>
      </c>
      <c r="S78">
        <v>2239.7600000000002</v>
      </c>
      <c r="T78">
        <v>2622</v>
      </c>
      <c r="U78">
        <v>25</v>
      </c>
      <c r="V78">
        <f t="shared" si="5"/>
        <v>2622</v>
      </c>
    </row>
    <row r="79" spans="9:22" x14ac:dyDescent="0.2">
      <c r="I79" s="742">
        <v>2117</v>
      </c>
      <c r="J79" s="743">
        <v>0.17</v>
      </c>
      <c r="O79" t="s">
        <v>1913</v>
      </c>
      <c r="P79" t="s">
        <v>1685</v>
      </c>
      <c r="Q79">
        <v>665</v>
      </c>
      <c r="R79" t="s">
        <v>1915</v>
      </c>
      <c r="S79">
        <v>1433.4</v>
      </c>
      <c r="T79">
        <v>2623</v>
      </c>
      <c r="U79">
        <v>25</v>
      </c>
      <c r="V79">
        <f t="shared" si="5"/>
        <v>2623</v>
      </c>
    </row>
    <row r="80" spans="9:22" x14ac:dyDescent="0.2">
      <c r="I80" s="742">
        <v>2118</v>
      </c>
      <c r="J80" s="745">
        <v>0.66</v>
      </c>
      <c r="O80" t="s">
        <v>1916</v>
      </c>
      <c r="P80" t="s">
        <v>1685</v>
      </c>
      <c r="Q80">
        <v>666</v>
      </c>
      <c r="R80" t="s">
        <v>1918</v>
      </c>
      <c r="S80">
        <v>1791.68</v>
      </c>
      <c r="T80">
        <v>2624</v>
      </c>
      <c r="U80">
        <v>25</v>
      </c>
      <c r="V80">
        <f t="shared" si="5"/>
        <v>2624</v>
      </c>
    </row>
    <row r="81" spans="9:22" x14ac:dyDescent="0.2">
      <c r="I81" s="740">
        <v>2119</v>
      </c>
      <c r="J81" s="741">
        <v>0.34</v>
      </c>
      <c r="O81" t="s">
        <v>1919</v>
      </c>
      <c r="P81" t="s">
        <v>1685</v>
      </c>
      <c r="Q81">
        <v>668</v>
      </c>
      <c r="R81" t="s">
        <v>1921</v>
      </c>
      <c r="S81">
        <v>1187.56</v>
      </c>
      <c r="T81">
        <v>2626</v>
      </c>
      <c r="U81">
        <v>25</v>
      </c>
      <c r="V81">
        <f t="shared" si="5"/>
        <v>2626</v>
      </c>
    </row>
    <row r="82" spans="9:22" x14ac:dyDescent="0.2">
      <c r="I82" s="740">
        <v>2120</v>
      </c>
      <c r="J82" s="741">
        <v>0.09</v>
      </c>
      <c r="O82" t="s">
        <v>1922</v>
      </c>
      <c r="P82" t="s">
        <v>1685</v>
      </c>
      <c r="Q82">
        <v>685</v>
      </c>
      <c r="R82" t="s">
        <v>1924</v>
      </c>
      <c r="S82">
        <v>1187.56</v>
      </c>
      <c r="T82">
        <v>2700</v>
      </c>
      <c r="U82">
        <v>25</v>
      </c>
      <c r="V82">
        <f t="shared" si="5"/>
        <v>2700</v>
      </c>
    </row>
    <row r="83" spans="9:22" x14ac:dyDescent="0.2">
      <c r="I83" s="740">
        <v>2121</v>
      </c>
      <c r="J83" s="741">
        <v>1.2</v>
      </c>
      <c r="O83" t="s">
        <v>1925</v>
      </c>
      <c r="P83" t="s">
        <v>1685</v>
      </c>
      <c r="Q83">
        <v>686</v>
      </c>
      <c r="R83" t="s">
        <v>1927</v>
      </c>
      <c r="S83">
        <v>3135.6</v>
      </c>
      <c r="T83">
        <v>2701</v>
      </c>
      <c r="U83">
        <v>25</v>
      </c>
      <c r="V83">
        <f t="shared" si="5"/>
        <v>2701</v>
      </c>
    </row>
    <row r="84" spans="9:22" x14ac:dyDescent="0.2">
      <c r="I84" s="740">
        <v>2122</v>
      </c>
      <c r="J84" s="741" t="s">
        <v>9314</v>
      </c>
      <c r="O84" t="s">
        <v>1928</v>
      </c>
      <c r="P84" t="s">
        <v>1685</v>
      </c>
      <c r="Q84">
        <v>687</v>
      </c>
      <c r="R84" t="s">
        <v>1930</v>
      </c>
      <c r="S84">
        <v>3135.6</v>
      </c>
      <c r="T84">
        <v>2702</v>
      </c>
      <c r="U84">
        <v>25</v>
      </c>
      <c r="V84">
        <f t="shared" si="5"/>
        <v>2702</v>
      </c>
    </row>
    <row r="85" spans="9:22" x14ac:dyDescent="0.2">
      <c r="I85" s="740">
        <v>2123</v>
      </c>
      <c r="J85" s="741" t="s">
        <v>9315</v>
      </c>
      <c r="O85" t="s">
        <v>1931</v>
      </c>
      <c r="P85" t="s">
        <v>1685</v>
      </c>
      <c r="Q85">
        <v>690</v>
      </c>
      <c r="R85" t="s">
        <v>1933</v>
      </c>
      <c r="S85">
        <v>1612.72</v>
      </c>
      <c r="T85">
        <v>2704</v>
      </c>
      <c r="U85">
        <v>25</v>
      </c>
      <c r="V85">
        <f t="shared" si="5"/>
        <v>2704</v>
      </c>
    </row>
    <row r="86" spans="9:22" x14ac:dyDescent="0.2">
      <c r="I86" s="740">
        <v>2124</v>
      </c>
      <c r="J86" s="741" t="s">
        <v>9316</v>
      </c>
      <c r="O86" t="s">
        <v>1934</v>
      </c>
      <c r="P86" t="s">
        <v>1685</v>
      </c>
      <c r="Q86">
        <v>698</v>
      </c>
      <c r="R86" t="s">
        <v>1936</v>
      </c>
      <c r="S86">
        <v>3493.84</v>
      </c>
      <c r="T86">
        <v>2713</v>
      </c>
      <c r="U86">
        <v>25</v>
      </c>
      <c r="V86">
        <f t="shared" si="5"/>
        <v>2713</v>
      </c>
    </row>
    <row r="87" spans="9:22" x14ac:dyDescent="0.2">
      <c r="I87" s="740">
        <v>2125</v>
      </c>
      <c r="J87" s="741">
        <v>0.44</v>
      </c>
      <c r="O87" t="s">
        <v>1937</v>
      </c>
      <c r="P87" t="s">
        <v>1685</v>
      </c>
      <c r="Q87">
        <v>700</v>
      </c>
      <c r="R87" t="s">
        <v>1939</v>
      </c>
      <c r="S87">
        <v>2508.56</v>
      </c>
      <c r="T87">
        <v>2715</v>
      </c>
      <c r="U87">
        <v>25</v>
      </c>
      <c r="V87">
        <f t="shared" si="5"/>
        <v>2715</v>
      </c>
    </row>
    <row r="88" spans="9:22" x14ac:dyDescent="0.2">
      <c r="I88" s="740">
        <v>2126</v>
      </c>
      <c r="J88" s="741">
        <v>0.44</v>
      </c>
      <c r="O88" t="s">
        <v>1940</v>
      </c>
      <c r="P88" t="s">
        <v>1685</v>
      </c>
      <c r="Q88">
        <v>702</v>
      </c>
      <c r="R88" t="s">
        <v>1942</v>
      </c>
      <c r="S88">
        <v>2239.7600000000002</v>
      </c>
      <c r="T88">
        <v>2717</v>
      </c>
      <c r="U88">
        <v>25</v>
      </c>
      <c r="V88">
        <f t="shared" si="5"/>
        <v>2717</v>
      </c>
    </row>
    <row r="89" spans="9:22" x14ac:dyDescent="0.2">
      <c r="I89" s="742">
        <v>2127</v>
      </c>
      <c r="J89" s="743">
        <v>0.5</v>
      </c>
      <c r="O89" t="s">
        <v>1943</v>
      </c>
      <c r="P89" t="s">
        <v>1685</v>
      </c>
      <c r="Q89">
        <v>706</v>
      </c>
      <c r="R89" t="s">
        <v>1945</v>
      </c>
      <c r="S89">
        <v>1298.8399999999999</v>
      </c>
      <c r="T89">
        <v>2721</v>
      </c>
      <c r="U89">
        <v>25</v>
      </c>
      <c r="V89">
        <f t="shared" si="5"/>
        <v>2721</v>
      </c>
    </row>
    <row r="90" spans="9:22" x14ac:dyDescent="0.2">
      <c r="I90" s="742">
        <v>2128</v>
      </c>
      <c r="J90" s="743">
        <v>0.56000000000000005</v>
      </c>
      <c r="O90" t="s">
        <v>1946</v>
      </c>
      <c r="P90" t="s">
        <v>1685</v>
      </c>
      <c r="Q90">
        <v>707</v>
      </c>
      <c r="R90" t="s">
        <v>1948</v>
      </c>
      <c r="S90">
        <v>1612.72</v>
      </c>
      <c r="T90">
        <v>2722</v>
      </c>
      <c r="U90">
        <v>25</v>
      </c>
      <c r="V90">
        <f t="shared" si="5"/>
        <v>2722</v>
      </c>
    </row>
    <row r="91" spans="9:22" x14ac:dyDescent="0.2">
      <c r="I91" s="742">
        <v>2129</v>
      </c>
      <c r="J91" s="743">
        <v>0.12</v>
      </c>
      <c r="O91" t="s">
        <v>1949</v>
      </c>
      <c r="P91" t="s">
        <v>1685</v>
      </c>
      <c r="Q91">
        <v>708</v>
      </c>
      <c r="R91" t="s">
        <v>1951</v>
      </c>
      <c r="S91">
        <v>1612.72</v>
      </c>
      <c r="T91">
        <v>2723</v>
      </c>
      <c r="U91">
        <v>25</v>
      </c>
      <c r="V91">
        <f t="shared" si="5"/>
        <v>2723</v>
      </c>
    </row>
    <row r="92" spans="9:22" x14ac:dyDescent="0.2">
      <c r="I92" s="742">
        <v>2130</v>
      </c>
      <c r="J92" s="745">
        <v>1.39</v>
      </c>
      <c r="O92" t="s">
        <v>1952</v>
      </c>
      <c r="P92" t="s">
        <v>1685</v>
      </c>
      <c r="Q92">
        <v>709</v>
      </c>
      <c r="R92" t="s">
        <v>1954</v>
      </c>
      <c r="S92">
        <v>1187.56</v>
      </c>
      <c r="T92">
        <v>2724</v>
      </c>
      <c r="U92">
        <v>25</v>
      </c>
      <c r="V92">
        <f t="shared" si="5"/>
        <v>2724</v>
      </c>
    </row>
    <row r="93" spans="9:22" x14ac:dyDescent="0.2">
      <c r="I93" s="740">
        <v>2131</v>
      </c>
      <c r="J93" s="741">
        <v>0.42</v>
      </c>
      <c r="O93" t="s">
        <v>1955</v>
      </c>
      <c r="P93" t="s">
        <v>1685</v>
      </c>
      <c r="Q93">
        <v>710</v>
      </c>
      <c r="R93" t="s">
        <v>1957</v>
      </c>
      <c r="S93">
        <v>1791.68</v>
      </c>
      <c r="T93">
        <v>2725</v>
      </c>
      <c r="U93">
        <v>25</v>
      </c>
      <c r="V93">
        <f t="shared" si="5"/>
        <v>2725</v>
      </c>
    </row>
    <row r="94" spans="9:22" x14ac:dyDescent="0.2">
      <c r="I94" s="740">
        <v>2132</v>
      </c>
      <c r="J94" s="741">
        <v>0.4</v>
      </c>
      <c r="O94" t="s">
        <v>1958</v>
      </c>
      <c r="P94" t="s">
        <v>1685</v>
      </c>
      <c r="Q94">
        <v>793</v>
      </c>
      <c r="R94" t="s">
        <v>1959</v>
      </c>
      <c r="S94">
        <v>3639.52</v>
      </c>
      <c r="T94">
        <v>0</v>
      </c>
      <c r="U94">
        <v>25</v>
      </c>
      <c r="V94">
        <f t="shared" si="5"/>
        <v>0</v>
      </c>
    </row>
    <row r="95" spans="9:22" x14ac:dyDescent="0.2">
      <c r="I95" s="740">
        <v>2133</v>
      </c>
      <c r="J95" s="741">
        <v>0.37</v>
      </c>
      <c r="O95" t="s">
        <v>1960</v>
      </c>
      <c r="P95" t="s">
        <v>1685</v>
      </c>
      <c r="Q95">
        <v>794</v>
      </c>
      <c r="R95" t="s">
        <v>1961</v>
      </c>
      <c r="S95">
        <v>4991.24</v>
      </c>
      <c r="T95">
        <v>0</v>
      </c>
      <c r="U95">
        <v>25</v>
      </c>
      <c r="V95">
        <f t="shared" si="5"/>
        <v>0</v>
      </c>
    </row>
    <row r="96" spans="9:22" x14ac:dyDescent="0.2">
      <c r="I96" s="740">
        <v>2134</v>
      </c>
      <c r="J96" s="741">
        <v>0.42</v>
      </c>
      <c r="O96" t="s">
        <v>1962</v>
      </c>
      <c r="P96" t="s">
        <v>1685</v>
      </c>
      <c r="Q96">
        <v>795</v>
      </c>
      <c r="R96" t="s">
        <v>1963</v>
      </c>
      <c r="S96">
        <v>4759.3999999999996</v>
      </c>
      <c r="T96">
        <v>0</v>
      </c>
      <c r="U96">
        <v>25</v>
      </c>
      <c r="V96">
        <f t="shared" si="5"/>
        <v>0</v>
      </c>
    </row>
    <row r="97" spans="9:22" x14ac:dyDescent="0.2">
      <c r="I97" s="740">
        <v>2135</v>
      </c>
      <c r="J97" s="746">
        <v>1.3</v>
      </c>
      <c r="O97" t="s">
        <v>1964</v>
      </c>
      <c r="P97" t="s">
        <v>1685</v>
      </c>
      <c r="Q97">
        <v>796</v>
      </c>
      <c r="R97" t="s">
        <v>1965</v>
      </c>
      <c r="S97">
        <v>2239.7600000000002</v>
      </c>
      <c r="T97">
        <v>0</v>
      </c>
      <c r="U97">
        <v>25</v>
      </c>
      <c r="V97">
        <f t="shared" si="5"/>
        <v>0</v>
      </c>
    </row>
    <row r="98" spans="9:22" x14ac:dyDescent="0.2">
      <c r="I98" s="740">
        <v>2136</v>
      </c>
      <c r="J98" s="741">
        <v>1.39</v>
      </c>
      <c r="O98" t="s">
        <v>1966</v>
      </c>
      <c r="P98" t="s">
        <v>1685</v>
      </c>
      <c r="Q98">
        <v>797</v>
      </c>
      <c r="R98" t="s">
        <v>1967</v>
      </c>
      <c r="S98">
        <v>2239.7600000000002</v>
      </c>
      <c r="T98">
        <v>0</v>
      </c>
      <c r="U98">
        <v>25</v>
      </c>
      <c r="V98">
        <f t="shared" si="5"/>
        <v>0</v>
      </c>
    </row>
    <row r="99" spans="9:22" x14ac:dyDescent="0.2">
      <c r="I99" s="740">
        <v>2137</v>
      </c>
      <c r="J99" s="741">
        <v>0.27</v>
      </c>
      <c r="O99" t="s">
        <v>1268</v>
      </c>
      <c r="P99" t="s">
        <v>1197</v>
      </c>
      <c r="Q99">
        <v>80</v>
      </c>
      <c r="R99" t="s">
        <v>9210</v>
      </c>
      <c r="S99">
        <v>2331.84</v>
      </c>
      <c r="V99">
        <f t="shared" si="5"/>
        <v>0</v>
      </c>
    </row>
    <row r="100" spans="9:22" x14ac:dyDescent="0.2">
      <c r="I100" s="740">
        <v>2138</v>
      </c>
      <c r="J100" s="741">
        <v>0.46</v>
      </c>
      <c r="O100" t="s">
        <v>1270</v>
      </c>
      <c r="P100" t="s">
        <v>1197</v>
      </c>
      <c r="Q100">
        <v>81</v>
      </c>
      <c r="R100" t="s">
        <v>9197</v>
      </c>
      <c r="S100">
        <v>2690.44</v>
      </c>
      <c r="V100">
        <f t="shared" si="5"/>
        <v>0</v>
      </c>
    </row>
    <row r="101" spans="9:22" x14ac:dyDescent="0.2">
      <c r="I101" s="740">
        <v>2139</v>
      </c>
      <c r="J101" s="741">
        <v>0.33</v>
      </c>
      <c r="O101" t="s">
        <v>1272</v>
      </c>
      <c r="P101" t="s">
        <v>1197</v>
      </c>
      <c r="Q101">
        <v>82</v>
      </c>
      <c r="R101" t="s">
        <v>9216</v>
      </c>
      <c r="S101">
        <v>4125.32</v>
      </c>
      <c r="T101">
        <v>2203</v>
      </c>
      <c r="V101">
        <f t="shared" si="5"/>
        <v>2203</v>
      </c>
    </row>
    <row r="102" spans="9:22" x14ac:dyDescent="0.2">
      <c r="I102" s="740">
        <v>2140</v>
      </c>
      <c r="J102" s="741">
        <v>0.33</v>
      </c>
      <c r="O102" t="s">
        <v>1274</v>
      </c>
      <c r="P102" t="s">
        <v>1197</v>
      </c>
      <c r="Q102">
        <v>83</v>
      </c>
      <c r="R102" t="s">
        <v>9317</v>
      </c>
      <c r="S102">
        <v>2690.44</v>
      </c>
      <c r="V102">
        <f t="shared" si="5"/>
        <v>0</v>
      </c>
    </row>
    <row r="103" spans="9:22" x14ac:dyDescent="0.2">
      <c r="I103" s="740">
        <v>2141</v>
      </c>
      <c r="J103" s="741">
        <v>0.61</v>
      </c>
      <c r="O103" t="s">
        <v>1276</v>
      </c>
      <c r="P103" t="s">
        <v>1197</v>
      </c>
      <c r="Q103">
        <v>84</v>
      </c>
      <c r="R103" t="s">
        <v>9214</v>
      </c>
      <c r="S103">
        <v>2869.76</v>
      </c>
      <c r="T103">
        <v>2236</v>
      </c>
      <c r="V103">
        <f t="shared" si="5"/>
        <v>2236</v>
      </c>
    </row>
    <row r="104" spans="9:22" x14ac:dyDescent="0.2">
      <c r="I104" s="740">
        <v>2142</v>
      </c>
      <c r="J104" s="741">
        <v>0.61</v>
      </c>
      <c r="O104" t="s">
        <v>1278</v>
      </c>
      <c r="P104" t="s">
        <v>1197</v>
      </c>
      <c r="Q104">
        <v>85</v>
      </c>
      <c r="R104" t="s">
        <v>9318</v>
      </c>
      <c r="S104">
        <v>3946.04</v>
      </c>
      <c r="V104">
        <f t="shared" si="5"/>
        <v>0</v>
      </c>
    </row>
    <row r="105" spans="9:22" x14ac:dyDescent="0.2">
      <c r="I105" s="740">
        <v>2143</v>
      </c>
      <c r="J105" s="741">
        <v>0.37</v>
      </c>
      <c r="O105" t="s">
        <v>1280</v>
      </c>
      <c r="P105" t="s">
        <v>1197</v>
      </c>
      <c r="Q105">
        <v>86</v>
      </c>
      <c r="R105" t="s">
        <v>9199</v>
      </c>
      <c r="S105">
        <v>3141.52</v>
      </c>
      <c r="T105">
        <v>2237</v>
      </c>
      <c r="V105">
        <f t="shared" si="5"/>
        <v>2237</v>
      </c>
    </row>
    <row r="106" spans="9:22" x14ac:dyDescent="0.2">
      <c r="I106" s="740">
        <v>2144</v>
      </c>
      <c r="J106" s="741">
        <v>0.73</v>
      </c>
      <c r="O106" t="s">
        <v>1282</v>
      </c>
      <c r="P106" t="s">
        <v>1197</v>
      </c>
      <c r="Q106">
        <v>87</v>
      </c>
      <c r="R106" t="s">
        <v>9319</v>
      </c>
      <c r="S106">
        <v>3228.76</v>
      </c>
      <c r="V106">
        <f t="shared" si="5"/>
        <v>0</v>
      </c>
    </row>
    <row r="107" spans="9:22" x14ac:dyDescent="0.2">
      <c r="I107" s="740">
        <v>2145</v>
      </c>
      <c r="J107" s="741">
        <v>1.82</v>
      </c>
      <c r="O107" t="s">
        <v>1284</v>
      </c>
      <c r="P107" t="s">
        <v>1197</v>
      </c>
      <c r="Q107">
        <v>88</v>
      </c>
      <c r="R107" t="s">
        <v>9320</v>
      </c>
      <c r="S107">
        <v>3587.4</v>
      </c>
      <c r="V107">
        <f t="shared" si="5"/>
        <v>0</v>
      </c>
    </row>
    <row r="108" spans="9:22" x14ac:dyDescent="0.2">
      <c r="I108" s="740">
        <v>2146</v>
      </c>
      <c r="J108" s="741">
        <v>0.71</v>
      </c>
      <c r="O108" t="s">
        <v>1286</v>
      </c>
      <c r="P108" t="s">
        <v>1197</v>
      </c>
      <c r="Q108">
        <v>89</v>
      </c>
      <c r="R108" t="s">
        <v>9321</v>
      </c>
      <c r="S108">
        <v>4673.28</v>
      </c>
      <c r="V108">
        <f t="shared" si="5"/>
        <v>0</v>
      </c>
    </row>
    <row r="109" spans="9:22" x14ac:dyDescent="0.2">
      <c r="I109" s="740">
        <v>2147</v>
      </c>
      <c r="J109" s="741">
        <v>0.56999999999999995</v>
      </c>
      <c r="O109" t="s">
        <v>1292</v>
      </c>
      <c r="P109" t="s">
        <v>1197</v>
      </c>
      <c r="Q109">
        <v>37</v>
      </c>
      <c r="R109" t="s">
        <v>9089</v>
      </c>
      <c r="S109">
        <v>1054.08</v>
      </c>
      <c r="T109">
        <v>5683</v>
      </c>
      <c r="V109">
        <f t="shared" si="5"/>
        <v>5683</v>
      </c>
    </row>
    <row r="110" spans="9:22" x14ac:dyDescent="0.2">
      <c r="I110" s="740">
        <v>2148</v>
      </c>
      <c r="J110" s="741">
        <v>1.68</v>
      </c>
    </row>
    <row r="111" spans="9:22" x14ac:dyDescent="0.2">
      <c r="I111" s="740">
        <v>2149</v>
      </c>
      <c r="J111" s="741">
        <v>1.78</v>
      </c>
    </row>
    <row r="112" spans="9:22" x14ac:dyDescent="0.2">
      <c r="I112" s="740">
        <v>2150</v>
      </c>
      <c r="J112" s="741">
        <v>0.28000000000000003</v>
      </c>
    </row>
    <row r="113" spans="9:10" x14ac:dyDescent="0.2">
      <c r="I113" s="740">
        <v>2151</v>
      </c>
      <c r="J113" s="741">
        <v>0.64</v>
      </c>
    </row>
    <row r="114" spans="9:10" x14ac:dyDescent="0.2">
      <c r="I114" s="740">
        <v>2152</v>
      </c>
      <c r="J114" s="741">
        <v>0.3</v>
      </c>
    </row>
    <row r="115" spans="9:10" x14ac:dyDescent="0.2">
      <c r="I115" s="740">
        <v>2153</v>
      </c>
      <c r="J115" s="741">
        <v>0.25</v>
      </c>
    </row>
    <row r="116" spans="9:10" x14ac:dyDescent="0.2">
      <c r="I116" s="740">
        <v>2154</v>
      </c>
      <c r="J116" s="741">
        <v>0.25</v>
      </c>
    </row>
    <row r="117" spans="9:10" x14ac:dyDescent="0.2">
      <c r="I117" s="740">
        <v>2155</v>
      </c>
      <c r="J117" s="741">
        <v>0.5</v>
      </c>
    </row>
    <row r="118" spans="9:10" x14ac:dyDescent="0.2">
      <c r="I118" s="740">
        <v>2156</v>
      </c>
      <c r="J118" s="741">
        <v>0.5</v>
      </c>
    </row>
    <row r="119" spans="9:10" x14ac:dyDescent="0.2">
      <c r="I119" s="740">
        <v>2157</v>
      </c>
      <c r="J119" s="741">
        <v>0.33</v>
      </c>
    </row>
    <row r="120" spans="9:10" x14ac:dyDescent="0.2">
      <c r="I120" s="740">
        <v>2158</v>
      </c>
      <c r="J120" s="751">
        <v>0.56000000000000005</v>
      </c>
    </row>
    <row r="121" spans="9:10" x14ac:dyDescent="0.2">
      <c r="I121" s="740">
        <v>2159</v>
      </c>
      <c r="J121" s="751">
        <v>0.56000000000000005</v>
      </c>
    </row>
    <row r="122" spans="9:10" x14ac:dyDescent="0.2">
      <c r="I122" s="740">
        <v>2160</v>
      </c>
      <c r="J122" s="751">
        <v>0.56000000000000005</v>
      </c>
    </row>
    <row r="123" spans="9:10" x14ac:dyDescent="0.2">
      <c r="I123" s="740">
        <v>2161</v>
      </c>
      <c r="J123" s="751">
        <v>0.31</v>
      </c>
    </row>
    <row r="124" spans="9:10" x14ac:dyDescent="0.2">
      <c r="I124" s="740">
        <v>2162</v>
      </c>
      <c r="J124" s="751">
        <v>0.31</v>
      </c>
    </row>
    <row r="125" spans="9:10" x14ac:dyDescent="0.2">
      <c r="I125" s="740">
        <v>2163</v>
      </c>
      <c r="J125" s="751">
        <v>0.12</v>
      </c>
    </row>
    <row r="126" spans="9:10" x14ac:dyDescent="0.2">
      <c r="I126" s="742" t="s">
        <v>9322</v>
      </c>
      <c r="J126" s="752">
        <v>1.01</v>
      </c>
    </row>
    <row r="127" spans="9:10" x14ac:dyDescent="0.2">
      <c r="I127" s="742">
        <v>2200</v>
      </c>
      <c r="J127" s="743">
        <v>1.01</v>
      </c>
    </row>
    <row r="128" spans="9:10" x14ac:dyDescent="0.2">
      <c r="I128" s="742">
        <v>2201</v>
      </c>
      <c r="J128" s="743">
        <v>1.01</v>
      </c>
    </row>
    <row r="129" spans="9:10" x14ac:dyDescent="0.2">
      <c r="I129" s="742">
        <v>2202</v>
      </c>
      <c r="J129" s="743">
        <v>1.28</v>
      </c>
    </row>
    <row r="130" spans="9:10" x14ac:dyDescent="0.2">
      <c r="I130" s="742">
        <v>2203</v>
      </c>
      <c r="J130" s="743">
        <v>1.17</v>
      </c>
    </row>
    <row r="131" spans="9:10" x14ac:dyDescent="0.2">
      <c r="I131" s="742">
        <v>2204</v>
      </c>
      <c r="J131" s="743">
        <v>0.98</v>
      </c>
    </row>
    <row r="132" spans="9:10" x14ac:dyDescent="0.2">
      <c r="I132" s="742">
        <v>2205</v>
      </c>
      <c r="J132" s="743">
        <v>2.54</v>
      </c>
    </row>
    <row r="133" spans="9:10" x14ac:dyDescent="0.2">
      <c r="I133" s="742">
        <v>2206</v>
      </c>
      <c r="J133" s="743">
        <v>0.87</v>
      </c>
    </row>
    <row r="134" spans="9:10" x14ac:dyDescent="0.2">
      <c r="I134" s="742">
        <v>2207</v>
      </c>
      <c r="J134" s="743">
        <v>0.71</v>
      </c>
    </row>
    <row r="135" spans="9:10" x14ac:dyDescent="0.2">
      <c r="I135" s="742">
        <v>2208</v>
      </c>
      <c r="J135" s="743">
        <v>0.28000000000000003</v>
      </c>
    </row>
    <row r="136" spans="9:10" x14ac:dyDescent="0.2">
      <c r="I136" s="742">
        <v>2209</v>
      </c>
      <c r="J136" s="743">
        <v>0.28000000000000003</v>
      </c>
    </row>
    <row r="137" spans="9:10" x14ac:dyDescent="0.2">
      <c r="I137" s="742">
        <v>2210</v>
      </c>
      <c r="J137" s="743">
        <v>0.97</v>
      </c>
    </row>
    <row r="138" spans="9:10" x14ac:dyDescent="0.2">
      <c r="I138" s="742">
        <v>2211</v>
      </c>
      <c r="J138" s="743">
        <v>0.67</v>
      </c>
    </row>
    <row r="139" spans="9:10" x14ac:dyDescent="0.2">
      <c r="I139" s="742">
        <v>2212</v>
      </c>
      <c r="J139" s="743">
        <v>0.71</v>
      </c>
    </row>
    <row r="140" spans="9:10" x14ac:dyDescent="0.2">
      <c r="I140" s="742">
        <v>2213</v>
      </c>
      <c r="J140" s="743">
        <v>1.54</v>
      </c>
    </row>
    <row r="141" spans="9:10" x14ac:dyDescent="0.2">
      <c r="I141" s="742">
        <v>2214</v>
      </c>
      <c r="J141" s="743">
        <v>3.66</v>
      </c>
    </row>
    <row r="142" spans="9:10" x14ac:dyDescent="0.2">
      <c r="I142" s="742">
        <v>2215</v>
      </c>
      <c r="J142" s="743">
        <v>0.52</v>
      </c>
    </row>
    <row r="143" spans="9:10" x14ac:dyDescent="0.2">
      <c r="I143" s="742">
        <v>2216</v>
      </c>
      <c r="J143" s="743">
        <v>4.59</v>
      </c>
    </row>
    <row r="144" spans="9:10" x14ac:dyDescent="0.2">
      <c r="I144" s="742">
        <v>2217</v>
      </c>
      <c r="J144" s="743">
        <v>3.21</v>
      </c>
    </row>
    <row r="145" spans="9:10" x14ac:dyDescent="0.2">
      <c r="I145" s="742">
        <v>2218</v>
      </c>
      <c r="J145" s="743">
        <v>0.95</v>
      </c>
    </row>
    <row r="146" spans="9:10" x14ac:dyDescent="0.2">
      <c r="I146" s="742">
        <v>2219</v>
      </c>
      <c r="J146" s="743">
        <v>1.42</v>
      </c>
    </row>
    <row r="147" spans="9:10" x14ac:dyDescent="0.2">
      <c r="I147" s="742">
        <v>2220</v>
      </c>
      <c r="J147" s="743">
        <v>2.0099999999999998</v>
      </c>
    </row>
    <row r="148" spans="9:10" x14ac:dyDescent="0.2">
      <c r="I148" s="742">
        <v>2221</v>
      </c>
      <c r="J148" s="743">
        <v>1.84</v>
      </c>
    </row>
    <row r="149" spans="9:10" x14ac:dyDescent="0.2">
      <c r="I149" s="742">
        <v>2222</v>
      </c>
      <c r="J149" s="743">
        <v>1.95</v>
      </c>
    </row>
    <row r="150" spans="9:10" x14ac:dyDescent="0.2">
      <c r="I150" s="742">
        <v>2223</v>
      </c>
      <c r="J150" s="743">
        <v>0.26</v>
      </c>
    </row>
    <row r="151" spans="9:10" x14ac:dyDescent="0.2">
      <c r="I151" s="742">
        <v>2224</v>
      </c>
      <c r="J151" s="743">
        <v>0.88</v>
      </c>
    </row>
    <row r="152" spans="9:10" x14ac:dyDescent="0.2">
      <c r="I152" s="742">
        <v>2225</v>
      </c>
      <c r="J152" s="743">
        <v>2.75</v>
      </c>
    </row>
    <row r="153" spans="9:10" x14ac:dyDescent="0.2">
      <c r="I153" s="742">
        <v>2226</v>
      </c>
      <c r="J153" s="743">
        <v>5.38</v>
      </c>
    </row>
    <row r="154" spans="9:10" x14ac:dyDescent="0.2">
      <c r="I154" s="742">
        <v>2227</v>
      </c>
      <c r="J154" s="743">
        <v>0.16</v>
      </c>
    </row>
    <row r="155" spans="9:10" x14ac:dyDescent="0.2">
      <c r="I155" s="742">
        <v>2228</v>
      </c>
      <c r="J155" s="743" t="s">
        <v>9314</v>
      </c>
    </row>
    <row r="156" spans="9:10" x14ac:dyDescent="0.2">
      <c r="I156" s="742">
        <v>2229</v>
      </c>
      <c r="J156" s="743">
        <v>0.4</v>
      </c>
    </row>
    <row r="157" spans="9:10" x14ac:dyDescent="0.2">
      <c r="I157" s="742">
        <v>2230</v>
      </c>
      <c r="J157" s="743">
        <v>1.07</v>
      </c>
    </row>
    <row r="158" spans="9:10" x14ac:dyDescent="0.2">
      <c r="I158" s="742">
        <v>2231</v>
      </c>
      <c r="J158" s="743">
        <v>0.92</v>
      </c>
    </row>
    <row r="159" spans="9:10" x14ac:dyDescent="0.2">
      <c r="I159" s="742">
        <v>2232</v>
      </c>
      <c r="J159" s="743">
        <v>1.0900000000000001</v>
      </c>
    </row>
    <row r="160" spans="9:10" x14ac:dyDescent="0.2">
      <c r="I160" s="742">
        <v>2233</v>
      </c>
      <c r="J160" s="743">
        <v>1.07</v>
      </c>
    </row>
    <row r="161" spans="9:10" x14ac:dyDescent="0.2">
      <c r="I161" s="742">
        <v>2234</v>
      </c>
      <c r="J161" s="743">
        <v>1.49</v>
      </c>
    </row>
    <row r="162" spans="9:10" x14ac:dyDescent="0.2">
      <c r="I162" s="742">
        <v>2235</v>
      </c>
      <c r="J162" s="743">
        <v>1.2</v>
      </c>
    </row>
    <row r="163" spans="9:10" x14ac:dyDescent="0.2">
      <c r="I163" s="742">
        <v>2236</v>
      </c>
      <c r="J163" s="743">
        <v>0.62</v>
      </c>
    </row>
    <row r="164" spans="9:10" x14ac:dyDescent="0.2">
      <c r="I164" s="742">
        <v>2237</v>
      </c>
      <c r="J164" s="743">
        <v>0.66</v>
      </c>
    </row>
    <row r="165" spans="9:10" x14ac:dyDescent="0.2">
      <c r="I165" s="742">
        <v>2238</v>
      </c>
      <c r="J165" s="743">
        <v>0.15</v>
      </c>
    </row>
    <row r="166" spans="9:10" x14ac:dyDescent="0.2">
      <c r="I166" s="742">
        <v>2239</v>
      </c>
      <c r="J166" s="743">
        <v>1.51</v>
      </c>
    </row>
    <row r="167" spans="9:10" x14ac:dyDescent="0.2">
      <c r="I167" s="742">
        <v>2240</v>
      </c>
      <c r="J167" s="743">
        <v>4.58</v>
      </c>
    </row>
    <row r="168" spans="9:10" x14ac:dyDescent="0.2">
      <c r="I168" s="742">
        <v>2241</v>
      </c>
      <c r="J168" s="743">
        <v>0.39</v>
      </c>
    </row>
    <row r="169" spans="9:10" x14ac:dyDescent="0.2">
      <c r="I169" s="742">
        <v>2242</v>
      </c>
      <c r="J169" s="743">
        <v>0.39</v>
      </c>
    </row>
    <row r="170" spans="9:10" x14ac:dyDescent="0.2">
      <c r="I170" s="742">
        <v>2243</v>
      </c>
      <c r="J170" s="743">
        <v>3.16</v>
      </c>
    </row>
    <row r="171" spans="9:10" x14ac:dyDescent="0.2">
      <c r="I171" s="742">
        <v>2244</v>
      </c>
      <c r="J171" s="743">
        <v>0.78</v>
      </c>
    </row>
    <row r="172" spans="9:10" x14ac:dyDescent="0.2">
      <c r="I172" s="742">
        <v>2245</v>
      </c>
      <c r="J172" s="743">
        <v>0.7</v>
      </c>
    </row>
    <row r="173" spans="9:10" x14ac:dyDescent="0.2">
      <c r="I173" s="742">
        <v>2246</v>
      </c>
      <c r="J173" s="743">
        <v>0.63</v>
      </c>
    </row>
    <row r="174" spans="9:10" x14ac:dyDescent="0.2">
      <c r="I174" s="742">
        <v>2247</v>
      </c>
      <c r="J174" s="743">
        <v>6.69</v>
      </c>
    </row>
    <row r="175" spans="9:10" x14ac:dyDescent="0.2">
      <c r="I175" s="742">
        <v>2248</v>
      </c>
      <c r="J175" s="743">
        <v>1.0900000000000001</v>
      </c>
    </row>
    <row r="176" spans="9:10" x14ac:dyDescent="0.2">
      <c r="I176" s="742">
        <v>2249</v>
      </c>
      <c r="J176" s="743">
        <v>1.26</v>
      </c>
    </row>
    <row r="177" spans="9:10" x14ac:dyDescent="0.2">
      <c r="I177" s="742">
        <v>2250</v>
      </c>
      <c r="J177" s="743">
        <v>0.17</v>
      </c>
    </row>
    <row r="178" spans="9:10" x14ac:dyDescent="0.2">
      <c r="I178" s="742">
        <v>2251</v>
      </c>
      <c r="J178" s="743">
        <v>0.52</v>
      </c>
    </row>
    <row r="179" spans="9:10" x14ac:dyDescent="0.2">
      <c r="I179" s="742">
        <v>2252</v>
      </c>
      <c r="J179" s="743">
        <v>4.25</v>
      </c>
    </row>
    <row r="180" spans="9:10" x14ac:dyDescent="0.2">
      <c r="I180" s="742">
        <v>2253</v>
      </c>
      <c r="J180" s="743">
        <v>0.32</v>
      </c>
    </row>
    <row r="181" spans="9:10" x14ac:dyDescent="0.2">
      <c r="I181" s="742">
        <v>2254</v>
      </c>
      <c r="J181" s="743">
        <v>0.32</v>
      </c>
    </row>
    <row r="182" spans="9:10" x14ac:dyDescent="0.2">
      <c r="I182" s="742">
        <v>2255</v>
      </c>
      <c r="J182" s="743">
        <v>0.48</v>
      </c>
    </row>
    <row r="183" spans="9:10" x14ac:dyDescent="0.2">
      <c r="I183" s="742">
        <v>2256</v>
      </c>
      <c r="J183" s="743">
        <v>0.48</v>
      </c>
    </row>
    <row r="184" spans="9:10" x14ac:dyDescent="0.2">
      <c r="I184" s="742">
        <v>2257</v>
      </c>
      <c r="J184" s="743">
        <v>2.09</v>
      </c>
    </row>
    <row r="185" spans="9:10" x14ac:dyDescent="0.2">
      <c r="I185" s="742">
        <v>2258</v>
      </c>
      <c r="J185" s="743">
        <v>2.13</v>
      </c>
    </row>
    <row r="186" spans="9:10" x14ac:dyDescent="0.2">
      <c r="I186" s="742">
        <v>2259</v>
      </c>
      <c r="J186" s="743">
        <v>0.3</v>
      </c>
    </row>
    <row r="187" spans="9:10" x14ac:dyDescent="0.2">
      <c r="I187" s="742">
        <v>2260</v>
      </c>
      <c r="J187" s="743">
        <v>0.43</v>
      </c>
    </row>
    <row r="188" spans="9:10" x14ac:dyDescent="0.2">
      <c r="I188" s="742">
        <v>2261</v>
      </c>
      <c r="J188" s="743">
        <v>0.43</v>
      </c>
    </row>
    <row r="189" spans="9:10" x14ac:dyDescent="0.2">
      <c r="I189" s="742">
        <v>2262</v>
      </c>
      <c r="J189" s="743">
        <v>0.2</v>
      </c>
    </row>
    <row r="190" spans="9:10" x14ac:dyDescent="0.2">
      <c r="I190" s="742">
        <v>2263</v>
      </c>
      <c r="J190" s="743">
        <v>0.28000000000000003</v>
      </c>
    </row>
    <row r="191" spans="9:10" x14ac:dyDescent="0.2">
      <c r="I191" s="742">
        <v>2264</v>
      </c>
      <c r="J191" s="743">
        <v>0.28000000000000003</v>
      </c>
    </row>
    <row r="192" spans="9:10" x14ac:dyDescent="0.2">
      <c r="I192" s="742">
        <v>2265</v>
      </c>
      <c r="J192" s="743">
        <v>0.31</v>
      </c>
    </row>
    <row r="193" spans="9:10" x14ac:dyDescent="0.2">
      <c r="I193" s="742">
        <v>2266</v>
      </c>
      <c r="J193" s="743">
        <v>0.41</v>
      </c>
    </row>
    <row r="194" spans="9:10" x14ac:dyDescent="0.2">
      <c r="I194" s="742">
        <v>2267</v>
      </c>
      <c r="J194" s="743">
        <v>0.41</v>
      </c>
    </row>
    <row r="195" spans="9:10" x14ac:dyDescent="0.2">
      <c r="I195" s="742">
        <v>2268</v>
      </c>
      <c r="J195" s="743">
        <v>0.24</v>
      </c>
    </row>
    <row r="196" spans="9:10" x14ac:dyDescent="0.2">
      <c r="I196" s="742">
        <v>2269</v>
      </c>
      <c r="J196" s="743">
        <v>0.36</v>
      </c>
    </row>
    <row r="197" spans="9:10" x14ac:dyDescent="0.2">
      <c r="I197" s="742">
        <v>2270</v>
      </c>
      <c r="J197" s="743">
        <v>0.36</v>
      </c>
    </row>
    <row r="198" spans="9:10" x14ac:dyDescent="0.2">
      <c r="I198" s="742">
        <v>2271</v>
      </c>
      <c r="J198" s="743">
        <v>0.37</v>
      </c>
    </row>
    <row r="199" spans="9:10" x14ac:dyDescent="0.2">
      <c r="I199" s="742">
        <v>2272</v>
      </c>
      <c r="J199" s="743">
        <v>4.01</v>
      </c>
    </row>
    <row r="200" spans="9:10" x14ac:dyDescent="0.2">
      <c r="I200" s="742">
        <v>2273</v>
      </c>
      <c r="J200" s="743">
        <v>3.5</v>
      </c>
    </row>
    <row r="201" spans="9:10" x14ac:dyDescent="0.2">
      <c r="I201" s="742">
        <v>2276</v>
      </c>
      <c r="J201" s="743">
        <v>0.51</v>
      </c>
    </row>
    <row r="202" spans="9:10" x14ac:dyDescent="0.2">
      <c r="I202" s="742">
        <v>2277</v>
      </c>
      <c r="J202" s="743">
        <v>0.51</v>
      </c>
    </row>
    <row r="203" spans="9:10" x14ac:dyDescent="0.2">
      <c r="I203" s="742">
        <v>2278</v>
      </c>
      <c r="J203" s="743">
        <v>0.41</v>
      </c>
    </row>
    <row r="204" spans="9:10" x14ac:dyDescent="0.2">
      <c r="I204" s="742">
        <v>2279</v>
      </c>
      <c r="J204" s="743">
        <v>0.41</v>
      </c>
    </row>
    <row r="205" spans="9:10" x14ac:dyDescent="0.2">
      <c r="I205" s="742">
        <v>2280</v>
      </c>
      <c r="J205" s="743">
        <v>0.33</v>
      </c>
    </row>
    <row r="206" spans="9:10" x14ac:dyDescent="0.2">
      <c r="I206" s="742">
        <v>2281</v>
      </c>
      <c r="J206" s="743">
        <v>0.34</v>
      </c>
    </row>
    <row r="207" spans="9:10" x14ac:dyDescent="0.2">
      <c r="I207" s="742">
        <v>2282</v>
      </c>
      <c r="J207" s="743">
        <v>0.56000000000000005</v>
      </c>
    </row>
    <row r="208" spans="9:10" x14ac:dyDescent="0.2">
      <c r="I208" s="742">
        <v>2283</v>
      </c>
      <c r="J208" s="743">
        <v>0.56000000000000005</v>
      </c>
    </row>
    <row r="209" spans="9:10" x14ac:dyDescent="0.2">
      <c r="I209" s="742">
        <v>2284</v>
      </c>
      <c r="J209" s="743">
        <v>0.4</v>
      </c>
    </row>
    <row r="210" spans="9:10" x14ac:dyDescent="0.2">
      <c r="I210" s="742">
        <v>2285</v>
      </c>
      <c r="J210" s="743">
        <v>0.4</v>
      </c>
    </row>
    <row r="211" spans="9:10" x14ac:dyDescent="0.2">
      <c r="I211" s="742">
        <v>2286</v>
      </c>
      <c r="J211" s="743">
        <v>1.21</v>
      </c>
    </row>
    <row r="212" spans="9:10" x14ac:dyDescent="0.2">
      <c r="I212" s="742">
        <v>2287</v>
      </c>
      <c r="J212" s="743">
        <v>1.21</v>
      </c>
    </row>
    <row r="213" spans="9:10" x14ac:dyDescent="0.2">
      <c r="I213" s="742">
        <v>2288</v>
      </c>
      <c r="J213" s="743">
        <v>0.96</v>
      </c>
    </row>
    <row r="214" spans="9:10" x14ac:dyDescent="0.2">
      <c r="I214" s="742">
        <v>2289</v>
      </c>
      <c r="J214" s="743">
        <v>0.96</v>
      </c>
    </row>
    <row r="215" spans="9:10" x14ac:dyDescent="0.2">
      <c r="I215" s="742">
        <v>2290</v>
      </c>
      <c r="J215" s="743">
        <v>1</v>
      </c>
    </row>
    <row r="216" spans="9:10" x14ac:dyDescent="0.2">
      <c r="I216" s="742">
        <v>2291</v>
      </c>
      <c r="J216" s="743">
        <v>1.36</v>
      </c>
    </row>
    <row r="217" spans="9:10" x14ac:dyDescent="0.2">
      <c r="I217" s="742">
        <v>2292</v>
      </c>
      <c r="J217" s="743">
        <v>0.92</v>
      </c>
    </row>
    <row r="218" spans="9:10" x14ac:dyDescent="0.2">
      <c r="I218" s="742">
        <v>2293</v>
      </c>
      <c r="J218" s="743">
        <v>0.43</v>
      </c>
    </row>
    <row r="219" spans="9:10" x14ac:dyDescent="0.2">
      <c r="I219" s="742">
        <v>2294</v>
      </c>
      <c r="J219" s="743">
        <v>0.43</v>
      </c>
    </row>
    <row r="220" spans="9:10" x14ac:dyDescent="0.2">
      <c r="I220" s="742">
        <v>2295</v>
      </c>
      <c r="J220" s="743">
        <v>0.95</v>
      </c>
    </row>
    <row r="221" spans="9:10" x14ac:dyDescent="0.2">
      <c r="I221" s="742">
        <v>2296</v>
      </c>
      <c r="J221" s="743">
        <v>0.99</v>
      </c>
    </row>
    <row r="222" spans="9:10" x14ac:dyDescent="0.2">
      <c r="I222" s="742">
        <v>2297</v>
      </c>
      <c r="J222" s="743">
        <v>0.61</v>
      </c>
    </row>
    <row r="223" spans="9:10" x14ac:dyDescent="0.2">
      <c r="I223" s="742">
        <v>2298</v>
      </c>
      <c r="J223" s="743">
        <v>0.61</v>
      </c>
    </row>
    <row r="224" spans="9:10" x14ac:dyDescent="0.2">
      <c r="I224" s="742">
        <v>2299</v>
      </c>
      <c r="J224" s="743">
        <v>0.8</v>
      </c>
    </row>
    <row r="225" spans="9:10" x14ac:dyDescent="0.2">
      <c r="I225" s="742">
        <v>22000</v>
      </c>
      <c r="J225" s="743">
        <v>0.8</v>
      </c>
    </row>
    <row r="226" spans="9:10" x14ac:dyDescent="0.2">
      <c r="I226" s="742">
        <v>22001</v>
      </c>
      <c r="J226" s="743">
        <v>0.85</v>
      </c>
    </row>
    <row r="227" spans="9:10" x14ac:dyDescent="0.2">
      <c r="I227" s="742">
        <v>22002</v>
      </c>
      <c r="J227" s="743">
        <v>0.51</v>
      </c>
    </row>
    <row r="228" spans="9:10" x14ac:dyDescent="0.2">
      <c r="I228" s="742">
        <v>22003</v>
      </c>
      <c r="J228" s="743">
        <v>0.51</v>
      </c>
    </row>
    <row r="229" spans="9:10" x14ac:dyDescent="0.2">
      <c r="I229" s="742">
        <v>22004</v>
      </c>
      <c r="J229" s="743">
        <v>0.26</v>
      </c>
    </row>
    <row r="230" spans="9:10" x14ac:dyDescent="0.2">
      <c r="I230" s="742">
        <v>22005</v>
      </c>
      <c r="J230" s="743">
        <v>3</v>
      </c>
    </row>
    <row r="231" spans="9:10" x14ac:dyDescent="0.2">
      <c r="I231" s="742">
        <v>22006</v>
      </c>
      <c r="J231" s="743">
        <v>3.4</v>
      </c>
    </row>
    <row r="232" spans="9:10" x14ac:dyDescent="0.2">
      <c r="I232" s="742">
        <v>22007</v>
      </c>
      <c r="J232" s="743">
        <v>0.3</v>
      </c>
    </row>
    <row r="233" spans="9:10" x14ac:dyDescent="0.2">
      <c r="I233" s="742">
        <v>22008</v>
      </c>
      <c r="J233" s="743">
        <v>3.4</v>
      </c>
    </row>
    <row r="234" spans="9:10" x14ac:dyDescent="0.2">
      <c r="I234" s="742">
        <v>22009</v>
      </c>
      <c r="J234" s="743">
        <v>0.57999999999999996</v>
      </c>
    </row>
    <row r="235" spans="9:10" x14ac:dyDescent="0.2">
      <c r="I235" s="742">
        <v>22010</v>
      </c>
      <c r="J235" s="743">
        <v>0.31</v>
      </c>
    </row>
    <row r="236" spans="9:10" x14ac:dyDescent="0.2">
      <c r="I236" s="742">
        <v>22011</v>
      </c>
      <c r="J236" s="743">
        <v>0.11</v>
      </c>
    </row>
    <row r="237" spans="9:10" x14ac:dyDescent="0.2">
      <c r="I237" s="742">
        <v>22012</v>
      </c>
      <c r="J237" s="743">
        <v>3.78</v>
      </c>
    </row>
    <row r="238" spans="9:10" x14ac:dyDescent="0.2">
      <c r="I238" s="742">
        <v>22013</v>
      </c>
      <c r="J238" s="743">
        <v>0.34</v>
      </c>
    </row>
    <row r="239" spans="9:10" x14ac:dyDescent="0.2">
      <c r="I239" s="742">
        <v>22014</v>
      </c>
      <c r="J239" s="743">
        <v>0.24</v>
      </c>
    </row>
    <row r="240" spans="9:10" x14ac:dyDescent="0.2">
      <c r="I240" s="742">
        <v>22015</v>
      </c>
      <c r="J240" s="743">
        <v>0.24</v>
      </c>
    </row>
    <row r="241" spans="9:10" x14ac:dyDescent="0.2">
      <c r="I241" s="742">
        <v>22016</v>
      </c>
      <c r="J241" s="743">
        <v>0.31</v>
      </c>
    </row>
    <row r="242" spans="9:10" x14ac:dyDescent="0.2">
      <c r="I242" s="742">
        <v>22017</v>
      </c>
      <c r="J242" s="743">
        <v>0.31</v>
      </c>
    </row>
    <row r="243" spans="9:10" x14ac:dyDescent="0.2">
      <c r="I243" s="742">
        <v>22018</v>
      </c>
      <c r="J243" s="743">
        <v>0.62</v>
      </c>
    </row>
    <row r="244" spans="9:10" x14ac:dyDescent="0.2">
      <c r="I244" s="742">
        <v>22019</v>
      </c>
      <c r="J244" s="743">
        <v>1.24</v>
      </c>
    </row>
    <row r="245" spans="9:10" x14ac:dyDescent="0.2">
      <c r="I245" s="742">
        <v>22020</v>
      </c>
      <c r="J245" s="743">
        <v>0.51</v>
      </c>
    </row>
    <row r="246" spans="9:10" x14ac:dyDescent="0.2">
      <c r="I246" s="742">
        <v>22021</v>
      </c>
      <c r="J246" s="743">
        <v>0.51</v>
      </c>
    </row>
    <row r="247" spans="9:10" x14ac:dyDescent="0.2">
      <c r="I247" s="742">
        <v>22022</v>
      </c>
      <c r="J247" s="752">
        <v>0.68</v>
      </c>
    </row>
    <row r="248" spans="9:10" x14ac:dyDescent="0.2">
      <c r="I248" s="742">
        <v>22023</v>
      </c>
      <c r="J248" s="752">
        <v>0.39</v>
      </c>
    </row>
    <row r="249" spans="9:10" x14ac:dyDescent="0.2">
      <c r="I249" s="742">
        <v>22024</v>
      </c>
      <c r="J249" s="752">
        <v>0.33</v>
      </c>
    </row>
    <row r="250" spans="9:10" x14ac:dyDescent="0.2">
      <c r="I250" s="742">
        <v>22025</v>
      </c>
      <c r="J250" s="752">
        <v>0.34</v>
      </c>
    </row>
    <row r="251" spans="9:10" x14ac:dyDescent="0.2">
      <c r="I251" s="753">
        <v>22026</v>
      </c>
      <c r="J251" s="743">
        <v>1.23</v>
      </c>
    </row>
    <row r="252" spans="9:10" x14ac:dyDescent="0.2">
      <c r="I252" s="753">
        <v>22027</v>
      </c>
      <c r="J252" s="743">
        <v>0.47</v>
      </c>
    </row>
    <row r="253" spans="9:10" x14ac:dyDescent="0.2">
      <c r="I253" s="753">
        <v>22028</v>
      </c>
      <c r="J253" s="743">
        <v>0.39</v>
      </c>
    </row>
    <row r="254" spans="9:10" x14ac:dyDescent="0.2">
      <c r="I254" s="742">
        <v>22029</v>
      </c>
      <c r="J254" s="752">
        <v>0.99</v>
      </c>
    </row>
    <row r="255" spans="9:10" x14ac:dyDescent="0.2">
      <c r="I255" s="742">
        <v>22030</v>
      </c>
      <c r="J255" s="752">
        <v>0.57999999999999996</v>
      </c>
    </row>
    <row r="256" spans="9:10" x14ac:dyDescent="0.2">
      <c r="I256" s="742">
        <v>22031</v>
      </c>
      <c r="J256" s="752">
        <v>0.55000000000000004</v>
      </c>
    </row>
    <row r="257" spans="9:10" x14ac:dyDescent="0.2">
      <c r="I257" s="742">
        <v>22032</v>
      </c>
      <c r="J257" s="752">
        <v>0.23</v>
      </c>
    </row>
    <row r="258" spans="9:10" x14ac:dyDescent="0.2">
      <c r="I258" s="742">
        <v>22033</v>
      </c>
      <c r="J258" s="743">
        <v>0.3</v>
      </c>
    </row>
    <row r="259" spans="9:10" x14ac:dyDescent="0.2">
      <c r="I259" s="742">
        <v>22034</v>
      </c>
      <c r="J259" s="743">
        <v>0.57999999999999996</v>
      </c>
    </row>
    <row r="260" spans="9:10" x14ac:dyDescent="0.2">
      <c r="I260" s="742">
        <v>22035</v>
      </c>
      <c r="J260" s="743">
        <v>0.57999999999999996</v>
      </c>
    </row>
    <row r="261" spans="9:10" x14ac:dyDescent="0.2">
      <c r="I261" s="742">
        <v>22036</v>
      </c>
      <c r="J261" s="743">
        <v>0.63</v>
      </c>
    </row>
    <row r="262" spans="9:10" x14ac:dyDescent="0.2">
      <c r="I262" s="742">
        <v>22037</v>
      </c>
      <c r="J262" s="743">
        <v>0.28000000000000003</v>
      </c>
    </row>
    <row r="263" spans="9:10" x14ac:dyDescent="0.2">
      <c r="I263" s="742">
        <v>22038</v>
      </c>
      <c r="J263" s="743">
        <v>1.03</v>
      </c>
    </row>
    <row r="264" spans="9:10" x14ac:dyDescent="0.2">
      <c r="I264" s="742" t="s">
        <v>9323</v>
      </c>
      <c r="J264" s="743">
        <v>1.03</v>
      </c>
    </row>
    <row r="265" spans="9:10" x14ac:dyDescent="0.2">
      <c r="I265" s="742">
        <v>2300</v>
      </c>
      <c r="J265" s="743">
        <v>4.59</v>
      </c>
    </row>
    <row r="266" spans="9:10" x14ac:dyDescent="0.2">
      <c r="I266" s="742">
        <v>2301</v>
      </c>
      <c r="J266" s="743">
        <v>3.21</v>
      </c>
    </row>
    <row r="267" spans="9:10" x14ac:dyDescent="0.2">
      <c r="I267" s="742">
        <v>2302</v>
      </c>
      <c r="J267" s="743" t="s">
        <v>9314</v>
      </c>
    </row>
    <row r="268" spans="9:10" x14ac:dyDescent="0.2">
      <c r="I268" s="742">
        <v>2303</v>
      </c>
      <c r="J268" s="743">
        <v>0.67</v>
      </c>
    </row>
    <row r="269" spans="9:10" x14ac:dyDescent="0.2">
      <c r="I269" s="742">
        <v>2304</v>
      </c>
      <c r="J269" s="743">
        <v>3.66</v>
      </c>
    </row>
    <row r="270" spans="9:10" x14ac:dyDescent="0.2">
      <c r="I270" s="742">
        <v>2305</v>
      </c>
      <c r="J270" s="743">
        <v>1.54</v>
      </c>
    </row>
    <row r="271" spans="9:10" x14ac:dyDescent="0.2">
      <c r="I271" s="742">
        <v>2306</v>
      </c>
      <c r="J271" s="743"/>
    </row>
    <row r="272" spans="9:10" x14ac:dyDescent="0.2">
      <c r="I272" s="742">
        <v>2307</v>
      </c>
      <c r="J272" s="743">
        <v>0.97</v>
      </c>
    </row>
    <row r="273" spans="9:10" x14ac:dyDescent="0.2">
      <c r="I273" s="742">
        <v>2308</v>
      </c>
      <c r="J273" s="743">
        <v>0.14000000000000001</v>
      </c>
    </row>
    <row r="274" spans="9:10" x14ac:dyDescent="0.2">
      <c r="I274" s="742">
        <v>2309</v>
      </c>
      <c r="J274" s="743">
        <v>0.4</v>
      </c>
    </row>
    <row r="275" spans="9:10" x14ac:dyDescent="0.2">
      <c r="I275" s="742">
        <v>2310</v>
      </c>
      <c r="J275" s="743" t="s">
        <v>9314</v>
      </c>
    </row>
    <row r="276" spans="9:10" x14ac:dyDescent="0.2">
      <c r="I276" s="742">
        <v>2311</v>
      </c>
      <c r="J276" s="743">
        <v>0.4</v>
      </c>
    </row>
    <row r="277" spans="9:10" x14ac:dyDescent="0.2">
      <c r="I277" s="742">
        <v>2312</v>
      </c>
      <c r="J277" s="743">
        <v>0.95</v>
      </c>
    </row>
    <row r="278" spans="9:10" x14ac:dyDescent="0.2">
      <c r="I278" s="742">
        <v>2313</v>
      </c>
      <c r="J278" s="743">
        <v>0.88</v>
      </c>
    </row>
    <row r="279" spans="9:10" x14ac:dyDescent="0.2">
      <c r="I279" s="742">
        <v>2314</v>
      </c>
      <c r="J279" s="743" t="s">
        <v>9314</v>
      </c>
    </row>
    <row r="280" spans="9:10" x14ac:dyDescent="0.2">
      <c r="I280" s="742">
        <v>2315</v>
      </c>
      <c r="J280" s="743">
        <v>0.26</v>
      </c>
    </row>
    <row r="281" spans="9:10" x14ac:dyDescent="0.2">
      <c r="I281" s="742">
        <v>2316</v>
      </c>
      <c r="J281" s="743">
        <v>0.42</v>
      </c>
    </row>
    <row r="282" spans="9:10" x14ac:dyDescent="0.2">
      <c r="I282" s="742">
        <v>2317</v>
      </c>
      <c r="J282" s="743">
        <v>4.59</v>
      </c>
    </row>
    <row r="283" spans="9:10" x14ac:dyDescent="0.2">
      <c r="I283" s="742">
        <v>2318</v>
      </c>
      <c r="J283" s="743">
        <v>0.26</v>
      </c>
    </row>
    <row r="284" spans="9:10" x14ac:dyDescent="0.2">
      <c r="I284" s="742">
        <v>2319</v>
      </c>
      <c r="J284" s="743">
        <v>0.88</v>
      </c>
    </row>
    <row r="285" spans="9:10" x14ac:dyDescent="0.2">
      <c r="I285" s="742">
        <v>2320</v>
      </c>
      <c r="J285" s="743">
        <v>1.77</v>
      </c>
    </row>
    <row r="286" spans="9:10" x14ac:dyDescent="0.2">
      <c r="I286" s="742">
        <v>2321</v>
      </c>
      <c r="J286" s="743">
        <v>1.08</v>
      </c>
    </row>
    <row r="287" spans="9:10" x14ac:dyDescent="0.2">
      <c r="I287" s="742">
        <v>2322</v>
      </c>
      <c r="J287" s="743">
        <v>0.69</v>
      </c>
    </row>
    <row r="288" spans="9:10" x14ac:dyDescent="0.2">
      <c r="I288" s="742">
        <v>2323</v>
      </c>
      <c r="J288" s="743">
        <v>0.71</v>
      </c>
    </row>
    <row r="289" spans="9:10" x14ac:dyDescent="0.2">
      <c r="I289" s="742">
        <v>2324</v>
      </c>
      <c r="J289" s="743">
        <v>0.99</v>
      </c>
    </row>
    <row r="290" spans="9:10" x14ac:dyDescent="0.2">
      <c r="I290" s="742">
        <v>2325</v>
      </c>
      <c r="J290" s="743">
        <v>0.3</v>
      </c>
    </row>
    <row r="291" spans="9:10" x14ac:dyDescent="0.2">
      <c r="I291" s="740">
        <v>2326</v>
      </c>
      <c r="J291" s="741">
        <v>1.77</v>
      </c>
    </row>
    <row r="292" spans="9:10" x14ac:dyDescent="0.2">
      <c r="I292" s="740">
        <v>2327</v>
      </c>
      <c r="J292" s="741">
        <v>0.92</v>
      </c>
    </row>
    <row r="293" spans="9:10" x14ac:dyDescent="0.2">
      <c r="I293" s="740">
        <v>2328</v>
      </c>
      <c r="J293" s="741">
        <v>1.02</v>
      </c>
    </row>
    <row r="294" spans="9:10" x14ac:dyDescent="0.2">
      <c r="I294" s="740">
        <v>2329</v>
      </c>
      <c r="J294" s="741">
        <v>0.99</v>
      </c>
    </row>
    <row r="295" spans="9:10" x14ac:dyDescent="0.2">
      <c r="I295" s="740">
        <v>2330</v>
      </c>
      <c r="J295" s="741">
        <v>1.33</v>
      </c>
    </row>
    <row r="296" spans="9:10" x14ac:dyDescent="0.2">
      <c r="I296" s="740">
        <v>2331</v>
      </c>
      <c r="J296" s="741">
        <v>1.91</v>
      </c>
    </row>
    <row r="297" spans="9:10" x14ac:dyDescent="0.2">
      <c r="I297" s="740">
        <v>2332</v>
      </c>
      <c r="J297" s="741">
        <v>1.02</v>
      </c>
    </row>
    <row r="298" spans="9:10" x14ac:dyDescent="0.2">
      <c r="I298" s="740">
        <v>2333</v>
      </c>
      <c r="J298" s="741">
        <v>1.74</v>
      </c>
    </row>
    <row r="299" spans="9:10" x14ac:dyDescent="0.2">
      <c r="I299" s="740">
        <v>2334</v>
      </c>
      <c r="J299" s="741">
        <v>2.41</v>
      </c>
    </row>
    <row r="300" spans="9:10" x14ac:dyDescent="0.2">
      <c r="I300" s="740">
        <v>2335</v>
      </c>
      <c r="J300" s="741">
        <v>0.51</v>
      </c>
    </row>
    <row r="301" spans="9:10" x14ac:dyDescent="0.2">
      <c r="I301" s="740">
        <v>2336</v>
      </c>
      <c r="J301" s="741">
        <v>0.44</v>
      </c>
    </row>
    <row r="302" spans="9:10" x14ac:dyDescent="0.2">
      <c r="I302" s="740">
        <v>2337</v>
      </c>
      <c r="J302" s="741">
        <v>0.44</v>
      </c>
    </row>
    <row r="303" spans="9:10" x14ac:dyDescent="0.2">
      <c r="I303" s="740">
        <v>2338</v>
      </c>
      <c r="J303" s="741">
        <v>0.71</v>
      </c>
    </row>
    <row r="304" spans="9:10" x14ac:dyDescent="0.2">
      <c r="I304" s="740">
        <v>2339</v>
      </c>
      <c r="J304" s="741">
        <v>0.73</v>
      </c>
    </row>
    <row r="305" spans="9:10" x14ac:dyDescent="0.2">
      <c r="I305" s="740">
        <v>2340</v>
      </c>
      <c r="J305" s="741">
        <v>0.36</v>
      </c>
    </row>
    <row r="306" spans="9:10" x14ac:dyDescent="0.2">
      <c r="I306" s="740">
        <v>2341</v>
      </c>
      <c r="J306" s="741">
        <v>1.21</v>
      </c>
    </row>
    <row r="307" spans="9:10" x14ac:dyDescent="0.2">
      <c r="I307" s="740">
        <v>2367</v>
      </c>
      <c r="J307" s="741">
        <v>0.76</v>
      </c>
    </row>
    <row r="308" spans="9:10" x14ac:dyDescent="0.2">
      <c r="I308" s="740">
        <v>2368</v>
      </c>
      <c r="J308" s="741">
        <v>0.44</v>
      </c>
    </row>
    <row r="309" spans="9:10" x14ac:dyDescent="0.2">
      <c r="I309" s="740">
        <v>2369</v>
      </c>
      <c r="J309" s="741">
        <v>0.44</v>
      </c>
    </row>
    <row r="310" spans="9:10" x14ac:dyDescent="0.2">
      <c r="I310" s="742">
        <v>2370</v>
      </c>
      <c r="J310" s="749">
        <v>0.86</v>
      </c>
    </row>
    <row r="311" spans="9:10" x14ac:dyDescent="0.2">
      <c r="I311" s="742">
        <v>2371</v>
      </c>
      <c r="J311" s="749">
        <v>1.32</v>
      </c>
    </row>
    <row r="312" spans="9:10" x14ac:dyDescent="0.2">
      <c r="I312" s="742">
        <v>2372</v>
      </c>
      <c r="J312" s="749">
        <v>0.87</v>
      </c>
    </row>
    <row r="313" spans="9:10" x14ac:dyDescent="0.2">
      <c r="I313" s="742">
        <v>2373</v>
      </c>
      <c r="J313" s="749">
        <v>0.14000000000000001</v>
      </c>
    </row>
    <row r="314" spans="9:10" x14ac:dyDescent="0.2">
      <c r="I314" s="742">
        <v>2374</v>
      </c>
      <c r="J314" s="749">
        <v>1.25</v>
      </c>
    </row>
    <row r="315" spans="9:10" x14ac:dyDescent="0.2">
      <c r="I315" s="742">
        <v>2375</v>
      </c>
      <c r="J315" s="749">
        <v>0.67</v>
      </c>
    </row>
    <row r="316" spans="9:10" x14ac:dyDescent="0.2">
      <c r="I316" s="742">
        <v>2376</v>
      </c>
      <c r="J316" s="749">
        <v>0.44</v>
      </c>
    </row>
    <row r="317" spans="9:10" x14ac:dyDescent="0.2">
      <c r="I317" s="742">
        <v>2377</v>
      </c>
      <c r="J317" s="749">
        <v>0.44</v>
      </c>
    </row>
    <row r="318" spans="9:10" x14ac:dyDescent="0.2">
      <c r="I318" s="742">
        <v>2378</v>
      </c>
      <c r="J318" s="749">
        <v>0.36</v>
      </c>
    </row>
    <row r="319" spans="9:10" x14ac:dyDescent="0.2">
      <c r="I319" s="742">
        <v>2379</v>
      </c>
      <c r="J319" s="749">
        <v>0.6</v>
      </c>
    </row>
    <row r="320" spans="9:10" x14ac:dyDescent="0.2">
      <c r="I320" s="742">
        <v>2380</v>
      </c>
      <c r="J320" s="749">
        <v>0.86</v>
      </c>
    </row>
    <row r="321" spans="9:10" x14ac:dyDescent="0.2">
      <c r="I321" s="742">
        <v>2381</v>
      </c>
      <c r="J321" s="749">
        <v>1.07</v>
      </c>
    </row>
    <row r="322" spans="9:10" x14ac:dyDescent="0.2">
      <c r="I322" s="742">
        <v>2382</v>
      </c>
      <c r="J322" s="749">
        <v>0.88</v>
      </c>
    </row>
    <row r="323" spans="9:10" x14ac:dyDescent="0.2">
      <c r="I323" s="742">
        <v>2383</v>
      </c>
      <c r="J323" s="749">
        <v>0.26</v>
      </c>
    </row>
    <row r="324" spans="9:10" x14ac:dyDescent="0.2">
      <c r="I324" s="742">
        <v>2384</v>
      </c>
      <c r="J324" s="749">
        <v>0.8</v>
      </c>
    </row>
    <row r="325" spans="9:10" x14ac:dyDescent="0.2">
      <c r="I325" s="742">
        <v>2385</v>
      </c>
      <c r="J325" s="749">
        <v>0.36</v>
      </c>
    </row>
    <row r="326" spans="9:10" x14ac:dyDescent="0.2">
      <c r="I326" s="742">
        <v>2386</v>
      </c>
      <c r="J326" s="749">
        <v>7.08</v>
      </c>
    </row>
    <row r="327" spans="9:10" x14ac:dyDescent="0.2">
      <c r="I327" s="742">
        <v>2399</v>
      </c>
      <c r="J327" s="754">
        <v>11.8</v>
      </c>
    </row>
    <row r="328" spans="9:10" x14ac:dyDescent="0.2">
      <c r="I328" s="742">
        <v>2387</v>
      </c>
      <c r="J328" s="749">
        <v>0.76</v>
      </c>
    </row>
    <row r="329" spans="9:10" x14ac:dyDescent="0.2">
      <c r="I329" s="742">
        <v>2388</v>
      </c>
      <c r="J329" s="754">
        <v>0.86</v>
      </c>
    </row>
    <row r="330" spans="9:10" x14ac:dyDescent="0.2">
      <c r="I330" s="742">
        <v>2400</v>
      </c>
      <c r="J330" s="743">
        <v>0.95</v>
      </c>
    </row>
    <row r="331" spans="9:10" x14ac:dyDescent="0.2">
      <c r="I331" s="742">
        <v>2401</v>
      </c>
      <c r="J331" s="743">
        <v>1.25</v>
      </c>
    </row>
    <row r="332" spans="9:10" x14ac:dyDescent="0.2">
      <c r="I332" s="742">
        <v>2402</v>
      </c>
      <c r="J332" s="743">
        <v>1.07</v>
      </c>
    </row>
    <row r="333" spans="9:10" x14ac:dyDescent="0.2">
      <c r="I333" s="742">
        <v>2403</v>
      </c>
      <c r="J333" s="743">
        <v>0.23</v>
      </c>
    </row>
    <row r="334" spans="9:10" x14ac:dyDescent="0.2">
      <c r="I334" s="742">
        <v>2404</v>
      </c>
      <c r="J334" s="743">
        <v>0.8</v>
      </c>
    </row>
    <row r="335" spans="9:10" x14ac:dyDescent="0.2">
      <c r="I335" s="742">
        <v>2405</v>
      </c>
      <c r="J335" s="743">
        <v>0.99</v>
      </c>
    </row>
    <row r="336" spans="9:10" x14ac:dyDescent="0.2">
      <c r="I336" s="742">
        <v>2406</v>
      </c>
      <c r="J336" s="743">
        <v>1.44</v>
      </c>
    </row>
    <row r="337" spans="9:10" x14ac:dyDescent="0.2">
      <c r="I337" s="742">
        <v>2407</v>
      </c>
      <c r="J337" s="743">
        <v>0.5</v>
      </c>
    </row>
    <row r="338" spans="9:10" x14ac:dyDescent="0.2">
      <c r="I338" s="742">
        <v>2408</v>
      </c>
      <c r="J338" s="743">
        <v>0.75</v>
      </c>
    </row>
    <row r="339" spans="9:10" x14ac:dyDescent="0.2">
      <c r="I339" s="742">
        <v>2409</v>
      </c>
      <c r="J339" s="743">
        <v>0.56000000000000005</v>
      </c>
    </row>
    <row r="340" spans="9:10" x14ac:dyDescent="0.2">
      <c r="I340" s="742">
        <v>2410</v>
      </c>
      <c r="J340" s="743">
        <v>3.35</v>
      </c>
    </row>
    <row r="341" spans="9:10" x14ac:dyDescent="0.2">
      <c r="I341" s="742">
        <v>2411</v>
      </c>
      <c r="J341" s="743">
        <v>0.61</v>
      </c>
    </row>
    <row r="342" spans="9:10" x14ac:dyDescent="0.2">
      <c r="I342" s="742">
        <v>2412</v>
      </c>
      <c r="J342" s="743">
        <v>0.61</v>
      </c>
    </row>
    <row r="343" spans="9:10" x14ac:dyDescent="0.2">
      <c r="I343" s="742">
        <v>2413</v>
      </c>
      <c r="J343" s="743">
        <v>0.41</v>
      </c>
    </row>
    <row r="344" spans="9:10" x14ac:dyDescent="0.2">
      <c r="I344" s="742">
        <v>2414</v>
      </c>
      <c r="J344" s="743">
        <v>0.41</v>
      </c>
    </row>
    <row r="345" spans="9:10" x14ac:dyDescent="0.2">
      <c r="I345" s="742">
        <v>2415</v>
      </c>
      <c r="J345" s="743">
        <v>0.51</v>
      </c>
    </row>
    <row r="346" spans="9:10" x14ac:dyDescent="0.2">
      <c r="I346" s="742">
        <v>2416</v>
      </c>
      <c r="J346" s="743">
        <v>0.95</v>
      </c>
    </row>
    <row r="347" spans="9:10" x14ac:dyDescent="0.2">
      <c r="I347" s="742">
        <v>2417</v>
      </c>
      <c r="J347" s="743">
        <v>1.97</v>
      </c>
    </row>
    <row r="348" spans="9:10" x14ac:dyDescent="0.2">
      <c r="I348" s="742">
        <v>2418</v>
      </c>
      <c r="J348" s="743">
        <v>0.62</v>
      </c>
    </row>
    <row r="349" spans="9:10" x14ac:dyDescent="0.2">
      <c r="I349" s="742">
        <v>2419</v>
      </c>
      <c r="J349" s="743">
        <v>0.44</v>
      </c>
    </row>
    <row r="350" spans="9:10" x14ac:dyDescent="0.2">
      <c r="I350" s="742">
        <v>2420</v>
      </c>
      <c r="J350" s="743">
        <v>0.36</v>
      </c>
    </row>
    <row r="351" spans="9:10" x14ac:dyDescent="0.2">
      <c r="I351" s="742">
        <v>2421</v>
      </c>
      <c r="J351" s="752">
        <v>0.52</v>
      </c>
    </row>
    <row r="352" spans="9:10" x14ac:dyDescent="0.2">
      <c r="I352" s="742">
        <v>2422</v>
      </c>
      <c r="J352" s="743">
        <v>1.22</v>
      </c>
    </row>
    <row r="353" spans="9:10" x14ac:dyDescent="0.2">
      <c r="I353" s="742">
        <v>2423</v>
      </c>
      <c r="J353" s="743">
        <v>0.88</v>
      </c>
    </row>
    <row r="354" spans="9:10" x14ac:dyDescent="0.2">
      <c r="I354" s="742">
        <v>2424</v>
      </c>
      <c r="J354" s="743">
        <v>0.62</v>
      </c>
    </row>
    <row r="355" spans="9:10" x14ac:dyDescent="0.2">
      <c r="I355" s="742">
        <v>2425</v>
      </c>
      <c r="J355" s="743">
        <v>0.49</v>
      </c>
    </row>
    <row r="356" spans="9:10" x14ac:dyDescent="0.2">
      <c r="I356" s="740">
        <v>2426</v>
      </c>
      <c r="J356" s="751">
        <v>0.2</v>
      </c>
    </row>
    <row r="357" spans="9:10" x14ac:dyDescent="0.2">
      <c r="I357" s="740">
        <v>2427</v>
      </c>
      <c r="J357" s="741">
        <v>0.67</v>
      </c>
    </row>
    <row r="358" spans="9:10" x14ac:dyDescent="0.2">
      <c r="I358" s="740">
        <v>2428</v>
      </c>
      <c r="J358" s="741">
        <v>0.67</v>
      </c>
    </row>
    <row r="359" spans="9:10" x14ac:dyDescent="0.2">
      <c r="I359" s="740">
        <v>2429</v>
      </c>
      <c r="J359" s="741">
        <v>0.95</v>
      </c>
    </row>
    <row r="360" spans="9:10" x14ac:dyDescent="0.2">
      <c r="I360" s="740">
        <v>2430</v>
      </c>
      <c r="J360" s="756">
        <v>0.75</v>
      </c>
    </row>
    <row r="361" spans="9:10" x14ac:dyDescent="0.2">
      <c r="I361" s="740">
        <v>2431</v>
      </c>
      <c r="J361" s="756">
        <v>0.99</v>
      </c>
    </row>
    <row r="362" spans="9:10" x14ac:dyDescent="0.2">
      <c r="I362" s="740">
        <v>2432</v>
      </c>
      <c r="J362" s="756">
        <v>0.26</v>
      </c>
    </row>
    <row r="363" spans="9:10" x14ac:dyDescent="0.2">
      <c r="I363" s="740">
        <v>2433</v>
      </c>
      <c r="J363" s="756">
        <v>1.1599999999999999</v>
      </c>
    </row>
    <row r="364" spans="9:10" x14ac:dyDescent="0.2">
      <c r="I364" s="740">
        <v>2434</v>
      </c>
      <c r="J364" s="756">
        <v>0.51</v>
      </c>
    </row>
    <row r="365" spans="9:10" x14ac:dyDescent="0.2">
      <c r="I365" s="740">
        <v>2435</v>
      </c>
      <c r="J365" s="756">
        <v>0.48</v>
      </c>
    </row>
    <row r="366" spans="9:10" x14ac:dyDescent="0.2">
      <c r="I366" s="740">
        <v>2436</v>
      </c>
      <c r="J366" s="756">
        <v>0.3</v>
      </c>
    </row>
    <row r="367" spans="9:10" x14ac:dyDescent="0.2">
      <c r="I367" s="740">
        <v>2437</v>
      </c>
      <c r="J367" s="756">
        <v>0.24</v>
      </c>
    </row>
    <row r="368" spans="9:10" x14ac:dyDescent="0.2">
      <c r="I368" s="740">
        <v>2438</v>
      </c>
      <c r="J368" s="756">
        <v>1.1599999999999999</v>
      </c>
    </row>
    <row r="369" spans="9:10" x14ac:dyDescent="0.2">
      <c r="I369" s="740">
        <v>2439</v>
      </c>
      <c r="J369" s="756">
        <v>0.56000000000000005</v>
      </c>
    </row>
    <row r="370" spans="9:10" x14ac:dyDescent="0.2">
      <c r="I370" s="740">
        <v>2440</v>
      </c>
      <c r="J370" s="756">
        <v>0.9</v>
      </c>
    </row>
    <row r="371" spans="9:10" x14ac:dyDescent="0.2">
      <c r="I371" s="740">
        <v>2441</v>
      </c>
      <c r="J371" s="756">
        <v>0.97</v>
      </c>
    </row>
    <row r="372" spans="9:10" x14ac:dyDescent="0.2">
      <c r="I372" s="740">
        <v>2442</v>
      </c>
      <c r="J372" s="756">
        <v>0.67</v>
      </c>
    </row>
    <row r="373" spans="9:10" x14ac:dyDescent="0.2">
      <c r="I373" s="740">
        <v>2443</v>
      </c>
      <c r="J373" s="756">
        <v>0.46</v>
      </c>
    </row>
    <row r="374" spans="9:10" x14ac:dyDescent="0.2">
      <c r="I374" s="740">
        <v>2444</v>
      </c>
      <c r="J374" s="756">
        <v>0.46</v>
      </c>
    </row>
    <row r="375" spans="9:10" x14ac:dyDescent="0.2">
      <c r="I375" s="740">
        <v>2445</v>
      </c>
      <c r="J375" s="755">
        <v>0.55000000000000004</v>
      </c>
    </row>
    <row r="376" spans="9:10" x14ac:dyDescent="0.2">
      <c r="I376" s="742">
        <v>2500</v>
      </c>
      <c r="J376" s="743">
        <v>0.73</v>
      </c>
    </row>
    <row r="377" spans="9:10" x14ac:dyDescent="0.2">
      <c r="I377" s="742">
        <v>2501</v>
      </c>
      <c r="J377" s="743">
        <v>0.56000000000000005</v>
      </c>
    </row>
    <row r="378" spans="9:10" x14ac:dyDescent="0.2">
      <c r="I378" s="742">
        <v>2502</v>
      </c>
      <c r="J378" s="743">
        <v>0.74</v>
      </c>
    </row>
    <row r="379" spans="9:10" x14ac:dyDescent="0.2">
      <c r="I379" s="742">
        <v>2503</v>
      </c>
      <c r="J379" s="743">
        <v>0.41</v>
      </c>
    </row>
    <row r="380" spans="9:10" x14ac:dyDescent="0.2">
      <c r="I380" s="742">
        <v>2504</v>
      </c>
      <c r="J380" s="743">
        <v>0.38</v>
      </c>
    </row>
    <row r="381" spans="9:10" x14ac:dyDescent="0.2">
      <c r="I381" s="742">
        <v>2505</v>
      </c>
      <c r="J381" s="743">
        <v>0.4</v>
      </c>
    </row>
    <row r="382" spans="9:10" x14ac:dyDescent="0.2">
      <c r="I382" s="742">
        <v>2506</v>
      </c>
      <c r="J382" s="743">
        <v>0.92</v>
      </c>
    </row>
    <row r="383" spans="9:10" x14ac:dyDescent="0.2">
      <c r="I383" s="742">
        <v>2507</v>
      </c>
      <c r="J383" s="743">
        <v>1.08</v>
      </c>
    </row>
    <row r="384" spans="9:10" x14ac:dyDescent="0.2">
      <c r="I384" s="742">
        <v>2508</v>
      </c>
      <c r="J384" s="743">
        <v>0.27</v>
      </c>
    </row>
    <row r="385" spans="9:10" x14ac:dyDescent="0.2">
      <c r="I385" s="742">
        <v>2509</v>
      </c>
      <c r="J385" s="743">
        <v>0.26</v>
      </c>
    </row>
    <row r="386" spans="9:10" x14ac:dyDescent="0.2">
      <c r="I386" s="742">
        <v>2510</v>
      </c>
      <c r="J386" s="743">
        <v>0.8</v>
      </c>
    </row>
    <row r="387" spans="9:10" x14ac:dyDescent="0.2">
      <c r="I387" s="742">
        <v>2511</v>
      </c>
      <c r="J387" s="743">
        <v>0.56000000000000005</v>
      </c>
    </row>
    <row r="388" spans="9:10" x14ac:dyDescent="0.2">
      <c r="I388" s="742">
        <v>2512</v>
      </c>
      <c r="J388" s="743">
        <v>0.28000000000000003</v>
      </c>
    </row>
    <row r="389" spans="9:10" x14ac:dyDescent="0.2">
      <c r="I389" s="742">
        <v>2513</v>
      </c>
      <c r="J389" s="743">
        <v>0.49</v>
      </c>
    </row>
    <row r="390" spans="9:10" x14ac:dyDescent="0.2">
      <c r="I390" s="742">
        <v>2514</v>
      </c>
      <c r="J390" s="743">
        <v>0.6</v>
      </c>
    </row>
    <row r="391" spans="9:10" x14ac:dyDescent="0.2">
      <c r="I391" s="742">
        <v>2515</v>
      </c>
      <c r="J391" s="743">
        <v>0.72</v>
      </c>
    </row>
    <row r="392" spans="9:10" x14ac:dyDescent="0.2">
      <c r="I392" s="742">
        <v>2516</v>
      </c>
      <c r="J392" s="743">
        <v>1.38</v>
      </c>
    </row>
    <row r="393" spans="9:10" x14ac:dyDescent="0.2">
      <c r="I393" s="742">
        <v>2517</v>
      </c>
      <c r="J393" s="743">
        <v>0.36</v>
      </c>
    </row>
    <row r="394" spans="9:10" x14ac:dyDescent="0.2">
      <c r="I394" s="742">
        <v>2518</v>
      </c>
      <c r="J394" s="743">
        <v>0.56000000000000005</v>
      </c>
    </row>
    <row r="395" spans="9:10" x14ac:dyDescent="0.2">
      <c r="I395" s="742">
        <v>2519</v>
      </c>
      <c r="J395" s="743">
        <v>0.21</v>
      </c>
    </row>
    <row r="396" spans="9:10" x14ac:dyDescent="0.2">
      <c r="I396" s="742">
        <v>2520</v>
      </c>
      <c r="J396" s="743">
        <v>0.53</v>
      </c>
    </row>
    <row r="397" spans="9:10" x14ac:dyDescent="0.2">
      <c r="I397" s="742">
        <v>2521</v>
      </c>
      <c r="J397" s="743">
        <v>0.43</v>
      </c>
    </row>
    <row r="398" spans="9:10" x14ac:dyDescent="0.2">
      <c r="I398" s="742">
        <v>2522</v>
      </c>
      <c r="J398" s="743">
        <v>0.25</v>
      </c>
    </row>
    <row r="399" spans="9:10" x14ac:dyDescent="0.2">
      <c r="I399" s="742">
        <v>2523</v>
      </c>
      <c r="J399" s="743">
        <v>0.25</v>
      </c>
    </row>
    <row r="400" spans="9:10" x14ac:dyDescent="0.2">
      <c r="I400" s="742">
        <v>2524</v>
      </c>
      <c r="J400" s="743">
        <v>0.25</v>
      </c>
    </row>
    <row r="401" spans="9:10" x14ac:dyDescent="0.2">
      <c r="I401" s="742">
        <v>2525</v>
      </c>
      <c r="J401" s="743">
        <v>0.25</v>
      </c>
    </row>
    <row r="402" spans="9:10" x14ac:dyDescent="0.2">
      <c r="I402" s="740">
        <v>2526</v>
      </c>
      <c r="J402" s="741">
        <v>0.64</v>
      </c>
    </row>
    <row r="403" spans="9:10" x14ac:dyDescent="0.2">
      <c r="I403" s="740">
        <v>2527</v>
      </c>
      <c r="J403" s="741">
        <v>0.32</v>
      </c>
    </row>
    <row r="404" spans="9:10" x14ac:dyDescent="0.2">
      <c r="I404" s="740">
        <v>2528</v>
      </c>
      <c r="J404" s="741">
        <v>0.24</v>
      </c>
    </row>
    <row r="405" spans="9:10" x14ac:dyDescent="0.2">
      <c r="I405" s="740">
        <v>2529</v>
      </c>
      <c r="J405" s="741">
        <v>0.24</v>
      </c>
    </row>
    <row r="406" spans="9:10" x14ac:dyDescent="0.2">
      <c r="I406" s="740">
        <v>2530</v>
      </c>
      <c r="J406" s="741">
        <v>0.75</v>
      </c>
    </row>
    <row r="407" spans="9:10" x14ac:dyDescent="0.2">
      <c r="I407" s="740">
        <v>2531</v>
      </c>
      <c r="J407" s="741">
        <v>0.8</v>
      </c>
    </row>
    <row r="408" spans="9:10" x14ac:dyDescent="0.2">
      <c r="I408" s="740">
        <v>2532</v>
      </c>
      <c r="J408" s="746">
        <v>0.47</v>
      </c>
    </row>
    <row r="409" spans="9:10" x14ac:dyDescent="0.2">
      <c r="I409" s="740">
        <v>2533</v>
      </c>
      <c r="J409" s="741">
        <v>0.27</v>
      </c>
    </row>
    <row r="410" spans="9:10" x14ac:dyDescent="0.2">
      <c r="I410" s="740">
        <v>2534</v>
      </c>
      <c r="J410" s="741">
        <v>0.39</v>
      </c>
    </row>
    <row r="411" spans="9:10" x14ac:dyDescent="0.2">
      <c r="I411" s="740">
        <v>2535</v>
      </c>
      <c r="J411" s="741">
        <v>0.26</v>
      </c>
    </row>
    <row r="412" spans="9:10" x14ac:dyDescent="0.2">
      <c r="I412" s="740">
        <v>2536</v>
      </c>
      <c r="J412" s="741">
        <v>0.36</v>
      </c>
    </row>
    <row r="413" spans="9:10" x14ac:dyDescent="0.2">
      <c r="I413" s="740">
        <v>2537</v>
      </c>
      <c r="J413" s="741">
        <v>0.79</v>
      </c>
    </row>
    <row r="414" spans="9:10" x14ac:dyDescent="0.2">
      <c r="I414" s="740">
        <v>2538</v>
      </c>
      <c r="J414" s="741">
        <v>0.15</v>
      </c>
    </row>
    <row r="415" spans="9:10" x14ac:dyDescent="0.2">
      <c r="I415" s="740">
        <v>2539</v>
      </c>
      <c r="J415" s="741">
        <v>0.69</v>
      </c>
    </row>
    <row r="416" spans="9:10" x14ac:dyDescent="0.2">
      <c r="I416" s="740">
        <v>2540</v>
      </c>
      <c r="J416" s="741">
        <v>0.21</v>
      </c>
    </row>
    <row r="417" spans="9:10" x14ac:dyDescent="0.2">
      <c r="I417" s="740">
        <v>2541</v>
      </c>
      <c r="J417" s="741">
        <v>0.21</v>
      </c>
    </row>
    <row r="418" spans="9:10" x14ac:dyDescent="0.2">
      <c r="I418" s="740">
        <v>2542</v>
      </c>
      <c r="J418" s="741" t="s">
        <v>9314</v>
      </c>
    </row>
    <row r="419" spans="9:10" x14ac:dyDescent="0.2">
      <c r="I419" s="740">
        <v>2543</v>
      </c>
      <c r="J419" s="741">
        <v>0.51</v>
      </c>
    </row>
    <row r="420" spans="9:10" x14ac:dyDescent="0.2">
      <c r="I420" s="740">
        <v>2544</v>
      </c>
      <c r="J420" s="741">
        <v>0.11</v>
      </c>
    </row>
    <row r="421" spans="9:10" ht="13.5" thickBot="1" x14ac:dyDescent="0.25">
      <c r="I421" s="765">
        <v>2545</v>
      </c>
      <c r="J421" s="764">
        <v>0.11</v>
      </c>
    </row>
    <row r="422" spans="9:10" ht="13.5" thickBot="1" x14ac:dyDescent="0.25">
      <c r="I422" s="762">
        <v>2546</v>
      </c>
      <c r="J422" s="761">
        <v>0.24</v>
      </c>
    </row>
    <row r="423" spans="9:10" ht="13.5" thickBot="1" x14ac:dyDescent="0.25">
      <c r="I423" s="762">
        <v>2547</v>
      </c>
      <c r="J423" s="761">
        <v>0.71</v>
      </c>
    </row>
    <row r="424" spans="9:10" ht="13.5" thickBot="1" x14ac:dyDescent="0.25">
      <c r="I424" s="762">
        <v>2548</v>
      </c>
      <c r="J424" s="761">
        <v>0.38</v>
      </c>
    </row>
    <row r="425" spans="9:10" ht="13.5" thickBot="1" x14ac:dyDescent="0.25">
      <c r="I425" s="762">
        <v>2549</v>
      </c>
      <c r="J425" s="761">
        <v>0.97</v>
      </c>
    </row>
    <row r="426" spans="9:10" ht="13.5" thickBot="1" x14ac:dyDescent="0.25">
      <c r="I426" s="762">
        <v>2550</v>
      </c>
      <c r="J426" s="761">
        <v>0.67</v>
      </c>
    </row>
    <row r="427" spans="9:10" ht="13.5" thickBot="1" x14ac:dyDescent="0.25">
      <c r="I427" s="762">
        <v>2551</v>
      </c>
      <c r="J427" s="763">
        <v>0.21</v>
      </c>
    </row>
    <row r="428" spans="9:10" ht="13.5" thickBot="1" x14ac:dyDescent="0.25">
      <c r="I428" s="762">
        <v>2552</v>
      </c>
      <c r="J428" s="763">
        <v>0.55000000000000004</v>
      </c>
    </row>
    <row r="429" spans="9:10" ht="13.5" thickBot="1" x14ac:dyDescent="0.25">
      <c r="I429" s="762">
        <v>2553</v>
      </c>
      <c r="J429" s="763">
        <v>0.2</v>
      </c>
    </row>
    <row r="430" spans="9:10" ht="13.5" thickBot="1" x14ac:dyDescent="0.25">
      <c r="I430" s="762">
        <v>2554</v>
      </c>
      <c r="J430" s="763">
        <v>0.27</v>
      </c>
    </row>
    <row r="431" spans="9:10" ht="13.5" thickBot="1" x14ac:dyDescent="0.25">
      <c r="I431" s="762">
        <v>2555</v>
      </c>
      <c r="J431" s="763">
        <v>0.11</v>
      </c>
    </row>
    <row r="432" spans="9:10" ht="13.5" thickBot="1" x14ac:dyDescent="0.25">
      <c r="I432" s="762">
        <v>2556</v>
      </c>
      <c r="J432" s="763">
        <v>0.21</v>
      </c>
    </row>
    <row r="433" spans="9:10" ht="13.5" thickBot="1" x14ac:dyDescent="0.25">
      <c r="I433" s="762">
        <v>2557</v>
      </c>
      <c r="J433" s="761">
        <v>0.33</v>
      </c>
    </row>
    <row r="434" spans="9:10" ht="13.5" thickBot="1" x14ac:dyDescent="0.25">
      <c r="I434" s="762">
        <v>2558</v>
      </c>
      <c r="J434" s="761">
        <v>0.33</v>
      </c>
    </row>
    <row r="435" spans="9:10" ht="13.5" thickBot="1" x14ac:dyDescent="0.25">
      <c r="I435" s="762">
        <v>2559</v>
      </c>
      <c r="J435" s="761">
        <v>0.33</v>
      </c>
    </row>
    <row r="436" spans="9:10" ht="13.5" thickBot="1" x14ac:dyDescent="0.25">
      <c r="I436" s="762">
        <v>2560</v>
      </c>
      <c r="J436" s="761">
        <v>0.33</v>
      </c>
    </row>
    <row r="437" spans="9:10" ht="13.5" thickBot="1" x14ac:dyDescent="0.25">
      <c r="I437" s="762">
        <v>2561</v>
      </c>
      <c r="J437" s="763">
        <v>1.5</v>
      </c>
    </row>
    <row r="438" spans="9:10" ht="13.5" thickBot="1" x14ac:dyDescent="0.25">
      <c r="I438" s="762">
        <v>2562</v>
      </c>
      <c r="J438" s="763">
        <v>0.73</v>
      </c>
    </row>
    <row r="439" spans="9:10" ht="13.5" thickBot="1" x14ac:dyDescent="0.25">
      <c r="I439" s="762">
        <v>2563</v>
      </c>
      <c r="J439" s="763">
        <v>1.22</v>
      </c>
    </row>
    <row r="440" spans="9:10" ht="13.5" thickBot="1" x14ac:dyDescent="0.25">
      <c r="I440" s="762">
        <v>2564</v>
      </c>
      <c r="J440" s="761">
        <v>0.44</v>
      </c>
    </row>
    <row r="441" spans="9:10" ht="13.5" thickBot="1" x14ac:dyDescent="0.25">
      <c r="I441" s="762">
        <v>2565</v>
      </c>
      <c r="J441" s="761">
        <v>0.44</v>
      </c>
    </row>
    <row r="442" spans="9:10" ht="13.5" thickBot="1" x14ac:dyDescent="0.25">
      <c r="I442" s="762">
        <v>2566</v>
      </c>
      <c r="J442" s="761">
        <v>0.26</v>
      </c>
    </row>
    <row r="443" spans="9:10" ht="13.5" thickBot="1" x14ac:dyDescent="0.25">
      <c r="I443" s="762">
        <v>2567</v>
      </c>
      <c r="J443" s="761">
        <v>0.36</v>
      </c>
    </row>
    <row r="444" spans="9:10" ht="13.5" thickBot="1" x14ac:dyDescent="0.25">
      <c r="I444" s="762">
        <v>2568</v>
      </c>
      <c r="J444" s="761">
        <v>0.63</v>
      </c>
    </row>
    <row r="445" spans="9:10" ht="13.5" thickBot="1" x14ac:dyDescent="0.25">
      <c r="I445" s="762">
        <v>2569</v>
      </c>
      <c r="J445" s="761">
        <v>0.97</v>
      </c>
    </row>
    <row r="446" spans="9:10" ht="13.5" thickBot="1" x14ac:dyDescent="0.25">
      <c r="I446" s="762">
        <v>2570</v>
      </c>
      <c r="J446" s="761">
        <v>0.97</v>
      </c>
    </row>
    <row r="447" spans="9:10" ht="13.5" thickBot="1" x14ac:dyDescent="0.25">
      <c r="I447" s="760" t="s">
        <v>9324</v>
      </c>
      <c r="J447" s="759">
        <v>0.24</v>
      </c>
    </row>
    <row r="448" spans="9:10" ht="13.5" thickTop="1" x14ac:dyDescent="0.2">
      <c r="I448" s="758">
        <v>2571</v>
      </c>
      <c r="J448" s="757">
        <v>0.62</v>
      </c>
    </row>
    <row r="449" spans="9:10" ht="13.5" thickBot="1" x14ac:dyDescent="0.25">
      <c r="I449" s="765">
        <v>2600</v>
      </c>
      <c r="J449" s="764">
        <v>0.97</v>
      </c>
    </row>
    <row r="450" spans="9:10" ht="13.5" thickBot="1" x14ac:dyDescent="0.25">
      <c r="I450" s="762">
        <v>2601</v>
      </c>
      <c r="J450" s="761">
        <v>1.42</v>
      </c>
    </row>
    <row r="451" spans="9:10" ht="13.5" thickBot="1" x14ac:dyDescent="0.25">
      <c r="I451" s="762">
        <v>2602</v>
      </c>
      <c r="J451" s="761">
        <v>2.0099999999999998</v>
      </c>
    </row>
    <row r="452" spans="9:10" ht="13.5" thickBot="1" x14ac:dyDescent="0.25">
      <c r="I452" s="762">
        <v>2603</v>
      </c>
      <c r="J452" s="761">
        <v>0.44</v>
      </c>
    </row>
    <row r="453" spans="9:10" ht="13.5" thickBot="1" x14ac:dyDescent="0.25">
      <c r="I453" s="762">
        <v>2604</v>
      </c>
      <c r="J453" s="761">
        <v>2.54</v>
      </c>
    </row>
    <row r="454" spans="9:10" ht="13.5" thickBot="1" x14ac:dyDescent="0.25">
      <c r="I454" s="762">
        <v>2605</v>
      </c>
      <c r="J454" s="761">
        <v>0.67</v>
      </c>
    </row>
    <row r="455" spans="9:10" ht="13.5" thickBot="1" x14ac:dyDescent="0.25">
      <c r="I455" s="762">
        <v>2606</v>
      </c>
      <c r="J455" s="761">
        <v>1.54</v>
      </c>
    </row>
    <row r="456" spans="9:10" ht="13.5" thickBot="1" x14ac:dyDescent="0.25">
      <c r="I456" s="762">
        <v>2607</v>
      </c>
      <c r="J456" s="761">
        <v>3.66</v>
      </c>
    </row>
    <row r="457" spans="9:10" ht="13.5" thickBot="1" x14ac:dyDescent="0.25">
      <c r="I457" s="762">
        <v>2608</v>
      </c>
      <c r="J457" s="761">
        <v>4.59</v>
      </c>
    </row>
    <row r="458" spans="9:10" ht="13.5" thickBot="1" x14ac:dyDescent="0.25">
      <c r="I458" s="762">
        <v>2609</v>
      </c>
      <c r="J458" s="761">
        <v>3.21</v>
      </c>
    </row>
    <row r="459" spans="9:10" ht="13.5" thickBot="1" x14ac:dyDescent="0.25">
      <c r="I459" s="762">
        <v>2610</v>
      </c>
      <c r="J459" s="761" t="s">
        <v>9314</v>
      </c>
    </row>
    <row r="460" spans="9:10" ht="13.5" thickBot="1" x14ac:dyDescent="0.25">
      <c r="I460" s="762">
        <v>2611</v>
      </c>
      <c r="J460" s="761">
        <v>0.14000000000000001</v>
      </c>
    </row>
    <row r="461" spans="9:10" ht="13.5" thickBot="1" x14ac:dyDescent="0.25">
      <c r="I461" s="762">
        <v>2612</v>
      </c>
      <c r="J461" s="761">
        <v>0.4</v>
      </c>
    </row>
    <row r="462" spans="9:10" ht="13.5" thickBot="1" x14ac:dyDescent="0.25">
      <c r="I462" s="762">
        <v>2613</v>
      </c>
      <c r="J462" s="761">
        <v>0.88</v>
      </c>
    </row>
    <row r="463" spans="9:10" ht="13.5" thickBot="1" x14ac:dyDescent="0.25">
      <c r="I463" s="762">
        <v>2614</v>
      </c>
      <c r="J463" s="761">
        <v>0.95</v>
      </c>
    </row>
    <row r="464" spans="9:10" ht="13.5" thickBot="1" x14ac:dyDescent="0.25">
      <c r="I464" s="762">
        <v>2615</v>
      </c>
      <c r="J464" s="761">
        <v>0.45</v>
      </c>
    </row>
    <row r="465" spans="9:10" ht="13.5" thickBot="1" x14ac:dyDescent="0.25">
      <c r="I465" s="762">
        <v>2616</v>
      </c>
      <c r="J465" s="761">
        <v>0.47</v>
      </c>
    </row>
    <row r="466" spans="9:10" ht="13.5" thickBot="1" x14ac:dyDescent="0.25">
      <c r="I466" s="762">
        <v>2617</v>
      </c>
      <c r="J466" s="761">
        <v>0.39</v>
      </c>
    </row>
    <row r="467" spans="9:10" ht="13.5" thickBot="1" x14ac:dyDescent="0.25">
      <c r="I467" s="762">
        <v>2618</v>
      </c>
      <c r="J467" s="761">
        <v>0.21</v>
      </c>
    </row>
    <row r="468" spans="9:10" ht="13.5" thickBot="1" x14ac:dyDescent="0.25">
      <c r="I468" s="762">
        <v>2619</v>
      </c>
      <c r="J468" s="761">
        <v>1.52</v>
      </c>
    </row>
    <row r="469" spans="9:10" ht="13.5" thickBot="1" x14ac:dyDescent="0.25">
      <c r="I469" s="762">
        <v>2620</v>
      </c>
      <c r="J469" s="761">
        <v>0.27</v>
      </c>
    </row>
    <row r="470" spans="9:10" ht="13.5" thickBot="1" x14ac:dyDescent="0.25">
      <c r="I470" s="762">
        <v>2621</v>
      </c>
      <c r="J470" s="761">
        <v>0.62</v>
      </c>
    </row>
    <row r="471" spans="9:10" ht="13.5" thickBot="1" x14ac:dyDescent="0.25">
      <c r="I471" s="762">
        <v>2622</v>
      </c>
      <c r="J471" s="761">
        <v>0.75</v>
      </c>
    </row>
    <row r="472" spans="9:10" ht="13.5" thickBot="1" x14ac:dyDescent="0.25">
      <c r="I472" s="762">
        <v>2623</v>
      </c>
      <c r="J472" s="761">
        <v>0.51</v>
      </c>
    </row>
    <row r="473" spans="9:10" ht="13.5" thickBot="1" x14ac:dyDescent="0.25">
      <c r="I473" s="762">
        <v>2624</v>
      </c>
      <c r="J473" s="761">
        <v>0.65</v>
      </c>
    </row>
    <row r="474" spans="9:10" ht="13.5" thickBot="1" x14ac:dyDescent="0.25">
      <c r="I474" s="762">
        <v>2625</v>
      </c>
      <c r="J474" s="761">
        <v>0.6</v>
      </c>
    </row>
    <row r="475" spans="9:10" ht="13.5" thickBot="1" x14ac:dyDescent="0.25">
      <c r="I475" s="771">
        <v>2626</v>
      </c>
      <c r="J475" s="770">
        <v>0.25</v>
      </c>
    </row>
    <row r="476" spans="9:10" ht="13.5" thickBot="1" x14ac:dyDescent="0.25">
      <c r="I476" s="762">
        <v>2627</v>
      </c>
      <c r="J476" s="761">
        <v>0.63</v>
      </c>
    </row>
    <row r="477" spans="9:10" ht="13.5" thickBot="1" x14ac:dyDescent="0.25">
      <c r="I477" s="769">
        <v>2628</v>
      </c>
      <c r="J477" s="768">
        <v>0.7</v>
      </c>
    </row>
    <row r="478" spans="9:10" ht="13.5" thickBot="1" x14ac:dyDescent="0.25">
      <c r="I478" s="769">
        <v>2629</v>
      </c>
      <c r="J478" s="768">
        <v>0.41</v>
      </c>
    </row>
    <row r="479" spans="9:10" ht="13.5" thickBot="1" x14ac:dyDescent="0.25">
      <c r="I479" s="769">
        <v>2630</v>
      </c>
      <c r="J479" s="768">
        <v>0.8</v>
      </c>
    </row>
    <row r="480" spans="9:10" ht="13.5" thickBot="1" x14ac:dyDescent="0.25">
      <c r="I480" s="769">
        <v>2631</v>
      </c>
      <c r="J480" s="768">
        <v>1.1000000000000001</v>
      </c>
    </row>
    <row r="481" spans="9:10" ht="13.5" thickBot="1" x14ac:dyDescent="0.25">
      <c r="I481" s="769">
        <v>2632</v>
      </c>
      <c r="J481" s="768">
        <v>1.61</v>
      </c>
    </row>
    <row r="482" spans="9:10" ht="13.5" thickBot="1" x14ac:dyDescent="0.25">
      <c r="I482" s="769">
        <v>2633</v>
      </c>
      <c r="J482" s="768">
        <v>1.17</v>
      </c>
    </row>
    <row r="483" spans="9:10" ht="13.5" thickBot="1" x14ac:dyDescent="0.25">
      <c r="I483" s="769">
        <v>2634</v>
      </c>
      <c r="J483" s="768">
        <v>0.56999999999999995</v>
      </c>
    </row>
    <row r="484" spans="9:10" ht="13.5" thickBot="1" x14ac:dyDescent="0.25">
      <c r="I484" s="769" t="s">
        <v>9325</v>
      </c>
      <c r="J484" s="768">
        <v>0.5</v>
      </c>
    </row>
    <row r="485" spans="9:10" ht="13.5" thickBot="1" x14ac:dyDescent="0.25">
      <c r="I485" s="769" t="s">
        <v>9326</v>
      </c>
      <c r="J485" s="768">
        <v>0.64</v>
      </c>
    </row>
    <row r="486" spans="9:10" ht="13.5" thickBot="1" x14ac:dyDescent="0.25">
      <c r="I486" s="769">
        <v>2635</v>
      </c>
      <c r="J486" s="768">
        <v>0.8</v>
      </c>
    </row>
    <row r="487" spans="9:10" ht="13.5" thickBot="1" x14ac:dyDescent="0.25">
      <c r="I487" s="767">
        <v>2636</v>
      </c>
      <c r="J487" s="766">
        <v>0.8</v>
      </c>
    </row>
    <row r="488" spans="9:10" ht="14.25" thickTop="1" thickBot="1" x14ac:dyDescent="0.25">
      <c r="I488" s="765">
        <v>2700</v>
      </c>
      <c r="J488" s="764">
        <v>0.23</v>
      </c>
    </row>
    <row r="489" spans="9:10" ht="13.5" thickBot="1" x14ac:dyDescent="0.25">
      <c r="I489" s="762">
        <v>2701</v>
      </c>
      <c r="J489" s="761">
        <v>0.95</v>
      </c>
    </row>
    <row r="490" spans="9:10" ht="13.5" thickBot="1" x14ac:dyDescent="0.25">
      <c r="I490" s="762">
        <v>2702</v>
      </c>
      <c r="J490" s="761">
        <v>0.83</v>
      </c>
    </row>
    <row r="491" spans="9:10" ht="13.5" thickBot="1" x14ac:dyDescent="0.25">
      <c r="I491" s="762">
        <v>2703</v>
      </c>
      <c r="J491" s="761">
        <v>1.2</v>
      </c>
    </row>
    <row r="492" spans="9:10" ht="13.5" thickBot="1" x14ac:dyDescent="0.25">
      <c r="I492" s="762" t="s">
        <v>9327</v>
      </c>
      <c r="J492" s="761">
        <v>0.32</v>
      </c>
    </row>
    <row r="493" spans="9:10" ht="13.5" thickBot="1" x14ac:dyDescent="0.25">
      <c r="I493" s="762" t="s">
        <v>9328</v>
      </c>
      <c r="J493" s="761">
        <v>0.61</v>
      </c>
    </row>
    <row r="494" spans="9:10" ht="13.5" thickBot="1" x14ac:dyDescent="0.25">
      <c r="I494" s="762" t="s">
        <v>9329</v>
      </c>
      <c r="J494" s="761">
        <v>0.33</v>
      </c>
    </row>
    <row r="495" spans="9:10" ht="13.5" thickBot="1" x14ac:dyDescent="0.25">
      <c r="I495" s="762">
        <v>2707</v>
      </c>
      <c r="J495" s="761">
        <v>0.2</v>
      </c>
    </row>
    <row r="496" spans="9:10" ht="13.5" thickBot="1" x14ac:dyDescent="0.25">
      <c r="I496" s="762">
        <v>2708</v>
      </c>
      <c r="J496" s="761">
        <v>0.15</v>
      </c>
    </row>
    <row r="497" spans="9:10" ht="13.5" thickBot="1" x14ac:dyDescent="0.25">
      <c r="I497" s="762">
        <v>2709</v>
      </c>
      <c r="J497" s="761" t="s">
        <v>9314</v>
      </c>
    </row>
    <row r="498" spans="9:10" ht="13.5" thickBot="1" x14ac:dyDescent="0.25">
      <c r="I498" s="762">
        <v>2710</v>
      </c>
      <c r="J498" s="761">
        <v>0.12</v>
      </c>
    </row>
    <row r="499" spans="9:10" ht="13.5" thickBot="1" x14ac:dyDescent="0.25">
      <c r="I499" s="762">
        <v>2711</v>
      </c>
      <c r="J499" s="761">
        <v>0.24</v>
      </c>
    </row>
    <row r="500" spans="9:10" ht="13.5" thickBot="1" x14ac:dyDescent="0.25">
      <c r="I500" s="762">
        <v>2712</v>
      </c>
      <c r="J500" s="761">
        <v>1.17</v>
      </c>
    </row>
    <row r="501" spans="9:10" ht="13.5" thickBot="1" x14ac:dyDescent="0.25">
      <c r="I501" s="762">
        <v>2713</v>
      </c>
      <c r="J501" s="761">
        <v>1.24</v>
      </c>
    </row>
    <row r="502" spans="9:10" ht="13.5" thickBot="1" x14ac:dyDescent="0.25">
      <c r="I502" s="762">
        <v>2714</v>
      </c>
      <c r="J502" s="761">
        <v>1.24</v>
      </c>
    </row>
    <row r="503" spans="9:10" ht="13.5" thickBot="1" x14ac:dyDescent="0.25">
      <c r="I503" s="762">
        <v>2715</v>
      </c>
      <c r="J503" s="761">
        <v>0.83</v>
      </c>
    </row>
    <row r="504" spans="9:10" ht="13.5" thickBot="1" x14ac:dyDescent="0.25">
      <c r="I504" s="762">
        <v>2716</v>
      </c>
      <c r="J504" s="761">
        <v>3.05</v>
      </c>
    </row>
    <row r="505" spans="9:10" ht="13.5" thickBot="1" x14ac:dyDescent="0.25">
      <c r="I505" s="762">
        <v>2717</v>
      </c>
      <c r="J505" s="761">
        <v>0.44</v>
      </c>
    </row>
    <row r="506" spans="9:10" ht="13.5" thickBot="1" x14ac:dyDescent="0.25">
      <c r="I506" s="762">
        <v>2718</v>
      </c>
      <c r="J506" s="761">
        <v>0.53</v>
      </c>
    </row>
    <row r="507" spans="9:10" ht="13.5" thickBot="1" x14ac:dyDescent="0.25">
      <c r="I507" s="762">
        <v>2719</v>
      </c>
      <c r="J507" s="761">
        <v>0.57999999999999996</v>
      </c>
    </row>
    <row r="508" spans="9:10" ht="13.5" thickBot="1" x14ac:dyDescent="0.25">
      <c r="I508" s="762">
        <v>2720</v>
      </c>
      <c r="J508" s="761">
        <v>0.28000000000000003</v>
      </c>
    </row>
    <row r="509" spans="9:10" ht="13.5" thickBot="1" x14ac:dyDescent="0.25">
      <c r="I509" s="762">
        <v>2721</v>
      </c>
      <c r="J509" s="761">
        <v>0.28000000000000003</v>
      </c>
    </row>
    <row r="510" spans="9:10" ht="13.5" thickBot="1" x14ac:dyDescent="0.25">
      <c r="I510" s="762">
        <v>2722</v>
      </c>
      <c r="J510" s="761">
        <v>0.28000000000000003</v>
      </c>
    </row>
    <row r="511" spans="9:10" ht="13.5" thickBot="1" x14ac:dyDescent="0.25">
      <c r="I511" s="762">
        <v>2723</v>
      </c>
      <c r="J511" s="761">
        <v>0.53</v>
      </c>
    </row>
    <row r="512" spans="9:10" ht="13.5" thickBot="1" x14ac:dyDescent="0.25">
      <c r="I512" s="762">
        <v>2724</v>
      </c>
      <c r="J512" s="761">
        <v>0.28000000000000003</v>
      </c>
    </row>
    <row r="513" spans="9:10" ht="13.5" thickBot="1" x14ac:dyDescent="0.25">
      <c r="I513" s="762">
        <v>2725</v>
      </c>
      <c r="J513" s="761">
        <v>0.36</v>
      </c>
    </row>
    <row r="514" spans="9:10" ht="13.5" thickBot="1" x14ac:dyDescent="0.25">
      <c r="I514" s="762">
        <v>2726</v>
      </c>
      <c r="J514" s="761">
        <v>0.2</v>
      </c>
    </row>
    <row r="515" spans="9:10" ht="13.5" thickBot="1" x14ac:dyDescent="0.25">
      <c r="I515" s="762">
        <v>2727</v>
      </c>
      <c r="J515" s="761">
        <v>0.2</v>
      </c>
    </row>
    <row r="516" spans="9:10" ht="13.5" thickBot="1" x14ac:dyDescent="0.25">
      <c r="I516" s="769">
        <v>2728</v>
      </c>
      <c r="J516" s="768">
        <v>0.39</v>
      </c>
    </row>
    <row r="517" spans="9:10" ht="13.5" thickBot="1" x14ac:dyDescent="0.25">
      <c r="I517" s="769">
        <v>2729</v>
      </c>
      <c r="J517" s="768">
        <v>0.39</v>
      </c>
    </row>
    <row r="518" spans="9:10" ht="13.5" thickBot="1" x14ac:dyDescent="0.25">
      <c r="I518" s="769">
        <v>2730</v>
      </c>
      <c r="J518" s="768">
        <v>0.16</v>
      </c>
    </row>
    <row r="519" spans="9:10" ht="13.5" thickBot="1" x14ac:dyDescent="0.25">
      <c r="I519" s="769">
        <v>2731</v>
      </c>
      <c r="J519" s="768">
        <v>1.29</v>
      </c>
    </row>
    <row r="520" spans="9:10" ht="13.5" thickBot="1" x14ac:dyDescent="0.25">
      <c r="I520" s="769">
        <v>2732</v>
      </c>
      <c r="J520" s="768">
        <v>1.68</v>
      </c>
    </row>
    <row r="521" spans="9:10" ht="13.5" thickBot="1" x14ac:dyDescent="0.25">
      <c r="I521" s="769">
        <v>2733</v>
      </c>
      <c r="J521" s="768">
        <v>1.0900000000000001</v>
      </c>
    </row>
    <row r="522" spans="9:10" ht="13.5" thickBot="1" x14ac:dyDescent="0.25">
      <c r="I522" s="769">
        <v>2734</v>
      </c>
      <c r="J522" s="768">
        <v>1.0900000000000001</v>
      </c>
    </row>
    <row r="523" spans="9:10" ht="13.5" thickBot="1" x14ac:dyDescent="0.25">
      <c r="I523" s="769">
        <v>2735</v>
      </c>
      <c r="J523" s="768">
        <v>0.56000000000000005</v>
      </c>
    </row>
    <row r="524" spans="9:10" ht="13.5" thickBot="1" x14ac:dyDescent="0.25">
      <c r="I524" s="769">
        <v>2736</v>
      </c>
      <c r="J524" s="768">
        <v>0.18</v>
      </c>
    </row>
    <row r="525" spans="9:10" ht="13.5" thickBot="1" x14ac:dyDescent="0.25">
      <c r="I525" s="769">
        <v>2737</v>
      </c>
      <c r="J525" s="768">
        <v>0.9</v>
      </c>
    </row>
    <row r="526" spans="9:10" ht="13.5" thickBot="1" x14ac:dyDescent="0.25">
      <c r="I526" s="769">
        <v>2738</v>
      </c>
      <c r="J526" s="768">
        <v>0.9</v>
      </c>
    </row>
    <row r="527" spans="9:10" ht="13.5" thickBot="1" x14ac:dyDescent="0.25">
      <c r="I527" s="769">
        <v>2739</v>
      </c>
      <c r="J527" s="768">
        <v>0.75</v>
      </c>
    </row>
    <row r="528" spans="9:10" ht="13.5" thickBot="1" x14ac:dyDescent="0.25">
      <c r="I528" s="769">
        <v>2740</v>
      </c>
      <c r="J528" s="772">
        <v>1.29</v>
      </c>
    </row>
    <row r="529" spans="9:10" ht="13.5" thickBot="1" x14ac:dyDescent="0.25">
      <c r="I529" s="765" t="s">
        <v>9330</v>
      </c>
      <c r="J529" s="764">
        <v>0.56000000000000005</v>
      </c>
    </row>
    <row r="530" spans="9:10" ht="13.5" thickBot="1" x14ac:dyDescent="0.25">
      <c r="I530" s="762" t="s">
        <v>9331</v>
      </c>
      <c r="J530" s="761">
        <v>0.56000000000000005</v>
      </c>
    </row>
    <row r="531" spans="9:10" ht="13.5" thickBot="1" x14ac:dyDescent="0.25">
      <c r="I531" s="762">
        <v>2742</v>
      </c>
      <c r="J531" s="763">
        <v>0.57999999999999996</v>
      </c>
    </row>
    <row r="532" spans="9:10" ht="13.5" thickBot="1" x14ac:dyDescent="0.25">
      <c r="I532" s="760">
        <v>2743</v>
      </c>
      <c r="J532" s="759">
        <v>0.26</v>
      </c>
    </row>
    <row r="533" spans="9:10" ht="14.25" thickTop="1" thickBot="1" x14ac:dyDescent="0.25">
      <c r="I533" s="775">
        <v>2744</v>
      </c>
      <c r="J533" s="1422">
        <v>0.33</v>
      </c>
    </row>
    <row r="534" spans="9:10" ht="13.5" thickBot="1" x14ac:dyDescent="0.25">
      <c r="I534" s="762">
        <v>2745</v>
      </c>
      <c r="J534" s="761">
        <v>0.33</v>
      </c>
    </row>
    <row r="535" spans="9:10" ht="13.5" thickBot="1" x14ac:dyDescent="0.25">
      <c r="I535" s="762">
        <v>2746</v>
      </c>
      <c r="J535" s="763">
        <v>0.33</v>
      </c>
    </row>
    <row r="536" spans="9:10" ht="13.5" thickBot="1" x14ac:dyDescent="0.25">
      <c r="I536" s="762">
        <v>2747</v>
      </c>
      <c r="J536" s="761">
        <v>0.26</v>
      </c>
    </row>
    <row r="537" spans="9:10" ht="13.5" thickBot="1" x14ac:dyDescent="0.25">
      <c r="I537" s="762">
        <v>2748</v>
      </c>
      <c r="J537" s="761">
        <v>0.75</v>
      </c>
    </row>
    <row r="538" spans="9:10" ht="13.5" thickBot="1" x14ac:dyDescent="0.25">
      <c r="I538" s="762">
        <v>2749</v>
      </c>
      <c r="J538" s="774">
        <v>0.56000000000000005</v>
      </c>
    </row>
    <row r="539" spans="9:10" ht="13.5" thickBot="1" x14ac:dyDescent="0.25">
      <c r="I539" s="760">
        <v>2750</v>
      </c>
      <c r="J539" s="773">
        <v>0.56000000000000005</v>
      </c>
    </row>
    <row r="540" spans="9:10" ht="14.25" thickTop="1" thickBot="1" x14ac:dyDescent="0.25">
      <c r="I540" s="769">
        <v>2800</v>
      </c>
      <c r="J540" s="776">
        <v>0.76</v>
      </c>
    </row>
    <row r="541" spans="9:10" ht="13.5" thickBot="1" x14ac:dyDescent="0.25">
      <c r="I541" s="769">
        <v>2801</v>
      </c>
      <c r="J541" s="776">
        <v>0.42</v>
      </c>
    </row>
    <row r="542" spans="9:10" ht="13.5" thickBot="1" x14ac:dyDescent="0.25">
      <c r="I542" s="769">
        <v>2802</v>
      </c>
      <c r="J542" s="776">
        <v>1.22</v>
      </c>
    </row>
    <row r="543" spans="9:10" ht="13.5" thickBot="1" x14ac:dyDescent="0.25">
      <c r="I543" s="769">
        <v>2803</v>
      </c>
      <c r="J543" s="776">
        <v>0.99</v>
      </c>
    </row>
    <row r="544" spans="9:10" ht="13.5" thickBot="1" x14ac:dyDescent="0.25">
      <c r="I544" s="769">
        <v>2804</v>
      </c>
      <c r="J544" s="776">
        <v>0.16</v>
      </c>
    </row>
    <row r="545" spans="9:10" ht="13.5" thickBot="1" x14ac:dyDescent="0.25">
      <c r="I545" s="769">
        <v>2805</v>
      </c>
      <c r="J545" s="776">
        <v>0.25</v>
      </c>
    </row>
    <row r="546" spans="9:10" ht="13.5" thickBot="1" x14ac:dyDescent="0.25">
      <c r="I546" s="769">
        <v>2806</v>
      </c>
      <c r="J546" s="776">
        <v>0.24</v>
      </c>
    </row>
    <row r="547" spans="9:10" ht="13.5" thickBot="1" x14ac:dyDescent="0.25">
      <c r="I547" s="769">
        <v>2807</v>
      </c>
      <c r="J547" s="776">
        <v>0.39</v>
      </c>
    </row>
    <row r="548" spans="9:10" ht="13.5" thickBot="1" x14ac:dyDescent="0.25">
      <c r="I548" s="769">
        <v>2808</v>
      </c>
      <c r="J548" s="776">
        <v>0.41</v>
      </c>
    </row>
    <row r="549" spans="9:10" ht="13.5" thickBot="1" x14ac:dyDescent="0.25">
      <c r="I549" s="769">
        <v>2809</v>
      </c>
      <c r="J549" s="776">
        <v>0.44</v>
      </c>
    </row>
    <row r="550" spans="9:10" ht="13.5" thickBot="1" x14ac:dyDescent="0.25">
      <c r="I550" s="769">
        <v>2810</v>
      </c>
      <c r="J550" s="776">
        <v>0.28000000000000003</v>
      </c>
    </row>
    <row r="551" spans="9:10" ht="13.5" thickBot="1" x14ac:dyDescent="0.25">
      <c r="I551" s="769">
        <v>2811</v>
      </c>
      <c r="J551" s="776">
        <v>0.62</v>
      </c>
    </row>
    <row r="552" spans="9:10" ht="13.5" thickBot="1" x14ac:dyDescent="0.25">
      <c r="I552" s="769">
        <v>2812</v>
      </c>
      <c r="J552" s="776">
        <v>0.42</v>
      </c>
    </row>
    <row r="553" spans="9:10" ht="13.5" thickBot="1" x14ac:dyDescent="0.25">
      <c r="I553" s="769">
        <v>2813</v>
      </c>
      <c r="J553" s="776">
        <v>0.37</v>
      </c>
    </row>
    <row r="554" spans="9:10" ht="13.5" thickBot="1" x14ac:dyDescent="0.25">
      <c r="I554" s="769">
        <v>2814</v>
      </c>
      <c r="J554" s="776">
        <v>0.44</v>
      </c>
    </row>
    <row r="555" spans="9:10" ht="13.5" thickBot="1" x14ac:dyDescent="0.25">
      <c r="I555" s="769">
        <v>2815</v>
      </c>
      <c r="J555" s="776">
        <v>0.1</v>
      </c>
    </row>
    <row r="556" spans="9:10" ht="13.5" thickBot="1" x14ac:dyDescent="0.25">
      <c r="I556" s="769">
        <v>2816</v>
      </c>
      <c r="J556" s="776">
        <v>0.43</v>
      </c>
    </row>
    <row r="557" spans="9:10" ht="13.5" thickBot="1" x14ac:dyDescent="0.25">
      <c r="I557" s="769">
        <v>2817</v>
      </c>
      <c r="J557" s="776">
        <v>0.53</v>
      </c>
    </row>
    <row r="558" spans="9:10" ht="13.5" thickBot="1" x14ac:dyDescent="0.25">
      <c r="I558" s="769">
        <v>2818</v>
      </c>
      <c r="J558" s="776">
        <v>0.57999999999999996</v>
      </c>
    </row>
    <row r="559" spans="9:10" ht="13.5" thickBot="1" x14ac:dyDescent="0.25">
      <c r="I559" s="769">
        <v>2819</v>
      </c>
      <c r="J559" s="776">
        <v>1.63</v>
      </c>
    </row>
    <row r="560" spans="9:10" ht="13.5" thickBot="1" x14ac:dyDescent="0.25">
      <c r="I560" s="769">
        <v>2820</v>
      </c>
      <c r="J560" s="776">
        <v>0.98</v>
      </c>
    </row>
    <row r="561" spans="9:10" ht="13.5" thickBot="1" x14ac:dyDescent="0.25">
      <c r="I561" s="769">
        <v>2821</v>
      </c>
      <c r="J561" s="776">
        <v>0.1</v>
      </c>
    </row>
    <row r="562" spans="9:10" ht="13.5" thickBot="1" x14ac:dyDescent="0.25">
      <c r="I562" s="769">
        <v>2822</v>
      </c>
      <c r="J562" s="776">
        <v>1.77</v>
      </c>
    </row>
    <row r="563" spans="9:10" ht="13.5" thickBot="1" x14ac:dyDescent="0.25">
      <c r="I563" s="769">
        <v>2823</v>
      </c>
      <c r="J563" s="776">
        <v>0.1</v>
      </c>
    </row>
    <row r="564" spans="9:10" ht="13.5" thickBot="1" x14ac:dyDescent="0.25">
      <c r="I564" s="769">
        <v>2824</v>
      </c>
      <c r="J564" s="776">
        <v>0.14000000000000001</v>
      </c>
    </row>
    <row r="565" spans="9:10" ht="13.5" thickBot="1" x14ac:dyDescent="0.25">
      <c r="I565" s="769">
        <v>2825</v>
      </c>
      <c r="J565" s="776">
        <v>0.14000000000000001</v>
      </c>
    </row>
    <row r="566" spans="9:10" ht="13.5" thickBot="1" x14ac:dyDescent="0.25">
      <c r="I566" s="769">
        <v>2826</v>
      </c>
      <c r="J566" s="776">
        <v>0.11</v>
      </c>
    </row>
    <row r="567" spans="9:10" ht="13.5" thickBot="1" x14ac:dyDescent="0.25">
      <c r="I567" s="769">
        <v>2827</v>
      </c>
      <c r="J567" s="768">
        <v>0.54</v>
      </c>
    </row>
    <row r="568" spans="9:10" ht="13.5" thickBot="1" x14ac:dyDescent="0.25">
      <c r="I568" s="769">
        <v>2828</v>
      </c>
      <c r="J568" s="768">
        <v>0.42</v>
      </c>
    </row>
    <row r="569" spans="9:10" ht="13.5" thickBot="1" x14ac:dyDescent="0.25">
      <c r="I569" s="769" t="s">
        <v>9332</v>
      </c>
      <c r="J569" s="768">
        <v>0.36</v>
      </c>
    </row>
    <row r="570" spans="9:10" ht="13.5" thickBot="1" x14ac:dyDescent="0.25">
      <c r="I570" s="769">
        <v>2829</v>
      </c>
      <c r="J570" s="768">
        <v>0.66</v>
      </c>
    </row>
    <row r="571" spans="9:10" ht="13.5" thickBot="1" x14ac:dyDescent="0.25">
      <c r="I571" s="769">
        <v>2830</v>
      </c>
      <c r="J571" s="768">
        <v>0.54</v>
      </c>
    </row>
    <row r="572" spans="9:10" ht="13.5" thickBot="1" x14ac:dyDescent="0.25">
      <c r="I572" s="769">
        <v>2831</v>
      </c>
      <c r="J572" s="768">
        <v>0.54</v>
      </c>
    </row>
    <row r="573" spans="9:10" ht="13.5" thickBot="1" x14ac:dyDescent="0.25">
      <c r="I573" s="769">
        <v>2832</v>
      </c>
      <c r="J573" s="768">
        <v>0.42</v>
      </c>
    </row>
    <row r="574" spans="9:10" ht="13.5" thickBot="1" x14ac:dyDescent="0.25">
      <c r="I574" s="769">
        <v>2833</v>
      </c>
      <c r="J574" s="768">
        <v>0.42</v>
      </c>
    </row>
    <row r="575" spans="9:10" ht="13.5" thickBot="1" x14ac:dyDescent="0.25">
      <c r="I575" s="769">
        <v>2834</v>
      </c>
      <c r="J575" s="768">
        <v>0.27</v>
      </c>
    </row>
    <row r="576" spans="9:10" ht="13.5" thickBot="1" x14ac:dyDescent="0.25">
      <c r="I576" s="769">
        <v>2835</v>
      </c>
      <c r="J576" s="768">
        <v>0.28999999999999998</v>
      </c>
    </row>
    <row r="577" spans="9:10" ht="13.5" thickBot="1" x14ac:dyDescent="0.25">
      <c r="I577" s="767">
        <v>2836</v>
      </c>
      <c r="J577" s="777">
        <v>0.79</v>
      </c>
    </row>
    <row r="578" spans="9:10" ht="13.5" thickTop="1" x14ac:dyDescent="0.2"/>
  </sheetData>
  <mergeCells count="1">
    <mergeCell ref="A1:B1"/>
  </mergeCells>
  <phoneticPr fontId="1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B017-DF4C-4839-8E01-49D09C16B7E6}">
  <sheetPr codeName="Hoja11">
    <tabColor rgb="FFFF0000"/>
  </sheetPr>
  <dimension ref="A1:BQ1373"/>
  <sheetViews>
    <sheetView zoomScaleNormal="100" workbookViewId="0">
      <pane xSplit="1" ySplit="2" topLeftCell="K3" activePane="bottomRight" state="frozen"/>
      <selection pane="topRight" activeCell="I12" sqref="I12"/>
      <selection pane="bottomLeft" activeCell="I12" sqref="I12"/>
      <selection pane="bottomRight" activeCell="P8" sqref="P8"/>
    </sheetView>
  </sheetViews>
  <sheetFormatPr baseColWidth="10" defaultColWidth="11.42578125" defaultRowHeight="12.75" outlineLevelCol="1" x14ac:dyDescent="0.2"/>
  <cols>
    <col min="1" max="1" width="1.85546875" hidden="1" customWidth="1" outlineLevel="1"/>
    <col min="2" max="2" width="10.7109375" hidden="1" customWidth="1" outlineLevel="1"/>
    <col min="3" max="3" width="12.5703125" hidden="1" customWidth="1" outlineLevel="1"/>
    <col min="4" max="4" width="49.5703125" hidden="1" customWidth="1" outlineLevel="1"/>
    <col min="5" max="5" width="12.140625" hidden="1" customWidth="1" outlineLevel="1"/>
    <col min="6" max="6" width="13.28515625" hidden="1" customWidth="1" outlineLevel="1"/>
    <col min="7" max="7" width="9.28515625" style="93" hidden="1" customWidth="1" outlineLevel="1"/>
    <col min="8" max="8" width="19.28515625" style="83" hidden="1" customWidth="1" outlineLevel="1"/>
    <col min="9" max="9" width="2.28515625" customWidth="1" collapsed="1"/>
    <col min="10" max="10" width="14" customWidth="1"/>
    <col min="11" max="11" width="12.5703125" customWidth="1"/>
    <col min="12" max="12" width="56" bestFit="1" customWidth="1"/>
    <col min="13" max="13" width="12.5703125" bestFit="1" customWidth="1"/>
    <col min="14" max="14" width="15" bestFit="1" customWidth="1"/>
    <col min="15" max="15" width="8.28515625" style="13" bestFit="1" customWidth="1"/>
    <col min="16" max="16" width="49.7109375" bestFit="1" customWidth="1"/>
    <col min="17" max="17" width="14.140625" bestFit="1" customWidth="1"/>
    <col min="18" max="18" width="40.140625" hidden="1" customWidth="1" outlineLevel="1"/>
    <col min="19" max="19" width="11.42578125" hidden="1" customWidth="1" outlineLevel="1"/>
    <col min="20" max="20" width="60.28515625" hidden="1" customWidth="1" outlineLevel="1"/>
    <col min="21" max="21" width="13" hidden="1" customWidth="1" outlineLevel="1"/>
    <col min="22" max="22" width="11.42578125" hidden="1" customWidth="1" outlineLevel="1"/>
    <col min="23" max="23" width="11.5703125" hidden="1" customWidth="1" outlineLevel="1"/>
    <col min="24" max="25" width="11.42578125" hidden="1" customWidth="1" outlineLevel="1"/>
    <col min="26" max="27" width="12.7109375" hidden="1" customWidth="1" outlineLevel="1"/>
    <col min="28" max="28" width="11.42578125" hidden="1" customWidth="1" outlineLevel="1"/>
    <col min="29" max="30" width="11.7109375" hidden="1" customWidth="1" outlineLevel="1"/>
    <col min="31" max="33" width="11.42578125" hidden="1" customWidth="1" outlineLevel="1"/>
    <col min="34" max="34" width="54.28515625" hidden="1" customWidth="1" outlineLevel="1"/>
    <col min="35" max="35" width="11.85546875" hidden="1" customWidth="1" outlineLevel="1"/>
    <col min="36" max="36" width="11.42578125" hidden="1" customWidth="1" outlineLevel="1"/>
    <col min="37" max="37" width="49.5703125" hidden="1" customWidth="1" outlineLevel="1"/>
    <col min="38" max="39" width="11.85546875" hidden="1" customWidth="1" outlineLevel="1"/>
    <col min="40" max="45" width="11.42578125" hidden="1" customWidth="1" outlineLevel="1"/>
    <col min="46" max="46" width="11.42578125" style="13" hidden="1" customWidth="1" outlineLevel="1"/>
    <col min="47" max="47" width="39" hidden="1" customWidth="1" outlineLevel="1"/>
    <col min="48" max="49" width="11.42578125" hidden="1" customWidth="1" outlineLevel="1"/>
    <col min="50" max="50" width="11.42578125" style="13" hidden="1" customWidth="1" outlineLevel="1"/>
    <col min="51" max="54" width="11.42578125" hidden="1" customWidth="1" outlineLevel="1"/>
    <col min="55" max="55" width="12" hidden="1" customWidth="1" outlineLevel="1"/>
    <col min="56" max="56" width="11.42578125" hidden="1" customWidth="1" outlineLevel="1"/>
    <col min="57" max="57" width="12.85546875" hidden="1" customWidth="1" outlineLevel="1"/>
    <col min="58" max="58" width="11.28515625" hidden="1" customWidth="1" outlineLevel="1"/>
    <col min="59" max="60" width="11.42578125" hidden="1" customWidth="1" outlineLevel="1"/>
    <col min="61" max="61" width="38" hidden="1" customWidth="1" outlineLevel="1"/>
    <col min="62" max="62" width="11.42578125" hidden="1" customWidth="1" outlineLevel="1"/>
    <col min="63" max="63" width="12.28515625" bestFit="1" customWidth="1" collapsed="1"/>
    <col min="64" max="64" width="13.85546875" bestFit="1" customWidth="1"/>
    <col min="68" max="68" width="56.7109375" bestFit="1" customWidth="1"/>
    <col min="69" max="69" width="37.42578125" customWidth="1"/>
  </cols>
  <sheetData>
    <row r="1" spans="1:64" ht="18.75" thickBot="1" x14ac:dyDescent="0.25">
      <c r="B1" s="1498" t="s">
        <v>9333</v>
      </c>
      <c r="C1" s="1499"/>
      <c r="D1" s="1499"/>
      <c r="E1" s="1499"/>
      <c r="F1" s="1499"/>
      <c r="G1" s="1499"/>
      <c r="H1" s="39"/>
      <c r="J1" s="1498" t="s">
        <v>9334</v>
      </c>
      <c r="K1" s="1499"/>
      <c r="L1" s="1499"/>
      <c r="M1" s="1499"/>
      <c r="N1" s="1499"/>
      <c r="O1" s="1499"/>
      <c r="P1" s="411">
        <f>+SUM(Tabla17[FINAL])</f>
        <v>2721646.2979999995</v>
      </c>
      <c r="R1" t="s">
        <v>6102</v>
      </c>
      <c r="S1" s="84" t="s">
        <v>8751</v>
      </c>
      <c r="T1" s="84" t="s">
        <v>9335</v>
      </c>
      <c r="U1" s="412" t="s">
        <v>3</v>
      </c>
      <c r="V1" s="85" t="s">
        <v>9008</v>
      </c>
      <c r="W1" s="88" t="s">
        <v>9336</v>
      </c>
      <c r="Y1" s="89" t="s">
        <v>9337</v>
      </c>
      <c r="Z1" s="86" t="s">
        <v>9338</v>
      </c>
      <c r="AA1" s="91">
        <v>0.28999999999999998</v>
      </c>
      <c r="AM1" s="62">
        <v>0.3</v>
      </c>
      <c r="AT1" s="1500" t="s">
        <v>9339</v>
      </c>
      <c r="AU1" s="1501"/>
      <c r="AV1" s="691" t="s">
        <v>8763</v>
      </c>
      <c r="AW1" s="692">
        <v>1430</v>
      </c>
      <c r="AZ1" s="693">
        <v>0.2</v>
      </c>
      <c r="BA1" t="s">
        <v>4353</v>
      </c>
      <c r="BL1" s="1">
        <f>+P1*1.21</f>
        <v>3293192.0205799993</v>
      </c>
    </row>
    <row r="2" spans="1:64" ht="13.5" thickBot="1" x14ac:dyDescent="0.25">
      <c r="A2" s="31"/>
      <c r="B2" s="192" t="s">
        <v>5</v>
      </c>
      <c r="C2" s="192" t="s">
        <v>8753</v>
      </c>
      <c r="D2" s="193" t="s">
        <v>8920</v>
      </c>
      <c r="E2" s="192" t="s">
        <v>9340</v>
      </c>
      <c r="F2" s="192" t="s">
        <v>9341</v>
      </c>
      <c r="G2" s="194" t="s">
        <v>8189</v>
      </c>
      <c r="H2" s="39"/>
      <c r="J2" s="174" t="s">
        <v>5</v>
      </c>
      <c r="K2" s="174" t="s">
        <v>8753</v>
      </c>
      <c r="L2" s="174" t="s">
        <v>8920</v>
      </c>
      <c r="M2" s="174" t="s">
        <v>9340</v>
      </c>
      <c r="N2" s="174" t="s">
        <v>9341</v>
      </c>
      <c r="O2" s="596" t="s">
        <v>8189</v>
      </c>
      <c r="P2" s="596" t="s">
        <v>9008</v>
      </c>
      <c r="R2" t="s">
        <v>4353</v>
      </c>
      <c r="S2" s="480" t="s">
        <v>9342</v>
      </c>
      <c r="T2" s="480" t="s">
        <v>9343</v>
      </c>
      <c r="U2" s="504">
        <v>18454.959859870192</v>
      </c>
      <c r="V2" s="89" t="s">
        <v>9337</v>
      </c>
      <c r="W2" s="90">
        <f t="shared" ref="W2:W21" si="0">+IF(V2="Nacional",(1-$AA$1)*U2,(1-$AA$2)*U2)</f>
        <v>13103.021500507835</v>
      </c>
      <c r="Y2" s="89" t="s">
        <v>9344</v>
      </c>
      <c r="Z2" s="92" t="s">
        <v>9345</v>
      </c>
      <c r="AA2" s="91">
        <v>0.4</v>
      </c>
      <c r="AG2" s="489" t="s">
        <v>5</v>
      </c>
      <c r="AH2" s="492" t="s">
        <v>8920</v>
      </c>
      <c r="AI2" s="493" t="s">
        <v>9340</v>
      </c>
      <c r="AJ2" s="492" t="s">
        <v>8189</v>
      </c>
      <c r="AK2" s="493" t="s">
        <v>1</v>
      </c>
      <c r="AL2" s="495" t="s">
        <v>9346</v>
      </c>
      <c r="AM2" s="496" t="s">
        <v>8955</v>
      </c>
      <c r="AT2" s="32" t="s">
        <v>5</v>
      </c>
      <c r="AU2" s="32" t="s">
        <v>9007</v>
      </c>
      <c r="AV2" s="32" t="s">
        <v>9347</v>
      </c>
      <c r="AW2" s="32" t="s">
        <v>9348</v>
      </c>
      <c r="AX2" s="32" t="s">
        <v>8189</v>
      </c>
      <c r="AY2" s="32" t="s">
        <v>4354</v>
      </c>
      <c r="AZ2" s="32" t="s">
        <v>8802</v>
      </c>
      <c r="BA2" s="32" t="s">
        <v>9349</v>
      </c>
      <c r="BB2" s="32" t="s">
        <v>8189</v>
      </c>
      <c r="BC2" s="32" t="s">
        <v>9350</v>
      </c>
      <c r="BD2" s="32" t="s">
        <v>9340</v>
      </c>
      <c r="BE2" s="32" t="s">
        <v>9341</v>
      </c>
      <c r="BH2" s="696" t="s">
        <v>5</v>
      </c>
      <c r="BI2" s="697" t="s">
        <v>9007</v>
      </c>
      <c r="BJ2" s="698" t="s">
        <v>8753</v>
      </c>
    </row>
    <row r="3" spans="1:64" ht="14.25" x14ac:dyDescent="0.2">
      <c r="A3" s="31"/>
      <c r="B3" t="s">
        <v>6103</v>
      </c>
      <c r="C3">
        <v>50</v>
      </c>
      <c r="D3" t="str">
        <f t="shared" ref="D3:D66" si="1">+VLOOKUP(B3,$S$1:$W$1375,2,0)</f>
        <v>20001IC047199935C CON RECT PLAST 1/8 BSPT 6 MM</v>
      </c>
      <c r="E3" s="196">
        <f>+VLOOKUP(H3&amp;ALNAT[[#This Row],[N°]],CODIGOS_Y_COSTOS[[ID]:[COSTO]],7,0)</f>
        <v>471.74400000000003</v>
      </c>
      <c r="F3" s="196">
        <f t="shared" ref="F3:F34" si="2">+E3*C3</f>
        <v>23587.200000000001</v>
      </c>
      <c r="G3" s="197">
        <v>4</v>
      </c>
      <c r="H3" s="39" t="s">
        <v>6102</v>
      </c>
      <c r="I3" s="198" t="str">
        <f>+H3&amp;ALNAT[[#This Row],[N°]]</f>
        <v>CONECTORES NEUMÁTICOS4</v>
      </c>
      <c r="J3" s="876" t="str">
        <f>IFERROR(INDEX(ALNAT[CODIGO],MATCH(Tabla17[[#This Row],[TIPO]]&amp;Tabla17[[#This Row],[N°]],$I$3:$I$308,0),1),"")</f>
        <v>060-10</v>
      </c>
      <c r="K3" s="1266">
        <f>IFERROR(VLOOKUP(Tabla17[[#This Row],[CODIGO]],ALNAT[[CODIGO]:[DESCRIPCIÓN]],2,0),"")</f>
        <v>50</v>
      </c>
      <c r="L3" s="195" t="str">
        <f>IFERROR(VLOOKUP(Tabla17[[#This Row],[CODIGO]],ALNAT[[CODIGO]:[DESCRIPCIÓN]],3,0),"")</f>
        <v>19001IC04008486A C RECTO PLAST 1/8 X 10 MM</v>
      </c>
      <c r="M3" s="196">
        <f>IFERROR(VLOOKUP(Tabla17[[#This Row],[CODIGO]],ALNAT[],4,0),0)</f>
        <v>771.12</v>
      </c>
      <c r="N3" s="196">
        <f t="shared" ref="N3:N4" si="3">+IFERROR(M3*K3,0)</f>
        <v>38556</v>
      </c>
      <c r="O3" s="1065">
        <v>6</v>
      </c>
      <c r="P3" t="s">
        <v>6102</v>
      </c>
      <c r="Q3" s="3"/>
      <c r="R3" t="s">
        <v>6316</v>
      </c>
      <c r="S3" s="480" t="s">
        <v>9351</v>
      </c>
      <c r="T3" s="480" t="s">
        <v>9352</v>
      </c>
      <c r="U3" s="504">
        <v>17288.516411415574</v>
      </c>
      <c r="V3" s="89" t="s">
        <v>9337</v>
      </c>
      <c r="W3" s="90">
        <f t="shared" si="0"/>
        <v>12274.846652105058</v>
      </c>
      <c r="AG3" s="490" t="s">
        <v>6103</v>
      </c>
      <c r="AH3" s="494" t="s">
        <v>6104</v>
      </c>
      <c r="AI3" s="181">
        <v>80.833643965827676</v>
      </c>
      <c r="AJ3" s="197">
        <v>4</v>
      </c>
      <c r="AK3" s="39" t="s">
        <v>6102</v>
      </c>
      <c r="AL3" s="510" t="s">
        <v>9353</v>
      </c>
      <c r="AM3" s="1">
        <f>IFERROR((1-$AM$1)*AL3,0)</f>
        <v>0</v>
      </c>
      <c r="AN3" s="62">
        <f>+AM3/AI3-1</f>
        <v>-1</v>
      </c>
      <c r="AT3" s="13">
        <v>107</v>
      </c>
      <c r="AU3" t="s">
        <v>9354</v>
      </c>
      <c r="AV3">
        <v>0.69</v>
      </c>
      <c r="AW3" s="1">
        <f t="shared" ref="AW3:AW30" si="4">+AV3*$AW$1</f>
        <v>986.69999999999993</v>
      </c>
      <c r="AX3" s="13">
        <v>10</v>
      </c>
      <c r="AY3" s="1">
        <f t="shared" ref="AY3:AY21" si="5">+_xlfn.XLOOKUP(AX3,$G$72:$G$128,$E$72:$E$128,0,0)</f>
        <v>507.54160000000002</v>
      </c>
      <c r="AZ3" s="1">
        <f>IFERROR((VLOOKUP($BA$1&amp;AX3,CODIGOS_Y_COSTOS[[ID]:[Precio]],4,0)-(VLOOKUP($BA$1&amp;AX3,CODIGOS_Y_COSTOS[[ID]:[Precio]],4,0)*$AZ$1)),0)</f>
        <v>1561.0339200000001</v>
      </c>
      <c r="BA3" s="95">
        <f t="shared" ref="BA3:BA19" si="6">IF(AZ3=0,0,AZ3/AW3-1)</f>
        <v>0.58207552447552469</v>
      </c>
      <c r="BB3">
        <v>4</v>
      </c>
      <c r="BC3" s="13">
        <v>100</v>
      </c>
      <c r="BD3" s="1">
        <f>+_xlfn.XLOOKUP(BB3,$AX$3:$AX$37,$AW$3:$AW$37,0,0)</f>
        <v>986.69999999999993</v>
      </c>
      <c r="BE3" s="1">
        <f t="shared" ref="BE3:BE8" si="7">+BD3*BC3</f>
        <v>98670</v>
      </c>
      <c r="BF3" s="694">
        <f t="shared" ref="BF3:BF8" si="8">+_xlfn.XLOOKUP(BB3,$AX$3:$AX$37,$BA$3:$BA$37,0,0)</f>
        <v>2.9017032938076417</v>
      </c>
      <c r="BG3" s="1"/>
      <c r="BH3" s="372">
        <f>+_xlfn.XLOOKUP(BB3,$AX$3:$AX$37,$AT$3:$AT$37,0,0)</f>
        <v>121</v>
      </c>
      <c r="BI3" s="695" t="str">
        <f>+_xlfn.XLOOKUP(BB3,$AX$3:$AX$37,$AU$3:$AU$37,0,0)</f>
        <v>LINEA NIPLE ACOPLE-MANGUERA DE 10mm</v>
      </c>
      <c r="BJ3" s="94">
        <f>+BC3</f>
        <v>100</v>
      </c>
    </row>
    <row r="4" spans="1:64" ht="14.25" x14ac:dyDescent="0.2">
      <c r="A4" s="31"/>
      <c r="B4" t="s">
        <v>6106</v>
      </c>
      <c r="C4">
        <v>50</v>
      </c>
      <c r="D4" t="str">
        <f t="shared" si="1"/>
        <v>20001IC047199935C  CON RECT PLAST 1/8 BSPT 8 MM</v>
      </c>
      <c r="E4" s="196">
        <f>+VLOOKUP(H4&amp;ALNAT[[#This Row],[N°]],CODIGOS_Y_COSTOS[[ID]:[COSTO]],7,0)</f>
        <v>471.74400000000003</v>
      </c>
      <c r="F4" s="196">
        <f t="shared" si="2"/>
        <v>23587.200000000001</v>
      </c>
      <c r="G4" s="197">
        <v>5</v>
      </c>
      <c r="H4" s="39" t="s">
        <v>6102</v>
      </c>
      <c r="I4" s="198" t="str">
        <f>+H4&amp;ALNAT[[#This Row],[N°]]</f>
        <v>CONECTORES NEUMÁTICOS5</v>
      </c>
      <c r="J4" s="876" t="str">
        <f>IFERROR(INDEX(ALNAT[CODIGO],MATCH(Tabla17[[#This Row],[TIPO]]&amp;Tabla17[[#This Row],[N°]],$I$3:$I$308,0),1),"")</f>
        <v>091-01</v>
      </c>
      <c r="K4" s="1266">
        <f>IFERROR(VLOOKUP(Tabla17[[#This Row],[CODIGO]],ALNAT[[CODIGO]:[DESCRIPCIÓN]],2,0),"")</f>
        <v>50</v>
      </c>
      <c r="L4" s="195" t="str">
        <f>IFERROR(VLOOKUP(Tabla17[[#This Row],[CODIGO]],ALNAT[[CODIGO]:[DESCRIPCIÓN]],3,0),"")</f>
        <v>20001IC04164806Y  RECTA RH 1/8 X 6</v>
      </c>
      <c r="M4" s="196">
        <f>IFERROR(VLOOKUP(Tabla17[[#This Row],[CODIGO]],ALNAT[],4,0),0)</f>
        <v>822.32</v>
      </c>
      <c r="N4" s="196">
        <f t="shared" si="3"/>
        <v>41116</v>
      </c>
      <c r="O4" s="1065">
        <v>44</v>
      </c>
      <c r="P4" t="s">
        <v>6102</v>
      </c>
      <c r="Q4" s="3"/>
      <c r="R4" t="s">
        <v>7878</v>
      </c>
      <c r="S4" s="480" t="s">
        <v>9355</v>
      </c>
      <c r="T4" s="480" t="s">
        <v>9356</v>
      </c>
      <c r="U4" s="504">
        <v>18454.959859870192</v>
      </c>
      <c r="V4" s="89" t="s">
        <v>9337</v>
      </c>
      <c r="W4" s="90">
        <f t="shared" si="0"/>
        <v>13103.021500507835</v>
      </c>
      <c r="AG4" s="491" t="s">
        <v>6106</v>
      </c>
      <c r="AH4" s="69" t="s">
        <v>6107</v>
      </c>
      <c r="AI4" s="60">
        <v>80.769961998417614</v>
      </c>
      <c r="AJ4" s="197">
        <v>5</v>
      </c>
      <c r="AK4" s="39" t="s">
        <v>6102</v>
      </c>
      <c r="AL4" s="1"/>
      <c r="AM4" s="1">
        <f t="shared" ref="AM4:AM67" si="9">IFERROR((1-$AM$1)*AL4,0)</f>
        <v>0</v>
      </c>
      <c r="AN4" s="62">
        <f t="shared" ref="AN4:AN71" si="10">+AM4/AI4-1</f>
        <v>-1</v>
      </c>
      <c r="AS4">
        <v>11</v>
      </c>
      <c r="AT4" s="13">
        <f>+AT3+1</f>
        <v>108</v>
      </c>
      <c r="AU4" t="s">
        <v>9357</v>
      </c>
      <c r="AV4">
        <v>0.69</v>
      </c>
      <c r="AW4" s="1">
        <f t="shared" si="4"/>
        <v>986.69999999999993</v>
      </c>
      <c r="AX4" s="13">
        <v>11</v>
      </c>
      <c r="AY4" s="1">
        <f t="shared" si="5"/>
        <v>508.42099999999999</v>
      </c>
      <c r="AZ4" s="1">
        <f>IFERROR((VLOOKUP($BA$1&amp;AX4,CODIGOS_Y_COSTOS[[ID]:[Precio]],4,0)-(VLOOKUP($BA$1&amp;AX4,CODIGOS_Y_COSTOS[[ID]:[Precio]],4,0)*$AZ$1)),0)</f>
        <v>1563.73864</v>
      </c>
      <c r="BA4" s="95">
        <f t="shared" si="6"/>
        <v>0.58481670213844139</v>
      </c>
      <c r="BB4">
        <v>32</v>
      </c>
      <c r="BC4" s="13">
        <v>100</v>
      </c>
      <c r="BD4" s="1">
        <f t="shared" ref="BD4:BD16" si="11">+_xlfn.XLOOKUP(BB4,$AX$3:$AX$30,$AW$3:$AW$30,0,0)</f>
        <v>986.69999999999993</v>
      </c>
      <c r="BE4" s="1">
        <f t="shared" si="7"/>
        <v>98670</v>
      </c>
      <c r="BF4" s="694">
        <f t="shared" si="8"/>
        <v>2.1203799331103679</v>
      </c>
      <c r="BG4" s="1"/>
      <c r="BH4" s="7">
        <f>+_xlfn.XLOOKUP(BB4,$AX$3:$AX$37,$AT$3:$AT$37,0,0)</f>
        <v>113</v>
      </c>
      <c r="BI4" s="34" t="str">
        <f>+_xlfn.XLOOKUP(BB4,$AX$3:$AX$37,$AU$3:$AU$37,0,0)</f>
        <v>LINEA RACORD 1/4 He x 10mm</v>
      </c>
      <c r="BJ4" s="15">
        <f>+BC4</f>
        <v>100</v>
      </c>
      <c r="BK4" s="1">
        <f>+Tabla17[[#This Row],[FINAL]]*1.21</f>
        <v>49750.36</v>
      </c>
    </row>
    <row r="5" spans="1:64" ht="14.25" x14ac:dyDescent="0.2">
      <c r="A5" s="31"/>
      <c r="B5" t="s">
        <v>6109</v>
      </c>
      <c r="C5">
        <v>50</v>
      </c>
      <c r="D5" t="str">
        <f t="shared" si="1"/>
        <v>19001IC04008486A C RECTO PLAST 1/8 X 10 MM</v>
      </c>
      <c r="E5" s="196">
        <f>+VLOOKUP(H5&amp;ALNAT[[#This Row],[N°]],CODIGOS_Y_COSTOS[[ID]:[COSTO]],7,0)</f>
        <v>771.12</v>
      </c>
      <c r="F5" s="196">
        <f t="shared" si="2"/>
        <v>38556</v>
      </c>
      <c r="G5" s="197">
        <v>6</v>
      </c>
      <c r="H5" s="39" t="s">
        <v>6102</v>
      </c>
      <c r="I5" s="198" t="str">
        <f>+H5&amp;ALNAT[[#This Row],[N°]]</f>
        <v>CONECTORES NEUMÁTICOS6</v>
      </c>
      <c r="J5" s="876" t="str">
        <f>IFERROR(INDEX(ALNAT[CODIGO],MATCH(Tabla17[[#This Row],[TIPO]]&amp;Tabla17[[#This Row],[N°]],$I$3:$I$308,0),1),"")</f>
        <v>091-03</v>
      </c>
      <c r="K5" s="1266">
        <f>IFERROR(VLOOKUP(Tabla17[[#This Row],[CODIGO]],ALNAT[[CODIGO]:[DESCRIPCIÓN]],2,0),"")</f>
        <v>50</v>
      </c>
      <c r="L5" s="195" t="str">
        <f>IFERROR(VLOOKUP(Tabla17[[#This Row],[CODIGO]],ALNAT[[CODIGO]:[DESCRIPCIÓN]],3,0),"")</f>
        <v>20001IC04026706K  RECTA RH 1/4 X 6</v>
      </c>
      <c r="M5" s="196">
        <f>IFERROR(VLOOKUP(Tabla17[[#This Row],[CODIGO]],ALNAT[],4,0),0)</f>
        <v>1034.5316</v>
      </c>
      <c r="N5" s="196">
        <f t="shared" ref="N5:N39" si="12">+IFERROR(M5*K5,0)</f>
        <v>51726.58</v>
      </c>
      <c r="O5" s="1065">
        <v>46</v>
      </c>
      <c r="P5" t="s">
        <v>6102</v>
      </c>
      <c r="Q5" s="3"/>
      <c r="R5" t="s">
        <v>21391</v>
      </c>
      <c r="S5" s="480" t="s">
        <v>9358</v>
      </c>
      <c r="T5" s="480" t="s">
        <v>9359</v>
      </c>
      <c r="U5" s="504">
        <v>3794.5577430998028</v>
      </c>
      <c r="V5" s="89" t="s">
        <v>9337</v>
      </c>
      <c r="W5" s="90">
        <f t="shared" si="0"/>
        <v>2694.1359976008598</v>
      </c>
      <c r="AG5" s="490" t="s">
        <v>6109</v>
      </c>
      <c r="AH5" s="494" t="s">
        <v>6110</v>
      </c>
      <c r="AI5" s="181">
        <v>101.46320503508974</v>
      </c>
      <c r="AJ5" s="197">
        <v>6</v>
      </c>
      <c r="AK5" s="39" t="s">
        <v>6102</v>
      </c>
      <c r="AL5" s="1"/>
      <c r="AM5" s="1">
        <f t="shared" si="9"/>
        <v>0</v>
      </c>
      <c r="AN5" s="62">
        <f t="shared" si="10"/>
        <v>-1</v>
      </c>
      <c r="AS5">
        <v>32</v>
      </c>
      <c r="AT5" s="13">
        <f t="shared" ref="AT5:AT19" si="13">+AT4+1</f>
        <v>109</v>
      </c>
      <c r="AU5" t="s">
        <v>9360</v>
      </c>
      <c r="AV5">
        <v>0.69</v>
      </c>
      <c r="AW5" s="1">
        <f t="shared" si="4"/>
        <v>986.69999999999993</v>
      </c>
      <c r="AX5" s="13">
        <v>12</v>
      </c>
      <c r="AY5" s="1">
        <f t="shared" si="5"/>
        <v>634.21759999999995</v>
      </c>
      <c r="AZ5" s="1">
        <f>IFERROR((VLOOKUP($BA$1&amp;AX5,CODIGOS_Y_COSTOS[[ID]:[Precio]],4,0)-(VLOOKUP($BA$1&amp;AX5,CODIGOS_Y_COSTOS[[ID]:[Precio]],4,0)*$AZ$1)),0)</f>
        <v>1950.6484</v>
      </c>
      <c r="BA5" s="95">
        <f t="shared" si="6"/>
        <v>0.97694172494172515</v>
      </c>
      <c r="BB5">
        <v>45</v>
      </c>
      <c r="BC5" s="13">
        <v>100</v>
      </c>
      <c r="BD5" s="1">
        <f t="shared" si="11"/>
        <v>986.69999999999993</v>
      </c>
      <c r="BE5" s="1">
        <f t="shared" si="7"/>
        <v>98670</v>
      </c>
      <c r="BF5" s="694">
        <f t="shared" si="8"/>
        <v>2.4138333434681258</v>
      </c>
      <c r="BG5" s="1"/>
      <c r="BH5" s="7">
        <f>+_xlfn.XLOOKUP(BB5,$AX$3:$AX$37,$AT$3:$AT$37,0,0)</f>
        <v>118</v>
      </c>
      <c r="BI5" s="34" t="str">
        <f>+_xlfn.XLOOKUP(BB5,$AX$3:$AX$37,$AU$3:$AU$37,0,0)</f>
        <v>LINEA UNION MANGUERA x 12mm</v>
      </c>
      <c r="BJ5" s="15">
        <f t="shared" ref="BJ5:BJ6" si="14">+BC5</f>
        <v>100</v>
      </c>
      <c r="BK5" s="1">
        <f>+Tabla17[[#This Row],[FINAL]]*1.21</f>
        <v>62589.161800000002</v>
      </c>
    </row>
    <row r="6" spans="1:64" ht="14.25" x14ac:dyDescent="0.2">
      <c r="A6" s="31"/>
      <c r="B6" t="s">
        <v>6112</v>
      </c>
      <c r="C6">
        <v>50</v>
      </c>
      <c r="D6" t="str">
        <f t="shared" si="1"/>
        <v>20001IC04164806Y  CON RECT PLAST 1/4 BSPT 6 MM</v>
      </c>
      <c r="E6" s="196">
        <f>+VLOOKUP(H6&amp;ALNAT[[#This Row],[N°]],CODIGOS_Y_COSTOS[[ID]:[COSTO]],7,0)</f>
        <v>550.36800000000005</v>
      </c>
      <c r="F6" s="196">
        <f t="shared" si="2"/>
        <v>27518.400000000001</v>
      </c>
      <c r="G6" s="197">
        <v>8</v>
      </c>
      <c r="H6" s="39" t="s">
        <v>6102</v>
      </c>
      <c r="I6" s="198" t="str">
        <f>+H6&amp;ALNAT[[#This Row],[N°]]</f>
        <v>CONECTORES NEUMÁTICOS8</v>
      </c>
      <c r="J6" s="876" t="str">
        <f>IFERROR(INDEX(ALNAT[CODIGO],MATCH(Tabla17[[#This Row],[TIPO]]&amp;Tabla17[[#This Row],[N°]],$I$3:$I$308,0),1),"")</f>
        <v>065-01</v>
      </c>
      <c r="K6" s="1266">
        <f>IFERROR(VLOOKUP(Tabla17[[#This Row],[CODIGO]],ALNAT[[CODIGO]:[DESCRIPCIÓN]],2,0),"")</f>
        <v>50</v>
      </c>
      <c r="L6" s="195" t="str">
        <f>IFERROR(VLOOKUP(Tabla17[[#This Row],[CODIGO]],ALNAT[[CODIGO]:[DESCRIPCIÓN]],3,0),"")</f>
        <v>20001IC04206029X  T ROSC CENT  1/8 X 6 MM</v>
      </c>
      <c r="M6" s="196">
        <f>IFERROR(VLOOKUP(Tabla17[[#This Row],[CODIGO]],ALNAT[],4,0),0)</f>
        <v>991.44</v>
      </c>
      <c r="N6" s="196">
        <f t="shared" si="12"/>
        <v>49572</v>
      </c>
      <c r="O6" s="1065">
        <v>62</v>
      </c>
      <c r="P6" t="s">
        <v>6102</v>
      </c>
      <c r="Q6" s="3"/>
      <c r="R6" s="498"/>
      <c r="S6" s="480" t="s">
        <v>9361</v>
      </c>
      <c r="T6" s="480" t="s">
        <v>9362</v>
      </c>
      <c r="U6" s="504">
        <v>2750.6336647055805</v>
      </c>
      <c r="V6" s="89" t="s">
        <v>9337</v>
      </c>
      <c r="W6" s="90">
        <f t="shared" si="0"/>
        <v>1952.949901940962</v>
      </c>
      <c r="AG6" s="491" t="s">
        <v>6112</v>
      </c>
      <c r="AH6" s="69" t="s">
        <v>6113</v>
      </c>
      <c r="AI6" s="60">
        <v>95.193927616794653</v>
      </c>
      <c r="AJ6" s="197">
        <v>8</v>
      </c>
      <c r="AK6" s="39" t="s">
        <v>6102</v>
      </c>
      <c r="AL6" s="1"/>
      <c r="AM6" s="1">
        <f t="shared" si="9"/>
        <v>0</v>
      </c>
      <c r="AN6" s="62">
        <f t="shared" si="10"/>
        <v>-1</v>
      </c>
      <c r="AS6">
        <v>33</v>
      </c>
      <c r="AT6" s="13">
        <f t="shared" si="13"/>
        <v>110</v>
      </c>
      <c r="AU6" t="s">
        <v>9363</v>
      </c>
      <c r="AV6">
        <v>0.69</v>
      </c>
      <c r="AW6" s="1">
        <f t="shared" si="4"/>
        <v>986.69999999999993</v>
      </c>
      <c r="AX6" s="13">
        <v>13</v>
      </c>
      <c r="AY6" s="1">
        <f t="shared" si="5"/>
        <v>814.53729999999996</v>
      </c>
      <c r="AZ6" s="1">
        <f>IFERROR((VLOOKUP($BA$1&amp;AX6,CODIGOS_Y_COSTOS[[ID]:[Precio]],4,0)-(VLOOKUP($BA$1&amp;AX6,CODIGOS_Y_COSTOS[[ID]:[Precio]],4,0)*$AZ$1)),0)</f>
        <v>2505.2533599999997</v>
      </c>
      <c r="BA6" s="95">
        <f t="shared" si="6"/>
        <v>1.5390223573527919</v>
      </c>
      <c r="BC6" s="13"/>
      <c r="BD6" s="1">
        <f t="shared" si="11"/>
        <v>0</v>
      </c>
      <c r="BE6" s="1">
        <f t="shared" si="7"/>
        <v>0</v>
      </c>
      <c r="BF6" s="694">
        <f t="shared" si="8"/>
        <v>0</v>
      </c>
      <c r="BG6" s="1"/>
      <c r="BH6" s="7">
        <f>+_xlfn.XLOOKUP(BB6,$AX$3:$AX$37,$AT$3:$AT$37,0,0)</f>
        <v>0</v>
      </c>
      <c r="BI6" s="34">
        <f>+_xlfn.XLOOKUP(BB6,$AX$3:$AX$37,$AU$3:$AU$37,0,0)</f>
        <v>0</v>
      </c>
      <c r="BJ6" s="15">
        <f t="shared" si="14"/>
        <v>0</v>
      </c>
    </row>
    <row r="7" spans="1:64" ht="14.25" x14ac:dyDescent="0.2">
      <c r="A7" s="31"/>
      <c r="B7" t="s">
        <v>6115</v>
      </c>
      <c r="C7">
        <v>50</v>
      </c>
      <c r="D7" t="str">
        <f t="shared" si="1"/>
        <v>20001IC047199935C RECTO PLAST 1/4 BSPT 8 MM</v>
      </c>
      <c r="E7" s="196">
        <f>+VLOOKUP(H7&amp;ALNAT[[#This Row],[N°]],CODIGOS_Y_COSTOS[[ID]:[COSTO]],7,0)</f>
        <v>471.74400000000003</v>
      </c>
      <c r="F7" s="196">
        <f t="shared" si="2"/>
        <v>23587.200000000001</v>
      </c>
      <c r="G7" s="197">
        <v>9</v>
      </c>
      <c r="H7" s="39" t="s">
        <v>6102</v>
      </c>
      <c r="I7" s="198" t="str">
        <f>+H7&amp;ALNAT[[#This Row],[N°]]</f>
        <v>CONECTORES NEUMÁTICOS9</v>
      </c>
      <c r="J7" s="876" t="str">
        <f>IFERROR(INDEX(ALNAT[CODIGO],MATCH(Tabla17[[#This Row],[TIPO]]&amp;Tabla17[[#This Row],[N°]],$I$3:$I$308,0),1),"")</f>
        <v>065-03</v>
      </c>
      <c r="K7" s="1266">
        <f>IFERROR(VLOOKUP(Tabla17[[#This Row],[CODIGO]],ALNAT[[CODIGO]:[DESCRIPCIÓN]],2,0),"")</f>
        <v>50</v>
      </c>
      <c r="L7" s="195" t="str">
        <f>IFERROR(VLOOKUP(Tabla17[[#This Row],[CODIGO]],ALNAT[[CODIGO]:[DESCRIPCIÓN]],3,0),"")</f>
        <v>20001IC04206029X TE ROSC CENTRAL  1/4 X 6 MM</v>
      </c>
      <c r="M7" s="196">
        <f>IFERROR(VLOOKUP(Tabla17[[#This Row],[CODIGO]],ALNAT[],4,0),0)</f>
        <v>1074.06</v>
      </c>
      <c r="N7" s="196">
        <f t="shared" si="12"/>
        <v>53703</v>
      </c>
      <c r="O7" s="1065">
        <v>65</v>
      </c>
      <c r="P7" t="s">
        <v>6102</v>
      </c>
      <c r="Q7" s="3"/>
      <c r="R7" s="498"/>
      <c r="S7" s="480" t="s">
        <v>9364</v>
      </c>
      <c r="T7" s="480" t="s">
        <v>9365</v>
      </c>
      <c r="U7" s="504">
        <v>3109.3349529547263</v>
      </c>
      <c r="V7" s="89" t="s">
        <v>9337</v>
      </c>
      <c r="W7" s="90">
        <f t="shared" si="0"/>
        <v>2207.6278165978556</v>
      </c>
      <c r="AG7" s="490" t="s">
        <v>6115</v>
      </c>
      <c r="AH7" s="494" t="s">
        <v>6116</v>
      </c>
      <c r="AI7" s="181">
        <v>95.193927616794653</v>
      </c>
      <c r="AJ7" s="197">
        <v>9</v>
      </c>
      <c r="AK7" s="39" t="s">
        <v>6102</v>
      </c>
      <c r="AL7" s="1"/>
      <c r="AM7" s="1">
        <f t="shared" si="9"/>
        <v>0</v>
      </c>
      <c r="AN7" s="62">
        <f t="shared" si="10"/>
        <v>-1</v>
      </c>
      <c r="AS7">
        <v>31</v>
      </c>
      <c r="AT7" s="13">
        <f t="shared" si="13"/>
        <v>111</v>
      </c>
      <c r="AU7" t="s">
        <v>9366</v>
      </c>
      <c r="AV7">
        <v>0.69</v>
      </c>
      <c r="AW7" s="1">
        <f t="shared" si="4"/>
        <v>986.69999999999993</v>
      </c>
      <c r="AX7" s="13">
        <v>30</v>
      </c>
      <c r="AY7" s="1">
        <f t="shared" si="5"/>
        <v>673.26779999999997</v>
      </c>
      <c r="AZ7" s="1">
        <f>IFERROR((VLOOKUP($BA$1&amp;AX7,CODIGOS_Y_COSTOS[[ID]:[Precio]],4,0)-(VLOOKUP($BA$1&amp;AX7,CODIGOS_Y_COSTOS[[ID]:[Precio]],4,0)*$AZ$1)),0)</f>
        <v>2070.75432</v>
      </c>
      <c r="BA7" s="95">
        <f t="shared" si="6"/>
        <v>1.0986665855883251</v>
      </c>
      <c r="BC7" s="13"/>
      <c r="BD7" s="1">
        <f t="shared" si="11"/>
        <v>0</v>
      </c>
      <c r="BE7" s="1">
        <f t="shared" si="7"/>
        <v>0</v>
      </c>
      <c r="BF7" s="694">
        <f t="shared" si="8"/>
        <v>0</v>
      </c>
      <c r="BG7" s="1"/>
    </row>
    <row r="8" spans="1:64" ht="14.25" x14ac:dyDescent="0.2">
      <c r="A8" s="31"/>
      <c r="B8" t="s">
        <v>6118</v>
      </c>
      <c r="C8">
        <v>50</v>
      </c>
      <c r="D8" t="str">
        <f t="shared" si="1"/>
        <v>20001IC04164806Y   RECTO PLAST 1/4 MANG 10 M</v>
      </c>
      <c r="E8" s="196">
        <f>+VLOOKUP(H8&amp;ALNAT[[#This Row],[N°]],CODIGOS_Y_COSTOS[[ID]:[COSTO]],7,0)</f>
        <v>707.61599999999999</v>
      </c>
      <c r="F8" s="196">
        <f t="shared" si="2"/>
        <v>35380.800000000003</v>
      </c>
      <c r="G8" s="197">
        <v>10</v>
      </c>
      <c r="H8" s="39" t="s">
        <v>6102</v>
      </c>
      <c r="I8" s="198" t="str">
        <f>+H8&amp;ALNAT[[#This Row],[N°]]</f>
        <v>CONECTORES NEUMÁTICOS10</v>
      </c>
      <c r="J8" s="876" t="str">
        <f>IFERROR(INDEX(ALNAT[CODIGO],MATCH(Tabla17[[#This Row],[TIPO]]&amp;Tabla17[[#This Row],[N°]],$I$3:$I$308,0),1),"")</f>
        <v>065-04</v>
      </c>
      <c r="K8" s="1266">
        <f>IFERROR(VLOOKUP(Tabla17[[#This Row],[CODIGO]],ALNAT[[CODIGO]:[DESCRIPCIÓN]],2,0),"")</f>
        <v>50</v>
      </c>
      <c r="L8" s="195" t="str">
        <f>IFERROR(VLOOKUP(Tabla17[[#This Row],[CODIGO]],ALNAT[[CODIGO]:[DESCRIPCIÓN]],3,0),"")</f>
        <v>20001IC04206029X TEE ROSCA CENTRAL  PL 1/4 BSP</v>
      </c>
      <c r="M8" s="196">
        <f>IFERROR(VLOOKUP(Tabla17[[#This Row],[CODIGO]],ALNAT[],4,0),0)</f>
        <v>1156.68</v>
      </c>
      <c r="N8" s="196">
        <f t="shared" si="12"/>
        <v>57834</v>
      </c>
      <c r="O8" s="1065">
        <v>66</v>
      </c>
      <c r="P8" t="s">
        <v>6102</v>
      </c>
      <c r="Q8" s="3"/>
      <c r="R8" s="498"/>
      <c r="S8" s="480" t="s">
        <v>9367</v>
      </c>
      <c r="T8" s="480" t="s">
        <v>9368</v>
      </c>
      <c r="U8" s="504">
        <v>3056.784476157733</v>
      </c>
      <c r="V8" s="89" t="s">
        <v>9337</v>
      </c>
      <c r="W8" s="90">
        <f t="shared" si="0"/>
        <v>2170.3169780719904</v>
      </c>
      <c r="Y8" s="32" t="s">
        <v>9369</v>
      </c>
      <c r="Z8" s="32" t="s">
        <v>9370</v>
      </c>
      <c r="AA8" s="32" t="s">
        <v>9371</v>
      </c>
      <c r="AB8" s="32" t="s">
        <v>9372</v>
      </c>
      <c r="AC8" s="32" t="s">
        <v>9373</v>
      </c>
      <c r="AG8" s="491" t="s">
        <v>6118</v>
      </c>
      <c r="AH8" s="69" t="s">
        <v>6119</v>
      </c>
      <c r="AI8" s="60">
        <v>134.6236791048527</v>
      </c>
      <c r="AJ8" s="197">
        <v>10</v>
      </c>
      <c r="AK8" s="39" t="s">
        <v>6102</v>
      </c>
      <c r="AL8" s="1"/>
      <c r="AM8" s="1">
        <f t="shared" si="9"/>
        <v>0</v>
      </c>
      <c r="AN8" s="62">
        <f t="shared" si="10"/>
        <v>-1</v>
      </c>
      <c r="AS8">
        <v>25</v>
      </c>
      <c r="AT8" s="13">
        <f t="shared" si="13"/>
        <v>112</v>
      </c>
      <c r="AU8" t="s">
        <v>9374</v>
      </c>
      <c r="AV8">
        <v>0.69</v>
      </c>
      <c r="AW8" s="1">
        <f t="shared" si="4"/>
        <v>986.69999999999993</v>
      </c>
      <c r="AX8" s="13">
        <v>31</v>
      </c>
      <c r="AY8" s="1">
        <f t="shared" si="5"/>
        <v>673.26779999999997</v>
      </c>
      <c r="AZ8" s="1">
        <f>IFERROR((VLOOKUP($BA$1&amp;AX8,CODIGOS_Y_COSTOS[[ID]:[Precio]],4,0)-(VLOOKUP($BA$1&amp;AX8,CODIGOS_Y_COSTOS[[ID]:[Precio]],4,0)*$AZ$1)),0)</f>
        <v>2070.75432</v>
      </c>
      <c r="BA8" s="95">
        <f t="shared" si="6"/>
        <v>1.0986665855883251</v>
      </c>
      <c r="BC8" s="13"/>
      <c r="BD8" s="1">
        <f t="shared" si="11"/>
        <v>0</v>
      </c>
      <c r="BE8" s="1">
        <f t="shared" si="7"/>
        <v>0</v>
      </c>
      <c r="BF8" s="694">
        <f t="shared" si="8"/>
        <v>0</v>
      </c>
      <c r="BG8" s="1"/>
    </row>
    <row r="9" spans="1:64" ht="14.25" x14ac:dyDescent="0.2">
      <c r="A9" s="31"/>
      <c r="B9" t="s">
        <v>6121</v>
      </c>
      <c r="C9">
        <v>30</v>
      </c>
      <c r="D9" t="str">
        <f t="shared" si="1"/>
        <v>20001IC047199935C CON RECT PLAST 1/4 BSPT 12 MM</v>
      </c>
      <c r="E9" s="196">
        <f>+VLOOKUP(H9&amp;ALNAT[[#This Row],[N°]],CODIGOS_Y_COSTOS[[ID]:[COSTO]],7,0)</f>
        <v>1277.1675</v>
      </c>
      <c r="F9" s="196">
        <f t="shared" si="2"/>
        <v>38315.025000000001</v>
      </c>
      <c r="G9" s="197">
        <v>11</v>
      </c>
      <c r="H9" s="39" t="s">
        <v>6102</v>
      </c>
      <c r="I9" s="198" t="str">
        <f>+H9&amp;ALNAT[[#This Row],[N°]]</f>
        <v>CONECTORES NEUMÁTICOS11</v>
      </c>
      <c r="J9" s="876" t="str">
        <f>IFERROR(INDEX(ALNAT[CODIGO],MATCH(Tabla17[[#This Row],[TIPO]]&amp;Tabla17[[#This Row],[N°]],$I$3:$I$308,0),1),"")</f>
        <v>065-045</v>
      </c>
      <c r="K9" s="1266">
        <v>30</v>
      </c>
      <c r="L9" s="195" t="str">
        <f>IFERROR(VLOOKUP(Tabla17[[#This Row],[CODIGO]],ALNAT[[CODIGO]:[DESCRIPCIÓN]],3,0),"")</f>
        <v>17001IC04156088A  T ROSC CENT  1/4 X 10 MM</v>
      </c>
      <c r="M9" s="196">
        <f>IFERROR(VLOOKUP(Tabla17[[#This Row],[CODIGO]],ALNAT[],4,0),0)</f>
        <v>1490.0922</v>
      </c>
      <c r="N9" s="196">
        <f t="shared" si="12"/>
        <v>44702.766000000003</v>
      </c>
      <c r="O9" s="1065">
        <v>67</v>
      </c>
      <c r="P9" t="s">
        <v>6102</v>
      </c>
      <c r="Q9" s="3"/>
      <c r="R9" s="498"/>
      <c r="S9" s="480" t="s">
        <v>9375</v>
      </c>
      <c r="T9" s="480" t="s">
        <v>9368</v>
      </c>
      <c r="U9" s="504">
        <v>7586.4584396199816</v>
      </c>
      <c r="V9" s="89" t="s">
        <v>9337</v>
      </c>
      <c r="W9" s="90">
        <f t="shared" si="0"/>
        <v>5386.3854921301863</v>
      </c>
      <c r="Y9">
        <v>4</v>
      </c>
      <c r="Z9" s="1">
        <v>87013.9</v>
      </c>
      <c r="AA9" s="1">
        <v>99000</v>
      </c>
      <c r="AB9" s="723">
        <f>+AA9/Z9-1</f>
        <v>0.13774925615332734</v>
      </c>
      <c r="AC9" s="2">
        <f>+AA9-Z9</f>
        <v>11986.100000000006</v>
      </c>
      <c r="AG9" s="490" t="s">
        <v>6121</v>
      </c>
      <c r="AH9" s="494" t="s">
        <v>6122</v>
      </c>
      <c r="AI9" s="181">
        <v>164.70109685907028</v>
      </c>
      <c r="AJ9" s="197">
        <v>11</v>
      </c>
      <c r="AK9" s="39" t="s">
        <v>6102</v>
      </c>
      <c r="AL9" s="1"/>
      <c r="AM9" s="1">
        <f t="shared" si="9"/>
        <v>0</v>
      </c>
      <c r="AN9" s="62">
        <f t="shared" si="10"/>
        <v>-1</v>
      </c>
      <c r="AS9">
        <v>45</v>
      </c>
      <c r="AT9" s="13">
        <f t="shared" si="13"/>
        <v>113</v>
      </c>
      <c r="AU9" t="s">
        <v>9376</v>
      </c>
      <c r="AV9">
        <v>0.69</v>
      </c>
      <c r="AW9" s="1">
        <f t="shared" si="4"/>
        <v>986.69999999999993</v>
      </c>
      <c r="AX9" s="13">
        <v>32</v>
      </c>
      <c r="AY9" s="1">
        <f t="shared" si="5"/>
        <v>1001.0410000000001</v>
      </c>
      <c r="AZ9" s="1">
        <f>IFERROR((VLOOKUP($BA$1&amp;AX9,CODIGOS_Y_COSTOS[[ID]:[Precio]],4,0)-(VLOOKUP($BA$1&amp;AX9,CODIGOS_Y_COSTOS[[ID]:[Precio]],4,0)*$AZ$1)),0)</f>
        <v>3078.8788799999998</v>
      </c>
      <c r="BA9" s="95">
        <f t="shared" si="6"/>
        <v>2.1203799331103679</v>
      </c>
      <c r="BC9" s="13"/>
      <c r="BD9" s="1">
        <f t="shared" si="11"/>
        <v>0</v>
      </c>
      <c r="BE9" s="1">
        <f t="shared" ref="BE9:BE16" si="15">+BD9*BC9</f>
        <v>0</v>
      </c>
      <c r="BF9" s="694">
        <f t="shared" ref="BF9:BF16" si="16">+_xlfn.XLOOKUP(BB9,$AX$3:$AX$37,$BA$3:$BA$37,0,0)</f>
        <v>0</v>
      </c>
      <c r="BG9" s="1"/>
      <c r="BK9" s="2"/>
    </row>
    <row r="10" spans="1:64" ht="14.25" x14ac:dyDescent="0.2">
      <c r="A10" s="31"/>
      <c r="B10" t="s">
        <v>6124</v>
      </c>
      <c r="C10">
        <v>50</v>
      </c>
      <c r="D10" t="str">
        <f t="shared" si="1"/>
        <v>20001IC04164806Y  RECTA RH 1/8 X 6</v>
      </c>
      <c r="E10" s="196">
        <f>+VLOOKUP(H10&amp;ALNAT[[#This Row],[N°]],CODIGOS_Y_COSTOS[[ID]:[COSTO]],7,0)</f>
        <v>822.32</v>
      </c>
      <c r="F10" s="196">
        <f t="shared" si="2"/>
        <v>41116</v>
      </c>
      <c r="G10" s="197">
        <v>44</v>
      </c>
      <c r="H10" s="39" t="s">
        <v>6102</v>
      </c>
      <c r="I10" s="198" t="str">
        <f>+H10&amp;ALNAT[[#This Row],[N°]]</f>
        <v>CONECTORES NEUMÁTICOS44</v>
      </c>
      <c r="J10" s="876" t="str">
        <f>IFERROR(INDEX(ALNAT[CODIGO],MATCH(Tabla17[[#This Row],[TIPO]]&amp;Tabla17[[#This Row],[N°]],$I$3:$I$308,0),1),"")</f>
        <v>070-04</v>
      </c>
      <c r="K10" s="1266">
        <f>IFERROR(VLOOKUP(Tabla17[[#This Row],[CODIGO]],ALNAT[[CODIGO]:[DESCRIPCIÓN]],2,0),"")</f>
        <v>50</v>
      </c>
      <c r="L10" s="195" t="str">
        <f>IFERROR(VLOOKUP(Tabla17[[#This Row],[CODIGO]],ALNAT[[CODIGO]:[DESCRIPCIÓN]],3,0),"")</f>
        <v>20001IC04164806Y   REDUCTOR MANGUERA 12 A 10 M</v>
      </c>
      <c r="M10" s="196">
        <f>IFERROR(VLOOKUP(Tabla17[[#This Row],[CODIGO]],ALNAT[],4,0),0)</f>
        <v>936.36</v>
      </c>
      <c r="N10" s="196">
        <f t="shared" si="12"/>
        <v>46818</v>
      </c>
      <c r="O10" s="1065">
        <v>81</v>
      </c>
      <c r="P10" t="s">
        <v>6102</v>
      </c>
      <c r="Q10" s="3"/>
      <c r="R10" s="498"/>
      <c r="S10" s="480" t="s">
        <v>9377</v>
      </c>
      <c r="T10" s="480" t="s">
        <v>9378</v>
      </c>
      <c r="U10" s="504">
        <v>7586.4584396199816</v>
      </c>
      <c r="V10" s="89" t="s">
        <v>9337</v>
      </c>
      <c r="W10" s="90">
        <f t="shared" si="0"/>
        <v>5386.3854921301863</v>
      </c>
      <c r="Y10">
        <v>6</v>
      </c>
      <c r="Z10" s="1">
        <v>146363.16</v>
      </c>
      <c r="AA10" s="1">
        <v>165000</v>
      </c>
      <c r="AB10" s="723">
        <f>+AA10/Z10-1</f>
        <v>0.12733286162993473</v>
      </c>
      <c r="AC10" s="2">
        <f>+AA10-Z10</f>
        <v>18636.839999999997</v>
      </c>
      <c r="AD10" s="2"/>
      <c r="AG10" s="491" t="s">
        <v>6124</v>
      </c>
      <c r="AH10" s="69" t="s">
        <v>6125</v>
      </c>
      <c r="AI10" s="60">
        <v>107.99782398426002</v>
      </c>
      <c r="AJ10" s="197">
        <v>44</v>
      </c>
      <c r="AK10" s="39" t="s">
        <v>6102</v>
      </c>
      <c r="AL10" s="1"/>
      <c r="AM10" s="1">
        <f t="shared" si="9"/>
        <v>0</v>
      </c>
      <c r="AN10" s="62">
        <f t="shared" si="10"/>
        <v>-1</v>
      </c>
      <c r="AT10" s="13">
        <f t="shared" si="13"/>
        <v>114</v>
      </c>
      <c r="AU10" t="s">
        <v>9379</v>
      </c>
      <c r="AV10">
        <v>0.69</v>
      </c>
      <c r="AW10" s="1">
        <f t="shared" si="4"/>
        <v>986.69999999999993</v>
      </c>
      <c r="AX10" s="13">
        <v>33</v>
      </c>
      <c r="AY10" s="1">
        <f t="shared" si="5"/>
        <v>1134.7419</v>
      </c>
      <c r="AZ10" s="1">
        <f>IFERROR((VLOOKUP($BA$1&amp;AX10,CODIGOS_Y_COSTOS[[ID]:[Precio]],4,0)-(VLOOKUP($BA$1&amp;AX10,CODIGOS_Y_COSTOS[[ID]:[Precio]],4,0)*$AZ$1)),0)</f>
        <v>3490.0994400000004</v>
      </c>
      <c r="BA10" s="95">
        <f t="shared" si="6"/>
        <v>2.5371434478564918</v>
      </c>
      <c r="BC10" s="13"/>
      <c r="BD10" s="1">
        <f t="shared" si="11"/>
        <v>0</v>
      </c>
      <c r="BE10" s="1">
        <f t="shared" si="15"/>
        <v>0</v>
      </c>
      <c r="BF10" s="694">
        <f t="shared" si="16"/>
        <v>0</v>
      </c>
      <c r="BG10" s="1"/>
    </row>
    <row r="11" spans="1:64" ht="14.25" x14ac:dyDescent="0.2">
      <c r="A11" s="31"/>
      <c r="B11" t="s">
        <v>6127</v>
      </c>
      <c r="C11">
        <v>50</v>
      </c>
      <c r="D11" t="str">
        <f t="shared" si="1"/>
        <v>20001IC04206029X  RECTI RH 1/8 X 8</v>
      </c>
      <c r="E11" s="196">
        <f>+VLOOKUP(H11&amp;ALNAT[[#This Row],[N°]],CODIGOS_Y_COSTOS[[ID]:[COSTO]],7,0)</f>
        <v>848.84649999999999</v>
      </c>
      <c r="F11" s="196">
        <f t="shared" si="2"/>
        <v>42442.324999999997</v>
      </c>
      <c r="G11" s="197">
        <v>45</v>
      </c>
      <c r="H11" s="39" t="s">
        <v>6102</v>
      </c>
      <c r="I11" s="198" t="str">
        <f>+H11&amp;ALNAT[[#This Row],[N°]]</f>
        <v>CONECTORES NEUMÁTICOS45</v>
      </c>
      <c r="J11" s="876" t="str">
        <f>IFERROR(INDEX(ALNAT[CODIGO],MATCH(Tabla17[[#This Row],[TIPO]]&amp;Tabla17[[#This Row],[N°]],$I$3:$I$308,0),1),"")</f>
        <v>094-01</v>
      </c>
      <c r="K11" s="1266">
        <f>IFERROR(VLOOKUP(Tabla17[[#This Row],[CODIGO]],ALNAT[[CODIGO]:[DESCRIPCIÓN]],2,0),"")</f>
        <v>50</v>
      </c>
      <c r="L11" s="195" t="str">
        <f>IFERROR(VLOOKUP(Tabla17[[#This Row],[CODIGO]],ALNAT[[CODIGO]:[DESCRIPCIÓN]],3,0),"")</f>
        <v>BIFURCACION R 1/8 MANG 6 MM  T 15091IC04046116U</v>
      </c>
      <c r="M11" s="196">
        <f>IFERROR(VLOOKUP(Tabla17[[#This Row],[CODIGO]],ALNAT[],4,0),0)</f>
        <v>1008.0619</v>
      </c>
      <c r="N11" s="196">
        <f t="shared" ref="N11:N36" si="17">+IFERROR(M11*K11,0)</f>
        <v>50403.095000000001</v>
      </c>
      <c r="O11" s="1065">
        <v>86</v>
      </c>
      <c r="P11" t="s">
        <v>6102</v>
      </c>
      <c r="Q11" s="3"/>
      <c r="R11" s="498"/>
      <c r="S11" s="480" t="s">
        <v>9380</v>
      </c>
      <c r="T11" s="480" t="s">
        <v>9381</v>
      </c>
      <c r="U11" s="504">
        <v>6838.0569863594174</v>
      </c>
      <c r="V11" s="89" t="s">
        <v>9337</v>
      </c>
      <c r="W11" s="90">
        <f t="shared" si="0"/>
        <v>4855.020460315186</v>
      </c>
      <c r="Y11">
        <v>8</v>
      </c>
      <c r="Z11" s="1">
        <v>107097.17000000001</v>
      </c>
      <c r="AA11" s="1">
        <v>115000</v>
      </c>
      <c r="AB11" s="723">
        <f>+AA11/Z11-1</f>
        <v>7.3791212223441427E-2</v>
      </c>
      <c r="AC11" s="2">
        <f>+AA11-Z11</f>
        <v>7902.8299999999872</v>
      </c>
      <c r="AG11" s="490" t="s">
        <v>6127</v>
      </c>
      <c r="AH11" s="494" t="s">
        <v>6128</v>
      </c>
      <c r="AI11" s="181">
        <v>110.84568156683757</v>
      </c>
      <c r="AJ11" s="197">
        <v>45</v>
      </c>
      <c r="AK11" s="39" t="s">
        <v>6102</v>
      </c>
      <c r="AL11" s="1"/>
      <c r="AM11" s="1">
        <f t="shared" si="9"/>
        <v>0</v>
      </c>
      <c r="AN11" s="62">
        <f t="shared" si="10"/>
        <v>-1</v>
      </c>
      <c r="AT11" s="13">
        <f t="shared" si="13"/>
        <v>115</v>
      </c>
      <c r="AU11" t="s">
        <v>9382</v>
      </c>
      <c r="AV11">
        <v>0.69</v>
      </c>
      <c r="AW11" s="1">
        <f t="shared" si="4"/>
        <v>986.69999999999993</v>
      </c>
      <c r="AX11" s="13">
        <v>41</v>
      </c>
      <c r="AY11" s="1">
        <f t="shared" si="5"/>
        <v>579.8039</v>
      </c>
      <c r="AZ11" s="1">
        <f>IFERROR((VLOOKUP($BA$1&amp;AX11,CODIGOS_Y_COSTOS[[ID]:[Precio]],4,0)-(VLOOKUP($BA$1&amp;AX11,CODIGOS_Y_COSTOS[[ID]:[Precio]],4,0)*$AZ$1)),0)</f>
        <v>1783.2895199999998</v>
      </c>
      <c r="BA11" s="95">
        <f t="shared" si="6"/>
        <v>0.8073269686834903</v>
      </c>
      <c r="BC11" s="13"/>
      <c r="BD11" s="1">
        <f t="shared" si="11"/>
        <v>0</v>
      </c>
      <c r="BE11" s="1">
        <f t="shared" si="15"/>
        <v>0</v>
      </c>
      <c r="BF11" s="694">
        <f t="shared" si="16"/>
        <v>0</v>
      </c>
      <c r="BG11" s="1"/>
      <c r="BL11" s="207"/>
    </row>
    <row r="12" spans="1:64" ht="14.25" x14ac:dyDescent="0.2">
      <c r="A12" s="31"/>
      <c r="B12" t="s">
        <v>6130</v>
      </c>
      <c r="C12">
        <v>50</v>
      </c>
      <c r="D12" t="str">
        <f t="shared" si="1"/>
        <v>20001IC04026706K  RECTA RH 1/4 X 6</v>
      </c>
      <c r="E12" s="196">
        <f>+VLOOKUP(H12&amp;ALNAT[[#This Row],[N°]],CODIGOS_Y_COSTOS[[ID]:[COSTO]],7,0)</f>
        <v>1034.5316</v>
      </c>
      <c r="F12" s="196">
        <f t="shared" si="2"/>
        <v>51726.58</v>
      </c>
      <c r="G12" s="197">
        <v>46</v>
      </c>
      <c r="H12" s="39" t="s">
        <v>6102</v>
      </c>
      <c r="I12" s="198" t="str">
        <f>+H12&amp;ALNAT[[#This Row],[N°]]</f>
        <v>CONECTORES NEUMÁTICOS46</v>
      </c>
      <c r="J12" s="876" t="str">
        <f>IFERROR(INDEX(ALNAT[CODIGO],MATCH(Tabla17[[#This Row],[TIPO]]&amp;Tabla17[[#This Row],[N°]],$I$3:$I$308,0),1),"")</f>
        <v>092-03</v>
      </c>
      <c r="K12" s="1266">
        <v>20</v>
      </c>
      <c r="L12" s="195" t="str">
        <f>IFERROR(VLOOKUP(Tabla17[[#This Row],[CODIGO]],ALNAT[[CODIGO]:[DESCRIPCIÓN]],3,0),"")</f>
        <v>19001IC04030938U REGUL CAUDAL CODO R 1/4 X 6 MM</v>
      </c>
      <c r="M12" s="196">
        <f>IFERROR(VLOOKUP(Tabla17[[#This Row],[CODIGO]],ALNAT[],4,0),0)</f>
        <v>2923.3802000000001</v>
      </c>
      <c r="N12" s="196">
        <f t="shared" si="17"/>
        <v>58467.603999999999</v>
      </c>
      <c r="O12" s="1065">
        <v>126</v>
      </c>
      <c r="P12" t="s">
        <v>6102</v>
      </c>
      <c r="Q12" s="3"/>
      <c r="R12" s="498"/>
      <c r="S12" s="480" t="s">
        <v>9383</v>
      </c>
      <c r="T12" s="480" t="s">
        <v>9384</v>
      </c>
      <c r="U12" s="504">
        <v>6838.0569863594174</v>
      </c>
      <c r="V12" s="89" t="s">
        <v>9337</v>
      </c>
      <c r="W12" s="90">
        <f t="shared" si="0"/>
        <v>4855.020460315186</v>
      </c>
      <c r="Y12">
        <v>10</v>
      </c>
      <c r="Z12" s="1">
        <v>186060.84</v>
      </c>
      <c r="AA12" s="1">
        <v>210000</v>
      </c>
      <c r="AB12" s="723">
        <f>+AA12/Z12-1</f>
        <v>0.12866307601320082</v>
      </c>
      <c r="AC12" s="2">
        <f>+AA12-Z12</f>
        <v>23939.160000000003</v>
      </c>
      <c r="AG12" s="491" t="s">
        <v>6130</v>
      </c>
      <c r="AH12" s="69" t="s">
        <v>6131</v>
      </c>
      <c r="AI12" s="60">
        <v>133.58438939672061</v>
      </c>
      <c r="AJ12" s="197">
        <v>46</v>
      </c>
      <c r="AK12" s="39" t="s">
        <v>6102</v>
      </c>
      <c r="AL12" s="1"/>
      <c r="AM12" s="1">
        <f t="shared" si="9"/>
        <v>0</v>
      </c>
      <c r="AN12" s="62">
        <f t="shared" si="10"/>
        <v>-1</v>
      </c>
      <c r="AT12" s="13">
        <f t="shared" si="13"/>
        <v>116</v>
      </c>
      <c r="AU12" t="s">
        <v>9385</v>
      </c>
      <c r="AV12">
        <v>0.69</v>
      </c>
      <c r="AW12" s="1">
        <f t="shared" si="4"/>
        <v>986.69999999999993</v>
      </c>
      <c r="AX12" s="13">
        <v>42</v>
      </c>
      <c r="AY12" s="1">
        <f t="shared" si="5"/>
        <v>636.90809999999999</v>
      </c>
      <c r="AZ12" s="1">
        <f>IFERROR((VLOOKUP($BA$1&amp;AX12,CODIGOS_Y_COSTOS[[ID]:[Precio]],4,0)-(VLOOKUP($BA$1&amp;AX12,CODIGOS_Y_COSTOS[[ID]:[Precio]],4,0)*$AZ$1)),0)</f>
        <v>1958.92344</v>
      </c>
      <c r="BA12" s="95">
        <f t="shared" si="6"/>
        <v>0.98532830647613268</v>
      </c>
      <c r="BC12" s="13"/>
      <c r="BD12" s="1">
        <f t="shared" si="11"/>
        <v>0</v>
      </c>
      <c r="BE12" s="1">
        <f t="shared" si="15"/>
        <v>0</v>
      </c>
      <c r="BF12" s="694">
        <f t="shared" si="16"/>
        <v>0</v>
      </c>
      <c r="BG12" s="1"/>
    </row>
    <row r="13" spans="1:64" ht="14.25" x14ac:dyDescent="0.2">
      <c r="A13" s="31"/>
      <c r="B13" t="s">
        <v>6133</v>
      </c>
      <c r="C13">
        <v>50</v>
      </c>
      <c r="D13" t="str">
        <f t="shared" si="1"/>
        <v>20001IC04026706K RECTO RH 1/4 X 8</v>
      </c>
      <c r="E13" s="196">
        <f>+VLOOKUP(H13&amp;ALNAT[[#This Row],[N°]],CODIGOS_Y_COSTOS[[ID]:[COSTO]],7,0)</f>
        <v>1034.5316</v>
      </c>
      <c r="F13" s="196">
        <f t="shared" si="2"/>
        <v>51726.58</v>
      </c>
      <c r="G13" s="197">
        <v>47</v>
      </c>
      <c r="H13" s="39" t="s">
        <v>6102</v>
      </c>
      <c r="I13" s="198" t="str">
        <f>+H13&amp;ALNAT[[#This Row],[N°]]</f>
        <v>CONECTORES NEUMÁTICOS47</v>
      </c>
      <c r="J13" s="876" t="str">
        <f>IFERROR(INDEX(ALNAT[CODIGO],MATCH(Tabla17[[#This Row],[TIPO]]&amp;Tabla17[[#This Row],[N°]],$I$3:$I$308,0),1),"")</f>
        <v>063-04</v>
      </c>
      <c r="K13" s="1266">
        <f>IFERROR(VLOOKUP(Tabla17[[#This Row],[CODIGO]],ALNAT[[CODIGO]:[DESCRIPCIÓN]],2,0),"")</f>
        <v>50</v>
      </c>
      <c r="L13" s="195" t="str">
        <f>IFERROR(VLOOKUP(Tabla17[[#This Row],[CODIGO]],ALNAT[[CODIGO]:[DESCRIPCIÓN]],3,0),"")</f>
        <v>19001IC04103051H  CODO PLAST 12 M</v>
      </c>
      <c r="M13" s="196">
        <f>IFERROR(VLOOKUP(Tabla17[[#This Row],[CODIGO]],ALNAT[],4,0),0)</f>
        <v>608.02560000000005</v>
      </c>
      <c r="N13" s="196">
        <f t="shared" si="17"/>
        <v>30401.280000000002</v>
      </c>
      <c r="O13" s="1065">
        <v>143</v>
      </c>
      <c r="P13" t="s">
        <v>6102</v>
      </c>
      <c r="Q13" s="3"/>
      <c r="R13" s="498"/>
      <c r="S13" s="480" t="s">
        <v>9386</v>
      </c>
      <c r="T13" s="480" t="s">
        <v>9384</v>
      </c>
      <c r="U13" s="504">
        <v>2641.694754941027</v>
      </c>
      <c r="V13" s="89" t="s">
        <v>9337</v>
      </c>
      <c r="W13" s="90">
        <f t="shared" si="0"/>
        <v>1875.6032760081291</v>
      </c>
      <c r="Y13">
        <v>12</v>
      </c>
      <c r="Z13" s="1">
        <v>266801.36000000004</v>
      </c>
      <c r="AA13" s="1">
        <v>300000</v>
      </c>
      <c r="AB13" s="723">
        <f>+AA13/Z13-1</f>
        <v>0.12443204937186203</v>
      </c>
      <c r="AC13" s="2">
        <f>+AA13-Z13</f>
        <v>33198.639999999956</v>
      </c>
      <c r="AG13" s="490" t="s">
        <v>6133</v>
      </c>
      <c r="AH13" s="494" t="s">
        <v>6134</v>
      </c>
      <c r="AI13" s="181">
        <v>125.05185485667226</v>
      </c>
      <c r="AJ13" s="197">
        <v>47</v>
      </c>
      <c r="AK13" s="39" t="s">
        <v>6102</v>
      </c>
      <c r="AL13" s="1"/>
      <c r="AM13" s="1">
        <f t="shared" si="9"/>
        <v>0</v>
      </c>
      <c r="AN13" s="62">
        <f t="shared" si="10"/>
        <v>-1</v>
      </c>
      <c r="AT13" s="13">
        <f t="shared" si="13"/>
        <v>117</v>
      </c>
      <c r="AU13" t="s">
        <v>9387</v>
      </c>
      <c r="AV13">
        <v>0.69</v>
      </c>
      <c r="AW13" s="1">
        <f t="shared" si="4"/>
        <v>986.69999999999993</v>
      </c>
      <c r="AX13" s="13">
        <v>43</v>
      </c>
      <c r="AY13" s="1">
        <f t="shared" si="5"/>
        <v>741.8211</v>
      </c>
      <c r="AZ13" s="1">
        <f>IFERROR((VLOOKUP($BA$1&amp;AX13,CODIGOS_Y_COSTOS[[ID]:[Precio]],4,0)-(VLOOKUP($BA$1&amp;AX13,CODIGOS_Y_COSTOS[[ID]:[Precio]],4,0)*$AZ$1)),0)</f>
        <v>2281.6019200000001</v>
      </c>
      <c r="BA13" s="95">
        <f t="shared" si="6"/>
        <v>1.3123562582345194</v>
      </c>
      <c r="BC13" s="13"/>
      <c r="BD13" s="1">
        <f t="shared" si="11"/>
        <v>0</v>
      </c>
      <c r="BE13" s="1">
        <f t="shared" si="15"/>
        <v>0</v>
      </c>
      <c r="BF13" s="694">
        <f t="shared" si="16"/>
        <v>0</v>
      </c>
      <c r="BG13" s="1"/>
    </row>
    <row r="14" spans="1:64" ht="14.25" x14ac:dyDescent="0.2">
      <c r="A14" s="31"/>
      <c r="B14" t="s">
        <v>6136</v>
      </c>
      <c r="C14">
        <v>50</v>
      </c>
      <c r="D14" t="str">
        <f t="shared" si="1"/>
        <v>20001IC04206029X  T ROSC CENT  1/8 X 6 MM</v>
      </c>
      <c r="E14" s="196">
        <f>+VLOOKUP(H14&amp;ALNAT[[#This Row],[N°]],CODIGOS_Y_COSTOS[[ID]:[COSTO]],7,0)</f>
        <v>991.44</v>
      </c>
      <c r="F14" s="196">
        <f t="shared" si="2"/>
        <v>49572</v>
      </c>
      <c r="G14" s="197">
        <v>62</v>
      </c>
      <c r="H14" s="39" t="s">
        <v>6102</v>
      </c>
      <c r="I14" s="198" t="str">
        <f>+H14&amp;ALNAT[[#This Row],[N°]]</f>
        <v>CONECTORES NEUMÁTICOS62</v>
      </c>
      <c r="J14" s="876" t="str">
        <f>IFERROR(INDEX(ALNAT[CODIGO],MATCH(Tabla17[[#This Row],[TIPO]]&amp;Tabla17[[#This Row],[N°]],$I$3:$I$308,0),1),"")</f>
        <v>067-02</v>
      </c>
      <c r="K14" s="1266">
        <v>20</v>
      </c>
      <c r="L14" s="195" t="str">
        <f>IFERROR(VLOOKUP(Tabla17[[#This Row],[CODIGO]],ALNAT[[CODIGO]:[DESCRIPCIÓN]],3,0),"")</f>
        <v>19001IC04044769E DISTRIBUIDOR 5 L MANG 8 MM</v>
      </c>
      <c r="M14" s="196">
        <f>IFERROR(VLOOKUP(Tabla17[[#This Row],[CODIGO]],ALNAT[],4,0),0)</f>
        <v>2873.5236</v>
      </c>
      <c r="N14" s="196">
        <f t="shared" si="17"/>
        <v>57470.472000000002</v>
      </c>
      <c r="O14" s="1065">
        <v>206</v>
      </c>
      <c r="P14" t="s">
        <v>6102</v>
      </c>
      <c r="Q14" s="3"/>
      <c r="R14" s="498"/>
      <c r="S14" s="480" t="s">
        <v>9388</v>
      </c>
      <c r="T14" s="480" t="s">
        <v>9389</v>
      </c>
      <c r="U14" s="504">
        <v>7376.6255666791685</v>
      </c>
      <c r="V14" s="89" t="s">
        <v>9337</v>
      </c>
      <c r="W14" s="90">
        <f t="shared" si="0"/>
        <v>5237.4041523422093</v>
      </c>
      <c r="AG14" s="491" t="s">
        <v>6136</v>
      </c>
      <c r="AH14" s="69" t="s">
        <v>6137</v>
      </c>
      <c r="AI14" s="60">
        <v>122.48951262328768</v>
      </c>
      <c r="AJ14" s="197">
        <v>62</v>
      </c>
      <c r="AK14" s="39" t="s">
        <v>6102</v>
      </c>
      <c r="AL14" s="1"/>
      <c r="AM14" s="1">
        <f t="shared" si="9"/>
        <v>0</v>
      </c>
      <c r="AN14" s="62">
        <f t="shared" si="10"/>
        <v>-1</v>
      </c>
      <c r="AT14" s="13">
        <f t="shared" si="13"/>
        <v>118</v>
      </c>
      <c r="AU14" t="s">
        <v>9390</v>
      </c>
      <c r="AV14">
        <v>0.69</v>
      </c>
      <c r="AW14" s="1">
        <f t="shared" si="4"/>
        <v>986.69999999999993</v>
      </c>
      <c r="AX14" s="13">
        <v>45</v>
      </c>
      <c r="AY14" s="1">
        <f t="shared" si="5"/>
        <v>1095.1831</v>
      </c>
      <c r="AZ14" s="1">
        <f>IFERROR((VLOOKUP($BA$1&amp;AX14,CODIGOS_Y_COSTOS[[ID]:[Precio]],4,0)-(VLOOKUP($BA$1&amp;AX14,CODIGOS_Y_COSTOS[[ID]:[Precio]],4,0)*$AZ$1)),0)</f>
        <v>3368.4293599999996</v>
      </c>
      <c r="BA14" s="95">
        <f t="shared" si="6"/>
        <v>2.4138333434681258</v>
      </c>
      <c r="BC14" s="13"/>
      <c r="BD14" s="1">
        <f t="shared" si="11"/>
        <v>0</v>
      </c>
      <c r="BE14" s="1">
        <f t="shared" si="15"/>
        <v>0</v>
      </c>
      <c r="BF14" s="694">
        <f t="shared" si="16"/>
        <v>0</v>
      </c>
      <c r="BG14" s="1"/>
    </row>
    <row r="15" spans="1:64" ht="14.25" x14ac:dyDescent="0.2">
      <c r="A15" s="31"/>
      <c r="B15" t="s">
        <v>6139</v>
      </c>
      <c r="C15">
        <v>50</v>
      </c>
      <c r="D15" t="str">
        <f t="shared" si="1"/>
        <v>20001IC04164806Y  TEE ROSCA CENTRAL  PL 1/8 BSP</v>
      </c>
      <c r="E15" s="196">
        <f>+VLOOKUP(H15&amp;ALNAT[[#This Row],[N°]],CODIGOS_Y_COSTOS[[ID]:[COSTO]],7,0)</f>
        <v>1101.5999999999999</v>
      </c>
      <c r="F15" s="196">
        <f t="shared" si="2"/>
        <v>55079.999999999993</v>
      </c>
      <c r="G15" s="197">
        <v>63</v>
      </c>
      <c r="H15" s="39" t="s">
        <v>6102</v>
      </c>
      <c r="I15" s="198" t="str">
        <f>+H15&amp;ALNAT[[#This Row],[N°]]</f>
        <v>CONECTORES NEUMÁTICOS63</v>
      </c>
      <c r="J15" s="876" t="str">
        <f>IFERROR(INDEX(ALNAT[CODIGO],MATCH(Tabla17[[#This Row],[TIPO]]&amp;Tabla17[[#This Row],[N°]],$I$3:$I$308,0),1),"")</f>
        <v>096-01</v>
      </c>
      <c r="K15" s="1266">
        <f>IFERROR(VLOOKUP(Tabla17[[#This Row],[CODIGO]],ALNAT[[CODIGO]:[DESCRIPCIÓN]],2,0),"")</f>
        <v>70</v>
      </c>
      <c r="L15" s="195" t="str">
        <f>IFERROR(VLOOKUP(Tabla17[[#This Row],[CODIGO]],ALNAT[[CODIGO]:[DESCRIPCIÓN]],3,0),"")</f>
        <v>15091 IC04 059871 J TAPON 6 MM</v>
      </c>
      <c r="M15" s="196">
        <f>IFERROR(VLOOKUP(Tabla17[[#This Row],[CODIGO]],ALNAT[],4,0),0)</f>
        <v>446.83600000000001</v>
      </c>
      <c r="N15" s="196">
        <f t="shared" si="17"/>
        <v>31278.52</v>
      </c>
      <c r="O15" s="1065">
        <v>219</v>
      </c>
      <c r="P15" t="s">
        <v>6102</v>
      </c>
      <c r="Q15" s="3"/>
      <c r="R15" s="498"/>
      <c r="S15" s="480" t="s">
        <v>9391</v>
      </c>
      <c r="T15" s="480" t="s">
        <v>9392</v>
      </c>
      <c r="U15" s="504">
        <v>4846.1460735999999</v>
      </c>
      <c r="V15" s="89" t="s">
        <v>9337</v>
      </c>
      <c r="W15" s="90">
        <f t="shared" si="0"/>
        <v>3440.763712256</v>
      </c>
      <c r="AG15" s="490" t="s">
        <v>6139</v>
      </c>
      <c r="AH15" s="494" t="s">
        <v>6140</v>
      </c>
      <c r="AI15" s="181">
        <v>133.84840124811629</v>
      </c>
      <c r="AJ15" s="197">
        <v>63</v>
      </c>
      <c r="AK15" s="39" t="s">
        <v>6102</v>
      </c>
      <c r="AL15" s="1"/>
      <c r="AM15" s="1">
        <f t="shared" si="9"/>
        <v>0</v>
      </c>
      <c r="AN15" s="62">
        <f t="shared" si="10"/>
        <v>-1</v>
      </c>
      <c r="AT15" s="13">
        <f t="shared" si="13"/>
        <v>119</v>
      </c>
      <c r="AU15" t="s">
        <v>9393</v>
      </c>
      <c r="AV15">
        <v>0.69</v>
      </c>
      <c r="AW15" s="1">
        <f t="shared" si="4"/>
        <v>986.69999999999993</v>
      </c>
      <c r="AX15" s="13">
        <v>2</v>
      </c>
      <c r="AY15" s="1">
        <f t="shared" si="5"/>
        <v>846.14980000000003</v>
      </c>
      <c r="AZ15" s="1">
        <f>IFERROR((VLOOKUP($BA$1&amp;AX15,CODIGOS_Y_COSTOS[[ID]:[Precio]],4,0)-(VLOOKUP($BA$1&amp;AX15,CODIGOS_Y_COSTOS[[ID]:[Precio]],4,0)*$AZ$1)),0)</f>
        <v>2602.48344</v>
      </c>
      <c r="BA15" s="95">
        <f t="shared" si="6"/>
        <v>1.6375630282760718</v>
      </c>
      <c r="BC15" s="13"/>
      <c r="BD15" s="1">
        <f t="shared" si="11"/>
        <v>0</v>
      </c>
      <c r="BE15" s="1">
        <f t="shared" si="15"/>
        <v>0</v>
      </c>
      <c r="BF15" s="694">
        <f t="shared" si="16"/>
        <v>0</v>
      </c>
      <c r="BG15" s="1"/>
    </row>
    <row r="16" spans="1:64" ht="14.25" x14ac:dyDescent="0.2">
      <c r="A16" s="31"/>
      <c r="B16" t="s">
        <v>6142</v>
      </c>
      <c r="C16">
        <v>50</v>
      </c>
      <c r="D16" t="str">
        <f t="shared" si="1"/>
        <v>20001IC04206029X TE ROSC CENTRAL  1/4 X 6 MM</v>
      </c>
      <c r="E16" s="196">
        <f>+VLOOKUP(H16&amp;ALNAT[[#This Row],[N°]],CODIGOS_Y_COSTOS[[ID]:[COSTO]],7,0)</f>
        <v>1074.06</v>
      </c>
      <c r="F16" s="196">
        <f t="shared" si="2"/>
        <v>53703</v>
      </c>
      <c r="G16" s="197">
        <v>65</v>
      </c>
      <c r="H16" s="39" t="s">
        <v>6102</v>
      </c>
      <c r="I16" s="198" t="str">
        <f>+H16&amp;ALNAT[[#This Row],[N°]]</f>
        <v>CONECTORES NEUMÁTICOS65</v>
      </c>
      <c r="J16" s="876" t="str">
        <f>IFERROR(INDEX(ALNAT[CODIGO],MATCH(Tabla17[[#This Row],[TIPO]]&amp;Tabla17[[#This Row],[N°]],$I$3:$I$308,0),1),"")</f>
        <v>096-04</v>
      </c>
      <c r="K16" s="1266">
        <f>IFERROR(VLOOKUP(Tabla17[[#This Row],[CODIGO]],ALNAT[[CODIGO]:[DESCRIPCIÓN]],2,0),"")</f>
        <v>50</v>
      </c>
      <c r="L16" s="195" t="str">
        <f>IFERROR(VLOOKUP(Tabla17[[#This Row],[CODIGO]],ALNAT[[CODIGO]:[DESCRIPCIÓN]],3,0),"")</f>
        <v>15091 IC04 059871 J TAPON 12 MM</v>
      </c>
      <c r="M16" s="196">
        <f>IFERROR(VLOOKUP(Tabla17[[#This Row],[CODIGO]],ALNAT[],4,0),0)</f>
        <v>744.72659999999996</v>
      </c>
      <c r="N16" s="196">
        <f t="shared" si="17"/>
        <v>37236.33</v>
      </c>
      <c r="O16" s="1065">
        <v>222</v>
      </c>
      <c r="P16" t="s">
        <v>6102</v>
      </c>
      <c r="Q16" s="3"/>
      <c r="R16" s="498"/>
      <c r="S16" s="480" t="s">
        <v>9394</v>
      </c>
      <c r="T16" s="480" t="s">
        <v>9395</v>
      </c>
      <c r="U16" s="504">
        <v>14841.513883468955</v>
      </c>
      <c r="V16" s="89" t="s">
        <v>9337</v>
      </c>
      <c r="W16" s="90">
        <f t="shared" si="0"/>
        <v>10537.474857262958</v>
      </c>
      <c r="AG16" s="491" t="s">
        <v>6142</v>
      </c>
      <c r="AH16" s="69" t="s">
        <v>6143</v>
      </c>
      <c r="AI16" s="60">
        <v>136.35820268215116</v>
      </c>
      <c r="AJ16" s="197">
        <v>65</v>
      </c>
      <c r="AK16" s="39" t="s">
        <v>6102</v>
      </c>
      <c r="AL16" s="1"/>
      <c r="AM16" s="1">
        <f t="shared" si="9"/>
        <v>0</v>
      </c>
      <c r="AN16" s="62">
        <f t="shared" si="10"/>
        <v>-1</v>
      </c>
      <c r="AT16" s="13">
        <f t="shared" si="13"/>
        <v>120</v>
      </c>
      <c r="AU16" t="s">
        <v>9396</v>
      </c>
      <c r="AV16">
        <v>0.69</v>
      </c>
      <c r="AW16" s="1">
        <f t="shared" si="4"/>
        <v>986.69999999999993</v>
      </c>
      <c r="AX16" s="13">
        <v>3</v>
      </c>
      <c r="AY16" s="1">
        <f t="shared" si="5"/>
        <v>846.14980000000003</v>
      </c>
      <c r="AZ16" s="1">
        <f>IFERROR((VLOOKUP($BA$1&amp;AX16,CODIGOS_Y_COSTOS[[ID]:[Precio]],4,0)-(VLOOKUP($BA$1&amp;AX16,CODIGOS_Y_COSTOS[[ID]:[Precio]],4,0)*$AZ$1)),0)</f>
        <v>2602.48344</v>
      </c>
      <c r="BA16" s="95">
        <f t="shared" si="6"/>
        <v>1.6375630282760718</v>
      </c>
      <c r="BD16" s="1">
        <f t="shared" si="11"/>
        <v>0</v>
      </c>
      <c r="BE16" s="1">
        <f t="shared" si="15"/>
        <v>0</v>
      </c>
      <c r="BF16" s="694">
        <f t="shared" si="16"/>
        <v>0</v>
      </c>
      <c r="BG16" s="1"/>
    </row>
    <row r="17" spans="1:57" ht="14.25" x14ac:dyDescent="0.2">
      <c r="A17" s="31"/>
      <c r="B17" t="s">
        <v>6145</v>
      </c>
      <c r="C17">
        <v>50</v>
      </c>
      <c r="D17" t="str">
        <f t="shared" si="1"/>
        <v>20001IC04206029X TEE ROSCA CENTRAL  PL 1/4 BSP</v>
      </c>
      <c r="E17" s="196">
        <f>+VLOOKUP(H17&amp;ALNAT[[#This Row],[N°]],CODIGOS_Y_COSTOS[[ID]:[COSTO]],7,0)</f>
        <v>1156.68</v>
      </c>
      <c r="F17" s="196">
        <f t="shared" si="2"/>
        <v>57834</v>
      </c>
      <c r="G17" s="197">
        <v>66</v>
      </c>
      <c r="H17" s="39" t="s">
        <v>6102</v>
      </c>
      <c r="I17" s="198" t="str">
        <f>+H17&amp;ALNAT[[#This Row],[N°]]</f>
        <v>CONECTORES NEUMÁTICOS66</v>
      </c>
      <c r="J17" s="876" t="str">
        <f>IFERROR(INDEX(ALNAT[CODIGO],MATCH(Tabla17[[#This Row],[TIPO]]&amp;Tabla17[[#This Row],[N°]],$I$3:$I$308,0),1),"")</f>
        <v>075-02</v>
      </c>
      <c r="K17" s="1266">
        <v>200</v>
      </c>
      <c r="L17" s="195" t="str">
        <f>IFERROR(VLOOKUP(Tabla17[[#This Row],[CODIGO]],ALNAT[[CODIGO]:[DESCRIPCIÓN]],3,0),"")</f>
        <v>20001IC04038164L TUBO  PU 8  MM X 5 X 100 MT</v>
      </c>
      <c r="M17" s="196">
        <f>IFERROR(VLOOKUP(Tabla17[[#This Row],[CODIGO]],ALNAT[],4,0),0)</f>
        <v>611.82000000000005</v>
      </c>
      <c r="N17" s="196">
        <f t="shared" si="17"/>
        <v>122364.00000000001</v>
      </c>
      <c r="O17" s="1065">
        <v>229</v>
      </c>
      <c r="P17" t="s">
        <v>6102</v>
      </c>
      <c r="Q17" s="3"/>
      <c r="R17" s="498"/>
      <c r="S17" s="480" t="s">
        <v>9397</v>
      </c>
      <c r="T17" s="480" t="s">
        <v>9398</v>
      </c>
      <c r="U17" s="504">
        <v>7704.8815295368004</v>
      </c>
      <c r="V17" s="89" t="s">
        <v>9337</v>
      </c>
      <c r="W17" s="90">
        <f t="shared" si="0"/>
        <v>5470.465885971128</v>
      </c>
      <c r="AG17" s="490" t="s">
        <v>6145</v>
      </c>
      <c r="AH17" s="494" t="s">
        <v>6146</v>
      </c>
      <c r="AI17" s="181">
        <v>135.655918794646</v>
      </c>
      <c r="AJ17" s="197">
        <v>66</v>
      </c>
      <c r="AK17" s="39" t="s">
        <v>6102</v>
      </c>
      <c r="AL17" s="1"/>
      <c r="AM17" s="1">
        <f t="shared" si="9"/>
        <v>0</v>
      </c>
      <c r="AN17" s="62">
        <f t="shared" si="10"/>
        <v>-1</v>
      </c>
      <c r="AT17" s="13">
        <f t="shared" si="13"/>
        <v>121</v>
      </c>
      <c r="AU17" t="s">
        <v>9399</v>
      </c>
      <c r="AV17">
        <v>0.69</v>
      </c>
      <c r="AW17" s="1">
        <f t="shared" si="4"/>
        <v>986.69999999999993</v>
      </c>
      <c r="AX17" s="13">
        <v>4</v>
      </c>
      <c r="AY17" s="1">
        <f t="shared" si="5"/>
        <v>1251.6954000000001</v>
      </c>
      <c r="AZ17" s="1">
        <f>IFERROR((VLOOKUP($BA$1&amp;AX17,CODIGOS_Y_COSTOS[[ID]:[Precio]],4,0)-(VLOOKUP($BA$1&amp;AX17,CODIGOS_Y_COSTOS[[ID]:[Precio]],4,0)*$AZ$1)),0)</f>
        <v>3849.8106399999997</v>
      </c>
      <c r="BA17" s="95">
        <f t="shared" si="6"/>
        <v>2.9017032938076417</v>
      </c>
    </row>
    <row r="18" spans="1:57" ht="14.25" x14ac:dyDescent="0.2">
      <c r="A18" s="31"/>
      <c r="B18" t="s">
        <v>6148</v>
      </c>
      <c r="C18">
        <v>50</v>
      </c>
      <c r="D18" t="str">
        <f t="shared" si="1"/>
        <v>17001IC04156088A  T ROSC CENT  1/4 X 10 MM</v>
      </c>
      <c r="E18" s="196">
        <f>+VLOOKUP(H18&amp;ALNAT[[#This Row],[N°]],CODIGOS_Y_COSTOS[[ID]:[COSTO]],7,0)</f>
        <v>1490.0922</v>
      </c>
      <c r="F18" s="196">
        <f t="shared" si="2"/>
        <v>74504.61</v>
      </c>
      <c r="G18" s="197">
        <v>67</v>
      </c>
      <c r="H18" s="39" t="s">
        <v>6102</v>
      </c>
      <c r="I18" s="198" t="str">
        <f>+H18&amp;ALNAT[[#This Row],[N°]]</f>
        <v>CONECTORES NEUMÁTICOS67</v>
      </c>
      <c r="J18" s="876" t="str">
        <f>IFERROR(INDEX(ALNAT[CODIGO],MATCH(Tabla17[[#This Row],[TIPO]]&amp;Tabla17[[#This Row],[N°]],$I$3:$I$308,0),1),"")</f>
        <v>001-27</v>
      </c>
      <c r="K18" s="1266">
        <v>30</v>
      </c>
      <c r="L18" s="195" t="str">
        <f>IFERROR(VLOOKUP(Tabla17[[#This Row],[CODIGO]],ALNAT[[CODIGO]:[DESCRIPCIÓN]],3,0),"")</f>
        <v>PTA ACOPLE RAP 1/4 MANG 9,5 MM</v>
      </c>
      <c r="M18" s="196">
        <f>IFERROR(VLOOKUP(Tabla17[[#This Row],[CODIGO]],ALNAT[],4,0),0)</f>
        <v>1251.6954000000001</v>
      </c>
      <c r="N18" s="196">
        <f t="shared" si="17"/>
        <v>37550.862000000001</v>
      </c>
      <c r="O18" s="1065">
        <v>4</v>
      </c>
      <c r="P18" t="s">
        <v>4353</v>
      </c>
      <c r="Q18" s="3"/>
      <c r="R18" s="498"/>
      <c r="S18" s="480" t="s">
        <v>9400</v>
      </c>
      <c r="T18" s="480" t="s">
        <v>9401</v>
      </c>
      <c r="U18" s="504">
        <v>8200.3100063623915</v>
      </c>
      <c r="V18" s="89" t="s">
        <v>9337</v>
      </c>
      <c r="W18" s="90">
        <f t="shared" si="0"/>
        <v>5822.2201045172978</v>
      </c>
      <c r="AG18" s="491" t="s">
        <v>6148</v>
      </c>
      <c r="AH18" s="69" t="s">
        <v>6149</v>
      </c>
      <c r="AI18" s="60">
        <v>166.15346007335407</v>
      </c>
      <c r="AJ18" s="197">
        <v>67</v>
      </c>
      <c r="AK18" s="39" t="s">
        <v>6102</v>
      </c>
      <c r="AL18" s="1"/>
      <c r="AM18" s="1">
        <f t="shared" si="9"/>
        <v>0</v>
      </c>
      <c r="AN18" s="62">
        <f t="shared" si="10"/>
        <v>-1</v>
      </c>
      <c r="AT18" s="13">
        <f t="shared" si="13"/>
        <v>122</v>
      </c>
      <c r="AU18" t="s">
        <v>9402</v>
      </c>
      <c r="AV18">
        <v>0.69</v>
      </c>
      <c r="AW18" s="1">
        <f t="shared" si="4"/>
        <v>986.69999999999993</v>
      </c>
      <c r="AX18" s="13">
        <v>25</v>
      </c>
      <c r="AY18" s="1">
        <f t="shared" si="5"/>
        <v>1067.6955</v>
      </c>
      <c r="AZ18" s="1">
        <f>IFERROR((VLOOKUP($BA$1&amp;AX18,CODIGOS_Y_COSTOS[[ID]:[Precio]],4,0)-(VLOOKUP($BA$1&amp;AX18,CODIGOS_Y_COSTOS[[ID]:[Precio]],4,0)*$AZ$1)),0)</f>
        <v>3283.8860800000002</v>
      </c>
      <c r="BA18" s="95">
        <f t="shared" si="6"/>
        <v>2.3281504814026559</v>
      </c>
      <c r="BD18" s="31" t="s">
        <v>8154</v>
      </c>
      <c r="BE18" s="61">
        <f>+SUM(BE3:BE16)</f>
        <v>296010</v>
      </c>
    </row>
    <row r="19" spans="1:57" ht="14.25" x14ac:dyDescent="0.2">
      <c r="A19" s="31"/>
      <c r="B19" t="s">
        <v>6151</v>
      </c>
      <c r="C19">
        <v>30</v>
      </c>
      <c r="D19" t="str">
        <f t="shared" si="1"/>
        <v>20001IC04164806Y   T ROSC CENT  1/4 X 12 MM</v>
      </c>
      <c r="E19" s="196">
        <f>+VLOOKUP(H19&amp;ALNAT[[#This Row],[N°]],CODIGOS_Y_COSTOS[[ID]:[COSTO]],7,0)</f>
        <v>1743.1267</v>
      </c>
      <c r="F19" s="196">
        <f t="shared" si="2"/>
        <v>52293.800999999999</v>
      </c>
      <c r="G19" s="197">
        <v>68</v>
      </c>
      <c r="H19" s="39" t="s">
        <v>6102</v>
      </c>
      <c r="I19" s="198" t="str">
        <f>+H19&amp;ALNAT[[#This Row],[N°]]</f>
        <v>CONECTORES NEUMÁTICOS68</v>
      </c>
      <c r="J19" s="876" t="str">
        <f>IFERROR(INDEX(ALNAT[CODIGO],MATCH(Tabla17[[#This Row],[TIPO]]&amp;Tabla17[[#This Row],[N°]],$I$3:$I$308,0),1),"")</f>
        <v>001-28</v>
      </c>
      <c r="K19" s="1266">
        <v>30</v>
      </c>
      <c r="L19" s="195" t="str">
        <f>IFERROR(VLOOKUP(Tabla17[[#This Row],[CODIGO]],ALNAT[[CODIGO]:[DESCRIPCIÓN]],3,0),"")</f>
        <v>PTA ACOPLE RAP 1/4 MANG 12,7 MM</v>
      </c>
      <c r="M19" s="196">
        <f>IFERROR(VLOOKUP(Tabla17[[#This Row],[CODIGO]],ALNAT[],4,0),0)</f>
        <v>1376.3914</v>
      </c>
      <c r="N19" s="196">
        <f t="shared" si="17"/>
        <v>41291.741999999998</v>
      </c>
      <c r="O19" s="1065">
        <v>5</v>
      </c>
      <c r="P19" t="s">
        <v>4353</v>
      </c>
      <c r="Q19" s="3"/>
      <c r="R19" s="389"/>
      <c r="S19" s="480" t="s">
        <v>9403</v>
      </c>
      <c r="T19" s="480" t="s">
        <v>9404</v>
      </c>
      <c r="U19" s="504">
        <v>7544.3516320178896</v>
      </c>
      <c r="V19" s="89" t="s">
        <v>9337</v>
      </c>
      <c r="W19" s="90">
        <f t="shared" si="0"/>
        <v>5356.4896587327012</v>
      </c>
      <c r="AG19" s="490" t="s">
        <v>6151</v>
      </c>
      <c r="AH19" s="494" t="s">
        <v>6152</v>
      </c>
      <c r="AI19" s="181">
        <v>209.93406087064321</v>
      </c>
      <c r="AJ19" s="197">
        <v>68</v>
      </c>
      <c r="AK19" s="39" t="s">
        <v>6102</v>
      </c>
      <c r="AL19" s="1"/>
      <c r="AM19" s="1">
        <f t="shared" si="9"/>
        <v>0</v>
      </c>
      <c r="AN19" s="62">
        <f t="shared" si="10"/>
        <v>-1</v>
      </c>
      <c r="AT19" s="13">
        <f t="shared" si="13"/>
        <v>123</v>
      </c>
      <c r="AU19" t="s">
        <v>9405</v>
      </c>
      <c r="AV19">
        <v>0.69</v>
      </c>
      <c r="AW19" s="1">
        <f t="shared" si="4"/>
        <v>986.69999999999993</v>
      </c>
      <c r="AX19" s="13">
        <v>1</v>
      </c>
      <c r="AY19" s="1">
        <f t="shared" si="5"/>
        <v>659.81209999999999</v>
      </c>
      <c r="AZ19" s="1">
        <f>IFERROR((VLOOKUP($BA$1&amp;AX19,CODIGOS_Y_COSTOS[[ID]:[Precio]],4,0)-(VLOOKUP($BA$1&amp;AX19,CODIGOS_Y_COSTOS[[ID]:[Precio]],4,0)*$AZ$1)),0)</f>
        <v>2029.3687999999997</v>
      </c>
      <c r="BA19" s="95">
        <f t="shared" si="6"/>
        <v>1.0567232188101752</v>
      </c>
    </row>
    <row r="20" spans="1:57" ht="14.25" x14ac:dyDescent="0.2">
      <c r="A20" s="31"/>
      <c r="B20" t="s">
        <v>6154</v>
      </c>
      <c r="C20">
        <v>70</v>
      </c>
      <c r="D20" t="str">
        <f t="shared" si="1"/>
        <v>20001IC04206029X REDUCTOR MANGUERA 6 A 4 MM</v>
      </c>
      <c r="E20" s="196">
        <f>+VLOOKUP(H20&amp;ALNAT[[#This Row],[N°]],CODIGOS_Y_COSTOS[[ID]:[COSTO]],7,0)</f>
        <v>611.38800000000003</v>
      </c>
      <c r="F20" s="196">
        <f t="shared" si="2"/>
        <v>42797.16</v>
      </c>
      <c r="G20" s="197">
        <v>77</v>
      </c>
      <c r="H20" s="39" t="s">
        <v>6102</v>
      </c>
      <c r="I20" s="198" t="str">
        <f>+H20&amp;ALNAT[[#This Row],[N°]]</f>
        <v>CONECTORES NEUMÁTICOS77</v>
      </c>
      <c r="J20" s="876" t="str">
        <f>IFERROR(INDEX(ALNAT[CODIGO],MATCH(Tabla17[[#This Row],[TIPO]]&amp;Tabla17[[#This Row],[N°]],$I$3:$I$308,0),1),"")</f>
        <v>001-26</v>
      </c>
      <c r="K20" s="1266">
        <f>IFERROR(VLOOKUP(Tabla17[[#This Row],[CODIGO]],ALNAT[[CODIGO]:[DESCRIPCIÓN]],2,0),"")</f>
        <v>50</v>
      </c>
      <c r="L20" s="195" t="str">
        <f>IFERROR(VLOOKUP(Tabla17[[#This Row],[CODIGO]],ALNAT[[CODIGO]:[DESCRIPCIÓN]],3,0),"")</f>
        <v>PTA ACOPLE RAP 1/4 MANG 8 MM</v>
      </c>
      <c r="M20" s="196">
        <f>IFERROR(VLOOKUP(Tabla17[[#This Row],[CODIGO]],ALNAT[],4,0),0)</f>
        <v>846.14980000000003</v>
      </c>
      <c r="N20" s="196">
        <f t="shared" si="17"/>
        <v>42307.49</v>
      </c>
      <c r="O20" s="1065">
        <v>3</v>
      </c>
      <c r="P20" t="s">
        <v>4353</v>
      </c>
      <c r="Q20" s="3"/>
      <c r="R20" s="389"/>
      <c r="S20" s="480" t="s">
        <v>9406</v>
      </c>
      <c r="T20" s="480" t="s">
        <v>9407</v>
      </c>
      <c r="U20" s="504">
        <v>7544.3516320178896</v>
      </c>
      <c r="V20" s="89" t="s">
        <v>9337</v>
      </c>
      <c r="W20" s="90">
        <f t="shared" si="0"/>
        <v>5356.4896587327012</v>
      </c>
      <c r="X20" s="95">
        <f>+R20/Tabla17[[#This Row],[FINAL]]-1</f>
        <v>-1</v>
      </c>
      <c r="AG20" s="491" t="s">
        <v>6154</v>
      </c>
      <c r="AH20" s="69" t="s">
        <v>6155</v>
      </c>
      <c r="AI20" s="60">
        <v>66.670774413831808</v>
      </c>
      <c r="AJ20" s="197">
        <v>77</v>
      </c>
      <c r="AK20" s="39" t="s">
        <v>6102</v>
      </c>
      <c r="AL20" s="1"/>
      <c r="AM20" s="1">
        <f t="shared" si="9"/>
        <v>0</v>
      </c>
      <c r="AN20" s="62">
        <f t="shared" si="10"/>
        <v>-1</v>
      </c>
      <c r="AT20" s="13">
        <v>100</v>
      </c>
      <c r="AU20" t="s">
        <v>9408</v>
      </c>
      <c r="AV20">
        <v>7.81</v>
      </c>
      <c r="AW20" s="1">
        <f t="shared" si="4"/>
        <v>11168.3</v>
      </c>
      <c r="AX20" s="13">
        <v>0</v>
      </c>
      <c r="AY20" s="1">
        <f t="shared" si="5"/>
        <v>0</v>
      </c>
      <c r="AZ20" s="1">
        <f>IFERROR((VLOOKUP($BA$1&amp;AX20,CODIGOS_Y_COSTOS[[ID]:[Precio]],4,0)-(VLOOKUP($BA$1&amp;AX20,CODIGOS_Y_COSTOS[[ID]:[Precio]],4,0)*$AZ$1)),0)</f>
        <v>0</v>
      </c>
      <c r="BA20" s="95">
        <f>IF(AZ20=0,0,AZ20/AW20-1)</f>
        <v>0</v>
      </c>
    </row>
    <row r="21" spans="1:57" ht="14.25" x14ac:dyDescent="0.2">
      <c r="A21" s="31"/>
      <c r="B21" t="s">
        <v>6157</v>
      </c>
      <c r="C21">
        <v>50</v>
      </c>
      <c r="D21" t="str">
        <f t="shared" si="1"/>
        <v>20001IC04206029X REDUCTOR MANGUERA 8 A 6 MM</v>
      </c>
      <c r="E21" s="196">
        <f>+VLOOKUP(H21&amp;ALNAT[[#This Row],[N°]],CODIGOS_Y_COSTOS[[ID]:[COSTO]],7,0)</f>
        <v>798.66</v>
      </c>
      <c r="F21" s="196">
        <f t="shared" si="2"/>
        <v>39933</v>
      </c>
      <c r="G21" s="197">
        <v>78</v>
      </c>
      <c r="H21" s="39" t="s">
        <v>6102</v>
      </c>
      <c r="I21" s="198" t="str">
        <f>+H21&amp;ALNAT[[#This Row],[N°]]</f>
        <v>CONECTORES NEUMÁTICOS78</v>
      </c>
      <c r="J21" s="876" t="str">
        <f>IFERROR(INDEX(ALNAT[CODIGO],MATCH(Tabla17[[#This Row],[TIPO]]&amp;Tabla17[[#This Row],[N°]],$I$3:$I$308,0),1),"")</f>
        <v>005-04</v>
      </c>
      <c r="K21" s="1266">
        <f>IFERROR(VLOOKUP(Tabla17[[#This Row],[CODIGO]],ALNAT[[CODIGO]:[DESCRIPCIÓN]],2,0),"")</f>
        <v>100</v>
      </c>
      <c r="L21" s="195" t="str">
        <f>IFERROR(VLOOKUP(Tabla17[[#This Row],[CODIGO]],ALNAT[[CODIGO]:[DESCRIPCIÓN]],3,0),"")</f>
        <v>RACORD R M 1/4 BSPT MANG 8 MM</v>
      </c>
      <c r="M21" s="196">
        <f>IFERROR(VLOOKUP(Tabla17[[#This Row],[CODIGO]],ALNAT[],4,0),0)</f>
        <v>508.42099999999999</v>
      </c>
      <c r="N21" s="196">
        <f t="shared" si="17"/>
        <v>50842.1</v>
      </c>
      <c r="O21" s="1065">
        <v>11</v>
      </c>
      <c r="P21" t="s">
        <v>4353</v>
      </c>
      <c r="Q21" s="3"/>
      <c r="R21" s="389"/>
      <c r="S21" s="480" t="s">
        <v>9409</v>
      </c>
      <c r="T21" s="480" t="s">
        <v>9410</v>
      </c>
      <c r="U21" s="504">
        <v>7544.3516320178896</v>
      </c>
      <c r="V21" s="89" t="s">
        <v>9337</v>
      </c>
      <c r="W21" s="90">
        <f t="shared" si="0"/>
        <v>5356.4896587327012</v>
      </c>
      <c r="X21" s="95">
        <f>+R21/Tabla17[[#This Row],[FINAL]]-1</f>
        <v>-1</v>
      </c>
      <c r="AG21" s="490" t="s">
        <v>6157</v>
      </c>
      <c r="AH21" s="494" t="s">
        <v>6158</v>
      </c>
      <c r="AI21" s="181">
        <v>78.448542013096457</v>
      </c>
      <c r="AJ21" s="197">
        <v>78</v>
      </c>
      <c r="AK21" s="39" t="s">
        <v>6102</v>
      </c>
      <c r="AL21" s="1"/>
      <c r="AM21" s="1">
        <f t="shared" si="9"/>
        <v>0</v>
      </c>
      <c r="AN21" s="62">
        <f t="shared" si="10"/>
        <v>-1</v>
      </c>
      <c r="AT21" s="13">
        <v>101</v>
      </c>
      <c r="AU21" t="s">
        <v>9411</v>
      </c>
      <c r="AV21">
        <v>6.26</v>
      </c>
      <c r="AW21" s="1">
        <f t="shared" si="4"/>
        <v>8951.7999999999993</v>
      </c>
      <c r="AX21" s="13">
        <v>90</v>
      </c>
      <c r="AY21" s="1">
        <f t="shared" si="5"/>
        <v>2851.2669999999998</v>
      </c>
      <c r="AZ21" s="1">
        <f>IFERROR((VLOOKUP($BA$1&amp;AX21,CODIGOS_Y_COSTOS[[ID]:[Precio]],4,0)-(VLOOKUP($BA$1&amp;AX21,CODIGOS_Y_COSTOS[[ID]:[Precio]],4,0)*$AZ$1)),0)</f>
        <v>8904.3386399999999</v>
      </c>
      <c r="BA21" s="95">
        <f>IF(AZ21=0,0,AZ21/AW21-1)</f>
        <v>-5.3018789517191856E-3</v>
      </c>
      <c r="BC21">
        <v>17</v>
      </c>
    </row>
    <row r="22" spans="1:57" ht="14.25" x14ac:dyDescent="0.2">
      <c r="A22" s="31"/>
      <c r="B22" t="s">
        <v>6160</v>
      </c>
      <c r="C22">
        <v>50</v>
      </c>
      <c r="D22" t="str">
        <f t="shared" si="1"/>
        <v>19001IC04103051H REDUCTOR DE MANGUERA DE 10 A 6 MM</v>
      </c>
      <c r="E22" s="196">
        <f>+VLOOKUP(H22&amp;ALNAT[[#This Row],[N°]],CODIGOS_Y_COSTOS[[ID]:[COSTO]],7,0)</f>
        <v>764.23500000000001</v>
      </c>
      <c r="F22" s="196">
        <f t="shared" si="2"/>
        <v>38211.75</v>
      </c>
      <c r="G22" s="197">
        <v>79</v>
      </c>
      <c r="H22" s="39" t="s">
        <v>6102</v>
      </c>
      <c r="I22" s="198" t="str">
        <f>+H22&amp;ALNAT[[#This Row],[N°]]</f>
        <v>CONECTORES NEUMÁTICOS79</v>
      </c>
      <c r="J22" s="876" t="str">
        <f>IFERROR(INDEX(ALNAT[CODIGO],MATCH(Tabla17[[#This Row],[TIPO]]&amp;Tabla17[[#This Row],[N°]],$I$3:$I$308,0),1),"")</f>
        <v>005-07</v>
      </c>
      <c r="K22" s="1266">
        <f>IFERROR(VLOOKUP(Tabla17[[#This Row],[CODIGO]],ALNAT[[CODIGO]:[DESCRIPCIÓN]],2,0),"")</f>
        <v>50</v>
      </c>
      <c r="L22" s="195" t="str">
        <f>IFERROR(VLOOKUP(Tabla17[[#This Row],[CODIGO]],ALNAT[[CODIGO]:[DESCRIPCIÓN]],3,0),"")</f>
        <v>RACORD R M 3/8 BSPT MANG 8 MM</v>
      </c>
      <c r="M22" s="196">
        <f>IFERROR(VLOOKUP(Tabla17[[#This Row],[CODIGO]],ALNAT[],4,0),0)</f>
        <v>1066.1244999999999</v>
      </c>
      <c r="N22" s="196">
        <f t="shared" si="17"/>
        <v>53306.224999999991</v>
      </c>
      <c r="O22" s="1065">
        <v>16</v>
      </c>
      <c r="P22" t="s">
        <v>4353</v>
      </c>
      <c r="Q22" s="3"/>
      <c r="R22" s="389"/>
      <c r="S22" s="480"/>
      <c r="T22" s="480"/>
      <c r="U22" s="504" t="e">
        <v>#N/A</v>
      </c>
      <c r="V22" s="89"/>
      <c r="W22" s="90"/>
      <c r="X22" s="95"/>
      <c r="AG22" s="490"/>
      <c r="AH22" s="494"/>
      <c r="AI22" s="181"/>
      <c r="AJ22" s="197"/>
      <c r="AK22" s="39"/>
      <c r="AL22" s="1"/>
      <c r="AM22" s="1">
        <f t="shared" si="9"/>
        <v>0</v>
      </c>
      <c r="AN22" s="62"/>
      <c r="AW22" s="1"/>
      <c r="AY22" s="1"/>
      <c r="AZ22" s="1"/>
      <c r="BA22" s="95"/>
      <c r="BC22">
        <v>18</v>
      </c>
    </row>
    <row r="23" spans="1:57" ht="14.25" x14ac:dyDescent="0.2">
      <c r="A23" s="31"/>
      <c r="B23" t="s">
        <v>6163</v>
      </c>
      <c r="C23">
        <v>50</v>
      </c>
      <c r="D23" t="str">
        <f t="shared" si="1"/>
        <v>20001IC04206029X  REDUCTOR MANGUERA 10 A 8 M</v>
      </c>
      <c r="E23" s="196">
        <f>+VLOOKUP(H23&amp;ALNAT[[#This Row],[N°]],CODIGOS_Y_COSTOS[[ID]:[COSTO]],7,0)</f>
        <v>853.74</v>
      </c>
      <c r="F23" s="196">
        <f t="shared" si="2"/>
        <v>42687</v>
      </c>
      <c r="G23" s="197">
        <v>80</v>
      </c>
      <c r="H23" s="39" t="s">
        <v>6102</v>
      </c>
      <c r="I23" s="198" t="str">
        <f>+H23&amp;ALNAT[[#This Row],[N°]]</f>
        <v>CONECTORES NEUMÁTICOS80</v>
      </c>
      <c r="J23" s="876" t="str">
        <f>IFERROR(INDEX(ALNAT[CODIGO],MATCH(Tabla17[[#This Row],[TIPO]]&amp;Tabla17[[#This Row],[N°]],$I$3:$I$308,0),1),"")</f>
        <v>005-08</v>
      </c>
      <c r="K23" s="1266">
        <f>IFERROR(VLOOKUP(Tabla17[[#This Row],[CODIGO]],ALNAT[[CODIGO]:[DESCRIPCIÓN]],2,0),"")</f>
        <v>50</v>
      </c>
      <c r="L23" s="195" t="str">
        <f>IFERROR(VLOOKUP(Tabla17[[#This Row],[CODIGO]],ALNAT[[CODIGO]:[DESCRIPCIÓN]],3,0),"")</f>
        <v>RACORD R M 3/8 BSPT MANG 9.5 MM</v>
      </c>
      <c r="M23" s="196">
        <f>IFERROR(VLOOKUP(Tabla17[[#This Row],[CODIGO]],ALNAT[],4,0),0)</f>
        <v>1048.1656</v>
      </c>
      <c r="N23" s="196">
        <f t="shared" si="17"/>
        <v>52408.28</v>
      </c>
      <c r="O23" s="1065">
        <v>17</v>
      </c>
      <c r="P23" t="s">
        <v>4353</v>
      </c>
      <c r="Q23" s="3"/>
      <c r="R23" s="389"/>
      <c r="S23" s="480"/>
      <c r="T23" s="480"/>
      <c r="U23" s="504" t="e">
        <v>#N/A</v>
      </c>
      <c r="V23" s="89"/>
      <c r="W23" s="90"/>
      <c r="X23" s="95"/>
      <c r="AG23" s="490"/>
      <c r="AH23" s="494"/>
      <c r="AI23" s="181"/>
      <c r="AJ23" s="197"/>
      <c r="AK23" s="39"/>
      <c r="AL23" s="1"/>
      <c r="AM23" s="1">
        <f t="shared" si="9"/>
        <v>0</v>
      </c>
      <c r="AN23" s="62"/>
      <c r="AW23" s="1"/>
      <c r="AY23" s="1"/>
      <c r="AZ23" s="1"/>
      <c r="BA23" s="95"/>
      <c r="BC23">
        <v>22</v>
      </c>
    </row>
    <row r="24" spans="1:57" ht="14.25" x14ac:dyDescent="0.2">
      <c r="A24" s="31"/>
      <c r="B24" t="s">
        <v>6166</v>
      </c>
      <c r="C24">
        <v>50</v>
      </c>
      <c r="D24" t="str">
        <f t="shared" si="1"/>
        <v>20001IC04164806Y   REDUCTOR MANGUERA 12 A 10 M</v>
      </c>
      <c r="E24" s="196">
        <f>+VLOOKUP(H24&amp;ALNAT[[#This Row],[N°]],CODIGOS_Y_COSTOS[[ID]:[COSTO]],7,0)</f>
        <v>936.36</v>
      </c>
      <c r="F24" s="196">
        <f t="shared" si="2"/>
        <v>46818</v>
      </c>
      <c r="G24" s="197">
        <v>81</v>
      </c>
      <c r="H24" s="39" t="s">
        <v>6102</v>
      </c>
      <c r="I24" s="198" t="str">
        <f>+H24&amp;ALNAT[[#This Row],[N°]]</f>
        <v>CONECTORES NEUMÁTICOS81</v>
      </c>
      <c r="J24" s="876" t="str">
        <f>IFERROR(INDEX(ALNAT[CODIGO],MATCH(Tabla17[[#This Row],[TIPO]]&amp;Tabla17[[#This Row],[N°]],$I$3:$I$308,0),1),"")</f>
        <v>005-09</v>
      </c>
      <c r="K24" s="1266">
        <f>IFERROR(VLOOKUP(Tabla17[[#This Row],[CODIGO]],ALNAT[[CODIGO]:[DESCRIPCIÓN]],2,0),"")</f>
        <v>50</v>
      </c>
      <c r="L24" s="195" t="str">
        <f>IFERROR(VLOOKUP(Tabla17[[#This Row],[CODIGO]],ALNAT[[CODIGO]:[DESCRIPCIÓN]],3,0),"")</f>
        <v>RACORD R M 3/8 BSPT MANG 12.70 MM</v>
      </c>
      <c r="M24" s="196">
        <f>IFERROR(VLOOKUP(Tabla17[[#This Row],[CODIGO]],ALNAT[],4,0),0)</f>
        <v>1049.9244000000001</v>
      </c>
      <c r="N24" s="196">
        <f t="shared" si="17"/>
        <v>52496.220000000008</v>
      </c>
      <c r="O24" s="1065">
        <v>18</v>
      </c>
      <c r="P24" t="s">
        <v>4353</v>
      </c>
      <c r="Q24" s="1"/>
      <c r="R24" s="389"/>
      <c r="S24" s="480"/>
      <c r="T24" s="480"/>
      <c r="U24" s="504" t="e">
        <v>#N/A</v>
      </c>
      <c r="V24" s="89"/>
      <c r="W24" s="90"/>
      <c r="X24" s="95"/>
      <c r="AG24" s="490"/>
      <c r="AH24" s="494"/>
      <c r="AI24" s="181"/>
      <c r="AJ24" s="197"/>
      <c r="AK24" s="39"/>
      <c r="AL24" s="1"/>
      <c r="AM24" s="1">
        <f t="shared" si="9"/>
        <v>0</v>
      </c>
      <c r="AN24" s="62"/>
      <c r="AW24" s="1"/>
      <c r="AY24" s="1"/>
      <c r="AZ24" s="1"/>
      <c r="BA24" s="95"/>
      <c r="BC24">
        <v>23</v>
      </c>
    </row>
    <row r="25" spans="1:57" ht="14.25" x14ac:dyDescent="0.2">
      <c r="A25" s="31"/>
      <c r="B25" t="s">
        <v>6169</v>
      </c>
      <c r="C25">
        <v>50</v>
      </c>
      <c r="D25" t="str">
        <f t="shared" si="1"/>
        <v>BIFURCACION R 1/8 MANG 6 MM  T 15091IC04046116U</v>
      </c>
      <c r="E25" s="196">
        <f>+VLOOKUP(H25&amp;ALNAT[[#This Row],[N°]],CODIGOS_Y_COSTOS[[ID]:[COSTO]],7,0)</f>
        <v>1008.0619</v>
      </c>
      <c r="F25" s="196">
        <f t="shared" si="2"/>
        <v>50403.095000000001</v>
      </c>
      <c r="G25" s="197">
        <v>86</v>
      </c>
      <c r="H25" s="39" t="s">
        <v>6102</v>
      </c>
      <c r="I25" s="198" t="str">
        <f>+H25&amp;ALNAT[[#This Row],[N°]]</f>
        <v>CONECTORES NEUMÁTICOS86</v>
      </c>
      <c r="J25" s="876" t="str">
        <f>IFERROR(INDEX(ALNAT[CODIGO],MATCH(Tabla17[[#This Row],[TIPO]]&amp;Tabla17[[#This Row],[N°]],$I$3:$I$308,0),1),"")</f>
        <v>005-18</v>
      </c>
      <c r="K25" s="1266">
        <v>20</v>
      </c>
      <c r="L25" s="195" t="str">
        <f>IFERROR(VLOOKUP(Tabla17[[#This Row],[CODIGO]],ALNAT[[CODIGO]:[DESCRIPCIÓN]],3,0),"")</f>
        <v>RACORD R M 1/2 BSPT MANG 19 MM</v>
      </c>
      <c r="M25" s="196">
        <f>IFERROR(VLOOKUP(Tabla17[[#This Row],[CODIGO]],ALNAT[],4,0),0)</f>
        <v>2813.0871000000002</v>
      </c>
      <c r="N25" s="196">
        <f t="shared" si="17"/>
        <v>56261.742000000006</v>
      </c>
      <c r="O25" s="1065">
        <v>22</v>
      </c>
      <c r="P25" t="s">
        <v>4353</v>
      </c>
      <c r="Q25" s="1"/>
      <c r="R25" s="389"/>
      <c r="S25" s="480"/>
      <c r="T25" s="480"/>
      <c r="U25" s="504" t="e">
        <v>#N/A</v>
      </c>
      <c r="V25" s="89"/>
      <c r="W25" s="90"/>
      <c r="X25" s="95"/>
      <c r="AG25" s="490"/>
      <c r="AH25" s="494"/>
      <c r="AI25" s="181"/>
      <c r="AJ25" s="197"/>
      <c r="AK25" s="39"/>
      <c r="AL25" s="1"/>
      <c r="AM25" s="1">
        <f t="shared" si="9"/>
        <v>0</v>
      </c>
      <c r="AN25" s="62"/>
      <c r="AW25" s="1"/>
      <c r="AY25" s="1"/>
      <c r="AZ25" s="1"/>
      <c r="BA25" s="95"/>
      <c r="BC25">
        <v>50</v>
      </c>
    </row>
    <row r="26" spans="1:57" ht="14.25" x14ac:dyDescent="0.2">
      <c r="A26" s="31"/>
      <c r="B26" t="s">
        <v>6172</v>
      </c>
      <c r="C26">
        <v>50</v>
      </c>
      <c r="D26" t="str">
        <f t="shared" si="1"/>
        <v>BIFURCACION R 1/8 MANG 8 MM  T 15091IC04046116U</v>
      </c>
      <c r="E26" s="196">
        <f>+VLOOKUP(H26&amp;ALNAT[[#This Row],[N°]],CODIGOS_Y_COSTOS[[ID]:[COSTO]],7,0)</f>
        <v>1179.6469</v>
      </c>
      <c r="F26" s="196">
        <f t="shared" si="2"/>
        <v>58982.345000000001</v>
      </c>
      <c r="G26" s="197">
        <v>87</v>
      </c>
      <c r="H26" s="39" t="s">
        <v>6102</v>
      </c>
      <c r="I26" s="198" t="str">
        <f>+H26&amp;ALNAT[[#This Row],[N°]]</f>
        <v>CONECTORES NEUMÁTICOS87</v>
      </c>
      <c r="J26" s="876" t="str">
        <f>IFERROR(INDEX(ALNAT[CODIGO],MATCH(Tabla17[[#This Row],[TIPO]]&amp;Tabla17[[#This Row],[N°]],$I$3:$I$308,0),1),"")</f>
        <v>001-17</v>
      </c>
      <c r="K26" s="1266">
        <v>50</v>
      </c>
      <c r="L26" s="195" t="str">
        <f>IFERROR(VLOOKUP(Tabla17[[#This Row],[CODIGO]],ALNAT[[CODIGO]:[DESCRIPCIÓN]],3,0),"")</f>
        <v>PTA ACOPLE RAP 1/4 R H 1/4 BSP</v>
      </c>
      <c r="M26" s="196">
        <f>IFERROR(VLOOKUP(Tabla17[[#This Row],[CODIGO]],ALNAT[],4,0),0)</f>
        <v>1067.6955</v>
      </c>
      <c r="N26" s="196">
        <f t="shared" si="17"/>
        <v>53384.775000000001</v>
      </c>
      <c r="O26" s="1065">
        <v>25</v>
      </c>
      <c r="P26" t="s">
        <v>4353</v>
      </c>
      <c r="Q26" s="32"/>
      <c r="R26" s="389"/>
      <c r="S26" s="480"/>
      <c r="T26" s="480"/>
      <c r="U26" s="504" t="e">
        <v>#N/A</v>
      </c>
      <c r="V26" s="89"/>
      <c r="W26" s="90"/>
      <c r="X26" s="95"/>
      <c r="AG26" s="490"/>
      <c r="AH26" s="494"/>
      <c r="AI26" s="181"/>
      <c r="AJ26" s="197"/>
      <c r="AK26" s="39"/>
      <c r="AL26" s="1"/>
      <c r="AM26" s="1">
        <f t="shared" si="9"/>
        <v>0</v>
      </c>
      <c r="AN26" s="62"/>
      <c r="AW26" s="1"/>
      <c r="AY26" s="1"/>
      <c r="AZ26" s="1"/>
      <c r="BA26" s="95"/>
      <c r="BC26">
        <v>68</v>
      </c>
    </row>
    <row r="27" spans="1:57" ht="14.25" x14ac:dyDescent="0.2">
      <c r="A27" s="31"/>
      <c r="B27" t="s">
        <v>6175</v>
      </c>
      <c r="C27">
        <v>50</v>
      </c>
      <c r="D27" t="str">
        <f t="shared" si="1"/>
        <v>BIFURCACION R 1/4 MANG 6 MM  T 15091IC04046116U</v>
      </c>
      <c r="E27" s="196">
        <f>+VLOOKUP(H27&amp;ALNAT[[#This Row],[N°]],CODIGOS_Y_COSTOS[[ID]:[COSTO]],7,0)</f>
        <v>1206.4571000000001</v>
      </c>
      <c r="F27" s="196">
        <f t="shared" si="2"/>
        <v>60322.855000000003</v>
      </c>
      <c r="G27" s="197">
        <v>89</v>
      </c>
      <c r="H27" s="39" t="s">
        <v>6102</v>
      </c>
      <c r="I27" s="198" t="str">
        <f>+H27&amp;ALNAT[[#This Row],[N°]]</f>
        <v>CONECTORES NEUMÁTICOS89</v>
      </c>
      <c r="J27" s="876" t="str">
        <f>IFERROR(INDEX(ALNAT[CODIGO],MATCH(Tabla17[[#This Row],[TIPO]]&amp;Tabla17[[#This Row],[N°]],$I$3:$I$308,0),1),"")</f>
        <v>004-06</v>
      </c>
      <c r="K27" s="1266">
        <f>IFERROR(VLOOKUP(Tabla17[[#This Row],[CODIGO]],ALNAT[[CODIGO]:[DESCRIPCIÓN]],2,0),"")</f>
        <v>50</v>
      </c>
      <c r="L27" s="195" t="str">
        <f>IFERROR(VLOOKUP(Tabla17[[#This Row],[CODIGO]],ALNAT[[CODIGO]:[DESCRIPCIÓN]],3,0),"")</f>
        <v>RACORD R H 1/4 BSP MANG 9.5 MM</v>
      </c>
      <c r="M27" s="196">
        <f>IFERROR(VLOOKUP(Tabla17[[#This Row],[CODIGO]],ALNAT[],4,0),0)</f>
        <v>1001.0410000000001</v>
      </c>
      <c r="N27" s="196">
        <f t="shared" si="17"/>
        <v>50052.05</v>
      </c>
      <c r="O27" s="1065">
        <v>32</v>
      </c>
      <c r="P27" t="s">
        <v>4353</v>
      </c>
      <c r="Q27" s="13"/>
      <c r="R27" s="389"/>
      <c r="S27" s="480"/>
      <c r="T27" s="480"/>
      <c r="U27" s="504" t="e">
        <v>#N/A</v>
      </c>
      <c r="V27" s="89"/>
      <c r="W27" s="90"/>
      <c r="X27" s="95"/>
      <c r="AG27" s="490"/>
      <c r="AH27" s="494"/>
      <c r="AI27" s="181"/>
      <c r="AJ27" s="197"/>
      <c r="AK27" s="39"/>
      <c r="AL27" s="1"/>
      <c r="AM27" s="1">
        <f t="shared" si="9"/>
        <v>0</v>
      </c>
      <c r="AN27" s="62"/>
      <c r="AW27" s="1"/>
      <c r="AY27" s="1"/>
      <c r="AZ27" s="1"/>
      <c r="BA27" s="95"/>
      <c r="BC27">
        <v>84</v>
      </c>
    </row>
    <row r="28" spans="1:57" ht="14.25" x14ac:dyDescent="0.2">
      <c r="A28" s="31"/>
      <c r="B28" t="s">
        <v>6178</v>
      </c>
      <c r="C28">
        <v>50</v>
      </c>
      <c r="D28" t="str">
        <f t="shared" si="1"/>
        <v>BIFURCACION R 1/4 MANG 8 MM  T 15091IC04046116U</v>
      </c>
      <c r="E28" s="196">
        <f>+VLOOKUP(H28&amp;ALNAT[[#This Row],[N°]],CODIGOS_Y_COSTOS[[ID]:[COSTO]],7,0)</f>
        <v>1276.1635000000001</v>
      </c>
      <c r="F28" s="196">
        <f t="shared" si="2"/>
        <v>63808.175000000003</v>
      </c>
      <c r="G28" s="197">
        <v>90</v>
      </c>
      <c r="H28" s="39" t="s">
        <v>6102</v>
      </c>
      <c r="I28" s="198" t="str">
        <f>+H28&amp;ALNAT[[#This Row],[N°]]</f>
        <v>CONECTORES NEUMÁTICOS90</v>
      </c>
      <c r="J28" s="876" t="str">
        <f>IFERROR(INDEX(ALNAT[CODIGO],MATCH(Tabla17[[#This Row],[TIPO]]&amp;Tabla17[[#This Row],[N°]],$I$3:$I$308,0),1),"")</f>
        <v>004-07</v>
      </c>
      <c r="K28" s="1266">
        <f>IFERROR(VLOOKUP(Tabla17[[#This Row],[CODIGO]],ALNAT[[CODIGO]:[DESCRIPCIÓN]],2,0),"")</f>
        <v>50</v>
      </c>
      <c r="L28" s="195" t="str">
        <f>IFERROR(VLOOKUP(Tabla17[[#This Row],[CODIGO]],ALNAT[[CODIGO]:[DESCRIPCIÓN]],3,0),"")</f>
        <v>RACORD  RH 1/4 BSP MANG 12.7 MM</v>
      </c>
      <c r="M28" s="196">
        <f>IFERROR(VLOOKUP(Tabla17[[#This Row],[CODIGO]],ALNAT[],4,0),0)</f>
        <v>1134.7419</v>
      </c>
      <c r="N28" s="196">
        <f t="shared" si="17"/>
        <v>56737.095000000001</v>
      </c>
      <c r="O28" s="1065">
        <v>33</v>
      </c>
      <c r="P28" t="s">
        <v>4353</v>
      </c>
      <c r="Q28" s="13"/>
      <c r="R28" s="389"/>
      <c r="S28" s="480"/>
      <c r="T28" s="480"/>
      <c r="U28" s="504" t="e">
        <v>#N/A</v>
      </c>
      <c r="V28" s="89"/>
      <c r="W28" s="90"/>
      <c r="X28" s="95"/>
      <c r="AG28" s="490"/>
      <c r="AH28" s="494"/>
      <c r="AI28" s="181"/>
      <c r="AJ28" s="197"/>
      <c r="AK28" s="39"/>
      <c r="AL28" s="1"/>
      <c r="AM28" s="1">
        <f t="shared" si="9"/>
        <v>0</v>
      </c>
      <c r="AN28" s="62"/>
      <c r="AW28" s="1"/>
      <c r="AY28" s="1"/>
      <c r="AZ28" s="1"/>
      <c r="BA28" s="95"/>
      <c r="BC28">
        <v>10</v>
      </c>
    </row>
    <row r="29" spans="1:57" ht="14.25" x14ac:dyDescent="0.2">
      <c r="A29" s="31"/>
      <c r="B29" t="s">
        <v>6181</v>
      </c>
      <c r="C29">
        <v>50</v>
      </c>
      <c r="D29" t="str">
        <f t="shared" si="1"/>
        <v>BIFURCACION R 1/4 MANG 10 MM  T 15091IC04046116U</v>
      </c>
      <c r="E29" s="196">
        <f>+VLOOKUP(H29&amp;ALNAT[[#This Row],[N°]],CODIGOS_Y_COSTOS[[ID]:[COSTO]],7,0)</f>
        <v>1651.5056999999999</v>
      </c>
      <c r="F29" s="196">
        <f t="shared" si="2"/>
        <v>82575.285000000003</v>
      </c>
      <c r="G29" s="197">
        <v>91</v>
      </c>
      <c r="H29" s="39" t="s">
        <v>6102</v>
      </c>
      <c r="I29" s="198" t="str">
        <f>+H29&amp;ALNAT[[#This Row],[N°]]</f>
        <v>CONECTORES NEUMÁTICOS91</v>
      </c>
      <c r="J29" s="876" t="str">
        <f>IFERROR(INDEX(ALNAT[CODIGO],MATCH(Tabla17[[#This Row],[TIPO]]&amp;Tabla17[[#This Row],[N°]],$I$3:$I$308,0),1),"")</f>
        <v>011-10</v>
      </c>
      <c r="K29" s="1266">
        <v>50</v>
      </c>
      <c r="L29" s="195" t="str">
        <f>IFERROR(VLOOKUP(Tabla17[[#This Row],[CODIGO]],ALNAT[[CODIGO]:[DESCRIPCIÓN]],3,0),"")</f>
        <v>UNION DOBLE 4 MM</v>
      </c>
      <c r="M29" s="196">
        <f>IFERROR(VLOOKUP(Tabla17[[#This Row],[CODIGO]],ALNAT[],4,0),0)</f>
        <v>660.75300000000004</v>
      </c>
      <c r="N29" s="196">
        <f t="shared" si="17"/>
        <v>33037.65</v>
      </c>
      <c r="O29" s="1065">
        <v>40</v>
      </c>
      <c r="P29" t="s">
        <v>4353</v>
      </c>
      <c r="Q29" s="13"/>
      <c r="R29" s="389"/>
      <c r="S29" s="480" t="s">
        <v>9412</v>
      </c>
      <c r="T29" s="480" t="s">
        <v>9413</v>
      </c>
      <c r="U29" s="504">
        <v>8536.8692397813466</v>
      </c>
      <c r="V29" s="89" t="s">
        <v>9337</v>
      </c>
      <c r="W29" s="90">
        <f t="shared" ref="W29:W60" si="18">+IF(V29="Nacional",(1-$AA$1)*U29,(1-$AA$2)*U29)</f>
        <v>6061.1771602447561</v>
      </c>
      <c r="X29" s="95">
        <f>+R29/Tabla17[[#This Row],[FINAL]]-1</f>
        <v>-1</v>
      </c>
      <c r="AG29" s="491" t="s">
        <v>6160</v>
      </c>
      <c r="AH29" s="69" t="s">
        <v>6161</v>
      </c>
      <c r="AI29" s="60">
        <v>99.476327651896057</v>
      </c>
      <c r="AJ29" s="197">
        <v>79</v>
      </c>
      <c r="AK29" s="39" t="s">
        <v>6102</v>
      </c>
      <c r="AL29" s="1"/>
      <c r="AM29" s="1">
        <f t="shared" si="9"/>
        <v>0</v>
      </c>
      <c r="AN29" s="62">
        <f t="shared" si="10"/>
        <v>-1</v>
      </c>
      <c r="AT29" s="13">
        <v>102</v>
      </c>
      <c r="AU29" t="s">
        <v>9414</v>
      </c>
      <c r="AV29">
        <v>6.26</v>
      </c>
      <c r="AW29" s="1">
        <f t="shared" si="4"/>
        <v>8951.7999999999993</v>
      </c>
      <c r="AX29" s="13">
        <v>91</v>
      </c>
      <c r="AY29" s="1">
        <f>+_xlfn.XLOOKUP(AX29,$G$72:$G$128,$E$72:$E$128,0,0)</f>
        <v>2851.2669999999998</v>
      </c>
      <c r="AZ29" s="1">
        <f>IFERROR((VLOOKUP($BA$1&amp;AX29,CODIGOS_Y_COSTOS[[ID]:[Precio]],4,0)-(VLOOKUP($BA$1&amp;AX29,CODIGOS_Y_COSTOS[[ID]:[Precio]],4,0)*$AZ$1)),0)</f>
        <v>8904.3386399999999</v>
      </c>
      <c r="BA29" s="95">
        <f t="shared" ref="BA29" si="19">IF(AZ29=0,0,AZ29/AW29-1)</f>
        <v>-5.3018789517191856E-3</v>
      </c>
      <c r="BC29">
        <v>13</v>
      </c>
    </row>
    <row r="30" spans="1:57" ht="14.25" x14ac:dyDescent="0.2">
      <c r="A30" s="31"/>
      <c r="B30" t="s">
        <v>6184</v>
      </c>
      <c r="C30">
        <v>30</v>
      </c>
      <c r="D30" t="str">
        <f t="shared" si="1"/>
        <v>17001IC04156088A BIFURCACION R 1/4 MANG 12 MM</v>
      </c>
      <c r="E30" s="196">
        <f>+VLOOKUP(H30&amp;ALNAT[[#This Row],[N°]],CODIGOS_Y_COSTOS[[ID]:[COSTO]],7,0)</f>
        <v>1528.1790000000001</v>
      </c>
      <c r="F30" s="196">
        <f t="shared" si="2"/>
        <v>45845.37</v>
      </c>
      <c r="G30" s="197">
        <v>92</v>
      </c>
      <c r="H30" s="39" t="s">
        <v>6102</v>
      </c>
      <c r="I30" s="198" t="str">
        <f>+H30&amp;ALNAT[[#This Row],[N°]]</f>
        <v>CONECTORES NEUMÁTICOS92</v>
      </c>
      <c r="J30" s="876" t="str">
        <f>IFERROR(INDEX(ALNAT[CODIGO],MATCH(Tabla17[[#This Row],[TIPO]]&amp;Tabla17[[#This Row],[N°]],$I$3:$I$308,0),1),"")</f>
        <v>011-01</v>
      </c>
      <c r="K30" s="1266">
        <f>IFERROR(VLOOKUP(Tabla17[[#This Row],[CODIGO]],ALNAT[[CODIGO]:[DESCRIPCIÓN]],2,0),"")</f>
        <v>100</v>
      </c>
      <c r="L30" s="195" t="str">
        <f>IFERROR(VLOOKUP(Tabla17[[#This Row],[CODIGO]],ALNAT[[CODIGO]:[DESCRIPCIÓN]],3,0),"")</f>
        <v>UNION DOBLE 6 MM</v>
      </c>
      <c r="M30" s="196">
        <f>IFERROR(VLOOKUP(Tabla17[[#This Row],[CODIGO]],ALNAT[],4,0),0)</f>
        <v>579.8039</v>
      </c>
      <c r="N30" s="196">
        <f t="shared" si="17"/>
        <v>57980.39</v>
      </c>
      <c r="O30" s="1065">
        <v>41</v>
      </c>
      <c r="P30" t="s">
        <v>4353</v>
      </c>
      <c r="Q30" s="13"/>
      <c r="R30" s="389"/>
      <c r="S30" s="480" t="s">
        <v>9415</v>
      </c>
      <c r="T30" s="480" t="s">
        <v>9416</v>
      </c>
      <c r="U30" s="504">
        <v>9186.4617733621617</v>
      </c>
      <c r="V30" s="89" t="s">
        <v>9337</v>
      </c>
      <c r="W30" s="90">
        <f t="shared" si="18"/>
        <v>6522.3878590871345</v>
      </c>
      <c r="X30" s="95">
        <f>+R30/Tabla17[[#This Row],[FINAL]]-1</f>
        <v>-1</v>
      </c>
      <c r="AG30" s="490" t="s">
        <v>6163</v>
      </c>
      <c r="AH30" s="494" t="s">
        <v>6164</v>
      </c>
      <c r="AI30" s="181">
        <v>91.517779911436975</v>
      </c>
      <c r="AJ30" s="197">
        <v>80</v>
      </c>
      <c r="AK30" s="39" t="s">
        <v>6102</v>
      </c>
      <c r="AL30" s="1"/>
      <c r="AM30" s="1">
        <f t="shared" si="9"/>
        <v>0</v>
      </c>
      <c r="AN30" s="62">
        <f t="shared" si="10"/>
        <v>-1</v>
      </c>
      <c r="AT30" s="13">
        <v>103</v>
      </c>
      <c r="AU30" t="s">
        <v>9408</v>
      </c>
      <c r="AV30">
        <v>5</v>
      </c>
      <c r="AW30" s="1">
        <f t="shared" si="4"/>
        <v>7150</v>
      </c>
      <c r="AX30" s="13">
        <v>93</v>
      </c>
      <c r="AY30" s="1">
        <f>+_xlfn.XLOOKUP(AX30,$G$72:$G$128,$E$72:$E$128,0,0)</f>
        <v>3073.5763999999999</v>
      </c>
      <c r="BC30">
        <v>31</v>
      </c>
    </row>
    <row r="31" spans="1:57" ht="14.25" x14ac:dyDescent="0.2">
      <c r="A31" s="31"/>
      <c r="B31" t="s">
        <v>6187</v>
      </c>
      <c r="C31">
        <v>100</v>
      </c>
      <c r="D31" t="str">
        <f t="shared" si="1"/>
        <v>20001IC04164806Y  UNION DOBLE PLAST 6 MM</v>
      </c>
      <c r="E31" s="196">
        <f>+VLOOKUP(H31&amp;ALNAT[[#This Row],[N°]],CODIGOS_Y_COSTOS[[ID]:[COSTO]],7,0)</f>
        <v>290.03519999999997</v>
      </c>
      <c r="F31" s="196">
        <f t="shared" si="2"/>
        <v>29003.519999999997</v>
      </c>
      <c r="G31" s="197">
        <v>97</v>
      </c>
      <c r="H31" s="39" t="s">
        <v>6102</v>
      </c>
      <c r="I31" s="198" t="str">
        <f>+H31&amp;ALNAT[[#This Row],[N°]]</f>
        <v>CONECTORES NEUMÁTICOS97</v>
      </c>
      <c r="J31" s="876" t="str">
        <f>IFERROR(INDEX(ALNAT[CODIGO],MATCH(Tabla17[[#This Row],[TIPO]]&amp;Tabla17[[#This Row],[N°]],$I$3:$I$308,0),1),"")</f>
        <v>011-04</v>
      </c>
      <c r="K31" s="1266">
        <f>IFERROR(VLOOKUP(Tabla17[[#This Row],[CODIGO]],ALNAT[[CODIGO]:[DESCRIPCIÓN]],2,0),"")</f>
        <v>50</v>
      </c>
      <c r="L31" s="195" t="str">
        <f>IFERROR(VLOOKUP(Tabla17[[#This Row],[CODIGO]],ALNAT[[CODIGO]:[DESCRIPCIÓN]],3,0),"")</f>
        <v>UNION DOBLE 12.70 MM</v>
      </c>
      <c r="M31" s="196">
        <f>IFERROR(VLOOKUP(Tabla17[[#This Row],[CODIGO]],ALNAT[],4,0),0)</f>
        <v>1095.1831</v>
      </c>
      <c r="N31" s="196">
        <f t="shared" si="17"/>
        <v>54759.154999999999</v>
      </c>
      <c r="O31" s="1065">
        <v>45</v>
      </c>
      <c r="P31" t="s">
        <v>4353</v>
      </c>
      <c r="Q31" s="13"/>
      <c r="R31" s="498"/>
      <c r="S31" s="480" t="s">
        <v>9417</v>
      </c>
      <c r="T31" s="480" t="s">
        <v>9418</v>
      </c>
      <c r="U31" s="504">
        <v>9186.4617733621617</v>
      </c>
      <c r="V31" s="89" t="s">
        <v>9337</v>
      </c>
      <c r="W31" s="90">
        <f t="shared" si="18"/>
        <v>6522.3878590871345</v>
      </c>
      <c r="AG31" s="491" t="s">
        <v>6166</v>
      </c>
      <c r="AH31" s="69" t="s">
        <v>6167</v>
      </c>
      <c r="AI31" s="60">
        <v>104.58701780977752</v>
      </c>
      <c r="AJ31" s="197">
        <v>81</v>
      </c>
      <c r="AK31" s="39" t="s">
        <v>6102</v>
      </c>
      <c r="AL31" s="1"/>
      <c r="AM31" s="1">
        <f t="shared" si="9"/>
        <v>0</v>
      </c>
      <c r="AN31" s="62">
        <f t="shared" si="10"/>
        <v>-1</v>
      </c>
    </row>
    <row r="32" spans="1:57" ht="14.25" x14ac:dyDescent="0.2">
      <c r="A32" s="31"/>
      <c r="B32" t="s">
        <v>6190</v>
      </c>
      <c r="C32">
        <v>100</v>
      </c>
      <c r="D32" t="str">
        <f t="shared" si="1"/>
        <v>20001IC04164806Y UNION DOBLE RAPIDA PLAST 8 M</v>
      </c>
      <c r="E32" s="196">
        <f>+VLOOKUP(H32&amp;ALNAT[[#This Row],[N°]],CODIGOS_Y_COSTOS[[ID]:[COSTO]],7,0)</f>
        <v>290.03519999999997</v>
      </c>
      <c r="F32" s="196">
        <f t="shared" si="2"/>
        <v>29003.519999999997</v>
      </c>
      <c r="G32" s="197">
        <v>98</v>
      </c>
      <c r="H32" s="39" t="s">
        <v>6102</v>
      </c>
      <c r="I32" s="198" t="str">
        <f>+H32&amp;ALNAT[[#This Row],[N°]]</f>
        <v>CONECTORES NEUMÁTICOS98</v>
      </c>
      <c r="J32" s="876" t="str">
        <f>IFERROR(INDEX(ALNAT[CODIGO],MATCH(Tabla17[[#This Row],[TIPO]]&amp;Tabla17[[#This Row],[N°]],$I$3:$I$308,0),1),"")</f>
        <v>011-05</v>
      </c>
      <c r="K32" s="1266">
        <v>20</v>
      </c>
      <c r="L32" s="195" t="str">
        <f>IFERROR(VLOOKUP(Tabla17[[#This Row],[CODIGO]],ALNAT[[CODIGO]:[DESCRIPCIÓN]],3,0),"")</f>
        <v>UNION DOBLE 16 MM</v>
      </c>
      <c r="M32" s="196">
        <f>IFERROR(VLOOKUP(Tabla17[[#This Row],[CODIGO]],ALNAT[],4,0),0)</f>
        <v>2361.6336999999999</v>
      </c>
      <c r="N32" s="196">
        <f t="shared" si="17"/>
        <v>47232.673999999999</v>
      </c>
      <c r="O32" s="1065">
        <v>46</v>
      </c>
      <c r="P32" t="s">
        <v>4353</v>
      </c>
      <c r="Q32" s="13"/>
      <c r="R32" s="498"/>
      <c r="S32" s="480" t="s">
        <v>9419</v>
      </c>
      <c r="T32" s="480" t="s">
        <v>9420</v>
      </c>
      <c r="U32" s="504">
        <v>9186.4617733621617</v>
      </c>
      <c r="V32" s="89" t="s">
        <v>9337</v>
      </c>
      <c r="W32" s="90">
        <f t="shared" si="18"/>
        <v>6522.3878590871345</v>
      </c>
      <c r="AG32" s="490" t="s">
        <v>6169</v>
      </c>
      <c r="AH32" s="494" t="s">
        <v>6170</v>
      </c>
      <c r="AI32" s="181">
        <v>117.55691183895838</v>
      </c>
      <c r="AJ32" s="197">
        <v>86</v>
      </c>
      <c r="AK32" s="39" t="s">
        <v>6102</v>
      </c>
      <c r="AL32" s="1"/>
      <c r="AM32" s="1">
        <f t="shared" si="9"/>
        <v>0</v>
      </c>
      <c r="AN32" s="62">
        <f t="shared" si="10"/>
        <v>-1</v>
      </c>
    </row>
    <row r="33" spans="1:63" ht="14.25" x14ac:dyDescent="0.2">
      <c r="A33" s="31"/>
      <c r="B33" t="s">
        <v>6193</v>
      </c>
      <c r="C33">
        <v>100</v>
      </c>
      <c r="D33" t="str">
        <f t="shared" si="1"/>
        <v>20001IC04164806Y  UNION DOBLE RAPIDA PLAST 10 M</v>
      </c>
      <c r="E33" s="196">
        <f>+VLOOKUP(H33&amp;ALNAT[[#This Row],[N°]],CODIGOS_Y_COSTOS[[ID]:[COSTO]],7,0)</f>
        <v>456.01920000000001</v>
      </c>
      <c r="F33" s="196">
        <f t="shared" si="2"/>
        <v>45601.919999999998</v>
      </c>
      <c r="G33" s="197">
        <v>99</v>
      </c>
      <c r="H33" s="39" t="s">
        <v>6102</v>
      </c>
      <c r="I33" s="198" t="str">
        <f>+H33&amp;ALNAT[[#This Row],[N°]]</f>
        <v>CONECTORES NEUMÁTICOS99</v>
      </c>
      <c r="J33" s="876" t="str">
        <f>IFERROR(INDEX(ALNAT[CODIGO],MATCH(Tabla17[[#This Row],[TIPO]]&amp;Tabla17[[#This Row],[N°]],$I$3:$I$308,0),1),"")</f>
        <v>011-06</v>
      </c>
      <c r="K33" s="1266">
        <v>20</v>
      </c>
      <c r="L33" s="195" t="str">
        <f>IFERROR(VLOOKUP(Tabla17[[#This Row],[CODIGO]],ALNAT[[CODIGO]:[DESCRIPCIÓN]],3,0),"")</f>
        <v>UNION DOBLE 19 MM</v>
      </c>
      <c r="M33" s="196">
        <f>IFERROR(VLOOKUP(Tabla17[[#This Row],[CODIGO]],ALNAT[],4,0),0)</f>
        <v>3495.0733</v>
      </c>
      <c r="N33" s="196">
        <f t="shared" si="17"/>
        <v>69901.466</v>
      </c>
      <c r="O33" s="1065">
        <v>47</v>
      </c>
      <c r="P33" t="s">
        <v>4353</v>
      </c>
      <c r="Q33" s="13"/>
      <c r="R33" s="389"/>
      <c r="S33" s="480" t="s">
        <v>9421</v>
      </c>
      <c r="T33" s="480" t="s">
        <v>9422</v>
      </c>
      <c r="U33" s="504">
        <v>9186.4617733621617</v>
      </c>
      <c r="V33" s="89" t="s">
        <v>9337</v>
      </c>
      <c r="W33" s="90">
        <f t="shared" si="18"/>
        <v>6522.3878590871345</v>
      </c>
      <c r="AG33" s="491" t="s">
        <v>6172</v>
      </c>
      <c r="AH33" s="69" t="s">
        <v>6173</v>
      </c>
      <c r="AI33" s="60">
        <v>137.55814416310793</v>
      </c>
      <c r="AJ33" s="197">
        <v>87</v>
      </c>
      <c r="AK33" s="39" t="s">
        <v>6102</v>
      </c>
      <c r="AL33" s="1"/>
      <c r="AM33" s="1">
        <f t="shared" si="9"/>
        <v>0</v>
      </c>
      <c r="AN33" s="62">
        <f t="shared" si="10"/>
        <v>-1</v>
      </c>
    </row>
    <row r="34" spans="1:63" ht="14.25" x14ac:dyDescent="0.2">
      <c r="A34" s="31"/>
      <c r="B34" t="s">
        <v>6196</v>
      </c>
      <c r="C34">
        <v>50</v>
      </c>
      <c r="D34" t="str">
        <f t="shared" si="1"/>
        <v>20001IC04164806Y  UNION DOBLE RAPIDA PLAST 12 M</v>
      </c>
      <c r="E34" s="196">
        <f>+VLOOKUP(H34&amp;ALNAT[[#This Row],[N°]],CODIGOS_Y_COSTOS[[ID]:[COSTO]],7,0)</f>
        <v>573.08159999999998</v>
      </c>
      <c r="F34" s="196">
        <f t="shared" si="2"/>
        <v>28654.079999999998</v>
      </c>
      <c r="G34" s="197">
        <v>100</v>
      </c>
      <c r="H34" s="39" t="s">
        <v>6102</v>
      </c>
      <c r="I34" s="198" t="str">
        <f>+H34&amp;ALNAT[[#This Row],[N°]]</f>
        <v>CONECTORES NEUMÁTICOS100</v>
      </c>
      <c r="J34" s="876" t="str">
        <f>IFERROR(INDEX(ALNAT[CODIGO],MATCH(Tabla17[[#This Row],[TIPO]]&amp;Tabla17[[#This Row],[N°]],$I$3:$I$308,0),1),"")</f>
        <v>019-01</v>
      </c>
      <c r="K34" s="1266">
        <v>30</v>
      </c>
      <c r="L34" s="195" t="str">
        <f>IFERROR(VLOOKUP(Tabla17[[#This Row],[CODIGO]],ALNAT[[CODIGO]:[DESCRIPCIÓN]],3,0),"")</f>
        <v>UNION TRIPLE 6 MM</v>
      </c>
      <c r="M34" s="196">
        <f>IFERROR(VLOOKUP(Tabla17[[#This Row],[CODIGO]],ALNAT[],4,0),0)</f>
        <v>1735.0612000000001</v>
      </c>
      <c r="N34" s="196">
        <f t="shared" si="17"/>
        <v>52051.836000000003</v>
      </c>
      <c r="O34" s="1065">
        <v>50</v>
      </c>
      <c r="P34" t="s">
        <v>4353</v>
      </c>
      <c r="Q34" s="13"/>
      <c r="R34" s="498"/>
      <c r="S34" s="480" t="s">
        <v>9423</v>
      </c>
      <c r="T34" s="480" t="s">
        <v>9424</v>
      </c>
      <c r="U34" s="504">
        <v>1031.8197550870464</v>
      </c>
      <c r="V34" s="89" t="s">
        <v>9337</v>
      </c>
      <c r="W34" s="90">
        <f t="shared" si="18"/>
        <v>732.59202611180285</v>
      </c>
      <c r="AG34" s="490" t="s">
        <v>6175</v>
      </c>
      <c r="AH34" s="494" t="s">
        <v>6176</v>
      </c>
      <c r="AI34" s="181">
        <v>140.69299514548015</v>
      </c>
      <c r="AJ34" s="197">
        <v>89</v>
      </c>
      <c r="AK34" s="39" t="s">
        <v>6102</v>
      </c>
      <c r="AL34" s="1"/>
      <c r="AM34" s="1">
        <f t="shared" si="9"/>
        <v>0</v>
      </c>
      <c r="AN34" s="62">
        <f t="shared" si="10"/>
        <v>-1</v>
      </c>
    </row>
    <row r="35" spans="1:63" ht="14.25" x14ac:dyDescent="0.2">
      <c r="A35" s="31"/>
      <c r="B35" t="s">
        <v>6201</v>
      </c>
      <c r="C35">
        <v>50</v>
      </c>
      <c r="D35" t="str">
        <f t="shared" si="1"/>
        <v>20001IC04206029X UNION TRIPLE  PLAST 6 MM</v>
      </c>
      <c r="E35" s="196">
        <f>+VLOOKUP(H35&amp;ALNAT[[#This Row],[N°]],CODIGOS_Y_COSTOS[[ID]:[COSTO]],7,0)</f>
        <v>431.55840000000001</v>
      </c>
      <c r="F35" s="196">
        <f t="shared" ref="F35:F66" si="20">+E35*C35</f>
        <v>21577.920000000002</v>
      </c>
      <c r="G35" s="197">
        <v>108</v>
      </c>
      <c r="H35" s="39" t="s">
        <v>6102</v>
      </c>
      <c r="I35" s="198" t="str">
        <f>+H35&amp;ALNAT[[#This Row],[N°]]</f>
        <v>CONECTORES NEUMÁTICOS108</v>
      </c>
      <c r="J35" s="876" t="str">
        <f>IFERROR(INDEX(ALNAT[CODIGO],MATCH(Tabla17[[#This Row],[TIPO]]&amp;Tabla17[[#This Row],[N°]],$I$3:$I$308,0),1),"")</f>
        <v>019-02</v>
      </c>
      <c r="K35" s="1266">
        <v>30</v>
      </c>
      <c r="L35" s="195" t="str">
        <f>IFERROR(VLOOKUP(Tabla17[[#This Row],[CODIGO]],ALNAT[[CODIGO]:[DESCRIPCIÓN]],3,0),"")</f>
        <v>UNION TRIPLE 8 MM</v>
      </c>
      <c r="M35" s="196">
        <f>IFERROR(VLOOKUP(Tabla17[[#This Row],[CODIGO]],ALNAT[],4,0),0)</f>
        <v>1735.0612000000001</v>
      </c>
      <c r="N35" s="196">
        <f t="shared" si="17"/>
        <v>52051.836000000003</v>
      </c>
      <c r="O35" s="1065">
        <v>51</v>
      </c>
      <c r="P35" t="s">
        <v>4353</v>
      </c>
      <c r="Q35" s="13"/>
      <c r="R35" s="389"/>
      <c r="S35" s="480" t="s">
        <v>9425</v>
      </c>
      <c r="T35" s="480" t="s">
        <v>9426</v>
      </c>
      <c r="U35" s="504">
        <v>864.95831446349234</v>
      </c>
      <c r="V35" s="89" t="s">
        <v>9337</v>
      </c>
      <c r="W35" s="90">
        <f t="shared" si="18"/>
        <v>614.12040326907959</v>
      </c>
      <c r="AG35" s="491" t="s">
        <v>6178</v>
      </c>
      <c r="AH35" s="69" t="s">
        <v>6179</v>
      </c>
      <c r="AI35" s="60">
        <v>148.81711600120536</v>
      </c>
      <c r="AJ35" s="197">
        <v>90</v>
      </c>
      <c r="AK35" s="39" t="s">
        <v>6102</v>
      </c>
      <c r="AL35" s="1"/>
      <c r="AM35" s="1">
        <f t="shared" si="9"/>
        <v>0</v>
      </c>
      <c r="AN35" s="62">
        <f t="shared" si="10"/>
        <v>-1</v>
      </c>
    </row>
    <row r="36" spans="1:63" ht="14.25" x14ac:dyDescent="0.2">
      <c r="A36" s="31"/>
      <c r="B36" t="s">
        <v>6204</v>
      </c>
      <c r="C36">
        <v>50</v>
      </c>
      <c r="D36" t="str">
        <f t="shared" si="1"/>
        <v>20001IC04038164L UNION TRIPLE  PLAST 8 MM</v>
      </c>
      <c r="E36" s="196">
        <f>+VLOOKUP(H36&amp;ALNAT[[#This Row],[N°]],CODIGOS_Y_COSTOS[[ID]:[COSTO]],7,0)</f>
        <v>431.55840000000001</v>
      </c>
      <c r="F36" s="196">
        <f t="shared" si="20"/>
        <v>21577.920000000002</v>
      </c>
      <c r="G36" s="197">
        <v>109</v>
      </c>
      <c r="H36" s="39" t="s">
        <v>6102</v>
      </c>
      <c r="I36" s="198" t="str">
        <f>+H36&amp;ALNAT[[#This Row],[N°]]</f>
        <v>CONECTORES NEUMÁTICOS109</v>
      </c>
      <c r="J36" s="876" t="str">
        <f>IFERROR(INDEX(ALNAT[CODIGO],MATCH(Tabla17[[#This Row],[TIPO]]&amp;Tabla17[[#This Row],[N°]],$I$3:$I$308,0),1),"")</f>
        <v>008-03</v>
      </c>
      <c r="K36" s="1266">
        <v>30</v>
      </c>
      <c r="L36" s="195" t="str">
        <f>IFERROR(VLOOKUP(Tabla17[[#This Row],[CODIGO]],ALNAT[[CODIGO]:[DESCRIPCIÓN]],3,0),"")</f>
        <v>RED R M 1/2 BSPT - R M 1/4 BSPT</v>
      </c>
      <c r="M36" s="196">
        <f>IFERROR(VLOOKUP(Tabla17[[#This Row],[CODIGO]],ALNAT[],4,0),0)</f>
        <v>1713.9051999999999</v>
      </c>
      <c r="N36" s="196">
        <f t="shared" si="17"/>
        <v>51417.155999999995</v>
      </c>
      <c r="O36" s="1065">
        <v>56</v>
      </c>
      <c r="P36" t="s">
        <v>4353</v>
      </c>
      <c r="Q36" s="13"/>
      <c r="R36" s="498"/>
      <c r="S36" s="480" t="s">
        <v>4418</v>
      </c>
      <c r="T36" s="480" t="s">
        <v>4419</v>
      </c>
      <c r="U36" s="504">
        <v>1310.5328702621146</v>
      </c>
      <c r="V36" s="89" t="s">
        <v>9337</v>
      </c>
      <c r="W36" s="96">
        <f t="shared" si="18"/>
        <v>930.47833788610126</v>
      </c>
      <c r="Y36" s="1"/>
      <c r="AG36" s="490" t="s">
        <v>6181</v>
      </c>
      <c r="AH36" s="494" t="s">
        <v>6182</v>
      </c>
      <c r="AI36" s="181">
        <v>192.58360946988802</v>
      </c>
      <c r="AJ36" s="197">
        <v>91</v>
      </c>
      <c r="AK36" s="39" t="s">
        <v>6102</v>
      </c>
      <c r="AL36" s="1"/>
      <c r="AM36" s="1">
        <f t="shared" si="9"/>
        <v>0</v>
      </c>
      <c r="AN36" s="62">
        <f t="shared" si="10"/>
        <v>-1</v>
      </c>
    </row>
    <row r="37" spans="1:63" ht="14.25" x14ac:dyDescent="0.2">
      <c r="A37" s="31"/>
      <c r="B37" t="s">
        <v>6207</v>
      </c>
      <c r="C37">
        <v>50</v>
      </c>
      <c r="D37" t="str">
        <f t="shared" si="1"/>
        <v>20001IC04110132U UNION  TRIPLE  PLAST 10 MM</v>
      </c>
      <c r="E37" s="196">
        <f>+VLOOKUP(H37&amp;ALNAT[[#This Row],[N°]],CODIGOS_Y_COSTOS[[ID]:[COSTO]],7,0)</f>
        <v>476.98559999999998</v>
      </c>
      <c r="F37" s="196">
        <f t="shared" si="20"/>
        <v>23849.279999999999</v>
      </c>
      <c r="G37" s="197">
        <v>110</v>
      </c>
      <c r="H37" s="39" t="s">
        <v>6102</v>
      </c>
      <c r="I37" s="198" t="str">
        <f>+H37&amp;ALNAT[[#This Row],[N°]]</f>
        <v>CONECTORES NEUMÁTICOS110</v>
      </c>
      <c r="J37" s="876" t="str">
        <f>IFERROR(INDEX(ALNAT[CODIGO],MATCH(Tabla17[[#This Row],[TIPO]]&amp;Tabla17[[#This Row],[N°]],$I$3:$I$308,0),1),"")</f>
        <v>006-21</v>
      </c>
      <c r="K37" s="1266">
        <v>30</v>
      </c>
      <c r="L37" s="195" t="str">
        <f>IFERROR(VLOOKUP(Tabla17[[#This Row],[CODIGO]],ALNAT[[CODIGO]:[DESCRIPCIÓN]],3,0),"")</f>
        <v>REDUCCION H 1/4 BSP- M 1/8 BSPT</v>
      </c>
      <c r="M37" s="196">
        <f>IFERROR(VLOOKUP(Tabla17[[#This Row],[CODIGO]],ALNAT[],4,0),0)</f>
        <v>2104.7309</v>
      </c>
      <c r="N37" s="196">
        <f t="shared" si="12"/>
        <v>63141.927000000003</v>
      </c>
      <c r="O37" s="1065">
        <v>62</v>
      </c>
      <c r="P37" t="s">
        <v>4353</v>
      </c>
      <c r="Q37" s="13"/>
      <c r="R37" s="498"/>
      <c r="S37" s="480" t="s">
        <v>9427</v>
      </c>
      <c r="T37" s="480" t="s">
        <v>9428</v>
      </c>
      <c r="U37" s="504">
        <v>1950.991806225479</v>
      </c>
      <c r="V37" s="89" t="s">
        <v>9337</v>
      </c>
      <c r="W37" s="90">
        <f t="shared" si="18"/>
        <v>1385.2041824200901</v>
      </c>
      <c r="AG37" s="491" t="s">
        <v>6184</v>
      </c>
      <c r="AH37" s="69" t="s">
        <v>6185</v>
      </c>
      <c r="AI37" s="60">
        <v>202.49591997048745</v>
      </c>
      <c r="AJ37" s="197">
        <v>92</v>
      </c>
      <c r="AK37" s="39" t="s">
        <v>6102</v>
      </c>
      <c r="AL37" s="1"/>
      <c r="AM37" s="1">
        <f t="shared" si="9"/>
        <v>0</v>
      </c>
      <c r="AN37" s="62">
        <f t="shared" si="10"/>
        <v>-1</v>
      </c>
    </row>
    <row r="38" spans="1:63" ht="14.25" x14ac:dyDescent="0.2">
      <c r="A38" s="31"/>
      <c r="B38" t="s">
        <v>6210</v>
      </c>
      <c r="C38">
        <v>50</v>
      </c>
      <c r="D38" t="str">
        <f t="shared" si="1"/>
        <v>20001IC047199935C UNION TRIPLE  PLAST 12 MM</v>
      </c>
      <c r="E38" s="196">
        <f>+VLOOKUP(H38&amp;ALNAT[[#This Row],[N°]],CODIGOS_Y_COSTOS[[ID]:[COSTO]],7,0)</f>
        <v>688.39679999999998</v>
      </c>
      <c r="F38" s="196">
        <f t="shared" si="20"/>
        <v>34419.839999999997</v>
      </c>
      <c r="G38" s="197">
        <v>111</v>
      </c>
      <c r="H38" s="39" t="s">
        <v>6102</v>
      </c>
      <c r="I38" s="198" t="str">
        <f>+H38&amp;ALNAT[[#This Row],[N°]]</f>
        <v>CONECTORES NEUMÁTICOS111</v>
      </c>
      <c r="J38" s="876" t="str">
        <f>IFERROR(INDEX(ALNAT[CODIGO],MATCH(Tabla17[[#This Row],[TIPO]]&amp;Tabla17[[#This Row],[N°]],$I$3:$I$308,0),1),"")</f>
        <v>009-02</v>
      </c>
      <c r="K38" s="1266">
        <v>50</v>
      </c>
      <c r="L38" s="195" t="str">
        <f>IFERROR(VLOOKUP(Tabla17[[#This Row],[CODIGO]],ALNAT[[CODIGO]:[DESCRIPCIÓN]],3,0),"")</f>
        <v>CUPLA H-H 1/4 BSP</v>
      </c>
      <c r="M38" s="196">
        <f>IFERROR(VLOOKUP(Tabla17[[#This Row],[CODIGO]],ALNAT[],4,0),0)</f>
        <v>771.36030000000005</v>
      </c>
      <c r="N38" s="196">
        <f t="shared" si="12"/>
        <v>38568.014999999999</v>
      </c>
      <c r="O38" s="1065">
        <v>78</v>
      </c>
      <c r="P38" t="s">
        <v>4353</v>
      </c>
      <c r="Q38" s="13"/>
      <c r="R38" s="498"/>
      <c r="S38" s="480" t="s">
        <v>9429</v>
      </c>
      <c r="T38" s="480" t="s">
        <v>9430</v>
      </c>
      <c r="U38" s="504">
        <v>854.40654076011583</v>
      </c>
      <c r="V38" s="89" t="s">
        <v>9337</v>
      </c>
      <c r="W38" s="90">
        <f t="shared" si="18"/>
        <v>606.62864393968221</v>
      </c>
      <c r="AG38" s="490" t="s">
        <v>6187</v>
      </c>
      <c r="AH38" s="494" t="s">
        <v>6188</v>
      </c>
      <c r="AI38" s="181">
        <v>71.231761829029693</v>
      </c>
      <c r="AJ38" s="197">
        <v>97</v>
      </c>
      <c r="AK38" s="39" t="s">
        <v>6102</v>
      </c>
      <c r="AL38" s="1"/>
      <c r="AM38" s="1">
        <f t="shared" si="9"/>
        <v>0</v>
      </c>
      <c r="AN38" s="62">
        <f t="shared" si="10"/>
        <v>-1</v>
      </c>
    </row>
    <row r="39" spans="1:63" ht="14.25" x14ac:dyDescent="0.2">
      <c r="A39" s="31"/>
      <c r="B39" t="s">
        <v>6288</v>
      </c>
      <c r="C39">
        <v>30</v>
      </c>
      <c r="D39" t="str">
        <f t="shared" si="1"/>
        <v>20001IC04206029X REGUL CAUDAL CODO R 1/8 X 6 MM</v>
      </c>
      <c r="E39" s="196">
        <f>+VLOOKUP(H39&amp;ALNAT[[#This Row],[N°]],CODIGOS_Y_COSTOS[[ID]:[COSTO]],7,0)</f>
        <v>1848.6080999999999</v>
      </c>
      <c r="F39" s="196">
        <f t="shared" si="20"/>
        <v>55458.242999999995</v>
      </c>
      <c r="G39" s="197">
        <v>124</v>
      </c>
      <c r="H39" s="39" t="s">
        <v>6102</v>
      </c>
      <c r="I39" s="198" t="str">
        <f>+H39&amp;ALNAT[[#This Row],[N°]]</f>
        <v>CONECTORES NEUMÁTICOS124</v>
      </c>
      <c r="J39" s="876" t="str">
        <f>IFERROR(INDEX(ALNAT[CODIGO],MATCH(Tabla17[[#This Row],[TIPO]]&amp;Tabla17[[#This Row],[N°]],$I$3:$I$308,0),1),"")</f>
        <v>014-01A</v>
      </c>
      <c r="K39" s="1266">
        <v>20</v>
      </c>
      <c r="L39" s="195" t="str">
        <f>IFERROR(VLOOKUP(Tabla17[[#This Row],[CODIGO]],ALNAT[[CODIGO]:[DESCRIPCIÓN]],3,0),"")</f>
        <v>20001IC04164806Y  PICO INF NEUM COMUN P/ACOPL</v>
      </c>
      <c r="M39" s="196">
        <f>IFERROR(VLOOKUP(Tabla17[[#This Row],[CODIGO]],ALNAT[],4,0),0)</f>
        <v>2851.2669999999998</v>
      </c>
      <c r="N39" s="196">
        <f t="shared" si="12"/>
        <v>57025.34</v>
      </c>
      <c r="O39" s="1065">
        <v>90</v>
      </c>
      <c r="P39" t="s">
        <v>4353</v>
      </c>
      <c r="Q39" s="13"/>
      <c r="S39" s="480" t="s">
        <v>4355</v>
      </c>
      <c r="T39" s="480" t="s">
        <v>4356</v>
      </c>
      <c r="U39" s="504">
        <v>809.88021744415607</v>
      </c>
      <c r="V39" s="89" t="s">
        <v>9337</v>
      </c>
      <c r="W39" s="90">
        <f t="shared" si="18"/>
        <v>575.01495438535073</v>
      </c>
      <c r="AG39" s="491" t="s">
        <v>6190</v>
      </c>
      <c r="AH39" s="69" t="s">
        <v>6191</v>
      </c>
      <c r="AI39" s="60">
        <v>77.80965055232285</v>
      </c>
      <c r="AJ39" s="197">
        <v>98</v>
      </c>
      <c r="AK39" s="39" t="s">
        <v>6102</v>
      </c>
      <c r="AL39" s="1"/>
      <c r="AM39" s="1">
        <f t="shared" si="9"/>
        <v>0</v>
      </c>
      <c r="AN39" s="62">
        <f t="shared" si="10"/>
        <v>-1</v>
      </c>
    </row>
    <row r="40" spans="1:63" ht="14.25" x14ac:dyDescent="0.2">
      <c r="A40" s="31"/>
      <c r="B40" t="s">
        <v>6291</v>
      </c>
      <c r="C40">
        <v>30</v>
      </c>
      <c r="D40" t="str">
        <f t="shared" si="1"/>
        <v>20001IC04206029X REGUL CAUDAL CODO R 1/8 X 8 MM</v>
      </c>
      <c r="E40" s="196">
        <f>+VLOOKUP(H40&amp;ALNAT[[#This Row],[N°]],CODIGOS_Y_COSTOS[[ID]:[COSTO]],7,0)</f>
        <v>1848.6080999999999</v>
      </c>
      <c r="F40" s="196">
        <f t="shared" si="20"/>
        <v>55458.242999999995</v>
      </c>
      <c r="G40" s="197">
        <v>125</v>
      </c>
      <c r="H40" s="39" t="s">
        <v>6102</v>
      </c>
      <c r="I40" s="198" t="str">
        <f>+H40&amp;ALNAT[[#This Row],[N°]]</f>
        <v>CONECTORES NEUMÁTICOS125</v>
      </c>
      <c r="J40" s="876" t="str">
        <f>IFERROR(INDEX(ALNAT[CODIGO],MATCH(Tabla17[[#This Row],[TIPO]]&amp;Tabla17[[#This Row],[N°]],$I$3:$I$308,0),1),"")</f>
        <v>014-01</v>
      </c>
      <c r="K40" s="1266">
        <v>20</v>
      </c>
      <c r="L40" s="195" t="str">
        <f>IFERROR(VLOOKUP(Tabla17[[#This Row],[CODIGO]],ALNAT[[CODIGO]:[DESCRIPCIÓN]],3,0),"")</f>
        <v>20001IC04164806Y PICO P/INFLAR NEUM  P/MG 8MM</v>
      </c>
      <c r="M40" s="196">
        <f>IFERROR(VLOOKUP(Tabla17[[#This Row],[CODIGO]],ALNAT[],4,0),0)</f>
        <v>2851.2669999999998</v>
      </c>
      <c r="N40" s="196">
        <f t="shared" ref="N40:N72" si="21">+IFERROR(M40*K40,0)</f>
        <v>57025.34</v>
      </c>
      <c r="O40" s="1065">
        <v>91</v>
      </c>
      <c r="P40" t="s">
        <v>4353</v>
      </c>
      <c r="Q40" s="13"/>
      <c r="S40" s="480" t="s">
        <v>9431</v>
      </c>
      <c r="T40" s="480" t="s">
        <v>9432</v>
      </c>
      <c r="U40" s="504">
        <v>3359.5953800592961</v>
      </c>
      <c r="V40" s="89" t="s">
        <v>9337</v>
      </c>
      <c r="W40" s="90">
        <f t="shared" si="18"/>
        <v>2385.3127198421003</v>
      </c>
      <c r="AG40" s="490" t="s">
        <v>6193</v>
      </c>
      <c r="AH40" s="494" t="s">
        <v>6194</v>
      </c>
      <c r="AI40" s="181">
        <v>90.781752223040584</v>
      </c>
      <c r="AJ40" s="197">
        <v>99</v>
      </c>
      <c r="AK40" s="39" t="s">
        <v>6102</v>
      </c>
      <c r="AL40" s="1"/>
      <c r="AM40" s="1">
        <f t="shared" si="9"/>
        <v>0</v>
      </c>
      <c r="AN40" s="62">
        <f t="shared" si="10"/>
        <v>-1</v>
      </c>
    </row>
    <row r="41" spans="1:63" ht="14.25" x14ac:dyDescent="0.2">
      <c r="A41" s="31"/>
      <c r="B41" t="s">
        <v>6294</v>
      </c>
      <c r="C41">
        <v>30</v>
      </c>
      <c r="D41" t="str">
        <f t="shared" si="1"/>
        <v>19001IC04030938U REGUL CAUDAL CODO R 1/4 X 6 MM</v>
      </c>
      <c r="E41" s="196">
        <f>+VLOOKUP(H41&amp;ALNAT[[#This Row],[N°]],CODIGOS_Y_COSTOS[[ID]:[COSTO]],7,0)</f>
        <v>2923.3802000000001</v>
      </c>
      <c r="F41" s="196">
        <f t="shared" si="20"/>
        <v>87701.406000000003</v>
      </c>
      <c r="G41" s="197">
        <v>126</v>
      </c>
      <c r="H41" s="39" t="s">
        <v>6102</v>
      </c>
      <c r="I41" s="198" t="str">
        <f>+H41&amp;ALNAT[[#This Row],[N°]]</f>
        <v>CONECTORES NEUMÁTICOS126</v>
      </c>
      <c r="J41" s="876" t="str">
        <f>IFERROR(INDEX(ALNAT[CODIGO],MATCH(Tabla17[[#This Row],[TIPO]]&amp;Tabla17[[#This Row],[N°]],$I$3:$I$308,0),1),"")</f>
        <v>014-09</v>
      </c>
      <c r="K41" s="1266">
        <v>15</v>
      </c>
      <c r="L41" s="195" t="str">
        <f>IFERROR(VLOOKUP(Tabla17[[#This Row],[CODIGO]],ALNAT[[CODIGO]:[DESCRIPCIÓN]],3,0),"")</f>
        <v>19001IC04103051H RACORD MICHEL P/INFLAR 6 MM</v>
      </c>
      <c r="M41" s="196">
        <f>IFERROR(VLOOKUP(Tabla17[[#This Row],[CODIGO]],ALNAT[],4,0),0)</f>
        <v>3780</v>
      </c>
      <c r="N41" s="196">
        <f t="shared" si="21"/>
        <v>56700</v>
      </c>
      <c r="O41" s="1065">
        <v>92</v>
      </c>
      <c r="P41" t="s">
        <v>4353</v>
      </c>
      <c r="Q41" s="13"/>
      <c r="S41" s="480" t="s">
        <v>9433</v>
      </c>
      <c r="T41" s="480" t="s">
        <v>9434</v>
      </c>
      <c r="U41" s="504">
        <v>1455.286553714509</v>
      </c>
      <c r="V41" s="89" t="s">
        <v>9337</v>
      </c>
      <c r="W41" s="90">
        <f t="shared" si="18"/>
        <v>1033.2534531373012</v>
      </c>
      <c r="AG41" s="491" t="s">
        <v>6196</v>
      </c>
      <c r="AH41" s="69" t="s">
        <v>6197</v>
      </c>
      <c r="AI41" s="60">
        <v>103.07654947024298</v>
      </c>
      <c r="AJ41" s="197">
        <v>100</v>
      </c>
      <c r="AK41" s="39" t="s">
        <v>6102</v>
      </c>
      <c r="AL41" s="1"/>
      <c r="AM41" s="1">
        <f t="shared" si="9"/>
        <v>0</v>
      </c>
      <c r="AN41" s="62">
        <f t="shared" si="10"/>
        <v>-1</v>
      </c>
    </row>
    <row r="42" spans="1:63" ht="14.25" x14ac:dyDescent="0.2">
      <c r="A42" s="31"/>
      <c r="B42" t="s">
        <v>6297</v>
      </c>
      <c r="C42">
        <v>30</v>
      </c>
      <c r="D42" t="str">
        <f t="shared" si="1"/>
        <v>20001IC04164806Y  REGUL CAUDAL CODO R 1/4 X 8 MM</v>
      </c>
      <c r="E42" s="196">
        <f>+VLOOKUP(H42&amp;ALNAT[[#This Row],[N°]],CODIGOS_Y_COSTOS[[ID]:[COSTO]],7,0)</f>
        <v>2906.1837999999998</v>
      </c>
      <c r="F42" s="196">
        <f t="shared" si="20"/>
        <v>87185.513999999996</v>
      </c>
      <c r="G42" s="197">
        <v>127</v>
      </c>
      <c r="H42" s="39" t="s">
        <v>6102</v>
      </c>
      <c r="I42" s="198" t="str">
        <f>+H42&amp;ALNAT[[#This Row],[N°]]</f>
        <v>CONECTORES NEUMÁTICOS127</v>
      </c>
      <c r="J42" s="876" t="str">
        <f>IFERROR(INDEX(ALNAT[CODIGO],MATCH(Tabla17[[#This Row],[TIPO]]&amp;Tabla17[[#This Row],[N°]],$I$3:$I$308,0),1),"")</f>
        <v>001-50</v>
      </c>
      <c r="K42" s="1266">
        <v>20</v>
      </c>
      <c r="L42" s="195" t="str">
        <f>IFERROR(VLOOKUP(Tabla17[[#This Row],[CODIGO]],ALNAT[[CODIGO]:[DESCRIPCIÓN]],3,0),"")</f>
        <v>ACOPLE RAP 1/4 ECON R H 1/4 BSP C/PTA</v>
      </c>
      <c r="M42" s="196">
        <f>IFERROR(VLOOKUP(Tabla17[[#This Row],[CODIGO]],ALNAT[],4,0),0)</f>
        <v>3073.5763999999999</v>
      </c>
      <c r="N42" s="196">
        <f t="shared" si="21"/>
        <v>61471.527999999998</v>
      </c>
      <c r="O42" s="1065">
        <v>93</v>
      </c>
      <c r="P42" t="s">
        <v>4353</v>
      </c>
      <c r="Q42" s="13"/>
      <c r="S42" s="480" t="s">
        <v>4358</v>
      </c>
      <c r="T42" s="480" t="s">
        <v>4359</v>
      </c>
      <c r="U42" s="504">
        <v>1038.5986549714287</v>
      </c>
      <c r="V42" s="89" t="s">
        <v>9337</v>
      </c>
      <c r="W42" s="90">
        <f t="shared" si="18"/>
        <v>737.4050450297143</v>
      </c>
      <c r="AG42" s="490" t="s">
        <v>6201</v>
      </c>
      <c r="AH42" s="494" t="s">
        <v>6202</v>
      </c>
      <c r="AI42" s="181">
        <v>88.910756151759415</v>
      </c>
      <c r="AJ42" s="197">
        <v>108</v>
      </c>
      <c r="AK42" s="39" t="s">
        <v>6102</v>
      </c>
      <c r="AL42" s="1"/>
      <c r="AM42" s="1">
        <f t="shared" si="9"/>
        <v>0</v>
      </c>
      <c r="AN42" s="62">
        <f t="shared" si="10"/>
        <v>-1</v>
      </c>
    </row>
    <row r="43" spans="1:63" ht="14.25" x14ac:dyDescent="0.2">
      <c r="A43" s="31"/>
      <c r="B43" t="s">
        <v>6213</v>
      </c>
      <c r="C43">
        <v>50</v>
      </c>
      <c r="D43" t="str">
        <f t="shared" si="1"/>
        <v>20001IC04110132U CODO PLAST 6 MM</v>
      </c>
      <c r="E43" s="196">
        <f>+VLOOKUP(H43&amp;ALNAT[[#This Row],[N°]],CODIGOS_Y_COSTOS[[ID]:[COSTO]],7,0)</f>
        <v>323.23200000000003</v>
      </c>
      <c r="F43" s="196">
        <f t="shared" si="20"/>
        <v>16161.600000000002</v>
      </c>
      <c r="G43" s="197">
        <v>140</v>
      </c>
      <c r="H43" s="39" t="s">
        <v>6102</v>
      </c>
      <c r="I43" s="198" t="str">
        <f>+H43&amp;ALNAT[[#This Row],[N°]]</f>
        <v>CONECTORES NEUMÁTICOS140</v>
      </c>
      <c r="J43" s="876" t="str">
        <f>IFERROR(INDEX(ALNAT[CODIGO],MATCH(Tabla17[[#This Row],[TIPO]]&amp;Tabla17[[#This Row],[N°]],$I$3:$I$308,0),1),"")</f>
        <v>B09</v>
      </c>
      <c r="K43" s="1266">
        <f>IFERROR(VLOOKUP(Tabla17[[#This Row],[CODIGO]],ALNAT[[CODIGO]:[DESCRIPCIÓN]],2,0),"")</f>
        <v>15</v>
      </c>
      <c r="L43" s="195" t="str">
        <f>IFERROR(VLOOKUP(Tabla17[[#This Row],[CODIGO]],ALNAT[[CODIGO]:[DESCRIPCIÓN]],3,0),"")</f>
        <v>-</v>
      </c>
      <c r="M43" s="196">
        <f>IFERROR(VLOOKUP(Tabla17[[#This Row],[CODIGO]],ALNAT[],4,0),0)</f>
        <v>2013.48</v>
      </c>
      <c r="N43" s="196">
        <f t="shared" si="21"/>
        <v>30202.2</v>
      </c>
      <c r="O43" s="1065">
        <v>7</v>
      </c>
      <c r="P43" t="s">
        <v>21391</v>
      </c>
      <c r="Q43" s="13"/>
      <c r="S43" s="480" t="s">
        <v>4361</v>
      </c>
      <c r="T43" s="480" t="s">
        <v>4362</v>
      </c>
      <c r="U43" s="504">
        <v>1038.5986549714287</v>
      </c>
      <c r="V43" s="89" t="s">
        <v>9337</v>
      </c>
      <c r="W43" s="90">
        <f t="shared" si="18"/>
        <v>737.4050450297143</v>
      </c>
      <c r="AG43" s="491" t="s">
        <v>6204</v>
      </c>
      <c r="AH43" s="69" t="s">
        <v>6205</v>
      </c>
      <c r="AI43" s="60">
        <v>96.223438491829839</v>
      </c>
      <c r="AJ43" s="197">
        <v>109</v>
      </c>
      <c r="AK43" s="39" t="s">
        <v>6102</v>
      </c>
      <c r="AL43" s="1"/>
      <c r="AM43" s="1">
        <f t="shared" si="9"/>
        <v>0</v>
      </c>
      <c r="AN43" s="62">
        <f t="shared" si="10"/>
        <v>-1</v>
      </c>
    </row>
    <row r="44" spans="1:63" ht="14.25" x14ac:dyDescent="0.2">
      <c r="A44" s="31"/>
      <c r="B44" t="s">
        <v>6216</v>
      </c>
      <c r="C44">
        <v>50</v>
      </c>
      <c r="D44" t="str">
        <f t="shared" si="1"/>
        <v>20001IC04026706K  CODO PLAST 8 MM</v>
      </c>
      <c r="E44" s="196">
        <f>+VLOOKUP(H44&amp;ALNAT[[#This Row],[N°]],CODIGOS_Y_COSTOS[[ID]:[COSTO]],7,0)</f>
        <v>366.91199999999998</v>
      </c>
      <c r="F44" s="196">
        <f t="shared" si="20"/>
        <v>18345.599999999999</v>
      </c>
      <c r="G44" s="197">
        <v>141</v>
      </c>
      <c r="H44" s="39" t="s">
        <v>6102</v>
      </c>
      <c r="I44" s="198" t="str">
        <f>+H44&amp;ALNAT[[#This Row],[N°]]</f>
        <v>CONECTORES NEUMÁTICOS141</v>
      </c>
      <c r="J44" s="876" t="str">
        <f>IFERROR(INDEX(ALNAT[CODIGO],MATCH(Tabla17[[#This Row],[TIPO]]&amp;Tabla17[[#This Row],[N°]],$I$3:$I$308,0),1),"")</f>
        <v>B21</v>
      </c>
      <c r="K44" s="1266">
        <f>IFERROR(VLOOKUP(Tabla17[[#This Row],[CODIGO]],ALNAT[[CODIGO]:[DESCRIPCIÓN]],2,0),"")</f>
        <v>15</v>
      </c>
      <c r="L44" s="195" t="str">
        <f>IFERROR(VLOOKUP(Tabla17[[#This Row],[CODIGO]],ALNAT[[CODIGO]:[DESCRIPCIÓN]],3,0),"")</f>
        <v>SAE 7.89 ID-6 - Tee igual</v>
      </c>
      <c r="M44" s="196">
        <f>IFERROR(VLOOKUP(Tabla17[[#This Row],[CODIGO]],ALNAT[],4,0),0)</f>
        <v>2876.4</v>
      </c>
      <c r="N44" s="196">
        <f t="shared" si="21"/>
        <v>43146</v>
      </c>
      <c r="O44" s="1065">
        <v>15</v>
      </c>
      <c r="P44" t="s">
        <v>21391</v>
      </c>
      <c r="Q44" s="13"/>
      <c r="S44" s="480" t="s">
        <v>4364</v>
      </c>
      <c r="T44" s="480" t="s">
        <v>4365</v>
      </c>
      <c r="U44" s="504">
        <v>1536.3818295300935</v>
      </c>
      <c r="V44" s="89" t="s">
        <v>9337</v>
      </c>
      <c r="W44" s="90">
        <f t="shared" si="18"/>
        <v>1090.8310989663662</v>
      </c>
      <c r="AG44" s="490" t="s">
        <v>6207</v>
      </c>
      <c r="AH44" s="494" t="s">
        <v>6208</v>
      </c>
      <c r="AI44" s="181">
        <v>106.91723864299475</v>
      </c>
      <c r="AJ44" s="197">
        <v>110</v>
      </c>
      <c r="AK44" s="39" t="s">
        <v>6102</v>
      </c>
      <c r="AL44" s="1"/>
      <c r="AM44" s="1">
        <f t="shared" si="9"/>
        <v>0</v>
      </c>
      <c r="AN44" s="62">
        <f t="shared" si="10"/>
        <v>-1</v>
      </c>
    </row>
    <row r="45" spans="1:63" ht="14.25" x14ac:dyDescent="0.2">
      <c r="A45" s="31"/>
      <c r="B45" t="s">
        <v>6219</v>
      </c>
      <c r="C45">
        <v>50</v>
      </c>
      <c r="D45" t="str">
        <f t="shared" si="1"/>
        <v>20001IC04026706K CODO PLAST 10 M</v>
      </c>
      <c r="E45" s="196">
        <f>+VLOOKUP(H45&amp;ALNAT[[#This Row],[N°]],CODIGOS_Y_COSTOS[[ID]:[COSTO]],7,0)</f>
        <v>499.69920000000002</v>
      </c>
      <c r="F45" s="196">
        <f t="shared" si="20"/>
        <v>24984.959999999999</v>
      </c>
      <c r="G45" s="197">
        <v>142</v>
      </c>
      <c r="H45" s="39" t="s">
        <v>6102</v>
      </c>
      <c r="I45" s="198" t="str">
        <f>+H45&amp;ALNAT[[#This Row],[N°]]</f>
        <v>CONECTORES NEUMÁTICOS142</v>
      </c>
      <c r="J45" s="876" t="str">
        <f>IFERROR(INDEX(ALNAT[CODIGO],MATCH(Tabla17[[#This Row],[TIPO]]&amp;Tabla17[[#This Row],[N°]],$I$3:$I$308,0),1),"")</f>
        <v>B16</v>
      </c>
      <c r="K45" s="1266">
        <f>IFERROR(VLOOKUP(Tabla17[[#This Row],[CODIGO]],ALNAT[[CODIGO]:[DESCRIPCIÓN]],2,0),"")</f>
        <v>15</v>
      </c>
      <c r="L45" s="195" t="str">
        <f>IFERROR(VLOOKUP(Tabla17[[#This Row],[CODIGO]],ALNAT[[CODIGO]:[DESCRIPCIÓN]],3,0),"")</f>
        <v>SAE 7.89 ID-8 - Codo inclinado</v>
      </c>
      <c r="M45" s="196">
        <f>IFERROR(VLOOKUP(Tabla17[[#This Row],[CODIGO]],ALNAT[],4,0),0)</f>
        <v>2013.48</v>
      </c>
      <c r="N45" s="196">
        <f t="shared" si="21"/>
        <v>30202.2</v>
      </c>
      <c r="O45" s="1065">
        <v>23</v>
      </c>
      <c r="P45" t="s">
        <v>21391</v>
      </c>
      <c r="Q45" s="13"/>
      <c r="S45" s="480" t="s">
        <v>4367</v>
      </c>
      <c r="T45" s="480" t="s">
        <v>4368</v>
      </c>
      <c r="U45" s="504">
        <v>1689.4387835438106</v>
      </c>
      <c r="V45" s="89" t="s">
        <v>9337</v>
      </c>
      <c r="W45" s="90">
        <f t="shared" si="18"/>
        <v>1199.5015363161056</v>
      </c>
      <c r="AG45" s="491" t="s">
        <v>6210</v>
      </c>
      <c r="AH45" s="69" t="s">
        <v>6211</v>
      </c>
      <c r="AI45" s="60">
        <v>128.31452828402993</v>
      </c>
      <c r="AJ45" s="197">
        <v>111</v>
      </c>
      <c r="AK45" s="39" t="s">
        <v>6102</v>
      </c>
      <c r="AL45" s="1"/>
      <c r="AM45" s="1">
        <f t="shared" si="9"/>
        <v>0</v>
      </c>
      <c r="AN45" s="62">
        <f t="shared" si="10"/>
        <v>-1</v>
      </c>
    </row>
    <row r="46" spans="1:63" ht="14.25" x14ac:dyDescent="0.2">
      <c r="A46" s="31"/>
      <c r="B46" t="s">
        <v>6222</v>
      </c>
      <c r="C46">
        <v>50</v>
      </c>
      <c r="D46" t="str">
        <f t="shared" si="1"/>
        <v>19001IC04103051H  CODO PLAST 12 M</v>
      </c>
      <c r="E46" s="196">
        <f>+VLOOKUP(H46&amp;ALNAT[[#This Row],[N°]],CODIGOS_Y_COSTOS[[ID]:[COSTO]],7,0)</f>
        <v>608.02560000000005</v>
      </c>
      <c r="F46" s="196">
        <f t="shared" si="20"/>
        <v>30401.280000000002</v>
      </c>
      <c r="G46" s="197">
        <v>143</v>
      </c>
      <c r="H46" s="39" t="s">
        <v>6102</v>
      </c>
      <c r="I46" s="198" t="str">
        <f>+H46&amp;ALNAT[[#This Row],[N°]]</f>
        <v>CONECTORES NEUMÁTICOS143</v>
      </c>
      <c r="J46" s="876" t="str">
        <f>IFERROR(INDEX(ALNAT[CODIGO],MATCH(Tabla17[[#This Row],[TIPO]]&amp;Tabla17[[#This Row],[N°]],$I$3:$I$308,0),1),"")</f>
        <v>B56</v>
      </c>
      <c r="K46" s="1266">
        <f>IFERROR(VLOOKUP(Tabla17[[#This Row],[CODIGO]],ALNAT[[CODIGO]:[DESCRIPCIÓN]],2,0),"")</f>
        <v>15</v>
      </c>
      <c r="L46" s="195" t="str">
        <f>IFERROR(VLOOKUP(Tabla17[[#This Row],[CODIGO]],ALNAT[[CODIGO]:[DESCRIPCIÓN]],3,0),"")</f>
        <v>SAE 7.89 ID-6 - Conector macho</v>
      </c>
      <c r="M46" s="196">
        <f>IFERROR(VLOOKUP(Tabla17[[#This Row],[CODIGO]],ALNAT[],4,0),0)</f>
        <v>977.976</v>
      </c>
      <c r="N46" s="196">
        <f t="shared" si="21"/>
        <v>14669.64</v>
      </c>
      <c r="O46" s="1065">
        <v>28</v>
      </c>
      <c r="P46" t="s">
        <v>21391</v>
      </c>
      <c r="Q46" s="13"/>
      <c r="S46" s="480" t="s">
        <v>9435</v>
      </c>
      <c r="T46" s="480" t="s">
        <v>9436</v>
      </c>
      <c r="U46" s="504">
        <v>11227.405677335302</v>
      </c>
      <c r="V46" s="89" t="s">
        <v>9337</v>
      </c>
      <c r="W46" s="90">
        <f t="shared" si="18"/>
        <v>7971.4580309080638</v>
      </c>
      <c r="AG46" s="490" t="s">
        <v>6288</v>
      </c>
      <c r="AH46" s="494" t="s">
        <v>6289</v>
      </c>
      <c r="AI46" s="181">
        <v>307.91830933782109</v>
      </c>
      <c r="AJ46" s="197">
        <v>124</v>
      </c>
      <c r="AK46" s="39" t="s">
        <v>6102</v>
      </c>
      <c r="AL46" s="1"/>
      <c r="AM46" s="1">
        <f t="shared" si="9"/>
        <v>0</v>
      </c>
      <c r="AN46" s="62">
        <f t="shared" si="10"/>
        <v>-1</v>
      </c>
    </row>
    <row r="47" spans="1:63" ht="14.25" x14ac:dyDescent="0.2">
      <c r="A47" s="31"/>
      <c r="B47" t="s">
        <v>6225</v>
      </c>
      <c r="C47">
        <v>50</v>
      </c>
      <c r="D47" t="str">
        <f t="shared" si="1"/>
        <v>20001IC04206029X CODO PLAS R 1/8 X 6 MM</v>
      </c>
      <c r="E47" s="196">
        <f>+VLOOKUP(H47&amp;ALNAT[[#This Row],[N°]],CODIGOS_Y_COSTOS[[ID]:[COSTO]],7,0)</f>
        <v>550.36800000000005</v>
      </c>
      <c r="F47" s="196">
        <f t="shared" si="20"/>
        <v>27518.400000000001</v>
      </c>
      <c r="G47" s="197">
        <v>153</v>
      </c>
      <c r="H47" s="39" t="s">
        <v>6102</v>
      </c>
      <c r="I47" s="198" t="str">
        <f>+H47&amp;ALNAT[[#This Row],[N°]]</f>
        <v>CONECTORES NEUMÁTICOS153</v>
      </c>
      <c r="J47" s="876" t="str">
        <f>IFERROR(INDEX(ALNAT[CODIGO],MATCH(Tabla17[[#This Row],[TIPO]]&amp;Tabla17[[#This Row],[N°]],$I$3:$I$308,0),1),"")</f>
        <v>B50</v>
      </c>
      <c r="K47" s="1266">
        <f>IFERROR(VLOOKUP(Tabla17[[#This Row],[CODIGO]],ALNAT[[CODIGO]:[DESCRIPCIÓN]],2,0),"")</f>
        <v>15</v>
      </c>
      <c r="L47" s="195" t="str">
        <f>IFERROR(VLOOKUP(Tabla17[[#This Row],[CODIGO]],ALNAT[[CODIGO]:[DESCRIPCIÓN]],3,0),"")</f>
        <v>SAE 7.89 ID-8 - Conector macho</v>
      </c>
      <c r="M47" s="196">
        <f>IFERROR(VLOOKUP(Tabla17[[#This Row],[CODIGO]],ALNAT[],4,0),0)</f>
        <v>977.976</v>
      </c>
      <c r="N47" s="196">
        <f t="shared" si="21"/>
        <v>14669.64</v>
      </c>
      <c r="O47" s="1065">
        <v>29</v>
      </c>
      <c r="P47" t="s">
        <v>21391</v>
      </c>
      <c r="Q47" s="13"/>
      <c r="S47" s="480" t="s">
        <v>4537</v>
      </c>
      <c r="T47" s="480" t="s">
        <v>4538</v>
      </c>
      <c r="U47" s="504">
        <v>3398.7682771848008</v>
      </c>
      <c r="V47" s="89" t="s">
        <v>9337</v>
      </c>
      <c r="W47" s="90">
        <f t="shared" si="18"/>
        <v>2413.1254768012086</v>
      </c>
      <c r="AG47" s="491" t="s">
        <v>6291</v>
      </c>
      <c r="AH47" s="69" t="s">
        <v>6292</v>
      </c>
      <c r="AI47" s="60">
        <v>346.54040358912005</v>
      </c>
      <c r="AJ47" s="197">
        <v>125</v>
      </c>
      <c r="AK47" s="39" t="s">
        <v>6102</v>
      </c>
      <c r="AL47" s="1"/>
      <c r="AM47" s="1">
        <f t="shared" si="9"/>
        <v>0</v>
      </c>
      <c r="AN47" s="62">
        <f t="shared" si="10"/>
        <v>-1</v>
      </c>
    </row>
    <row r="48" spans="1:63" ht="14.25" x14ac:dyDescent="0.2">
      <c r="A48" s="31"/>
      <c r="B48" t="s">
        <v>6228</v>
      </c>
      <c r="C48">
        <v>50</v>
      </c>
      <c r="D48" t="str">
        <f t="shared" si="1"/>
        <v>20001IC047199935C  CODO PLAS R 1/8 X 8 MM</v>
      </c>
      <c r="E48" s="196">
        <f>+VLOOKUP(H48&amp;ALNAT[[#This Row],[N°]],CODIGOS_Y_COSTOS[[ID]:[COSTO]],7,0)</f>
        <v>707.61599999999999</v>
      </c>
      <c r="F48" s="196">
        <f t="shared" si="20"/>
        <v>35380.800000000003</v>
      </c>
      <c r="G48" s="197">
        <v>154</v>
      </c>
      <c r="H48" s="39" t="s">
        <v>6102</v>
      </c>
      <c r="I48" s="198" t="str">
        <f>+H48&amp;ALNAT[[#This Row],[N°]]</f>
        <v>CONECTORES NEUMÁTICOS154</v>
      </c>
      <c r="J48" s="876" t="str">
        <f>IFERROR(INDEX(ALNAT[CODIGO],MATCH(Tabla17[[#This Row],[TIPO]]&amp;Tabla17[[#This Row],[N°]],$I$3:$I$308,0),1),"")</f>
        <v>B51</v>
      </c>
      <c r="K48" s="1266">
        <f>IFERROR(VLOOKUP(Tabla17[[#This Row],[CODIGO]],ALNAT[[CODIGO]:[DESCRIPCIÓN]],2,0),"")</f>
        <v>15</v>
      </c>
      <c r="L48" s="195" t="str">
        <f>IFERROR(VLOOKUP(Tabla17[[#This Row],[CODIGO]],ALNAT[[CODIGO]:[DESCRIPCIÓN]],3,0),"")</f>
        <v/>
      </c>
      <c r="M48" s="196">
        <f>IFERROR(VLOOKUP(Tabla17[[#This Row],[CODIGO]],ALNAT[],4,0),0)</f>
        <v>977.976</v>
      </c>
      <c r="N48" s="196">
        <f t="shared" si="21"/>
        <v>14669.64</v>
      </c>
      <c r="O48" s="1065">
        <v>31</v>
      </c>
      <c r="P48" t="s">
        <v>21391</v>
      </c>
      <c r="Q48" s="13"/>
      <c r="S48" s="480" t="s">
        <v>9437</v>
      </c>
      <c r="T48" s="480" t="s">
        <v>9438</v>
      </c>
      <c r="U48" s="504">
        <v>9772.9051665672705</v>
      </c>
      <c r="V48" s="89" t="s">
        <v>9337</v>
      </c>
      <c r="W48" s="90">
        <f t="shared" si="18"/>
        <v>6938.7626682627615</v>
      </c>
      <c r="AG48" s="490" t="s">
        <v>6294</v>
      </c>
      <c r="AH48" s="494" t="s">
        <v>6295</v>
      </c>
      <c r="AI48" s="181">
        <v>442.02564486179818</v>
      </c>
      <c r="AJ48" s="197">
        <v>126</v>
      </c>
      <c r="AK48" s="39" t="s">
        <v>6102</v>
      </c>
      <c r="AL48" s="1"/>
      <c r="AM48" s="1">
        <f t="shared" si="9"/>
        <v>0</v>
      </c>
      <c r="AN48" s="62">
        <f t="shared" si="10"/>
        <v>-1</v>
      </c>
      <c r="BK48" t="str">
        <f>+Tabla17[[#This Row],[CODIGO]]&amp;" - "&amp;Tabla17[[#This Row],[CANTIDAD]]</f>
        <v>B51 - 15</v>
      </c>
    </row>
    <row r="49" spans="1:63" ht="14.25" x14ac:dyDescent="0.2">
      <c r="A49" s="31"/>
      <c r="B49" t="s">
        <v>6231</v>
      </c>
      <c r="C49">
        <v>50</v>
      </c>
      <c r="D49" t="str">
        <f t="shared" si="1"/>
        <v>20001IC04206029X CODO PLÀSTICO R 1/8 BSPT  X 10MM</v>
      </c>
      <c r="E49" s="196">
        <f>+VLOOKUP(H49&amp;ALNAT[[#This Row],[N°]],CODIGOS_Y_COSTOS[[ID]:[COSTO]],7,0)</f>
        <v>1285.8148000000001</v>
      </c>
      <c r="F49" s="196">
        <f t="shared" si="20"/>
        <v>64290.740000000005</v>
      </c>
      <c r="G49" s="197">
        <v>155</v>
      </c>
      <c r="H49" s="39" t="s">
        <v>6102</v>
      </c>
      <c r="I49" s="198" t="str">
        <f>+H49&amp;ALNAT[[#This Row],[N°]]</f>
        <v>CONECTORES NEUMÁTICOS155</v>
      </c>
      <c r="J49" s="876" t="str">
        <f>IFERROR(INDEX(ALNAT[CODIGO],MATCH(Tabla17[[#This Row],[TIPO]]&amp;Tabla17[[#This Row],[N°]],$I$3:$I$308,0),1),"")</f>
        <v>D02</v>
      </c>
      <c r="K49" s="1266">
        <f>IFERROR(VLOOKUP(Tabla17[[#This Row],[CODIGO]],ALNAT[[CODIGO]:[DESCRIPCIÓN]],2,0),"")</f>
        <v>15</v>
      </c>
      <c r="L49" s="195" t="str">
        <f>IFERROR(VLOOKUP(Tabla17[[#This Row],[CODIGO]],ALNAT[[CODIGO]:[DESCRIPCIÓN]],3,0),"")</f>
        <v>SAE 9.49 ID-8 - Codo 90°</v>
      </c>
      <c r="M49" s="196">
        <f>IFERROR(VLOOKUP(Tabla17[[#This Row],[CODIGO]],ALNAT[],4,0),0)</f>
        <v>2128.5360000000001</v>
      </c>
      <c r="N49" s="196">
        <f t="shared" si="21"/>
        <v>31928.04</v>
      </c>
      <c r="O49" s="1065">
        <v>40</v>
      </c>
      <c r="P49" t="s">
        <v>21391</v>
      </c>
      <c r="Q49" s="3"/>
      <c r="S49" s="480" t="s">
        <v>9439</v>
      </c>
      <c r="T49" s="480" t="s">
        <v>9440</v>
      </c>
      <c r="U49" s="504">
        <v>9772.9051665672705</v>
      </c>
      <c r="V49" s="89" t="s">
        <v>9337</v>
      </c>
      <c r="W49" s="90">
        <f t="shared" si="18"/>
        <v>6938.7626682627615</v>
      </c>
      <c r="AG49" s="491" t="s">
        <v>6297</v>
      </c>
      <c r="AH49" s="69" t="s">
        <v>6298</v>
      </c>
      <c r="AI49" s="60">
        <v>442.02564486179818</v>
      </c>
      <c r="AJ49" s="197">
        <v>127</v>
      </c>
      <c r="AK49" s="39" t="s">
        <v>6102</v>
      </c>
      <c r="AL49" s="1"/>
      <c r="AM49" s="1">
        <f t="shared" si="9"/>
        <v>0</v>
      </c>
      <c r="AN49" s="62">
        <f t="shared" si="10"/>
        <v>-1</v>
      </c>
      <c r="BK49" t="str">
        <f>+Tabla17[[#This Row],[CODIGO]]&amp;" - "&amp;Tabla17[[#This Row],[CANTIDAD]]</f>
        <v>D02 - 15</v>
      </c>
    </row>
    <row r="50" spans="1:63" ht="14.25" x14ac:dyDescent="0.2">
      <c r="A50" s="31"/>
      <c r="B50" t="s">
        <v>6234</v>
      </c>
      <c r="C50">
        <v>50</v>
      </c>
      <c r="D50" t="str">
        <f t="shared" si="1"/>
        <v>20001IC04038164L CODO PLAS R 1/4 X 6 MM</v>
      </c>
      <c r="E50" s="196">
        <f>+VLOOKUP(H50&amp;ALNAT[[#This Row],[N°]],CODIGOS_Y_COSTOS[[ID]:[COSTO]],7,0)</f>
        <v>786.24</v>
      </c>
      <c r="F50" s="196">
        <f t="shared" si="20"/>
        <v>39312</v>
      </c>
      <c r="G50" s="197">
        <v>157</v>
      </c>
      <c r="H50" s="39" t="s">
        <v>6102</v>
      </c>
      <c r="I50" s="198" t="str">
        <f>+H50&amp;ALNAT[[#This Row],[N°]]</f>
        <v>CONECTORES NEUMÁTICOS157</v>
      </c>
      <c r="J50" s="876" t="str">
        <f>IFERROR(INDEX(ALNAT[CODIGO],MATCH(Tabla17[[#This Row],[TIPO]]&amp;Tabla17[[#This Row],[N°]],$I$3:$I$308,0),1),"")</f>
        <v>DU3</v>
      </c>
      <c r="K50" s="1266">
        <f>IFERROR(VLOOKUP(Tabla17[[#This Row],[CODIGO]],ALNAT[[CODIGO]:[DESCRIPCIÓN]],2,0),"")</f>
        <v>15</v>
      </c>
      <c r="L50" s="195" t="str">
        <f>IFERROR(VLOOKUP(Tabla17[[#This Row],[CODIGO]],ALNAT[[CODIGO]:[DESCRIPCIÓN]],3,0),"")</f>
        <v>SAE 9.49 ID-10 - Acople recto</v>
      </c>
      <c r="M50" s="196">
        <f>IFERROR(VLOOKUP(Tabla17[[#This Row],[CODIGO]],ALNAT[],4,0),0)</f>
        <v>2128.5360000000001</v>
      </c>
      <c r="N50" s="196">
        <f t="shared" si="21"/>
        <v>31928.04</v>
      </c>
      <c r="O50" s="1065">
        <v>48</v>
      </c>
      <c r="P50" t="s">
        <v>21391</v>
      </c>
      <c r="Q50" s="3"/>
      <c r="S50" s="480" t="s">
        <v>9442</v>
      </c>
      <c r="T50" s="480" t="s">
        <v>9443</v>
      </c>
      <c r="U50" s="504">
        <v>10787.454118886768</v>
      </c>
      <c r="V50" s="89" t="s">
        <v>9337</v>
      </c>
      <c r="W50" s="90">
        <f t="shared" si="18"/>
        <v>7659.092424409605</v>
      </c>
      <c r="AG50" s="490" t="s">
        <v>6213</v>
      </c>
      <c r="AH50" s="494" t="s">
        <v>6214</v>
      </c>
      <c r="AI50" s="181">
        <v>71.61589145644713</v>
      </c>
      <c r="AJ50" s="197">
        <v>140</v>
      </c>
      <c r="AK50" s="39" t="s">
        <v>6102</v>
      </c>
      <c r="AL50" s="1"/>
      <c r="AM50" s="1">
        <f t="shared" si="9"/>
        <v>0</v>
      </c>
      <c r="AN50" s="62">
        <f t="shared" si="10"/>
        <v>-1</v>
      </c>
    </row>
    <row r="51" spans="1:63" ht="14.25" x14ac:dyDescent="0.2">
      <c r="A51" s="31"/>
      <c r="B51" t="s">
        <v>6237</v>
      </c>
      <c r="C51">
        <v>50</v>
      </c>
      <c r="D51" t="str">
        <f t="shared" si="1"/>
        <v>20001IC04038164L CODO PLAST 1/4 X 8 MM</v>
      </c>
      <c r="E51" s="196">
        <f>+VLOOKUP(H51&amp;ALNAT[[#This Row],[N°]],CODIGOS_Y_COSTOS[[ID]:[COSTO]],7,0)</f>
        <v>786.24</v>
      </c>
      <c r="F51" s="196">
        <f t="shared" si="20"/>
        <v>39312</v>
      </c>
      <c r="G51" s="197">
        <v>158</v>
      </c>
      <c r="H51" s="39" t="s">
        <v>6102</v>
      </c>
      <c r="I51" s="198" t="str">
        <f>+H51&amp;ALNAT[[#This Row],[N°]]</f>
        <v>CONECTORES NEUMÁTICOS158</v>
      </c>
      <c r="J51" s="876" t="str">
        <f>IFERROR(INDEX(ALNAT[CODIGO],MATCH(Tabla17[[#This Row],[TIPO]]&amp;Tabla17[[#This Row],[N°]],$I$3:$I$308,0),1),"")</f>
        <v>DU4</v>
      </c>
      <c r="K51" s="1266">
        <f>IFERROR(VLOOKUP(Tabla17[[#This Row],[CODIGO]],ALNAT[[CODIGO]:[DESCRIPCIÓN]],2,0),"")</f>
        <v>15</v>
      </c>
      <c r="L51" s="195" t="str">
        <f>IFERROR(VLOOKUP(Tabla17[[#This Row],[CODIGO]],ALNAT[[CODIGO]:[DESCRIPCIÓN]],3,0),"")</f>
        <v>SAE 9.49 ID-8 - Codo 90°
AdBlue</v>
      </c>
      <c r="M51" s="196">
        <f>IFERROR(VLOOKUP(Tabla17[[#This Row],[CODIGO]],ALNAT[],4,0),0)</f>
        <v>2128.5360000000001</v>
      </c>
      <c r="N51" s="196">
        <f t="shared" si="21"/>
        <v>31928.04</v>
      </c>
      <c r="O51" s="1065">
        <v>49</v>
      </c>
      <c r="P51" t="s">
        <v>21391</v>
      </c>
      <c r="Q51" s="3"/>
      <c r="S51" s="480" t="s">
        <v>9444</v>
      </c>
      <c r="T51" s="480" t="s">
        <v>9445</v>
      </c>
      <c r="U51" s="504">
        <v>10366.328842557594</v>
      </c>
      <c r="V51" s="89" t="s">
        <v>9337</v>
      </c>
      <c r="W51" s="90">
        <f t="shared" si="18"/>
        <v>7360.0934782158911</v>
      </c>
      <c r="AG51" s="491" t="s">
        <v>6216</v>
      </c>
      <c r="AH51" s="69" t="s">
        <v>6217</v>
      </c>
      <c r="AI51" s="60">
        <v>84.102559852147209</v>
      </c>
      <c r="AJ51" s="197">
        <v>141</v>
      </c>
      <c r="AK51" s="39" t="s">
        <v>6102</v>
      </c>
      <c r="AL51" s="1"/>
      <c r="AM51" s="1">
        <f t="shared" si="9"/>
        <v>0</v>
      </c>
      <c r="AN51" s="62">
        <f t="shared" si="10"/>
        <v>-1</v>
      </c>
    </row>
    <row r="52" spans="1:63" ht="14.25" x14ac:dyDescent="0.2">
      <c r="A52" s="31"/>
      <c r="B52" t="s">
        <v>6240</v>
      </c>
      <c r="C52">
        <v>50</v>
      </c>
      <c r="D52" t="str">
        <f t="shared" si="1"/>
        <v>20001IC04038164L CODO PLAS R 1/4 X 10 MM</v>
      </c>
      <c r="E52" s="196">
        <f>+VLOOKUP(H52&amp;ALNAT[[#This Row],[N°]],CODIGOS_Y_COSTOS[[ID]:[COSTO]],7,0)</f>
        <v>1116.4190000000001</v>
      </c>
      <c r="F52" s="196">
        <f t="shared" si="20"/>
        <v>55820.950000000004</v>
      </c>
      <c r="G52" s="197">
        <v>159</v>
      </c>
      <c r="H52" s="39" t="s">
        <v>6102</v>
      </c>
      <c r="I52" s="198" t="str">
        <f>+H52&amp;ALNAT[[#This Row],[N°]]</f>
        <v>CONECTORES NEUMÁTICOS159</v>
      </c>
      <c r="J52" s="876" t="str">
        <f>IFERROR(INDEX(ALNAT[CODIGO],MATCH(Tabla17[[#This Row],[TIPO]]&amp;Tabla17[[#This Row],[N°]],$I$3:$I$308,0),1),"")</f>
        <v>E07</v>
      </c>
      <c r="K52" s="1266">
        <f>IFERROR(VLOOKUP(Tabla17[[#This Row],[CODIGO]],ALNAT[[CODIGO]:[DESCRIPCIÓN]],2,0),"")</f>
        <v>15</v>
      </c>
      <c r="L52" s="195" t="str">
        <f>IFERROR(VLOOKUP(Tabla17[[#This Row],[CODIGO]],ALNAT[[CODIGO]:[DESCRIPCIÓN]],3,0),"")</f>
        <v>SAE 9.89 ID-8 - Espiga recta</v>
      </c>
      <c r="M52" s="196">
        <f>IFERROR(VLOOKUP(Tabla17[[#This Row],[CODIGO]],ALNAT[],4,0),0)</f>
        <v>0</v>
      </c>
      <c r="N52" s="196">
        <f t="shared" si="21"/>
        <v>0</v>
      </c>
      <c r="O52" s="1065">
        <v>52</v>
      </c>
      <c r="P52" t="s">
        <v>21391</v>
      </c>
      <c r="Q52" s="3"/>
      <c r="S52" s="480" t="s">
        <v>9446</v>
      </c>
      <c r="T52" s="480" t="s">
        <v>9447</v>
      </c>
      <c r="U52" s="504">
        <v>10290.674976716527</v>
      </c>
      <c r="V52" s="89" t="s">
        <v>9337</v>
      </c>
      <c r="W52" s="90">
        <f t="shared" si="18"/>
        <v>7306.3792334687341</v>
      </c>
      <c r="AG52" s="490" t="s">
        <v>6219</v>
      </c>
      <c r="AH52" s="494" t="s">
        <v>6220</v>
      </c>
      <c r="AI52" s="181">
        <v>87.544025145049673</v>
      </c>
      <c r="AJ52" s="197">
        <v>142</v>
      </c>
      <c r="AK52" s="39" t="s">
        <v>6102</v>
      </c>
      <c r="AL52" s="1"/>
      <c r="AM52" s="1">
        <f t="shared" si="9"/>
        <v>0</v>
      </c>
      <c r="AN52" s="62">
        <f t="shared" si="10"/>
        <v>-1</v>
      </c>
    </row>
    <row r="53" spans="1:63" ht="14.25" x14ac:dyDescent="0.2">
      <c r="A53" s="31"/>
      <c r="B53" t="s">
        <v>6243</v>
      </c>
      <c r="C53">
        <v>30</v>
      </c>
      <c r="D53" t="str">
        <f t="shared" si="1"/>
        <v>19001IC04117185U  CODO PLAS R 1/4 X 12 MM</v>
      </c>
      <c r="E53" s="196">
        <f>+VLOOKUP(H53&amp;ALNAT[[#This Row],[N°]],CODIGOS_Y_COSTOS[[ID]:[COSTO]],7,0)</f>
        <v>1801.0944</v>
      </c>
      <c r="F53" s="196">
        <f t="shared" si="20"/>
        <v>54032.831999999995</v>
      </c>
      <c r="G53" s="197">
        <v>160</v>
      </c>
      <c r="H53" s="39" t="s">
        <v>6102</v>
      </c>
      <c r="I53" s="198" t="str">
        <f>+H53&amp;ALNAT[[#This Row],[N°]]</f>
        <v>CONECTORES NEUMÁTICOS160</v>
      </c>
      <c r="J53" s="876" t="str">
        <f>IFERROR(INDEX(ALNAT[CODIGO],MATCH(Tabla17[[#This Row],[TIPO]]&amp;Tabla17[[#This Row],[N°]],$I$3:$I$308,0),1),"")</f>
        <v>E08</v>
      </c>
      <c r="K53" s="1266">
        <f>IFERROR(VLOOKUP(Tabla17[[#This Row],[CODIGO]],ALNAT[[CODIGO]:[DESCRIPCIÓN]],2,0),"")</f>
        <v>15</v>
      </c>
      <c r="L53" s="195" t="str">
        <f>IFERROR(VLOOKUP(Tabla17[[#This Row],[CODIGO]],ALNAT[[CODIGO]:[DESCRIPCIÓN]],3,0),"")</f>
        <v>SAE 9.89 ID-8 - Codo 90°</v>
      </c>
      <c r="M53" s="196">
        <f>IFERROR(VLOOKUP(Tabla17[[#This Row],[CODIGO]],ALNAT[],4,0),0)</f>
        <v>0</v>
      </c>
      <c r="N53" s="196">
        <f t="shared" si="21"/>
        <v>0</v>
      </c>
      <c r="O53" s="1065">
        <v>53</v>
      </c>
      <c r="P53" t="s">
        <v>21391</v>
      </c>
      <c r="Q53" s="3"/>
      <c r="S53" s="480" t="s">
        <v>9448</v>
      </c>
      <c r="T53" s="480" t="s">
        <v>9449</v>
      </c>
      <c r="U53" s="504">
        <v>10787.454118886768</v>
      </c>
      <c r="V53" s="89" t="s">
        <v>9337</v>
      </c>
      <c r="W53" s="90">
        <f t="shared" si="18"/>
        <v>7659.092424409605</v>
      </c>
      <c r="AG53" s="491" t="s">
        <v>6222</v>
      </c>
      <c r="AH53" s="69" t="s">
        <v>6223</v>
      </c>
      <c r="AI53" s="60">
        <v>103.16308901848873</v>
      </c>
      <c r="AJ53" s="197">
        <v>143</v>
      </c>
      <c r="AK53" s="39" t="s">
        <v>6102</v>
      </c>
      <c r="AL53" s="1"/>
      <c r="AM53" s="1">
        <f t="shared" si="9"/>
        <v>0</v>
      </c>
      <c r="AN53" s="62">
        <f t="shared" si="10"/>
        <v>-1</v>
      </c>
    </row>
    <row r="54" spans="1:63" ht="14.25" x14ac:dyDescent="0.2">
      <c r="A54" s="31"/>
      <c r="B54" t="s">
        <v>6246</v>
      </c>
      <c r="C54">
        <v>50</v>
      </c>
      <c r="D54" t="str">
        <f t="shared" si="1"/>
        <v>18001IC04155358A BIFURCACION PLAST 6 MM</v>
      </c>
      <c r="E54" s="196">
        <f>+VLOOKUP(H54&amp;ALNAT[[#This Row],[N°]],CODIGOS_Y_COSTOS[[ID]:[COSTO]],7,0)</f>
        <v>633.41999999999996</v>
      </c>
      <c r="F54" s="196">
        <f t="shared" si="20"/>
        <v>31670.999999999996</v>
      </c>
      <c r="G54" s="197">
        <v>197</v>
      </c>
      <c r="H54" s="39" t="s">
        <v>6102</v>
      </c>
      <c r="I54" s="198" t="str">
        <f>+H54&amp;ALNAT[[#This Row],[N°]]</f>
        <v>CONECTORES NEUMÁTICOS197</v>
      </c>
      <c r="J54" s="876" t="str">
        <f>IFERROR(INDEX(ALNAT[CODIGO],MATCH(Tabla17[[#This Row],[TIPO]]&amp;Tabla17[[#This Row],[N°]],$I$3:$I$308,0),1),"")</f>
        <v>E07</v>
      </c>
      <c r="K54" s="1266">
        <f>IFERROR(VLOOKUP(Tabla17[[#This Row],[CODIGO]],ALNAT[[CODIGO]:[DESCRIPCIÓN]],2,0),"")</f>
        <v>15</v>
      </c>
      <c r="L54" s="195" t="str">
        <f>IFERROR(VLOOKUP(Tabla17[[#This Row],[CODIGO]],ALNAT[[CODIGO]:[DESCRIPCIÓN]],3,0),"")</f>
        <v>SAE 9.89 ID-8 - Espiga recta</v>
      </c>
      <c r="M54" s="196">
        <f>IFERROR(VLOOKUP(Tabla17[[#This Row],[CODIGO]],ALNAT[],4,0),0)</f>
        <v>0</v>
      </c>
      <c r="N54" s="196">
        <f t="shared" si="21"/>
        <v>0</v>
      </c>
      <c r="O54" s="1065">
        <v>54</v>
      </c>
      <c r="P54" t="s">
        <v>21391</v>
      </c>
      <c r="Q54" s="3"/>
      <c r="S54" s="480" t="s">
        <v>9450</v>
      </c>
      <c r="T54" s="480" t="s">
        <v>9451</v>
      </c>
      <c r="U54" s="504">
        <v>12084.72113054874</v>
      </c>
      <c r="V54" s="89" t="s">
        <v>9337</v>
      </c>
      <c r="W54" s="90">
        <f t="shared" si="18"/>
        <v>8580.1520026896051</v>
      </c>
      <c r="AG54" s="490" t="s">
        <v>6225</v>
      </c>
      <c r="AH54" s="494" t="s">
        <v>6226</v>
      </c>
      <c r="AI54" s="181">
        <v>83.702728870875276</v>
      </c>
      <c r="AJ54" s="197">
        <v>153</v>
      </c>
      <c r="AK54" s="39" t="s">
        <v>6102</v>
      </c>
      <c r="AL54" s="1"/>
      <c r="AM54" s="1">
        <f t="shared" si="9"/>
        <v>0</v>
      </c>
      <c r="AN54" s="62">
        <f t="shared" si="10"/>
        <v>-1</v>
      </c>
    </row>
    <row r="55" spans="1:63" ht="14.25" x14ac:dyDescent="0.2">
      <c r="A55" s="31"/>
      <c r="B55" t="s">
        <v>6249</v>
      </c>
      <c r="C55">
        <v>50</v>
      </c>
      <c r="D55" t="str">
        <f t="shared" si="1"/>
        <v>18001IC04155358A BIFURCACION PLAST 8 MM</v>
      </c>
      <c r="E55" s="196">
        <f>+VLOOKUP(H55&amp;ALNAT[[#This Row],[N°]],CODIGOS_Y_COSTOS[[ID]:[COSTO]],7,0)</f>
        <v>771.12</v>
      </c>
      <c r="F55" s="196">
        <f t="shared" si="20"/>
        <v>38556</v>
      </c>
      <c r="G55" s="197">
        <v>198</v>
      </c>
      <c r="H55" s="39" t="s">
        <v>6102</v>
      </c>
      <c r="I55" s="198" t="str">
        <f>+H55&amp;ALNAT[[#This Row],[N°]]</f>
        <v>CONECTORES NEUMÁTICOS198</v>
      </c>
      <c r="J55" s="876" t="str">
        <f>IFERROR(INDEX(ALNAT[CODIGO],MATCH(Tabla17[[#This Row],[TIPO]]&amp;Tabla17[[#This Row],[N°]],$I$3:$I$308,0),1),"")</f>
        <v>E08</v>
      </c>
      <c r="K55" s="1266">
        <f>IFERROR(VLOOKUP(Tabla17[[#This Row],[CODIGO]],ALNAT[[CODIGO]:[DESCRIPCIÓN]],2,0),"")</f>
        <v>15</v>
      </c>
      <c r="L55" s="195" t="str">
        <f>IFERROR(VLOOKUP(Tabla17[[#This Row],[CODIGO]],ALNAT[[CODIGO]:[DESCRIPCIÓN]],3,0),"")</f>
        <v>SAE 9.89 ID-8 - Codo 90°</v>
      </c>
      <c r="M55" s="196">
        <f>IFERROR(VLOOKUP(Tabla17[[#This Row],[CODIGO]],ALNAT[],4,0),0)</f>
        <v>0</v>
      </c>
      <c r="N55" s="196">
        <f t="shared" si="21"/>
        <v>0</v>
      </c>
      <c r="O55" s="1065">
        <v>55</v>
      </c>
      <c r="P55" t="s">
        <v>21391</v>
      </c>
      <c r="Q55" s="3"/>
      <c r="S55" s="480" t="s">
        <v>9452</v>
      </c>
      <c r="T55" s="480" t="s">
        <v>9453</v>
      </c>
      <c r="U55" s="504">
        <v>12084.72113054874</v>
      </c>
      <c r="V55" s="89" t="s">
        <v>9337</v>
      </c>
      <c r="W55" s="90">
        <f t="shared" si="18"/>
        <v>8580.1520026896051</v>
      </c>
      <c r="AG55" s="491" t="s">
        <v>6228</v>
      </c>
      <c r="AH55" s="69" t="s">
        <v>6229</v>
      </c>
      <c r="AI55" s="60">
        <v>96.639508277002875</v>
      </c>
      <c r="AJ55" s="197">
        <v>154</v>
      </c>
      <c r="AK55" s="39" t="s">
        <v>6102</v>
      </c>
      <c r="AL55" s="1"/>
      <c r="AM55" s="1">
        <f t="shared" si="9"/>
        <v>0</v>
      </c>
      <c r="AN55" s="62">
        <f t="shared" si="10"/>
        <v>-1</v>
      </c>
    </row>
    <row r="56" spans="1:63" ht="14.25" x14ac:dyDescent="0.2">
      <c r="A56" s="31"/>
      <c r="B56" t="s">
        <v>6252</v>
      </c>
      <c r="C56">
        <v>50</v>
      </c>
      <c r="D56" t="str">
        <f t="shared" si="1"/>
        <v>17001IC06002680 N BIFURCACION PLAST 10 MM</v>
      </c>
      <c r="E56" s="196">
        <f>+VLOOKUP(H56&amp;ALNAT[[#This Row],[N°]],CODIGOS_Y_COSTOS[[ID]:[COSTO]],7,0)</f>
        <v>991.44</v>
      </c>
      <c r="F56" s="196">
        <f t="shared" si="20"/>
        <v>49572</v>
      </c>
      <c r="G56" s="197">
        <v>199</v>
      </c>
      <c r="H56" s="39" t="s">
        <v>6102</v>
      </c>
      <c r="I56" s="198" t="str">
        <f>+H56&amp;ALNAT[[#This Row],[N°]]</f>
        <v>CONECTORES NEUMÁTICOS199</v>
      </c>
      <c r="J56" s="876" t="str">
        <f>IFERROR(INDEX(ALNAT[CODIGO],MATCH(Tabla17[[#This Row],[TIPO]]&amp;Tabla17[[#This Row],[N°]],$I$3:$I$308,0),1),"")</f>
        <v>E09</v>
      </c>
      <c r="K56" s="1266">
        <f>IFERROR(VLOOKUP(Tabla17[[#This Row],[CODIGO]],ALNAT[[CODIGO]:[DESCRIPCIÓN]],2,0),"")</f>
        <v>15</v>
      </c>
      <c r="L56" s="195" t="str">
        <f>IFERROR(VLOOKUP(Tabla17[[#This Row],[CODIGO]],ALNAT[[CODIGO]:[DESCRIPCIÓN]],3,0),"")</f>
        <v/>
      </c>
      <c r="M56" s="196">
        <f>IFERROR(VLOOKUP(Tabla17[[#This Row],[CODIGO]],ALNAT[],4,0),0)</f>
        <v>2243.5920000000001</v>
      </c>
      <c r="N56" s="196">
        <f t="shared" si="21"/>
        <v>33653.880000000005</v>
      </c>
      <c r="O56" s="1065">
        <v>56</v>
      </c>
      <c r="P56" t="s">
        <v>21391</v>
      </c>
      <c r="S56" s="480" t="s">
        <v>9454</v>
      </c>
      <c r="T56" s="480" t="s">
        <v>9455</v>
      </c>
      <c r="U56" s="504">
        <v>12084.72113054874</v>
      </c>
      <c r="V56" s="89" t="s">
        <v>9337</v>
      </c>
      <c r="W56" s="90">
        <f t="shared" si="18"/>
        <v>8580.1520026896051</v>
      </c>
      <c r="AG56" s="490" t="s">
        <v>6231</v>
      </c>
      <c r="AH56" s="494" t="s">
        <v>6232</v>
      </c>
      <c r="AI56" s="181">
        <v>139.83201494609622</v>
      </c>
      <c r="AJ56" s="197">
        <v>155</v>
      </c>
      <c r="AK56" s="39" t="s">
        <v>6102</v>
      </c>
      <c r="AL56" s="1"/>
      <c r="AM56" s="1">
        <f t="shared" si="9"/>
        <v>0</v>
      </c>
      <c r="AN56" s="62">
        <f t="shared" si="10"/>
        <v>-1</v>
      </c>
    </row>
    <row r="57" spans="1:63" ht="14.25" x14ac:dyDescent="0.2">
      <c r="A57" s="31"/>
      <c r="B57" t="s">
        <v>6255</v>
      </c>
      <c r="C57">
        <v>50</v>
      </c>
      <c r="D57" t="str">
        <f t="shared" si="1"/>
        <v>17001IC06002680 N BIFURCACION PLAST 12 MM</v>
      </c>
      <c r="E57" s="196">
        <f>+VLOOKUP(H57&amp;ALNAT[[#This Row],[N°]],CODIGOS_Y_COSTOS[[ID]:[COSTO]],7,0)</f>
        <v>1101.5999999999999</v>
      </c>
      <c r="F57" s="196">
        <f t="shared" si="20"/>
        <v>55079.999999999993</v>
      </c>
      <c r="G57" s="197">
        <v>200</v>
      </c>
      <c r="H57" s="39" t="s">
        <v>6102</v>
      </c>
      <c r="I57" s="198" t="str">
        <f>+H57&amp;ALNAT[[#This Row],[N°]]</f>
        <v>CONECTORES NEUMÁTICOS200</v>
      </c>
      <c r="J57" s="876" t="str">
        <f>IFERROR(INDEX(ALNAT[CODIGO],MATCH(Tabla17[[#This Row],[TIPO]]&amp;Tabla17[[#This Row],[N°]],$I$3:$I$308,0),1),"")</f>
        <v>E10</v>
      </c>
      <c r="K57" s="1266">
        <f>IFERROR(VLOOKUP(Tabla17[[#This Row],[CODIGO]],ALNAT[[CODIGO]:[DESCRIPCIÓN]],2,0),"")</f>
        <v>15</v>
      </c>
      <c r="L57" s="195" t="str">
        <f>IFERROR(VLOOKUP(Tabla17[[#This Row],[CODIGO]],ALNAT[[CODIGO]:[DESCRIPCIÓN]],3,0),"")</f>
        <v/>
      </c>
      <c r="M57" s="196">
        <f>IFERROR(VLOOKUP(Tabla17[[#This Row],[CODIGO]],ALNAT[],4,0),0)</f>
        <v>2243.5920000000001</v>
      </c>
      <c r="N57" s="196">
        <f t="shared" si="21"/>
        <v>33653.880000000005</v>
      </c>
      <c r="O57" s="1065">
        <v>57</v>
      </c>
      <c r="P57" t="s">
        <v>21391</v>
      </c>
      <c r="S57" s="480" t="s">
        <v>9456</v>
      </c>
      <c r="T57" s="480" t="s">
        <v>9457</v>
      </c>
      <c r="U57" s="504">
        <v>2137.3310364058311</v>
      </c>
      <c r="V57" s="89" t="s">
        <v>9337</v>
      </c>
      <c r="W57" s="90">
        <f t="shared" si="18"/>
        <v>1517.5050358481401</v>
      </c>
      <c r="AG57" s="491" t="s">
        <v>6234</v>
      </c>
      <c r="AH57" s="69" t="s">
        <v>6235</v>
      </c>
      <c r="AI57" s="60">
        <v>113.95670028986883</v>
      </c>
      <c r="AJ57" s="197">
        <v>157</v>
      </c>
      <c r="AK57" s="39" t="s">
        <v>6102</v>
      </c>
      <c r="AL57" s="1"/>
      <c r="AM57" s="1">
        <f t="shared" si="9"/>
        <v>0</v>
      </c>
      <c r="AN57" s="62">
        <f t="shared" si="10"/>
        <v>-1</v>
      </c>
    </row>
    <row r="58" spans="1:63" ht="14.25" x14ac:dyDescent="0.2">
      <c r="A58" s="31"/>
      <c r="B58" t="s">
        <v>6258</v>
      </c>
      <c r="C58">
        <v>30</v>
      </c>
      <c r="D58" t="str">
        <f t="shared" si="1"/>
        <v>19001IC04103051H DISTRIBUIDOR 5 L MANG 6 MM</v>
      </c>
      <c r="E58" s="196">
        <f>+VLOOKUP(H58&amp;ALNAT[[#This Row],[N°]],CODIGOS_Y_COSTOS[[ID]:[COSTO]],7,0)</f>
        <v>2445.5520000000001</v>
      </c>
      <c r="F58" s="196">
        <f t="shared" si="20"/>
        <v>73366.559999999998</v>
      </c>
      <c r="G58" s="197">
        <v>205</v>
      </c>
      <c r="H58" s="39" t="s">
        <v>6102</v>
      </c>
      <c r="I58" s="198" t="str">
        <f>+H58&amp;ALNAT[[#This Row],[N°]]</f>
        <v>CONECTORES NEUMÁTICOS205</v>
      </c>
      <c r="J58" s="876" t="str">
        <f>IFERROR(INDEX(ALNAT[CODIGO],MATCH(Tabla17[[#This Row],[TIPO]]&amp;Tabla17[[#This Row],[N°]],$I$3:$I$308,0),1),"")</f>
        <v>E51</v>
      </c>
      <c r="K58" s="1266">
        <f>IFERROR(VLOOKUP(Tabla17[[#This Row],[CODIGO]],ALNAT[[CODIGO]:[DESCRIPCIÓN]],2,0),"")</f>
        <v>15</v>
      </c>
      <c r="L58" s="195" t="str">
        <f>IFERROR(VLOOKUP(Tabla17[[#This Row],[CODIGO]],ALNAT[[CODIGO]:[DESCRIPCIÓN]],3,0),"")</f>
        <v>SAE 9.89 ID-8 - Conector macho</v>
      </c>
      <c r="M58" s="196">
        <f>IFERROR(VLOOKUP(Tabla17[[#This Row],[CODIGO]],ALNAT[],4,0),0)</f>
        <v>1208.088</v>
      </c>
      <c r="N58" s="196">
        <f t="shared" si="21"/>
        <v>18121.32</v>
      </c>
      <c r="O58" s="1065">
        <v>58</v>
      </c>
      <c r="P58" t="s">
        <v>21391</v>
      </c>
      <c r="S58" s="480" t="s">
        <v>9458</v>
      </c>
      <c r="T58" s="480" t="s">
        <v>9459</v>
      </c>
      <c r="U58" s="504">
        <v>2805.9712726543266</v>
      </c>
      <c r="V58" s="89" t="s">
        <v>9337</v>
      </c>
      <c r="W58" s="90">
        <f t="shared" si="18"/>
        <v>1992.2396035845718</v>
      </c>
      <c r="AG58" s="490" t="s">
        <v>6237</v>
      </c>
      <c r="AH58" s="494" t="s">
        <v>6238</v>
      </c>
      <c r="AI58" s="181">
        <v>115.38931699975682</v>
      </c>
      <c r="AJ58" s="197">
        <v>158</v>
      </c>
      <c r="AK58" s="39" t="s">
        <v>6102</v>
      </c>
      <c r="AL58" s="1"/>
      <c r="AM58" s="1">
        <f t="shared" si="9"/>
        <v>0</v>
      </c>
      <c r="AN58" s="62">
        <f t="shared" si="10"/>
        <v>-1</v>
      </c>
    </row>
    <row r="59" spans="1:63" ht="14.25" x14ac:dyDescent="0.2">
      <c r="A59" s="31"/>
      <c r="B59" t="s">
        <v>6261</v>
      </c>
      <c r="C59">
        <v>30</v>
      </c>
      <c r="D59" t="str">
        <f t="shared" si="1"/>
        <v>19001IC04044769E DISTRIBUIDOR 5 L MANG 8 MM</v>
      </c>
      <c r="E59" s="196">
        <f>+VLOOKUP(H59&amp;ALNAT[[#This Row],[N°]],CODIGOS_Y_COSTOS[[ID]:[COSTO]],7,0)</f>
        <v>2873.5236</v>
      </c>
      <c r="F59" s="196">
        <f t="shared" si="20"/>
        <v>86205.707999999999</v>
      </c>
      <c r="G59" s="197">
        <v>206</v>
      </c>
      <c r="H59" s="39" t="s">
        <v>6102</v>
      </c>
      <c r="I59" s="198" t="str">
        <f>+H59&amp;ALNAT[[#This Row],[N°]]</f>
        <v>CONECTORES NEUMÁTICOS206</v>
      </c>
      <c r="J59" s="876">
        <f>IFERROR(INDEX(ALNAT[CODIGO],MATCH(Tabla17[[#This Row],[TIPO]]&amp;Tabla17[[#This Row],[N°]],$I$3:$I$308,0),1),"")</f>
        <v>0</v>
      </c>
      <c r="K59" s="1266" t="str">
        <f>IFERROR(VLOOKUP(Tabla17[[#This Row],[CODIGO]],ALNAT[[CODIGO]:[DESCRIPCIÓN]],2,0),"")</f>
        <v/>
      </c>
      <c r="L59" s="195" t="str">
        <f>IFERROR(VLOOKUP(Tabla17[[#This Row],[CODIGO]],ALNAT[[CODIGO]:[DESCRIPCIÓN]],3,0),"")</f>
        <v/>
      </c>
      <c r="M59" s="196">
        <f>IFERROR(VLOOKUP(Tabla17[[#This Row],[CODIGO]],ALNAT[],4,0),0)</f>
        <v>0</v>
      </c>
      <c r="N59" s="196">
        <f t="shared" si="21"/>
        <v>0</v>
      </c>
      <c r="O59" s="1065">
        <v>59</v>
      </c>
      <c r="P59" t="s">
        <v>21391</v>
      </c>
      <c r="S59" s="480" t="s">
        <v>9460</v>
      </c>
      <c r="T59" s="480" t="s">
        <v>9461</v>
      </c>
      <c r="U59" s="504">
        <v>3901.8590633925364</v>
      </c>
      <c r="V59" s="89" t="s">
        <v>9337</v>
      </c>
      <c r="W59" s="90">
        <f t="shared" si="18"/>
        <v>2770.3199350087007</v>
      </c>
      <c r="AG59" s="491" t="s">
        <v>6240</v>
      </c>
      <c r="AH59" s="69" t="s">
        <v>6241</v>
      </c>
      <c r="AI59" s="60">
        <v>147.12973610549764</v>
      </c>
      <c r="AJ59" s="197">
        <v>159</v>
      </c>
      <c r="AK59" s="39" t="s">
        <v>6102</v>
      </c>
      <c r="AL59" s="1"/>
      <c r="AM59" s="1">
        <f t="shared" si="9"/>
        <v>0</v>
      </c>
      <c r="AN59" s="62">
        <f t="shared" si="10"/>
        <v>-1</v>
      </c>
    </row>
    <row r="60" spans="1:63" ht="14.25" x14ac:dyDescent="0.2">
      <c r="A60" s="31"/>
      <c r="B60" t="s">
        <v>6264</v>
      </c>
      <c r="C60">
        <v>30</v>
      </c>
      <c r="D60" t="str">
        <f t="shared" si="1"/>
        <v>14 001 IC04 091977 C DISTRIBUIDOR 5 L MANG 10 MM</v>
      </c>
      <c r="E60" s="196">
        <f>+VLOOKUP(H60&amp;ALNAT[[#This Row],[N°]],CODIGOS_Y_COSTOS[[ID]:[COSTO]],7,0)</f>
        <v>3056.94</v>
      </c>
      <c r="F60" s="196">
        <f t="shared" si="20"/>
        <v>91708.2</v>
      </c>
      <c r="G60" s="197">
        <v>207</v>
      </c>
      <c r="H60" s="39" t="s">
        <v>6102</v>
      </c>
      <c r="I60" s="198" t="str">
        <f>+H60&amp;ALNAT[[#This Row],[N°]]</f>
        <v>CONECTORES NEUMÁTICOS207</v>
      </c>
      <c r="J60" s="876" t="str">
        <f>IFERROR(INDEX(ALNAT[CODIGO],MATCH(Tabla17[[#This Row],[TIPO]]&amp;Tabla17[[#This Row],[N°]],$I$3:$I$308,0),1),"")</f>
        <v>B03</v>
      </c>
      <c r="K60" s="1266">
        <f>IFERROR(VLOOKUP(Tabla17[[#This Row],[CODIGO]],ALNAT[[CODIGO]:[DESCRIPCIÓN]],2,0),"")</f>
        <v>15</v>
      </c>
      <c r="L60" s="195" t="str">
        <f>IFERROR(VLOOKUP(Tabla17[[#This Row],[CODIGO]],ALNAT[[CODIGO]:[DESCRIPCIÓN]],3,0),"")</f>
        <v>SAE 7.89 ID-10 - Acople recto</v>
      </c>
      <c r="M60" s="196">
        <f>IFERROR(VLOOKUP(Tabla17[[#This Row],[CODIGO]],ALNAT[],4,0),0)</f>
        <v>2013.48</v>
      </c>
      <c r="N60" s="196">
        <f>+IFERROR(M60*K60,0)</f>
        <v>30202.2</v>
      </c>
      <c r="O60" s="1065">
        <v>17</v>
      </c>
      <c r="P60" t="s">
        <v>21391</v>
      </c>
      <c r="S60" s="480" t="s">
        <v>9462</v>
      </c>
      <c r="T60" s="480" t="s">
        <v>9463</v>
      </c>
      <c r="U60" s="504">
        <v>2137.3310364058311</v>
      </c>
      <c r="V60" s="89" t="s">
        <v>9337</v>
      </c>
      <c r="W60" s="90">
        <f t="shared" si="18"/>
        <v>1517.5050358481401</v>
      </c>
      <c r="AG60" s="490" t="s">
        <v>6243</v>
      </c>
      <c r="AH60" s="494" t="s">
        <v>6244</v>
      </c>
      <c r="AI60" s="181">
        <v>161.5514109850368</v>
      </c>
      <c r="AJ60" s="197">
        <v>160</v>
      </c>
      <c r="AK60" s="39" t="s">
        <v>6102</v>
      </c>
      <c r="AL60" s="1"/>
      <c r="AM60" s="1">
        <f t="shared" si="9"/>
        <v>0</v>
      </c>
      <c r="AN60" s="62">
        <f t="shared" si="10"/>
        <v>-1</v>
      </c>
    </row>
    <row r="61" spans="1:63" ht="14.25" x14ac:dyDescent="0.2">
      <c r="A61" s="31"/>
      <c r="B61" t="s">
        <v>6267</v>
      </c>
      <c r="C61">
        <v>50</v>
      </c>
      <c r="D61" t="str">
        <f t="shared" si="1"/>
        <v>14 001 IC04 184811 P CONEXION CRUZ 6MM</v>
      </c>
      <c r="E61" s="196">
        <f>+VLOOKUP(H61&amp;ALNAT[[#This Row],[N°]],CODIGOS_Y_COSTOS[[ID]:[COSTO]],7,0)</f>
        <v>868.64909999999998</v>
      </c>
      <c r="F61" s="196">
        <f t="shared" si="20"/>
        <v>43432.455000000002</v>
      </c>
      <c r="G61" s="197">
        <v>211</v>
      </c>
      <c r="H61" s="39" t="s">
        <v>6102</v>
      </c>
      <c r="I61" s="198" t="str">
        <f>+H61&amp;ALNAT[[#This Row],[N°]]</f>
        <v>CONECTORES NEUMÁTICOS211</v>
      </c>
      <c r="J61" s="876" t="str">
        <f>IFERROR(INDEX(ALNAT[CODIGO],MATCH(Tabla17[[#This Row],[TIPO]]&amp;Tabla17[[#This Row],[N°]],$I$3:$I$308,0),1),"")</f>
        <v>B25</v>
      </c>
      <c r="K61" s="1266">
        <f>IFERROR(VLOOKUP(Tabla17[[#This Row],[CODIGO]],ALNAT[[CODIGO]:[DESCRIPCIÓN]],2,0),"")</f>
        <v>15</v>
      </c>
      <c r="L61" s="195" t="str">
        <f>IFERROR(VLOOKUP(Tabla17[[#This Row],[CODIGO]],ALNAT[[CODIGO]:[DESCRIPCIÓN]],3,0),"")</f>
        <v>SAE 7.89 ID-8 - Espiga recta para manguera</v>
      </c>
      <c r="M61" s="196">
        <f>IFERROR(VLOOKUP(Tabla17[[#This Row],[CODIGO]],ALNAT[],4,0),0)</f>
        <v>2013.48</v>
      </c>
      <c r="N61" s="196">
        <f>+IFERROR(M61*K61,0)</f>
        <v>30202.2</v>
      </c>
      <c r="O61" s="1065">
        <v>19</v>
      </c>
      <c r="P61" t="s">
        <v>21391</v>
      </c>
      <c r="S61" s="480" t="s">
        <v>9464</v>
      </c>
      <c r="T61" s="480" t="s">
        <v>9465</v>
      </c>
      <c r="U61" s="504">
        <v>2268.7413640661794</v>
      </c>
      <c r="V61" s="89" t="s">
        <v>9337</v>
      </c>
      <c r="W61" s="90">
        <f t="shared" ref="W61:W71" si="22">+IF(V61="Nacional",(1-$AA$1)*U61,(1-$AA$2)*U61)</f>
        <v>1610.8063684869874</v>
      </c>
      <c r="AG61" s="491" t="s">
        <v>6246</v>
      </c>
      <c r="AH61" s="69" t="s">
        <v>6247</v>
      </c>
      <c r="AI61" s="60">
        <v>87.93515299613901</v>
      </c>
      <c r="AJ61" s="197">
        <v>197</v>
      </c>
      <c r="AK61" s="39" t="s">
        <v>6102</v>
      </c>
      <c r="AL61" s="1"/>
      <c r="AM61" s="1">
        <f t="shared" si="9"/>
        <v>0</v>
      </c>
      <c r="AN61" s="62">
        <f t="shared" si="10"/>
        <v>-1</v>
      </c>
    </row>
    <row r="62" spans="1:63" ht="14.25" x14ac:dyDescent="0.2">
      <c r="A62" s="31"/>
      <c r="B62" t="s">
        <v>6270</v>
      </c>
      <c r="C62">
        <v>50</v>
      </c>
      <c r="D62" t="str">
        <f t="shared" si="1"/>
        <v>20001IC04206029X CONEXION CRUZ 8MM</v>
      </c>
      <c r="E62" s="196">
        <f>+VLOOKUP(H62&amp;ALNAT[[#This Row],[N°]],CODIGOS_Y_COSTOS[[ID]:[COSTO]],7,0)</f>
        <v>938.35550000000001</v>
      </c>
      <c r="F62" s="196">
        <f t="shared" si="20"/>
        <v>46917.775000000001</v>
      </c>
      <c r="G62" s="197">
        <v>212</v>
      </c>
      <c r="H62" s="39" t="s">
        <v>6102</v>
      </c>
      <c r="I62" s="198" t="str">
        <f>+H62&amp;ALNAT[[#This Row],[N°]]</f>
        <v>CONECTORES NEUMÁTICOS212</v>
      </c>
      <c r="J62" s="876" t="str">
        <f>IFERROR(INDEX(ALNAT[CODIGO],MATCH(Tabla17[[#This Row],[TIPO]]&amp;Tabla17[[#This Row],[N°]],$I$3:$I$308,0),1),"")</f>
        <v>061-01</v>
      </c>
      <c r="K62" s="1266">
        <f>IFERROR(VLOOKUP(Tabla17[[#This Row],[CODIGO]],ALNAT[[CODIGO]:[DESCRIPCIÓN]],2,0),"")</f>
        <v>100</v>
      </c>
      <c r="L62" s="195" t="str">
        <f>IFERROR(VLOOKUP(Tabla17[[#This Row],[CODIGO]],ALNAT[[CODIGO]:[DESCRIPCIÓN]],3,0),"")</f>
        <v>20001IC04164806Y  UNION DOBLE PLAST 6 MM</v>
      </c>
      <c r="M62" s="196">
        <f>IFERROR(VLOOKUP(Tabla17[[#This Row],[CODIGO]],ALNAT[],4,0),0)</f>
        <v>290.03519999999997</v>
      </c>
      <c r="N62" s="196">
        <f t="shared" si="21"/>
        <v>29003.519999999997</v>
      </c>
      <c r="O62" s="1065">
        <v>97</v>
      </c>
      <c r="P62" t="s">
        <v>6102</v>
      </c>
      <c r="S62" s="480" t="s">
        <v>9466</v>
      </c>
      <c r="T62" s="480" t="s">
        <v>9467</v>
      </c>
      <c r="U62" s="504">
        <v>3211.3535479992297</v>
      </c>
      <c r="V62" s="89" t="s">
        <v>9337</v>
      </c>
      <c r="W62" s="90">
        <f t="shared" si="22"/>
        <v>2280.0610190794528</v>
      </c>
      <c r="AG62" s="490" t="s">
        <v>6249</v>
      </c>
      <c r="AH62" s="494" t="s">
        <v>6250</v>
      </c>
      <c r="AI62" s="181">
        <v>91.193289720138424</v>
      </c>
      <c r="AJ62" s="197">
        <v>198</v>
      </c>
      <c r="AK62" s="39" t="s">
        <v>6102</v>
      </c>
      <c r="AL62" s="1"/>
      <c r="AM62" s="1">
        <f t="shared" si="9"/>
        <v>0</v>
      </c>
      <c r="AN62" s="62">
        <f t="shared" si="10"/>
        <v>-1</v>
      </c>
    </row>
    <row r="63" spans="1:63" ht="14.25" x14ac:dyDescent="0.2">
      <c r="A63" s="31"/>
      <c r="B63" t="s">
        <v>6273</v>
      </c>
      <c r="C63">
        <v>50</v>
      </c>
      <c r="D63" t="str">
        <f t="shared" si="1"/>
        <v>14 001 IC04 184811 P CONEXION CRUZ  10MM</v>
      </c>
      <c r="E63" s="196">
        <f>+VLOOKUP(H63&amp;ALNAT[[#This Row],[N°]],CODIGOS_Y_COSTOS[[ID]:[COSTO]],7,0)</f>
        <v>1072.4063000000001</v>
      </c>
      <c r="F63" s="196">
        <f t="shared" si="20"/>
        <v>53620.315000000002</v>
      </c>
      <c r="G63" s="197">
        <v>213</v>
      </c>
      <c r="H63" s="39" t="s">
        <v>6102</v>
      </c>
      <c r="I63" s="198" t="str">
        <f>+H63&amp;ALNAT[[#This Row],[N°]]</f>
        <v>CONECTORES NEUMÁTICOS213</v>
      </c>
      <c r="J63" s="876" t="str">
        <f>IFERROR(INDEX(ALNAT[CODIGO],MATCH(Tabla17[[#This Row],[TIPO]]&amp;Tabla17[[#This Row],[N°]],$I$3:$I$308,0),1),"")</f>
        <v>061-02</v>
      </c>
      <c r="K63" s="1266">
        <f>IFERROR(VLOOKUP(Tabla17[[#This Row],[CODIGO]],ALNAT[[CODIGO]:[DESCRIPCIÓN]],2,0),"")</f>
        <v>100</v>
      </c>
      <c r="L63" s="195" t="str">
        <f>IFERROR(VLOOKUP(Tabla17[[#This Row],[CODIGO]],ALNAT[[CODIGO]:[DESCRIPCIÓN]],3,0),"")</f>
        <v>20001IC04164806Y UNION DOBLE RAPIDA PLAST 8 M</v>
      </c>
      <c r="M63" s="196">
        <f>IFERROR(VLOOKUP(Tabla17[[#This Row],[CODIGO]],ALNAT[],4,0),0)</f>
        <v>290.03519999999997</v>
      </c>
      <c r="N63" s="196">
        <f t="shared" si="21"/>
        <v>29003.519999999997</v>
      </c>
      <c r="O63" s="1065">
        <v>98</v>
      </c>
      <c r="P63" t="s">
        <v>6102</v>
      </c>
      <c r="S63" s="480" t="s">
        <v>9468</v>
      </c>
      <c r="T63" s="480" t="s">
        <v>9469</v>
      </c>
      <c r="U63" s="504">
        <v>2942.8479201008777</v>
      </c>
      <c r="V63" s="89" t="s">
        <v>9337</v>
      </c>
      <c r="W63" s="90">
        <f t="shared" si="22"/>
        <v>2089.4220232716229</v>
      </c>
      <c r="AG63" s="491" t="s">
        <v>6252</v>
      </c>
      <c r="AH63" s="69" t="s">
        <v>6253</v>
      </c>
      <c r="AI63" s="60">
        <v>104.21432376552117</v>
      </c>
      <c r="AJ63" s="197">
        <v>199</v>
      </c>
      <c r="AK63" s="39" t="s">
        <v>6102</v>
      </c>
      <c r="AL63" s="1"/>
      <c r="AM63" s="1">
        <f t="shared" si="9"/>
        <v>0</v>
      </c>
      <c r="AN63" s="62">
        <f t="shared" si="10"/>
        <v>-1</v>
      </c>
    </row>
    <row r="64" spans="1:63" ht="14.25" x14ac:dyDescent="0.2">
      <c r="A64" s="31"/>
      <c r="B64" t="s">
        <v>6276</v>
      </c>
      <c r="C64">
        <v>70</v>
      </c>
      <c r="D64" t="str">
        <f t="shared" si="1"/>
        <v>15091 IC04 059871 J TAPON 6 MM</v>
      </c>
      <c r="E64" s="196">
        <f>+VLOOKUP(H64&amp;ALNAT[[#This Row],[N°]],CODIGOS_Y_COSTOS[[ID]:[COSTO]],7,0)</f>
        <v>446.83600000000001</v>
      </c>
      <c r="F64" s="196">
        <f t="shared" si="20"/>
        <v>31278.52</v>
      </c>
      <c r="G64" s="197">
        <v>219</v>
      </c>
      <c r="H64" s="39" t="s">
        <v>6102</v>
      </c>
      <c r="I64" s="198" t="str">
        <f>+H64&amp;ALNAT[[#This Row],[N°]]</f>
        <v>CONECTORES NEUMÁTICOS219</v>
      </c>
      <c r="J64" s="876" t="str">
        <f>IFERROR(INDEX(ALNAT[CODIGO],MATCH(Tabla17[[#This Row],[TIPO]]&amp;Tabla17[[#This Row],[N°]],$I$3:$I$308,0),1),"")</f>
        <v>BO08</v>
      </c>
      <c r="K64" s="1266">
        <f>IFERROR(VLOOKUP(Tabla17[[#This Row],[CODIGO]],ALNAT[[CODIGO]:[DESCRIPCIÓN]],2,0),"")</f>
        <v>200</v>
      </c>
      <c r="L64" s="195" t="str">
        <f>IFERROR(VLOOKUP(Tabla17[[#This Row],[CODIGO]],ALNAT[[CODIGO]:[DESCRIPCIÓN]],3,0),"")</f>
        <v>19001IC04208820R VIROLA 8 MM</v>
      </c>
      <c r="M64" s="196">
        <f>IFERROR(VLOOKUP(Tabla17[[#This Row],[CODIGO]],ALNAT[],4,0),0)</f>
        <v>77.516999999999996</v>
      </c>
      <c r="N64" s="196">
        <f t="shared" si="21"/>
        <v>15503.4</v>
      </c>
      <c r="O64" s="1065">
        <v>3</v>
      </c>
      <c r="P64" t="s">
        <v>7878</v>
      </c>
      <c r="S64" s="480" t="s">
        <v>9470</v>
      </c>
      <c r="T64" s="480" t="s">
        <v>9471</v>
      </c>
      <c r="U64" s="504">
        <v>2942.8479201008777</v>
      </c>
      <c r="V64" s="89" t="s">
        <v>9337</v>
      </c>
      <c r="W64" s="90">
        <f t="shared" si="22"/>
        <v>2089.4220232716229</v>
      </c>
      <c r="AG64" s="490" t="s">
        <v>6255</v>
      </c>
      <c r="AH64" s="494" t="s">
        <v>6256</v>
      </c>
      <c r="AI64" s="181">
        <v>115.99196994450125</v>
      </c>
      <c r="AJ64" s="197">
        <v>200</v>
      </c>
      <c r="AK64" s="39" t="s">
        <v>6102</v>
      </c>
      <c r="AL64" s="1"/>
      <c r="AM64" s="1">
        <f t="shared" si="9"/>
        <v>0</v>
      </c>
      <c r="AN64" s="62">
        <f t="shared" si="10"/>
        <v>-1</v>
      </c>
    </row>
    <row r="65" spans="1:69" ht="14.25" x14ac:dyDescent="0.2">
      <c r="A65" s="31"/>
      <c r="B65" t="s">
        <v>6279</v>
      </c>
      <c r="C65">
        <v>70</v>
      </c>
      <c r="D65" t="str">
        <f t="shared" si="1"/>
        <v>15091 IC04 059871 J TAPON 8 MM</v>
      </c>
      <c r="E65" s="196">
        <f>+VLOOKUP(H65&amp;ALNAT[[#This Row],[N°]],CODIGOS_Y_COSTOS[[ID]:[COSTO]],7,0)</f>
        <v>536.20320000000004</v>
      </c>
      <c r="F65" s="196">
        <f t="shared" si="20"/>
        <v>37534.224000000002</v>
      </c>
      <c r="G65" s="197">
        <v>220</v>
      </c>
      <c r="H65" s="39" t="s">
        <v>6102</v>
      </c>
      <c r="I65" s="198" t="str">
        <f>+H65&amp;ALNAT[[#This Row],[N°]]</f>
        <v>CONECTORES NEUMÁTICOS220</v>
      </c>
      <c r="J65" s="876" t="str">
        <f>IFERROR(INDEX(ALNAT[CODIGO],MATCH(Tabla17[[#This Row],[TIPO]]&amp;Tabla17[[#This Row],[N°]],$I$3:$I$308,0),1),"")</f>
        <v>BI12</v>
      </c>
      <c r="K65" s="1266">
        <f>IFERROR(VLOOKUP(Tabla17[[#This Row],[CODIGO]],ALNAT[[CODIGO]:[DESCRIPCIÓN]],2,0),"")</f>
        <v>100</v>
      </c>
      <c r="L65" s="195" t="str">
        <f>IFERROR(VLOOKUP(Tabla17[[#This Row],[CODIGO]],ALNAT[[CODIGO]:[DESCRIPCIÓN]],3,0),"")</f>
        <v>20001IC04206029X MANGO BRONCE 12 MM</v>
      </c>
      <c r="M65" s="196">
        <f>IFERROR(VLOOKUP(Tabla17[[#This Row],[CODIGO]],ALNAT[],4,0),0)</f>
        <v>230.7825</v>
      </c>
      <c r="N65" s="196">
        <f t="shared" si="21"/>
        <v>23078.25</v>
      </c>
      <c r="O65" s="1065">
        <v>15</v>
      </c>
      <c r="P65" t="s">
        <v>7878</v>
      </c>
      <c r="S65" s="480" t="s">
        <v>9472</v>
      </c>
      <c r="T65" s="480" t="s">
        <v>9473</v>
      </c>
      <c r="U65" s="504">
        <v>2942.8479201008777</v>
      </c>
      <c r="V65" s="89" t="s">
        <v>9337</v>
      </c>
      <c r="W65" s="90">
        <f t="shared" si="22"/>
        <v>2089.4220232716229</v>
      </c>
      <c r="AG65" s="491" t="s">
        <v>6258</v>
      </c>
      <c r="AH65" s="69" t="s">
        <v>6259</v>
      </c>
      <c r="AI65" s="60">
        <v>251.49452388158011</v>
      </c>
      <c r="AJ65" s="197">
        <v>205</v>
      </c>
      <c r="AK65" s="39" t="s">
        <v>6102</v>
      </c>
      <c r="AL65" s="1"/>
      <c r="AM65" s="1">
        <f t="shared" si="9"/>
        <v>0</v>
      </c>
      <c r="AN65" s="62">
        <f t="shared" si="10"/>
        <v>-1</v>
      </c>
    </row>
    <row r="66" spans="1:69" ht="14.25" x14ac:dyDescent="0.2">
      <c r="A66" s="31"/>
      <c r="B66" t="s">
        <v>6282</v>
      </c>
      <c r="C66">
        <v>70</v>
      </c>
      <c r="D66" t="str">
        <f t="shared" si="1"/>
        <v>20001IC04206029X TAPON 10 MM</v>
      </c>
      <c r="E66" s="196">
        <f>+VLOOKUP(H66&amp;ALNAT[[#This Row],[N°]],CODIGOS_Y_COSTOS[[ID]:[COSTO]],7,0)</f>
        <v>650.63250000000005</v>
      </c>
      <c r="F66" s="196">
        <f t="shared" si="20"/>
        <v>45544.275000000001</v>
      </c>
      <c r="G66" s="197">
        <v>221</v>
      </c>
      <c r="H66" s="39" t="s">
        <v>6102</v>
      </c>
      <c r="I66" s="198" t="str">
        <f>+H66&amp;ALNAT[[#This Row],[N°]]</f>
        <v>CONECTORES NEUMÁTICOS221</v>
      </c>
      <c r="J66" s="876" t="str">
        <f>IFERROR(INDEX(ALNAT[CODIGO],MATCH(Tabla17[[#This Row],[TIPO]]&amp;Tabla17[[#This Row],[N°]],$I$3:$I$308,0),1),"")</f>
        <v>012-03B-10</v>
      </c>
      <c r="K66" s="1266">
        <v>30</v>
      </c>
      <c r="L66" s="195" t="str">
        <f>IFERROR(VLOOKUP(Tabla17[[#This Row],[CODIGO]],ALNAT[[CODIGO]:[DESCRIPCIÓN]],3,0),"")</f>
        <v>TUERCA AJUSTE BRONCE  CONEXIÓN CON VIROLA TUBO 3/8</v>
      </c>
      <c r="M66" s="196">
        <f>IFERROR(VLOOKUP(Tabla17[[#This Row],[CODIGO]],ALNAT[],4,0),0)</f>
        <v>690.83</v>
      </c>
      <c r="N66" s="196">
        <f t="shared" si="21"/>
        <v>20724.900000000001</v>
      </c>
      <c r="O66" s="1065">
        <v>22</v>
      </c>
      <c r="P66" t="s">
        <v>7878</v>
      </c>
      <c r="S66" s="480" t="s">
        <v>9474</v>
      </c>
      <c r="T66" s="480" t="s">
        <v>9475</v>
      </c>
      <c r="U66" s="504">
        <v>9027.5178005204689</v>
      </c>
      <c r="V66" s="89" t="s">
        <v>9337</v>
      </c>
      <c r="W66" s="90">
        <f t="shared" si="22"/>
        <v>6409.5376383695329</v>
      </c>
      <c r="AG66" s="490" t="s">
        <v>6261</v>
      </c>
      <c r="AH66" s="494" t="s">
        <v>6262</v>
      </c>
      <c r="AI66" s="181">
        <v>295.50606556085665</v>
      </c>
      <c r="AJ66" s="197">
        <v>206</v>
      </c>
      <c r="AK66" s="39" t="s">
        <v>6102</v>
      </c>
      <c r="AL66" s="1"/>
      <c r="AM66" s="1">
        <f t="shared" si="9"/>
        <v>0</v>
      </c>
      <c r="AN66" s="62">
        <f t="shared" si="10"/>
        <v>-1</v>
      </c>
    </row>
    <row r="67" spans="1:69" ht="14.25" x14ac:dyDescent="0.2">
      <c r="A67" s="31"/>
      <c r="B67" t="s">
        <v>6285</v>
      </c>
      <c r="C67">
        <v>50</v>
      </c>
      <c r="D67" t="str">
        <f t="shared" ref="D67:D130" si="23">+VLOOKUP(B67,$S$1:$W$1375,2,0)</f>
        <v>15091 IC04 059871 J TAPON 12 MM</v>
      </c>
      <c r="E67" s="196">
        <f>+VLOOKUP(H67&amp;ALNAT[[#This Row],[N°]],CODIGOS_Y_COSTOS[[ID]:[COSTO]],7,0)</f>
        <v>744.72659999999996</v>
      </c>
      <c r="F67" s="196">
        <f>+E67*C67</f>
        <v>37236.33</v>
      </c>
      <c r="G67" s="197">
        <v>222</v>
      </c>
      <c r="H67" s="39" t="s">
        <v>6102</v>
      </c>
      <c r="I67" s="198" t="str">
        <f>+H67&amp;ALNAT[[#This Row],[N°]]</f>
        <v>CONECTORES NEUMÁTICOS222</v>
      </c>
      <c r="J67" s="876" t="str">
        <f>IFERROR(INDEX(ALNAT[CODIGO],MATCH(Tabla17[[#This Row],[TIPO]]&amp;Tabla17[[#This Row],[N°]],$I$3:$I$308,0),1),"")</f>
        <v>012-04B-10</v>
      </c>
      <c r="K67" s="1266">
        <f>IFERROR(VLOOKUP(Tabla17[[#This Row],[CODIGO]],ALNAT[[CODIGO]:[DESCRIPCIÓN]],2,0),"")</f>
        <v>30</v>
      </c>
      <c r="L67" s="195" t="str">
        <f>IFERROR(VLOOKUP(Tabla17[[#This Row],[CODIGO]],ALNAT[[CODIGO]:[DESCRIPCIÓN]],3,0),"")</f>
        <v>TUERCA AJUSTE BRONCE  CONEXIÓN CON VIROLA TUBO 1/2</v>
      </c>
      <c r="M67" s="196">
        <f>IFERROR(VLOOKUP(Tabla17[[#This Row],[CODIGO]],ALNAT[],4,0),0)</f>
        <v>868.99739999999997</v>
      </c>
      <c r="N67" s="196">
        <f t="shared" si="21"/>
        <v>26069.921999999999</v>
      </c>
      <c r="O67" s="1065">
        <v>23</v>
      </c>
      <c r="P67" t="s">
        <v>7878</v>
      </c>
      <c r="S67" s="480" t="s">
        <v>9476</v>
      </c>
      <c r="T67" s="480" t="s">
        <v>9477</v>
      </c>
      <c r="U67" s="504">
        <v>9027.5178005204689</v>
      </c>
      <c r="V67" s="89" t="s">
        <v>9337</v>
      </c>
      <c r="W67" s="90">
        <f t="shared" si="22"/>
        <v>6409.5376383695329</v>
      </c>
      <c r="AG67" s="491" t="s">
        <v>6264</v>
      </c>
      <c r="AH67" s="69" t="s">
        <v>6265</v>
      </c>
      <c r="AI67" s="60">
        <v>314.36815485197508</v>
      </c>
      <c r="AJ67" s="197">
        <v>207</v>
      </c>
      <c r="AK67" s="39" t="s">
        <v>6102</v>
      </c>
      <c r="AL67" s="1"/>
      <c r="AM67" s="1">
        <f t="shared" si="9"/>
        <v>0</v>
      </c>
      <c r="AN67" s="62">
        <f t="shared" si="10"/>
        <v>-1</v>
      </c>
    </row>
    <row r="68" spans="1:69" ht="14.25" x14ac:dyDescent="0.2">
      <c r="A68" s="31"/>
      <c r="B68" t="s">
        <v>6300</v>
      </c>
      <c r="C68">
        <v>2</v>
      </c>
      <c r="D68" t="str">
        <f t="shared" si="23"/>
        <v>20001IC047199935C TUBO  PU 6  MM X 4 X 200 MT</v>
      </c>
      <c r="E68" s="196">
        <f>+VLOOKUP(H68&amp;ALNAT[[#This Row],[N°]],CODIGOS_Y_COSTOS[[ID]:[COSTO]],7,0)</f>
        <v>339.66</v>
      </c>
      <c r="F68" s="196">
        <f>+E68*C68</f>
        <v>679.32</v>
      </c>
      <c r="G68" s="197">
        <v>228</v>
      </c>
      <c r="H68" s="39" t="s">
        <v>6102</v>
      </c>
      <c r="I68" s="198" t="str">
        <f>+H68&amp;ALNAT[[#This Row],[N°]]</f>
        <v>CONECTORES NEUMÁTICOS228</v>
      </c>
      <c r="J68" s="876" t="str">
        <f>IFERROR(INDEX(ALNAT[CODIGO],MATCH(Tabla17[[#This Row],[TIPO]]&amp;Tabla17[[#This Row],[N°]],$I$3:$I$308,0),1),"")</f>
        <v>012-82B-10</v>
      </c>
      <c r="K68" s="1266">
        <v>30</v>
      </c>
      <c r="L68" s="195" t="str">
        <f>IFERROR(VLOOKUP(Tabla17[[#This Row],[CODIGO]],ALNAT[[CODIGO]:[DESCRIPCIÓN]],3,0),"")</f>
        <v>TUERCA AJUSTE BRONCE  CONEXIÓN C/VIROLA TUBO 10MM</v>
      </c>
      <c r="M68" s="196">
        <f>IFERROR(VLOOKUP(Tabla17[[#This Row],[CODIGO]],ALNAT[],4,0),0)</f>
        <v>690.83</v>
      </c>
      <c r="N68" s="196">
        <f t="shared" si="21"/>
        <v>20724.900000000001</v>
      </c>
      <c r="O68" s="1065">
        <v>26</v>
      </c>
      <c r="P68" t="s">
        <v>7878</v>
      </c>
      <c r="S68" s="480" t="s">
        <v>9478</v>
      </c>
      <c r="T68" s="480" t="s">
        <v>9479</v>
      </c>
      <c r="U68" s="504">
        <v>9995.9310138444016</v>
      </c>
      <c r="V68" s="89" t="s">
        <v>9337</v>
      </c>
      <c r="W68" s="90">
        <f t="shared" si="22"/>
        <v>7097.1110198295246</v>
      </c>
      <c r="AG68" s="490" t="s">
        <v>6267</v>
      </c>
      <c r="AH68" s="494" t="s">
        <v>6268</v>
      </c>
      <c r="AI68" s="181">
        <v>118.30927607472773</v>
      </c>
      <c r="AJ68" s="197">
        <v>211</v>
      </c>
      <c r="AK68" s="39" t="s">
        <v>6102</v>
      </c>
      <c r="AL68" s="1"/>
      <c r="AM68" s="1">
        <f t="shared" ref="AM68:AM131" si="24">IFERROR((1-$AM$1)*AL68,0)</f>
        <v>0</v>
      </c>
      <c r="AN68" s="62">
        <f t="shared" si="10"/>
        <v>-1</v>
      </c>
    </row>
    <row r="69" spans="1:69" ht="14.25" x14ac:dyDescent="0.2">
      <c r="A69" s="31"/>
      <c r="B69" t="s">
        <v>6303</v>
      </c>
      <c r="C69">
        <v>2</v>
      </c>
      <c r="D69" t="str">
        <f t="shared" si="23"/>
        <v>20001IC04038164L TUBO  PU 8  MM X 5 X 100 MT</v>
      </c>
      <c r="E69" s="196">
        <f>+VLOOKUP(H69&amp;ALNAT[[#This Row],[N°]],CODIGOS_Y_COSTOS[[ID]:[COSTO]],7,0)</f>
        <v>611.82000000000005</v>
      </c>
      <c r="F69" s="196">
        <f>+E69*C69</f>
        <v>1223.6400000000001</v>
      </c>
      <c r="G69" s="197">
        <v>229</v>
      </c>
      <c r="H69" s="39" t="s">
        <v>6102</v>
      </c>
      <c r="I69" s="198" t="str">
        <f>+H69&amp;ALNAT[[#This Row],[N°]]</f>
        <v>CONECTORES NEUMÁTICOS229</v>
      </c>
      <c r="J69" s="876" t="str">
        <f>IFERROR(INDEX(ALNAT[CODIGO],MATCH(Tabla17[[#This Row],[TIPO]]&amp;Tabla17[[#This Row],[N°]],$I$3:$I$308,0),1),"")</f>
        <v>012-83B-10</v>
      </c>
      <c r="K69" s="1266">
        <v>30</v>
      </c>
      <c r="L69" s="195" t="str">
        <f>IFERROR(VLOOKUP(Tabla17[[#This Row],[CODIGO]],ALNAT[[CODIGO]:[DESCRIPCIÓN]],3,0),"")</f>
        <v>TUERCA AJUSTE BRONCE  CONEXIÓN C/VIROLA TUBO 12 MM</v>
      </c>
      <c r="M69" s="196">
        <f>IFERROR(VLOOKUP(Tabla17[[#This Row],[CODIGO]],ALNAT[],4,0),0)</f>
        <v>868.99739999999997</v>
      </c>
      <c r="N69" s="196">
        <f t="shared" si="21"/>
        <v>26069.921999999999</v>
      </c>
      <c r="O69" s="1065">
        <v>27</v>
      </c>
      <c r="P69" t="s">
        <v>7878</v>
      </c>
      <c r="S69" s="480" t="s">
        <v>9480</v>
      </c>
      <c r="T69" s="480" t="s">
        <v>9481</v>
      </c>
      <c r="U69" s="504">
        <v>9767.8761523639569</v>
      </c>
      <c r="V69" s="89" t="s">
        <v>9337</v>
      </c>
      <c r="W69" s="90">
        <f t="shared" si="22"/>
        <v>6935.1920681784086</v>
      </c>
      <c r="AG69" s="491" t="s">
        <v>6270</v>
      </c>
      <c r="AH69" s="69" t="s">
        <v>6271</v>
      </c>
      <c r="AI69" s="60">
        <v>149.84698077816074</v>
      </c>
      <c r="AJ69" s="197">
        <v>212</v>
      </c>
      <c r="AK69" s="39" t="s">
        <v>6102</v>
      </c>
      <c r="AL69" s="1"/>
      <c r="AM69" s="1">
        <f t="shared" si="24"/>
        <v>0</v>
      </c>
      <c r="AN69" s="62">
        <f t="shared" si="10"/>
        <v>-1</v>
      </c>
    </row>
    <row r="70" spans="1:69" ht="14.25" x14ac:dyDescent="0.2">
      <c r="A70" s="31"/>
      <c r="B70" t="s">
        <v>6306</v>
      </c>
      <c r="C70">
        <v>1</v>
      </c>
      <c r="D70" t="str">
        <f t="shared" si="23"/>
        <v>20001IC04038164L TUBO  PU 10 MM X 6.5 X 100 MT</v>
      </c>
      <c r="E70" s="196">
        <f>+VLOOKUP(H70&amp;ALNAT[[#This Row],[N°]],CODIGOS_Y_COSTOS[[ID]:[COSTO]],7,0)</f>
        <v>879.12</v>
      </c>
      <c r="F70" s="196">
        <f>+E70*C70</f>
        <v>879.12</v>
      </c>
      <c r="G70" s="197">
        <v>230</v>
      </c>
      <c r="H70" s="39" t="s">
        <v>6102</v>
      </c>
      <c r="I70" s="198" t="str">
        <f>+H70&amp;ALNAT[[#This Row],[N°]]</f>
        <v>CONECTORES NEUMÁTICOS230</v>
      </c>
      <c r="J70" s="876" t="str">
        <f>IFERROR(INDEX(ALNAT[CODIGO],MATCH(Tabla17[[#This Row],[TIPO]]&amp;Tabla17[[#This Row],[N°]],$I$3:$I$308,0),1),"")</f>
        <v>012-03B-20</v>
      </c>
      <c r="K70" s="1266">
        <f>IFERROR(VLOOKUP(Tabla17[[#This Row],[CODIGO]],ALNAT[[CODIGO]:[DESCRIPCIÓN]],2,0),"")</f>
        <v>30</v>
      </c>
      <c r="L70" s="195" t="str">
        <f>IFERROR(VLOOKUP(Tabla17[[#This Row],[CODIGO]],ALNAT[[CODIGO]:[DESCRIPCIÓN]],3,0),"")</f>
        <v>CUERPO UNION DOBLE AJUSTE VIROLA 3/8</v>
      </c>
      <c r="M70" s="196">
        <f>IFERROR(VLOOKUP(Tabla17[[#This Row],[CODIGO]],ALNAT[],4,0),0)</f>
        <v>1016.6064</v>
      </c>
      <c r="N70" s="196">
        <f t="shared" si="21"/>
        <v>30498.191999999999</v>
      </c>
      <c r="O70" s="1065">
        <v>32</v>
      </c>
      <c r="P70" t="s">
        <v>7878</v>
      </c>
      <c r="S70" s="480" t="s">
        <v>9482</v>
      </c>
      <c r="T70" s="480" t="s">
        <v>9483</v>
      </c>
      <c r="U70" s="504">
        <v>9767.8761523639569</v>
      </c>
      <c r="V70" s="89" t="s">
        <v>9337</v>
      </c>
      <c r="W70" s="90">
        <f t="shared" si="22"/>
        <v>6935.1920681784086</v>
      </c>
      <c r="AG70" s="490" t="s">
        <v>6273</v>
      </c>
      <c r="AH70" s="494" t="s">
        <v>6274</v>
      </c>
      <c r="AI70" s="181">
        <v>157.73753315928383</v>
      </c>
      <c r="AJ70" s="197">
        <v>213</v>
      </c>
      <c r="AK70" s="39" t="s">
        <v>6102</v>
      </c>
      <c r="AL70" s="1"/>
      <c r="AM70" s="1">
        <f t="shared" si="24"/>
        <v>0</v>
      </c>
      <c r="AN70" s="62">
        <f t="shared" si="10"/>
        <v>-1</v>
      </c>
    </row>
    <row r="71" spans="1:69" ht="14.25" x14ac:dyDescent="0.2">
      <c r="A71" s="31"/>
      <c r="B71" t="s">
        <v>6309</v>
      </c>
      <c r="C71">
        <v>1</v>
      </c>
      <c r="D71" t="str">
        <f t="shared" si="23"/>
        <v>20001IC04038164L TUBO  PU 12 MM X 8 X 100 MTS</v>
      </c>
      <c r="E71" s="196">
        <f>+VLOOKUP(H71&amp;ALNAT[[#This Row],[N°]],CODIGOS_Y_COSTOS[[ID]:[COSTO]],7,0)</f>
        <v>1216.08</v>
      </c>
      <c r="F71" s="196">
        <f>+E71*C71</f>
        <v>1216.08</v>
      </c>
      <c r="G71" s="197">
        <v>231</v>
      </c>
      <c r="H71" s="39" t="s">
        <v>6102</v>
      </c>
      <c r="I71" s="198" t="str">
        <f>+H71&amp;ALNAT[[#This Row],[N°]]</f>
        <v>CONECTORES NEUMÁTICOS231</v>
      </c>
      <c r="J71" s="876" t="str">
        <f>IFERROR(INDEX(ALNAT[CODIGO],MATCH(Tabla17[[#This Row],[TIPO]]&amp;Tabla17[[#This Row],[N°]],$I$3:$I$308,0),1),"")</f>
        <v>012-04B-20</v>
      </c>
      <c r="K71" s="1266">
        <f>IFERROR(VLOOKUP(Tabla17[[#This Row],[CODIGO]],ALNAT[[CODIGO]:[DESCRIPCIÓN]],2,0),"")</f>
        <v>30</v>
      </c>
      <c r="L71" s="195" t="str">
        <f>IFERROR(VLOOKUP(Tabla17[[#This Row],[CODIGO]],ALNAT[[CODIGO]:[DESCRIPCIÓN]],3,0),"")</f>
        <v>CUERPO UNION DOBLE AJUSTE VIROLA 1/2</v>
      </c>
      <c r="M71" s="196">
        <f>IFERROR(VLOOKUP(Tabla17[[#This Row],[CODIGO]],ALNAT[],4,0),0)</f>
        <v>1371.3436999999999</v>
      </c>
      <c r="N71" s="196">
        <f t="shared" si="21"/>
        <v>41140.310999999994</v>
      </c>
      <c r="O71" s="1065">
        <v>33</v>
      </c>
      <c r="P71" t="s">
        <v>7878</v>
      </c>
      <c r="R71" s="32" t="s">
        <v>9484</v>
      </c>
      <c r="S71" s="480" t="s">
        <v>9485</v>
      </c>
      <c r="T71" s="480" t="s">
        <v>9486</v>
      </c>
      <c r="U71" s="504">
        <v>10240.822140266338</v>
      </c>
      <c r="V71" s="89" t="s">
        <v>9337</v>
      </c>
      <c r="W71" s="90">
        <f t="shared" si="22"/>
        <v>7270.9837195890996</v>
      </c>
      <c r="AG71" s="491" t="s">
        <v>6276</v>
      </c>
      <c r="AH71" s="69" t="s">
        <v>6277</v>
      </c>
      <c r="AI71" s="60">
        <v>45.19042225997142</v>
      </c>
      <c r="AJ71" s="197">
        <v>219</v>
      </c>
      <c r="AK71" s="39" t="s">
        <v>6102</v>
      </c>
      <c r="AL71" s="1"/>
      <c r="AM71" s="1">
        <f t="shared" si="24"/>
        <v>0</v>
      </c>
      <c r="AN71" s="62">
        <f t="shared" si="10"/>
        <v>-1</v>
      </c>
    </row>
    <row r="72" spans="1:69" ht="14.25" x14ac:dyDescent="0.2">
      <c r="A72" s="31"/>
      <c r="B72" t="s">
        <v>4355</v>
      </c>
      <c r="C72">
        <v>100</v>
      </c>
      <c r="D72" t="str">
        <f t="shared" si="23"/>
        <v>PTA ACOPLE RAP 1/4 R M 1/4 BSPT</v>
      </c>
      <c r="E72" s="196">
        <f>+VLOOKUP(H72&amp;ALNAT[[#This Row],[N°]],CODIGOS_Y_COSTOS[[ID]:[COSTO]],7,0)</f>
        <v>659.81209999999999</v>
      </c>
      <c r="F72" s="196">
        <f t="shared" ref="F72:F104" si="25">+E72*C72</f>
        <v>65981.209999999992</v>
      </c>
      <c r="G72" s="197">
        <v>1</v>
      </c>
      <c r="H72" s="39" t="s">
        <v>4353</v>
      </c>
      <c r="I72" s="198" t="str">
        <f>+H72&amp;ALNAT[[#This Row],[N°]]</f>
        <v>RACORD - ACOPLES - REDUCCIONES - ENTREROSCAS1</v>
      </c>
      <c r="J72" s="876" t="str">
        <f>IFERROR(INDEX(ALNAT[CODIGO],MATCH(Tabla17[[#This Row],[TIPO]]&amp;Tabla17[[#This Row],[N°]],$I$3:$I$308,0),1),"")</f>
        <v/>
      </c>
      <c r="K72" s="1266" t="str">
        <f>IFERROR(VLOOKUP(Tabla17[[#This Row],[CODIGO]],ALNAT[[CODIGO]:[DESCRIPCIÓN]],2,0),"")</f>
        <v/>
      </c>
      <c r="L72" s="195" t="str">
        <f>IFERROR(VLOOKUP(Tabla17[[#This Row],[CODIGO]],ALNAT[[CODIGO]:[DESCRIPCIÓN]],3,0),"")</f>
        <v/>
      </c>
      <c r="M72" s="196">
        <f>IFERROR(VLOOKUP(Tabla17[[#This Row],[CODIGO]],ALNAT[],4,0),0)</f>
        <v>0</v>
      </c>
      <c r="N72" s="196">
        <f t="shared" si="21"/>
        <v>0</v>
      </c>
      <c r="O72" s="1065"/>
      <c r="R72" s="32"/>
      <c r="S72" s="480"/>
      <c r="T72" s="480"/>
      <c r="U72" s="504"/>
      <c r="V72" s="89"/>
      <c r="W72" s="90"/>
      <c r="AG72" s="490"/>
      <c r="AH72" s="494"/>
      <c r="AI72" s="181"/>
      <c r="AJ72" s="197"/>
      <c r="AK72" s="39"/>
      <c r="AL72" s="1"/>
      <c r="AM72" s="1"/>
      <c r="AN72" s="62"/>
    </row>
    <row r="73" spans="1:69" x14ac:dyDescent="0.2">
      <c r="A73" s="31"/>
      <c r="B73" t="s">
        <v>4358</v>
      </c>
      <c r="C73">
        <v>50</v>
      </c>
      <c r="D73" t="str">
        <f t="shared" si="23"/>
        <v>PTA ACOPLE RAP 1/4 MANG 6 MM</v>
      </c>
      <c r="E73" s="196">
        <f>+VLOOKUP(H73&amp;ALNAT[[#This Row],[N°]],CODIGOS_Y_COSTOS[[ID]:[COSTO]],7,0)</f>
        <v>846.14980000000003</v>
      </c>
      <c r="F73" s="196">
        <f t="shared" si="25"/>
        <v>42307.49</v>
      </c>
      <c r="G73" s="197">
        <v>2</v>
      </c>
      <c r="H73" s="39" t="s">
        <v>4353</v>
      </c>
      <c r="I73" s="198" t="str">
        <f>+H73&amp;ALNAT[[#This Row],[N°]]</f>
        <v>RACORD - ACOPLES - REDUCCIONES - ENTREROSCAS2</v>
      </c>
      <c r="O73"/>
      <c r="R73" s="32"/>
      <c r="S73" s="480"/>
      <c r="T73" s="480"/>
      <c r="U73" s="504"/>
      <c r="V73" s="89"/>
      <c r="W73" s="90"/>
      <c r="AG73" s="491"/>
      <c r="AH73" s="69"/>
      <c r="AI73" s="60"/>
      <c r="AJ73" s="197"/>
      <c r="AK73" s="39"/>
      <c r="AL73" s="1"/>
      <c r="AM73" s="1"/>
      <c r="AN73" s="62"/>
    </row>
    <row r="74" spans="1:69" x14ac:dyDescent="0.2">
      <c r="A74" s="31"/>
      <c r="B74" t="s">
        <v>4361</v>
      </c>
      <c r="C74">
        <v>50</v>
      </c>
      <c r="D74" t="str">
        <f t="shared" si="23"/>
        <v>PTA ACOPLE RAP 1/4 MANG 8 MM</v>
      </c>
      <c r="E74" s="196">
        <f>+VLOOKUP(H74&amp;ALNAT[[#This Row],[N°]],CODIGOS_Y_COSTOS[[ID]:[COSTO]],7,0)</f>
        <v>846.14980000000003</v>
      </c>
      <c r="F74" s="196">
        <f t="shared" si="25"/>
        <v>42307.49</v>
      </c>
      <c r="G74" s="197">
        <v>3</v>
      </c>
      <c r="H74" s="39" t="s">
        <v>4353</v>
      </c>
      <c r="I74" s="198" t="str">
        <f>+H74&amp;ALNAT[[#This Row],[N°]]</f>
        <v>RACORD - ACOPLES - REDUCCIONES - ENTREROSCAS3</v>
      </c>
      <c r="J74" s="617" t="s">
        <v>5</v>
      </c>
      <c r="K74" s="617" t="s">
        <v>8753</v>
      </c>
      <c r="L74" s="617" t="s">
        <v>8920</v>
      </c>
      <c r="M74" s="13" t="s">
        <v>8754</v>
      </c>
      <c r="N74" s="13" t="s">
        <v>8162</v>
      </c>
      <c r="O74" s="1337" t="s">
        <v>9015</v>
      </c>
      <c r="P74" s="13" t="s">
        <v>9441</v>
      </c>
      <c r="R74" s="32"/>
      <c r="S74" s="480"/>
      <c r="T74" s="480"/>
      <c r="U74" s="504"/>
      <c r="V74" s="89"/>
      <c r="W74" s="90"/>
      <c r="AG74" s="490"/>
      <c r="AH74" s="494"/>
      <c r="AI74" s="181"/>
      <c r="AJ74" s="197"/>
      <c r="AK74" s="39"/>
      <c r="AL74" s="1"/>
      <c r="AM74" s="1"/>
      <c r="AN74" s="62"/>
    </row>
    <row r="75" spans="1:69" ht="14.25" x14ac:dyDescent="0.2">
      <c r="A75" s="31"/>
      <c r="B75" t="s">
        <v>4364</v>
      </c>
      <c r="C75">
        <v>50</v>
      </c>
      <c r="D75" t="str">
        <f t="shared" si="23"/>
        <v>PTA ACOPLE RAP 1/4 MANG 9,5 MM</v>
      </c>
      <c r="E75" s="196">
        <f>+VLOOKUP(H75&amp;ALNAT[[#This Row],[N°]],CODIGOS_Y_COSTOS[[ID]:[COSTO]],7,0)</f>
        <v>1251.6954000000001</v>
      </c>
      <c r="F75" s="196">
        <f t="shared" si="25"/>
        <v>62584.770000000004</v>
      </c>
      <c r="G75" s="197">
        <v>4</v>
      </c>
      <c r="H75" s="39" t="s">
        <v>4353</v>
      </c>
      <c r="I75" s="198" t="str">
        <f>+H75&amp;ALNAT[[#This Row],[N°]]</f>
        <v>RACORD - ACOPLES - REDUCCIONES - ENTREROSCAS4</v>
      </c>
      <c r="J75" s="876" t="s">
        <v>6109</v>
      </c>
      <c r="K75" s="247">
        <v>50</v>
      </c>
      <c r="L75" s="195" t="s">
        <v>6110</v>
      </c>
      <c r="M75" s="1">
        <f>+_xlfn.XLOOKUP(Tabla24[[#This Row],[CODIGO]],CODIGOS_Y_COSTOS[CODIGO],CODIGOS_Y_COSTOS[COSTO],0,0)</f>
        <v>771.12</v>
      </c>
      <c r="N75" s="1">
        <f>+Tabla24[[#This Row],[Unitario]]*Tabla24[[#This Row],[CANTIDAD]]</f>
        <v>38556</v>
      </c>
      <c r="O75" s="13">
        <f>+VLOOKUP(Tabla24[[#This Row],[CODIGO]],B:H,6,0)</f>
        <v>6</v>
      </c>
      <c r="P75" t="str">
        <f>+VLOOKUP(Tabla24[[#This Row],[CODIGO]],B:H,7,0)</f>
        <v>CONECTORES NEUMÁTICOS</v>
      </c>
      <c r="R75" s="32"/>
      <c r="S75" s="480"/>
      <c r="T75" s="480"/>
      <c r="U75" s="504"/>
      <c r="V75" s="89"/>
      <c r="W75" s="90"/>
      <c r="AG75" s="491"/>
      <c r="AH75" s="69"/>
      <c r="AI75" s="60"/>
      <c r="AJ75" s="197"/>
      <c r="AK75" s="39"/>
      <c r="AL75" s="1"/>
      <c r="AM75" s="1"/>
      <c r="AN75" s="62"/>
      <c r="BM75" s="1334" t="s">
        <v>5</v>
      </c>
      <c r="BN75" s="1336" t="s">
        <v>8189</v>
      </c>
      <c r="BO75" s="1335" t="s">
        <v>8753</v>
      </c>
      <c r="BP75" s="1335" t="s">
        <v>8920</v>
      </c>
      <c r="BQ75" s="1335" t="s">
        <v>9008</v>
      </c>
    </row>
    <row r="76" spans="1:69" ht="14.25" x14ac:dyDescent="0.2">
      <c r="B76" t="s">
        <v>4367</v>
      </c>
      <c r="C76">
        <v>50</v>
      </c>
      <c r="D76" t="str">
        <f t="shared" si="23"/>
        <v>PTA ACOPLE RAP 1/4 MANG 12,7 MM</v>
      </c>
      <c r="E76" s="196">
        <f>+VLOOKUP(H76&amp;ALNAT[[#This Row],[N°]],CODIGOS_Y_COSTOS[[ID]:[COSTO]],7,0)</f>
        <v>1376.3914</v>
      </c>
      <c r="F76" s="196">
        <f t="shared" si="25"/>
        <v>68819.569999999992</v>
      </c>
      <c r="G76" s="197">
        <v>5</v>
      </c>
      <c r="H76" s="39" t="s">
        <v>4353</v>
      </c>
      <c r="I76" s="198" t="str">
        <f>+H76&amp;ALNAT[[#This Row],[N°]]</f>
        <v>RACORD - ACOPLES - REDUCCIONES - ENTREROSCAS5</v>
      </c>
      <c r="J76" s="876" t="s">
        <v>6124</v>
      </c>
      <c r="K76" s="247">
        <v>50</v>
      </c>
      <c r="L76" s="195" t="s">
        <v>6125</v>
      </c>
      <c r="M76" s="1">
        <f>+_xlfn.XLOOKUP(Tabla24[[#This Row],[CODIGO]],CODIGOS_Y_COSTOS[CODIGO],CODIGOS_Y_COSTOS[COSTO],0,0)</f>
        <v>822.32</v>
      </c>
      <c r="N76" s="1">
        <f>+Tabla24[[#This Row],[Unitario]]*Tabla24[[#This Row],[CANTIDAD]]</f>
        <v>41116</v>
      </c>
      <c r="O76" s="13">
        <f>+VLOOKUP(Tabla24[[#This Row],[CODIGO]],B:H,6,0)</f>
        <v>44</v>
      </c>
      <c r="P76" t="str">
        <f>+VLOOKUP(Tabla24[[#This Row],[CODIGO]],B:H,7,0)</f>
        <v>CONECTORES NEUMÁTICOS</v>
      </c>
      <c r="R76" s="32"/>
      <c r="S76" s="480"/>
      <c r="T76" s="480"/>
      <c r="U76" s="504"/>
      <c r="V76" s="89"/>
      <c r="W76" s="90"/>
      <c r="AG76" s="490"/>
      <c r="AH76" s="494"/>
      <c r="AI76" s="181"/>
      <c r="AJ76" s="197"/>
      <c r="AK76" s="39"/>
      <c r="AL76" s="1"/>
      <c r="AM76" s="1"/>
      <c r="AN76" s="62"/>
      <c r="BM76" s="1338" t="s">
        <v>9487</v>
      </c>
      <c r="BN76" s="1339"/>
      <c r="BO76" s="1339" t="s">
        <v>9488</v>
      </c>
      <c r="BP76" s="1341" t="s">
        <v>4463</v>
      </c>
      <c r="BQ76" s="1341" t="s">
        <v>9489</v>
      </c>
    </row>
    <row r="77" spans="1:69" ht="14.25" x14ac:dyDescent="0.2">
      <c r="B77" t="s">
        <v>4370</v>
      </c>
      <c r="C77">
        <v>100</v>
      </c>
      <c r="D77" t="str">
        <f t="shared" si="23"/>
        <v>RACORD R M 1/8 BSPT MANG 6 MM</v>
      </c>
      <c r="E77" s="196">
        <f>+VLOOKUP(H77&amp;ALNAT[[#This Row],[N°]],CODIGOS_Y_COSTOS[[ID]:[COSTO]],7,0)</f>
        <v>463.54820000000001</v>
      </c>
      <c r="F77" s="196">
        <f t="shared" si="25"/>
        <v>46354.82</v>
      </c>
      <c r="G77" s="197">
        <v>6</v>
      </c>
      <c r="H77" s="39" t="s">
        <v>4353</v>
      </c>
      <c r="I77" s="198" t="str">
        <f>+H77&amp;ALNAT[[#This Row],[N°]]</f>
        <v>RACORD - ACOPLES - REDUCCIONES - ENTREROSCAS6</v>
      </c>
      <c r="J77" s="876" t="s">
        <v>6130</v>
      </c>
      <c r="K77" s="1428">
        <v>50</v>
      </c>
      <c r="L77" s="195" t="s">
        <v>6131</v>
      </c>
      <c r="M77" s="1">
        <f>+_xlfn.XLOOKUP(Tabla24[[#This Row],[CODIGO]],CODIGOS_Y_COSTOS[CODIGO],CODIGOS_Y_COSTOS[COSTO],0,0)</f>
        <v>1034.5316</v>
      </c>
      <c r="N77" s="1">
        <f>+Tabla24[[#This Row],[Unitario]]*Tabla24[[#This Row],[CANTIDAD]]</f>
        <v>51726.58</v>
      </c>
      <c r="O77" s="13">
        <f>+VLOOKUP(Tabla24[[#This Row],[CODIGO]],B:H,6,0)</f>
        <v>46</v>
      </c>
      <c r="P77" t="str">
        <f>+VLOOKUP(Tabla24[[#This Row],[CODIGO]],B:H,7,0)</f>
        <v>CONECTORES NEUMÁTICOS</v>
      </c>
      <c r="R77" s="32"/>
      <c r="S77" s="480"/>
      <c r="T77" s="480"/>
      <c r="U77" s="504"/>
      <c r="V77" s="89"/>
      <c r="W77" s="90"/>
      <c r="AG77" s="491"/>
      <c r="AH77" s="69"/>
      <c r="AI77" s="60"/>
      <c r="AJ77" s="197"/>
      <c r="AK77" s="39"/>
      <c r="AL77" s="1"/>
      <c r="AM77" s="1"/>
      <c r="AN77" s="62"/>
      <c r="BM77" s="1107" t="s">
        <v>9490</v>
      </c>
      <c r="BN77" s="1340"/>
      <c r="BO77" s="1340" t="s">
        <v>9488</v>
      </c>
      <c r="BP77" s="1342" t="s">
        <v>4463</v>
      </c>
      <c r="BQ77" s="1342" t="s">
        <v>9489</v>
      </c>
    </row>
    <row r="78" spans="1:69" ht="14.25" x14ac:dyDescent="0.2">
      <c r="B78" t="s">
        <v>4373</v>
      </c>
      <c r="C78">
        <v>100</v>
      </c>
      <c r="D78" t="str">
        <f t="shared" si="23"/>
        <v>RACORD R M 1/8 BSPT MANG 8 MM</v>
      </c>
      <c r="E78" s="196">
        <f>+VLOOKUP(H78&amp;ALNAT[[#This Row],[N°]],CODIGOS_Y_COSTOS[[ID]:[COSTO]],7,0)</f>
        <v>464.42759999999998</v>
      </c>
      <c r="F78" s="196">
        <f t="shared" si="25"/>
        <v>46442.759999999995</v>
      </c>
      <c r="G78" s="197">
        <v>7</v>
      </c>
      <c r="H78" s="39" t="s">
        <v>4353</v>
      </c>
      <c r="I78" s="198" t="str">
        <f>+H78&amp;ALNAT[[#This Row],[N°]]</f>
        <v>RACORD - ACOPLES - REDUCCIONES - ENTREROSCAS7</v>
      </c>
      <c r="J78" s="876" t="s">
        <v>6136</v>
      </c>
      <c r="K78" s="1428">
        <v>50</v>
      </c>
      <c r="L78" s="195" t="s">
        <v>6137</v>
      </c>
      <c r="M78" s="1">
        <f>+_xlfn.XLOOKUP(Tabla24[[#This Row],[CODIGO]],CODIGOS_Y_COSTOS[CODIGO],CODIGOS_Y_COSTOS[COSTO],0,0)</f>
        <v>991.44</v>
      </c>
      <c r="N78" s="1">
        <f>+Tabla24[[#This Row],[Unitario]]*Tabla24[[#This Row],[CANTIDAD]]</f>
        <v>49572</v>
      </c>
      <c r="O78" s="13">
        <f>+VLOOKUP(Tabla24[[#This Row],[CODIGO]],B:H,6,0)</f>
        <v>62</v>
      </c>
      <c r="P78" t="str">
        <f>+VLOOKUP(Tabla24[[#This Row],[CODIGO]],B:H,7,0)</f>
        <v>CONECTORES NEUMÁTICOS</v>
      </c>
      <c r="R78" s="32"/>
      <c r="S78" s="480"/>
      <c r="T78" s="480"/>
      <c r="U78" s="504"/>
      <c r="V78" s="89"/>
      <c r="W78" s="90"/>
      <c r="AG78" s="490"/>
      <c r="AH78" s="494"/>
      <c r="AI78" s="181"/>
      <c r="AJ78" s="197"/>
      <c r="AK78" s="39"/>
      <c r="AL78" s="1"/>
      <c r="AM78" s="1"/>
      <c r="AN78" s="62"/>
      <c r="BM78" s="1107" t="s">
        <v>9491</v>
      </c>
      <c r="BN78" s="1340"/>
      <c r="BO78" s="1340" t="s">
        <v>9488</v>
      </c>
      <c r="BP78" s="1342" t="s">
        <v>4463</v>
      </c>
      <c r="BQ78" s="1342" t="s">
        <v>9489</v>
      </c>
    </row>
    <row r="79" spans="1:69" ht="14.25" x14ac:dyDescent="0.2">
      <c r="B79" t="s">
        <v>4376</v>
      </c>
      <c r="C79">
        <v>100</v>
      </c>
      <c r="D79" t="str">
        <f t="shared" si="23"/>
        <v>RACORD R M 1/8 BSPT MANG 9.5 MM</v>
      </c>
      <c r="E79" s="196">
        <f>+VLOOKUP(H79&amp;ALNAT[[#This Row],[N°]],CODIGOS_Y_COSTOS[[ID]:[COSTO]],7,0)</f>
        <v>678.48099999999999</v>
      </c>
      <c r="F79" s="196">
        <f t="shared" si="25"/>
        <v>67848.100000000006</v>
      </c>
      <c r="G79" s="197">
        <v>8</v>
      </c>
      <c r="H79" s="39" t="s">
        <v>4353</v>
      </c>
      <c r="I79" s="198" t="str">
        <f>+H79&amp;ALNAT[[#This Row],[N°]]</f>
        <v>RACORD - ACOPLES - REDUCCIONES - ENTREROSCAS8</v>
      </c>
      <c r="J79" s="876" t="s">
        <v>6142</v>
      </c>
      <c r="K79" s="1428">
        <v>50</v>
      </c>
      <c r="L79" s="195" t="s">
        <v>6143</v>
      </c>
      <c r="M79" s="1">
        <f>+_xlfn.XLOOKUP(Tabla24[[#This Row],[CODIGO]],CODIGOS_Y_COSTOS[CODIGO],CODIGOS_Y_COSTOS[COSTO],0,0)</f>
        <v>1074.06</v>
      </c>
      <c r="N79" s="1">
        <f>+Tabla24[[#This Row],[Unitario]]*Tabla24[[#This Row],[CANTIDAD]]</f>
        <v>53703</v>
      </c>
      <c r="O79" s="13">
        <f>+VLOOKUP(Tabla24[[#This Row],[CODIGO]],B:H,6,0)</f>
        <v>65</v>
      </c>
      <c r="P79" t="str">
        <f>+VLOOKUP(Tabla24[[#This Row],[CODIGO]],B:H,7,0)</f>
        <v>CONECTORES NEUMÁTICOS</v>
      </c>
      <c r="R79" s="32"/>
      <c r="S79" s="480"/>
      <c r="T79" s="480"/>
      <c r="U79" s="504"/>
      <c r="V79" s="89"/>
      <c r="W79" s="90"/>
      <c r="AG79" s="491"/>
      <c r="AH79" s="69"/>
      <c r="AI79" s="60"/>
      <c r="AJ79" s="197"/>
      <c r="AK79" s="39"/>
      <c r="AL79" s="1"/>
      <c r="AM79" s="1"/>
      <c r="AN79" s="62"/>
      <c r="BM79" s="1107" t="s">
        <v>9492</v>
      </c>
      <c r="BN79" s="1340"/>
      <c r="BO79" s="1340" t="s">
        <v>9488</v>
      </c>
      <c r="BP79" s="1342" t="s">
        <v>4463</v>
      </c>
      <c r="BQ79" s="1342" t="s">
        <v>9489</v>
      </c>
    </row>
    <row r="80" spans="1:69" ht="14.25" x14ac:dyDescent="0.2">
      <c r="B80" t="s">
        <v>4379</v>
      </c>
      <c r="C80">
        <v>50</v>
      </c>
      <c r="D80" t="str">
        <f t="shared" si="23"/>
        <v>RACORD R M 1/8 BSPT MANG 12.70 MM</v>
      </c>
      <c r="E80" s="196">
        <f>+VLOOKUP(H80&amp;ALNAT[[#This Row],[N°]],CODIGOS_Y_COSTOS[[ID]:[COSTO]],7,0)</f>
        <v>820.19060000000002</v>
      </c>
      <c r="F80" s="196">
        <f t="shared" si="25"/>
        <v>41009.53</v>
      </c>
      <c r="G80" s="197">
        <v>9</v>
      </c>
      <c r="H80" s="39" t="s">
        <v>4353</v>
      </c>
      <c r="I80" s="198" t="str">
        <f>+H80&amp;ALNAT[[#This Row],[N°]]</f>
        <v>RACORD - ACOPLES - REDUCCIONES - ENTREROSCAS9</v>
      </c>
      <c r="J80" s="876" t="s">
        <v>6145</v>
      </c>
      <c r="K80" s="1428">
        <v>50</v>
      </c>
      <c r="L80" t="s">
        <v>6146</v>
      </c>
      <c r="M80" s="1">
        <f>+_xlfn.XLOOKUP(Tabla24[[#This Row],[CODIGO]],CODIGOS_Y_COSTOS[CODIGO],CODIGOS_Y_COSTOS[COSTO],0,0)</f>
        <v>1156.68</v>
      </c>
      <c r="N80" s="1">
        <f>+Tabla24[[#This Row],[Unitario]]*Tabla24[[#This Row],[CANTIDAD]]</f>
        <v>57834</v>
      </c>
      <c r="O80" s="13">
        <f>+VLOOKUP(Tabla24[[#This Row],[CODIGO]],B:H,6,0)</f>
        <v>66</v>
      </c>
      <c r="P80" t="str">
        <f>+VLOOKUP(Tabla24[[#This Row],[CODIGO]],B:H,7,0)</f>
        <v>CONECTORES NEUMÁTICOS</v>
      </c>
      <c r="R80" s="32">
        <v>2</v>
      </c>
      <c r="S80" s="480" t="s">
        <v>9493</v>
      </c>
      <c r="T80" s="480" t="s">
        <v>9494</v>
      </c>
      <c r="U80" s="504">
        <v>3048.238565578893</v>
      </c>
      <c r="V80" s="89" t="s">
        <v>9337</v>
      </c>
      <c r="W80" s="90">
        <f t="shared" ref="W80:W87" si="26">+IF(V80="Nacional",(1-$AA$1)*U80,(1-$AA$2)*U80)</f>
        <v>2164.2493815610142</v>
      </c>
      <c r="AG80" s="490" t="s">
        <v>4358</v>
      </c>
      <c r="AH80" s="494" t="s">
        <v>4359</v>
      </c>
      <c r="AI80" s="181">
        <v>94.933965737787275</v>
      </c>
      <c r="AJ80" s="197">
        <v>2</v>
      </c>
      <c r="AK80" s="39" t="s">
        <v>4353</v>
      </c>
      <c r="AL80" s="1"/>
      <c r="AM80" s="1">
        <f t="shared" ref="AM80:AM100" si="27">IFERROR((1-$AM$1)*AL80,0)</f>
        <v>0</v>
      </c>
      <c r="AN80" s="62">
        <f t="shared" ref="AN80:AN87" si="28">+AM80/AI80-1</f>
        <v>-1</v>
      </c>
      <c r="BM80" s="1107" t="s">
        <v>9495</v>
      </c>
      <c r="BN80" s="1340"/>
      <c r="BO80" s="1340" t="s">
        <v>9488</v>
      </c>
      <c r="BP80" s="1342" t="s">
        <v>4463</v>
      </c>
      <c r="BQ80" s="1342" t="s">
        <v>9489</v>
      </c>
    </row>
    <row r="81" spans="1:69" ht="14.25" x14ac:dyDescent="0.2">
      <c r="A81" s="39"/>
      <c r="B81" t="s">
        <v>4382</v>
      </c>
      <c r="C81">
        <v>100</v>
      </c>
      <c r="D81" t="str">
        <f t="shared" si="23"/>
        <v>RACORD R M 1/4 BSPT MANG 6 MM</v>
      </c>
      <c r="E81" s="196">
        <f>+VLOOKUP(H81&amp;ALNAT[[#This Row],[N°]],CODIGOS_Y_COSTOS[[ID]:[COSTO]],7,0)</f>
        <v>507.54160000000002</v>
      </c>
      <c r="F81" s="196">
        <f t="shared" si="25"/>
        <v>50754.16</v>
      </c>
      <c r="G81" s="197">
        <v>10</v>
      </c>
      <c r="H81" s="39" t="s">
        <v>4353</v>
      </c>
      <c r="I81" s="198" t="str">
        <f>+H81&amp;ALNAT[[#This Row],[N°]]</f>
        <v>RACORD - ACOPLES - REDUCCIONES - ENTREROSCAS10</v>
      </c>
      <c r="J81" s="876" t="s">
        <v>6148</v>
      </c>
      <c r="K81" s="1428">
        <v>30</v>
      </c>
      <c r="L81" t="s">
        <v>6149</v>
      </c>
      <c r="M81" s="1">
        <f>+_xlfn.XLOOKUP(Tabla24[[#This Row],[CODIGO]],CODIGOS_Y_COSTOS[CODIGO],CODIGOS_Y_COSTOS[COSTO],0,0)</f>
        <v>1490.0922</v>
      </c>
      <c r="N81" s="1">
        <f>+Tabla24[[#This Row],[Unitario]]*Tabla24[[#This Row],[CANTIDAD]]</f>
        <v>44702.766000000003</v>
      </c>
      <c r="O81" s="13">
        <f>+VLOOKUP(Tabla24[[#This Row],[CODIGO]],B:H,6,0)</f>
        <v>67</v>
      </c>
      <c r="P81" t="str">
        <f>+VLOOKUP(Tabla24[[#This Row],[CODIGO]],B:H,7,0)</f>
        <v>CONECTORES NEUMÁTICOS</v>
      </c>
      <c r="R81" s="32">
        <v>42</v>
      </c>
      <c r="S81" s="480" t="s">
        <v>9496</v>
      </c>
      <c r="T81" s="480" t="s">
        <v>9497</v>
      </c>
      <c r="U81" s="504">
        <v>1953.372874514286</v>
      </c>
      <c r="V81" s="89" t="s">
        <v>9337</v>
      </c>
      <c r="W81" s="90">
        <f t="shared" si="26"/>
        <v>1386.894740905143</v>
      </c>
      <c r="AG81" s="491" t="s">
        <v>4361</v>
      </c>
      <c r="AH81" s="69" t="s">
        <v>4362</v>
      </c>
      <c r="AI81" s="60">
        <v>94.933965737787275</v>
      </c>
      <c r="AJ81" s="197">
        <v>3</v>
      </c>
      <c r="AK81" s="39" t="s">
        <v>4353</v>
      </c>
      <c r="AL81" s="1"/>
      <c r="AM81" s="1">
        <f t="shared" si="27"/>
        <v>0</v>
      </c>
      <c r="AN81" s="62">
        <f t="shared" si="28"/>
        <v>-1</v>
      </c>
      <c r="AP81" s="102" t="s">
        <v>8955</v>
      </c>
      <c r="AQ81" s="61"/>
      <c r="BM81" s="1107" t="s">
        <v>9498</v>
      </c>
      <c r="BN81" s="1340"/>
      <c r="BO81" s="1340" t="s">
        <v>9488</v>
      </c>
      <c r="BP81" s="1342" t="s">
        <v>4463</v>
      </c>
      <c r="BQ81" s="1342" t="s">
        <v>9489</v>
      </c>
    </row>
    <row r="82" spans="1:69" ht="14.25" x14ac:dyDescent="0.2">
      <c r="B82" t="s">
        <v>4385</v>
      </c>
      <c r="C82">
        <v>100</v>
      </c>
      <c r="D82" t="str">
        <f t="shared" si="23"/>
        <v>RACORD R M 1/4 BSPT MANG 8 MM</v>
      </c>
      <c r="E82" s="196">
        <f>+VLOOKUP(H82&amp;ALNAT[[#This Row],[N°]],CODIGOS_Y_COSTOS[[ID]:[COSTO]],7,0)</f>
        <v>508.42099999999999</v>
      </c>
      <c r="F82" s="196">
        <f t="shared" si="25"/>
        <v>50842.1</v>
      </c>
      <c r="G82" s="197">
        <v>11</v>
      </c>
      <c r="H82" s="39" t="s">
        <v>4353</v>
      </c>
      <c r="I82" s="198" t="str">
        <f>+H82&amp;ALNAT[[#This Row],[N°]]</f>
        <v>RACORD - ACOPLES - REDUCCIONES - ENTREROSCAS11</v>
      </c>
      <c r="J82" s="876" t="s">
        <v>6166</v>
      </c>
      <c r="K82" s="1428">
        <v>50</v>
      </c>
      <c r="L82" t="s">
        <v>6167</v>
      </c>
      <c r="M82" s="1">
        <f>+_xlfn.XLOOKUP(Tabla24[[#This Row],[CODIGO]],CODIGOS_Y_COSTOS[CODIGO],CODIGOS_Y_COSTOS[COSTO],0,0)</f>
        <v>936.36</v>
      </c>
      <c r="N82" s="1">
        <f>+Tabla24[[#This Row],[Unitario]]*Tabla24[[#This Row],[CANTIDAD]]</f>
        <v>46818</v>
      </c>
      <c r="O82" s="13">
        <f>+VLOOKUP(Tabla24[[#This Row],[CODIGO]],B:H,6,0)</f>
        <v>81</v>
      </c>
      <c r="P82" t="str">
        <f>+VLOOKUP(Tabla24[[#This Row],[CODIGO]],B:H,7,0)</f>
        <v>CONECTORES NEUMÁTICOS</v>
      </c>
      <c r="R82" s="32">
        <v>45</v>
      </c>
      <c r="S82" s="480" t="s">
        <v>9499</v>
      </c>
      <c r="T82" s="480" t="s">
        <v>9500</v>
      </c>
      <c r="U82" s="504">
        <v>1953.372874514286</v>
      </c>
      <c r="V82" s="89" t="s">
        <v>9337</v>
      </c>
      <c r="W82" s="90">
        <f t="shared" si="26"/>
        <v>1386.894740905143</v>
      </c>
      <c r="AG82" s="490" t="s">
        <v>4364</v>
      </c>
      <c r="AH82" s="494" t="s">
        <v>4365</v>
      </c>
      <c r="AI82" s="181">
        <v>111.10656626828106</v>
      </c>
      <c r="AJ82" s="197">
        <v>4</v>
      </c>
      <c r="AK82" s="39" t="s">
        <v>4353</v>
      </c>
      <c r="AL82" s="1"/>
      <c r="AM82" s="1">
        <f t="shared" si="27"/>
        <v>0</v>
      </c>
      <c r="AN82" s="62">
        <f t="shared" si="28"/>
        <v>-1</v>
      </c>
      <c r="AO82" s="62">
        <v>0.5</v>
      </c>
      <c r="AP82" s="498">
        <f>+(AO82+1)*AI82</f>
        <v>166.65984940242157</v>
      </c>
      <c r="AQ82" s="1"/>
      <c r="AR82" s="62"/>
      <c r="BM82" s="1107" t="s">
        <v>4418</v>
      </c>
      <c r="BN82" s="1340">
        <f>+VLOOKUP(BM82,Tabla24[#All],6,0)</f>
        <v>25</v>
      </c>
      <c r="BO82" s="1340" t="s">
        <v>9501</v>
      </c>
      <c r="BP82" s="1342" t="str">
        <f>+VLOOKUP(BM82,Tabla24[#All],3,0)</f>
        <v>PTA ACOPLE RAP 1/4 R H 1/4 BSP</v>
      </c>
      <c r="BQ82" s="1342" t="str">
        <f>+VLOOKUP(BM82,Tabla24[#All],7,0)</f>
        <v>RACORD - ACOPLES - REDUCCIONES - ENTREROSCAS</v>
      </c>
    </row>
    <row r="83" spans="1:69" ht="14.25" x14ac:dyDescent="0.2">
      <c r="B83" t="s">
        <v>4388</v>
      </c>
      <c r="C83">
        <v>100</v>
      </c>
      <c r="D83" t="str">
        <f t="shared" si="23"/>
        <v>RACORD R M 1/4 BSPT MANG 9.5 MM</v>
      </c>
      <c r="E83" s="196">
        <f>+VLOOKUP(H83&amp;ALNAT[[#This Row],[N°]],CODIGOS_Y_COSTOS[[ID]:[COSTO]],7,0)</f>
        <v>634.21759999999995</v>
      </c>
      <c r="F83" s="196">
        <f t="shared" si="25"/>
        <v>63421.759999999995</v>
      </c>
      <c r="G83" s="197">
        <v>12</v>
      </c>
      <c r="H83" s="39" t="s">
        <v>4353</v>
      </c>
      <c r="I83" s="198" t="str">
        <f>+H83&amp;ALNAT[[#This Row],[N°]]</f>
        <v>RACORD - ACOPLES - REDUCCIONES - ENTREROSCAS12</v>
      </c>
      <c r="J83" s="876" t="s">
        <v>6169</v>
      </c>
      <c r="K83" s="1428">
        <v>50</v>
      </c>
      <c r="L83" t="s">
        <v>6170</v>
      </c>
      <c r="M83" s="1">
        <f>+_xlfn.XLOOKUP(Tabla24[[#This Row],[CODIGO]],CODIGOS_Y_COSTOS[CODIGO],CODIGOS_Y_COSTOS[COSTO],0,0)</f>
        <v>1008.0619</v>
      </c>
      <c r="N83" s="1">
        <f>+Tabla24[[#This Row],[Unitario]]*Tabla24[[#This Row],[CANTIDAD]]</f>
        <v>50403.095000000001</v>
      </c>
      <c r="O83" s="13">
        <f>+VLOOKUP(Tabla24[[#This Row],[CODIGO]],B:H,6,0)</f>
        <v>86</v>
      </c>
      <c r="P83" t="str">
        <f>+VLOOKUP(Tabla24[[#This Row],[CODIGO]],B:H,7,0)</f>
        <v>CONECTORES NEUMÁTICOS</v>
      </c>
      <c r="R83" s="32">
        <v>51</v>
      </c>
      <c r="S83" s="480" t="s">
        <v>9502</v>
      </c>
      <c r="T83" s="480" t="s">
        <v>9503</v>
      </c>
      <c r="U83" s="504">
        <v>2032.4786470857146</v>
      </c>
      <c r="V83" s="89" t="s">
        <v>9337</v>
      </c>
      <c r="W83" s="90">
        <f t="shared" si="26"/>
        <v>1443.0598394308572</v>
      </c>
      <c r="AG83" s="491" t="s">
        <v>4367</v>
      </c>
      <c r="AH83" s="69" t="s">
        <v>4368</v>
      </c>
      <c r="AI83" s="60">
        <v>122.17519014620564</v>
      </c>
      <c r="AJ83" s="197">
        <v>5</v>
      </c>
      <c r="AK83" s="39" t="s">
        <v>4353</v>
      </c>
      <c r="AL83" s="1"/>
      <c r="AM83" s="1">
        <f t="shared" si="27"/>
        <v>0</v>
      </c>
      <c r="AN83" s="62">
        <f t="shared" si="28"/>
        <v>-1</v>
      </c>
      <c r="AO83" s="62">
        <v>0.5</v>
      </c>
      <c r="AP83" s="498">
        <f>+(AO83+1)*AI83</f>
        <v>183.26278521930845</v>
      </c>
      <c r="AQ83" s="1"/>
      <c r="AR83" s="62"/>
      <c r="BM83" s="1107" t="s">
        <v>4355</v>
      </c>
      <c r="BN83" s="1340" t="e">
        <f>+VLOOKUP(BM83,Tabla24[#All],6,0)</f>
        <v>#N/A</v>
      </c>
      <c r="BO83" s="1340" t="s">
        <v>9504</v>
      </c>
      <c r="BP83" s="1342" t="e">
        <f>+VLOOKUP(BM83,Tabla24[#All],3,0)</f>
        <v>#N/A</v>
      </c>
      <c r="BQ83" s="1342" t="e">
        <f>+VLOOKUP(BM83,Tabla24[#All],7,0)</f>
        <v>#N/A</v>
      </c>
    </row>
    <row r="84" spans="1:69" ht="14.25" x14ac:dyDescent="0.2">
      <c r="B84" t="s">
        <v>4391</v>
      </c>
      <c r="C84">
        <v>50</v>
      </c>
      <c r="D84" t="str">
        <f t="shared" si="23"/>
        <v>RACORD R M 1/4 BSPT MANG 12.70 MM</v>
      </c>
      <c r="E84" s="196">
        <f>+VLOOKUP(H84&amp;ALNAT[[#This Row],[N°]],CODIGOS_Y_COSTOS[[ID]:[COSTO]],7,0)</f>
        <v>814.53729999999996</v>
      </c>
      <c r="F84" s="196">
        <f t="shared" si="25"/>
        <v>40726.864999999998</v>
      </c>
      <c r="G84" s="197">
        <v>13</v>
      </c>
      <c r="H84" t="s">
        <v>4353</v>
      </c>
      <c r="I84" s="198" t="str">
        <f>+H84&amp;ALNAT[[#This Row],[N°]]</f>
        <v>RACORD - ACOPLES - REDUCCIONES - ENTREROSCAS13</v>
      </c>
      <c r="J84" s="876" t="s">
        <v>6294</v>
      </c>
      <c r="K84" s="1428">
        <v>20</v>
      </c>
      <c r="L84" t="s">
        <v>6295</v>
      </c>
      <c r="M84" s="1">
        <f>+_xlfn.XLOOKUP(Tabla24[[#This Row],[CODIGO]],CODIGOS_Y_COSTOS[CODIGO],CODIGOS_Y_COSTOS[COSTO],0,0)</f>
        <v>2923.3802000000001</v>
      </c>
      <c r="N84" s="1">
        <f>+Tabla24[[#This Row],[Unitario]]*Tabla24[[#This Row],[CANTIDAD]]</f>
        <v>58467.603999999999</v>
      </c>
      <c r="O84" s="13">
        <f>+VLOOKUP(Tabla24[[#This Row],[CODIGO]],B:H,6,0)</f>
        <v>126</v>
      </c>
      <c r="P84" t="str">
        <f>+VLOOKUP(Tabla24[[#This Row],[CODIGO]],B:H,7,0)</f>
        <v>CONECTORES NEUMÁTICOS</v>
      </c>
      <c r="R84" s="32">
        <v>56</v>
      </c>
      <c r="S84" s="480" t="s">
        <v>9505</v>
      </c>
      <c r="T84" s="480" t="s">
        <v>9506</v>
      </c>
      <c r="U84" s="504">
        <v>2056.0304761904763</v>
      </c>
      <c r="V84" s="89" t="s">
        <v>9337</v>
      </c>
      <c r="W84" s="90">
        <f t="shared" si="26"/>
        <v>1459.7816380952381</v>
      </c>
      <c r="AG84" s="490" t="s">
        <v>4370</v>
      </c>
      <c r="AH84" s="494" t="s">
        <v>4371</v>
      </c>
      <c r="AI84" s="181">
        <v>46.17597700971438</v>
      </c>
      <c r="AJ84" s="197">
        <v>6</v>
      </c>
      <c r="AK84" t="s">
        <v>4353</v>
      </c>
      <c r="AL84" s="1"/>
      <c r="AM84" s="1">
        <f t="shared" si="27"/>
        <v>0</v>
      </c>
      <c r="AN84" s="62">
        <f t="shared" si="28"/>
        <v>-1</v>
      </c>
      <c r="BM84" s="1107" t="s">
        <v>4358</v>
      </c>
      <c r="BN84" s="1340" t="e">
        <f>+VLOOKUP(BM84,Tabla24[#All],6,0)</f>
        <v>#N/A</v>
      </c>
      <c r="BO84" s="1340" t="s">
        <v>9504</v>
      </c>
      <c r="BP84" s="1342" t="e">
        <f>+VLOOKUP(BM84,Tabla24[#All],3,0)</f>
        <v>#N/A</v>
      </c>
      <c r="BQ84" s="1342" t="e">
        <f>+VLOOKUP(BM84,Tabla24[#All],7,0)</f>
        <v>#N/A</v>
      </c>
    </row>
    <row r="85" spans="1:69" ht="14.25" x14ac:dyDescent="0.2">
      <c r="B85" t="s">
        <v>4394</v>
      </c>
      <c r="C85">
        <v>50</v>
      </c>
      <c r="D85" t="str">
        <f t="shared" si="23"/>
        <v>RACORD R M 3/8 BSPT MANG 8 MM</v>
      </c>
      <c r="E85" s="196">
        <f>+VLOOKUP(H85&amp;ALNAT[[#This Row],[N°]],CODIGOS_Y_COSTOS[[ID]:[COSTO]],7,0)</f>
        <v>1066.1244999999999</v>
      </c>
      <c r="F85" s="196">
        <f t="shared" si="25"/>
        <v>53306.224999999991</v>
      </c>
      <c r="G85" s="197">
        <v>16</v>
      </c>
      <c r="H85" t="s">
        <v>4353</v>
      </c>
      <c r="I85" s="198" t="str">
        <f>+H85&amp;ALNAT[[#This Row],[N°]]</f>
        <v>RACORD - ACOPLES - REDUCCIONES - ENTREROSCAS16</v>
      </c>
      <c r="J85" s="876" t="s">
        <v>6222</v>
      </c>
      <c r="K85" s="1428">
        <v>50</v>
      </c>
      <c r="L85" t="s">
        <v>6223</v>
      </c>
      <c r="M85" s="1">
        <f>+_xlfn.XLOOKUP(Tabla24[[#This Row],[CODIGO]],CODIGOS_Y_COSTOS[CODIGO],CODIGOS_Y_COSTOS[COSTO],0,0)</f>
        <v>608.02560000000005</v>
      </c>
      <c r="N85" s="1">
        <f>+Tabla24[[#This Row],[Unitario]]*Tabla24[[#This Row],[CANTIDAD]]</f>
        <v>30401.280000000002</v>
      </c>
      <c r="O85" s="13">
        <f>+VLOOKUP(Tabla24[[#This Row],[CODIGO]],B:H,6,0)</f>
        <v>143</v>
      </c>
      <c r="P85" t="str">
        <f>+VLOOKUP(Tabla24[[#This Row],[CODIGO]],B:H,7,0)</f>
        <v>CONECTORES NEUMÁTICOS</v>
      </c>
      <c r="R85" s="32">
        <v>92</v>
      </c>
      <c r="S85" s="480" t="s">
        <v>9507</v>
      </c>
      <c r="T85" s="480" t="s">
        <v>9508</v>
      </c>
      <c r="U85" s="504">
        <v>16825.481760806564</v>
      </c>
      <c r="V85" s="89" t="s">
        <v>9337</v>
      </c>
      <c r="W85" s="90">
        <f t="shared" si="26"/>
        <v>11946.09205017266</v>
      </c>
      <c r="AG85" s="491" t="s">
        <v>4373</v>
      </c>
      <c r="AH85" s="69" t="s">
        <v>4374</v>
      </c>
      <c r="AI85" s="60">
        <v>46.17597700971438</v>
      </c>
      <c r="AJ85" s="197">
        <v>7</v>
      </c>
      <c r="AK85" t="s">
        <v>4353</v>
      </c>
      <c r="AL85" s="1"/>
      <c r="AM85" s="1">
        <f t="shared" si="27"/>
        <v>0</v>
      </c>
      <c r="AN85" s="62">
        <f t="shared" si="28"/>
        <v>-1</v>
      </c>
      <c r="BM85" s="1107" t="s">
        <v>4370</v>
      </c>
      <c r="BN85" s="1340" t="e">
        <f>+VLOOKUP(BM85,Tabla24[#All],6,0)</f>
        <v>#N/A</v>
      </c>
      <c r="BO85" s="1340" t="s">
        <v>9509</v>
      </c>
      <c r="BP85" s="1342" t="e">
        <f>+VLOOKUP(BM85,Tabla24[#All],3,0)</f>
        <v>#N/A</v>
      </c>
      <c r="BQ85" s="1342" t="e">
        <f>+VLOOKUP(BM85,Tabla24[#All],7,0)</f>
        <v>#N/A</v>
      </c>
    </row>
    <row r="86" spans="1:69" ht="14.25" x14ac:dyDescent="0.2">
      <c r="B86" t="s">
        <v>4397</v>
      </c>
      <c r="C86">
        <v>50</v>
      </c>
      <c r="D86" t="str">
        <f t="shared" si="23"/>
        <v>RACORD R M 3/8 BSPT MANG 9.5 MM</v>
      </c>
      <c r="E86" s="196">
        <f>+VLOOKUP(H86&amp;ALNAT[[#This Row],[N°]],CODIGOS_Y_COSTOS[[ID]:[COSTO]],7,0)</f>
        <v>1048.1656</v>
      </c>
      <c r="F86" s="196">
        <f t="shared" si="25"/>
        <v>52408.28</v>
      </c>
      <c r="G86" s="197">
        <v>17</v>
      </c>
      <c r="H86" t="s">
        <v>4353</v>
      </c>
      <c r="I86" s="198" t="str">
        <f>+H86&amp;ALNAT[[#This Row],[N°]]</f>
        <v>RACORD - ACOPLES - REDUCCIONES - ENTREROSCAS17</v>
      </c>
      <c r="J86" s="876" t="s">
        <v>6261</v>
      </c>
      <c r="K86" s="1428">
        <v>20</v>
      </c>
      <c r="L86" t="s">
        <v>6262</v>
      </c>
      <c r="M86" s="1">
        <f>+_xlfn.XLOOKUP(Tabla24[[#This Row],[CODIGO]],CODIGOS_Y_COSTOS[CODIGO],CODIGOS_Y_COSTOS[COSTO],0,0)</f>
        <v>2873.5236</v>
      </c>
      <c r="N86" s="1">
        <f>+Tabla24[[#This Row],[Unitario]]*Tabla24[[#This Row],[CANTIDAD]]</f>
        <v>57470.472000000002</v>
      </c>
      <c r="O86" s="13">
        <f>+VLOOKUP(Tabla24[[#This Row],[CODIGO]],B:H,6,0)</f>
        <v>206</v>
      </c>
      <c r="P86" t="str">
        <f>+VLOOKUP(Tabla24[[#This Row],[CODIGO]],B:H,7,0)</f>
        <v>CONECTORES NEUMÁTICOS</v>
      </c>
      <c r="R86" s="32">
        <v>93</v>
      </c>
      <c r="S86" s="480" t="s">
        <v>9510</v>
      </c>
      <c r="T86" s="480" t="s">
        <v>9511</v>
      </c>
      <c r="U86" s="504">
        <v>19402.152681396248</v>
      </c>
      <c r="V86" s="89" t="s">
        <v>9337</v>
      </c>
      <c r="W86" s="90">
        <f t="shared" si="26"/>
        <v>13775.528403791335</v>
      </c>
      <c r="AG86" s="490" t="s">
        <v>4376</v>
      </c>
      <c r="AH86" s="494" t="s">
        <v>4377</v>
      </c>
      <c r="AI86" s="181">
        <v>70.970129815605787</v>
      </c>
      <c r="AJ86" s="197">
        <v>8</v>
      </c>
      <c r="AK86" t="s">
        <v>4353</v>
      </c>
      <c r="AL86" s="1"/>
      <c r="AM86" s="1">
        <f t="shared" si="27"/>
        <v>0</v>
      </c>
      <c r="AN86" s="62">
        <f t="shared" si="28"/>
        <v>-1</v>
      </c>
      <c r="AQ86" s="1"/>
      <c r="AR86" s="62"/>
      <c r="BM86" s="1107" t="s">
        <v>4388</v>
      </c>
      <c r="BN86" s="1340" t="e">
        <f>+VLOOKUP(BM86,Tabla24[#All],6,0)</f>
        <v>#N/A</v>
      </c>
      <c r="BO86" s="1340" t="s">
        <v>9504</v>
      </c>
      <c r="BP86" s="1342" t="e">
        <f>+VLOOKUP(BM86,Tabla24[#All],3,0)</f>
        <v>#N/A</v>
      </c>
      <c r="BQ86" s="1342" t="e">
        <f>+VLOOKUP(BM86,Tabla24[#All],7,0)</f>
        <v>#N/A</v>
      </c>
    </row>
    <row r="87" spans="1:69" ht="14.25" x14ac:dyDescent="0.2">
      <c r="B87" t="s">
        <v>4400</v>
      </c>
      <c r="C87">
        <v>50</v>
      </c>
      <c r="D87" t="str">
        <f t="shared" si="23"/>
        <v>RACORD R M 3/8 BSPT MANG 12.70 MM</v>
      </c>
      <c r="E87" s="196">
        <f>+VLOOKUP(H87&amp;ALNAT[[#This Row],[N°]],CODIGOS_Y_COSTOS[[ID]:[COSTO]],7,0)</f>
        <v>1049.9244000000001</v>
      </c>
      <c r="F87" s="196">
        <f t="shared" si="25"/>
        <v>52496.220000000008</v>
      </c>
      <c r="G87" s="197">
        <v>18</v>
      </c>
      <c r="H87" t="s">
        <v>4353</v>
      </c>
      <c r="I87" s="198" t="str">
        <f>+H87&amp;ALNAT[[#This Row],[N°]]</f>
        <v>RACORD - ACOPLES - REDUCCIONES - ENTREROSCAS18</v>
      </c>
      <c r="J87" s="876" t="s">
        <v>6276</v>
      </c>
      <c r="K87" s="1428">
        <v>70</v>
      </c>
      <c r="L87" s="195" t="s">
        <v>6277</v>
      </c>
      <c r="M87" s="1">
        <f>+_xlfn.XLOOKUP(Tabla24[[#This Row],[CODIGO]],CODIGOS_Y_COSTOS[CODIGO],CODIGOS_Y_COSTOS[COSTO],0,0)</f>
        <v>446.83600000000001</v>
      </c>
      <c r="N87" s="1">
        <f>+Tabla24[[#This Row],[Unitario]]*Tabla24[[#This Row],[CANTIDAD]]</f>
        <v>31278.52</v>
      </c>
      <c r="O87" s="13">
        <f>+VLOOKUP(Tabla24[[#This Row],[CODIGO]],B:H,6,0)</f>
        <v>219</v>
      </c>
      <c r="P87" t="str">
        <f>+VLOOKUP(Tabla24[[#This Row],[CODIGO]],B:H,7,0)</f>
        <v>CONECTORES NEUMÁTICOS</v>
      </c>
      <c r="S87" s="480" t="s">
        <v>9512</v>
      </c>
      <c r="T87" s="480" t="s">
        <v>9513</v>
      </c>
      <c r="U87" s="504">
        <v>17814.50092390682</v>
      </c>
      <c r="V87" s="89" t="s">
        <v>9337</v>
      </c>
      <c r="W87" s="90">
        <f t="shared" si="26"/>
        <v>12648.295655973841</v>
      </c>
      <c r="AG87" s="491" t="s">
        <v>4379</v>
      </c>
      <c r="AH87" s="69" t="s">
        <v>4380</v>
      </c>
      <c r="AI87" s="60">
        <v>90.479413339091963</v>
      </c>
      <c r="AJ87" s="197">
        <v>9</v>
      </c>
      <c r="AK87" t="s">
        <v>4353</v>
      </c>
      <c r="AL87" s="1"/>
      <c r="AM87" s="1">
        <f t="shared" si="27"/>
        <v>0</v>
      </c>
      <c r="AN87" s="62">
        <f t="shared" si="28"/>
        <v>-1</v>
      </c>
      <c r="BM87" s="1107" t="s">
        <v>4391</v>
      </c>
      <c r="BN87" s="1340" t="e">
        <f>+VLOOKUP(BM87,Tabla24[#All],6,0)</f>
        <v>#N/A</v>
      </c>
      <c r="BO87" s="1340" t="s">
        <v>9504</v>
      </c>
      <c r="BP87" s="1342" t="e">
        <f>+VLOOKUP(BM87,Tabla24[#All],3,0)</f>
        <v>#N/A</v>
      </c>
      <c r="BQ87" s="1342" t="e">
        <f>+VLOOKUP(BM87,Tabla24[#All],7,0)</f>
        <v>#N/A</v>
      </c>
    </row>
    <row r="88" spans="1:69" ht="14.25" x14ac:dyDescent="0.2">
      <c r="B88" t="s">
        <v>4403</v>
      </c>
      <c r="C88">
        <v>50</v>
      </c>
      <c r="D88" t="str">
        <f t="shared" si="23"/>
        <v>RACORD R M 1/2 BSPT MANG 9.5 MM</v>
      </c>
      <c r="E88" s="196">
        <f>+VLOOKUP(H88&amp;ALNAT[[#This Row],[N°]],CODIGOS_Y_COSTOS[[ID]:[COSTO]],7,0)</f>
        <v>1325.7639999999999</v>
      </c>
      <c r="F88" s="196">
        <f>+E88*C88</f>
        <v>66288.2</v>
      </c>
      <c r="G88" s="197">
        <v>19</v>
      </c>
      <c r="H88" t="s">
        <v>4353</v>
      </c>
      <c r="I88" s="198" t="str">
        <f>+H88&amp;ALNAT[[#This Row],[N°]]</f>
        <v>RACORD - ACOPLES - REDUCCIONES - ENTREROSCAS19</v>
      </c>
      <c r="J88" s="876" t="s">
        <v>6285</v>
      </c>
      <c r="K88" s="1428">
        <v>50</v>
      </c>
      <c r="L88" t="s">
        <v>6286</v>
      </c>
      <c r="M88" s="1">
        <f>+_xlfn.XLOOKUP(Tabla24[[#This Row],[CODIGO]],CODIGOS_Y_COSTOS[CODIGO],CODIGOS_Y_COSTOS[COSTO],0,0)</f>
        <v>744.72659999999996</v>
      </c>
      <c r="N88" s="1">
        <f>+Tabla24[[#This Row],[Unitario]]*Tabla24[[#This Row],[CANTIDAD]]</f>
        <v>37236.33</v>
      </c>
      <c r="O88" s="13">
        <f>+VLOOKUP(Tabla24[[#This Row],[CODIGO]],B:H,6,0)</f>
        <v>222</v>
      </c>
      <c r="P88" t="str">
        <f>+VLOOKUP(Tabla24[[#This Row],[CODIGO]],B:H,7,0)</f>
        <v>CONECTORES NEUMÁTICOS</v>
      </c>
      <c r="S88" s="480"/>
      <c r="T88" s="480"/>
      <c r="U88" s="504" t="e">
        <v>#N/A</v>
      </c>
      <c r="V88" s="89"/>
      <c r="W88" s="90"/>
      <c r="AG88" s="491"/>
      <c r="AH88" s="69"/>
      <c r="AI88" s="60"/>
      <c r="AJ88" s="197"/>
      <c r="AL88" s="1"/>
      <c r="AM88" s="1">
        <f t="shared" si="27"/>
        <v>0</v>
      </c>
      <c r="AN88" s="62"/>
      <c r="BM88" s="1107" t="s">
        <v>4394</v>
      </c>
      <c r="BN88" s="1340">
        <f>+VLOOKUP(BM88,Tabla24[#All],6,0)</f>
        <v>16</v>
      </c>
      <c r="BO88" s="1340" t="s">
        <v>9501</v>
      </c>
      <c r="BP88" s="1342" t="str">
        <f>+VLOOKUP(BM88,Tabla24[#All],3,0)</f>
        <v>RACORD R M 3/8 BSPT MANG 8 MM</v>
      </c>
      <c r="BQ88" s="1342" t="str">
        <f>+VLOOKUP(BM88,Tabla24[#All],7,0)</f>
        <v>RACORD - ACOPLES - REDUCCIONES - ENTREROSCAS</v>
      </c>
    </row>
    <row r="89" spans="1:69" ht="14.25" x14ac:dyDescent="0.2">
      <c r="B89" t="s">
        <v>4406</v>
      </c>
      <c r="C89">
        <v>50</v>
      </c>
      <c r="D89" t="str">
        <f t="shared" si="23"/>
        <v>RACORD R M 1/2 BSPT MANG 12.70 MM</v>
      </c>
      <c r="E89" s="196">
        <f>+VLOOKUP(H89&amp;ALNAT[[#This Row],[N°]],CODIGOS_Y_COSTOS[[ID]:[COSTO]],7,0)</f>
        <v>1456.6277</v>
      </c>
      <c r="F89" s="196">
        <f t="shared" si="25"/>
        <v>72831.384999999995</v>
      </c>
      <c r="G89" s="197">
        <v>20</v>
      </c>
      <c r="H89" t="s">
        <v>4353</v>
      </c>
      <c r="I89" s="198" t="str">
        <f>+H89&amp;ALNAT[[#This Row],[N°]]</f>
        <v>RACORD - ACOPLES - REDUCCIONES - ENTREROSCAS20</v>
      </c>
      <c r="J89" s="876" t="s">
        <v>4364</v>
      </c>
      <c r="K89" s="1428">
        <v>30</v>
      </c>
      <c r="L89" t="s">
        <v>4365</v>
      </c>
      <c r="M89" s="1">
        <f>+_xlfn.XLOOKUP(Tabla24[[#This Row],[CODIGO]],CODIGOS_Y_COSTOS[CODIGO],CODIGOS_Y_COSTOS[COSTO],0,0)</f>
        <v>1251.6954000000001</v>
      </c>
      <c r="N89" s="1">
        <f>+Tabla24[[#This Row],[Unitario]]*Tabla24[[#This Row],[CANTIDAD]]</f>
        <v>37550.862000000001</v>
      </c>
      <c r="O89" s="13">
        <f>+VLOOKUP(Tabla24[[#This Row],[CODIGO]],B:H,6,0)</f>
        <v>4</v>
      </c>
      <c r="P89" t="str">
        <f>+VLOOKUP(Tabla24[[#This Row],[CODIGO]],B:H,7,0)</f>
        <v>RACORD - ACOPLES - REDUCCIONES - ENTREROSCAS</v>
      </c>
      <c r="S89" s="480" t="s">
        <v>9514</v>
      </c>
      <c r="T89" s="480" t="s">
        <v>9515</v>
      </c>
      <c r="U89" s="504">
        <v>18504.403068306012</v>
      </c>
      <c r="V89" s="89" t="s">
        <v>9337</v>
      </c>
      <c r="W89" s="90">
        <f t="shared" ref="W89:W100" si="29">+IF(V89="Nacional",(1-$AA$1)*U89,(1-$AA$2)*U89)</f>
        <v>13138.126178497268</v>
      </c>
      <c r="AG89" s="490" t="s">
        <v>4382</v>
      </c>
      <c r="AH89" s="494" t="s">
        <v>4383</v>
      </c>
      <c r="AI89" s="181">
        <v>55.590140560206969</v>
      </c>
      <c r="AJ89" s="197">
        <v>10</v>
      </c>
      <c r="AK89" t="s">
        <v>4353</v>
      </c>
      <c r="AL89" s="1"/>
      <c r="AM89" s="1">
        <f t="shared" si="27"/>
        <v>0</v>
      </c>
      <c r="AN89" s="62">
        <f t="shared" ref="AN89:AN100" si="30">+AM89/AI89-1</f>
        <v>-1</v>
      </c>
      <c r="BM89" s="1107" t="s">
        <v>4406</v>
      </c>
      <c r="BN89" s="1340" t="e">
        <f>+VLOOKUP(BM89,Tabla24[#All],6,0)</f>
        <v>#N/A</v>
      </c>
      <c r="BO89" s="1340" t="s">
        <v>9516</v>
      </c>
      <c r="BP89" s="1342" t="e">
        <f>+VLOOKUP(BM89,Tabla24[#All],3,0)</f>
        <v>#N/A</v>
      </c>
      <c r="BQ89" s="1342" t="e">
        <f>+VLOOKUP(BM89,Tabla24[#All],7,0)</f>
        <v>#N/A</v>
      </c>
    </row>
    <row r="90" spans="1:69" ht="14.25" x14ac:dyDescent="0.2">
      <c r="B90" t="s">
        <v>4409</v>
      </c>
      <c r="C90">
        <v>50</v>
      </c>
      <c r="D90" t="str">
        <f t="shared" si="23"/>
        <v>RACORD R M 1/2 BSPT MANG 16 MM</v>
      </c>
      <c r="E90" s="196">
        <f>+VLOOKUP(H90&amp;ALNAT[[#This Row],[N°]],CODIGOS_Y_COSTOS[[ID]:[COSTO]],7,0)</f>
        <v>2132.8054000000002</v>
      </c>
      <c r="F90" s="196">
        <f t="shared" si="25"/>
        <v>106640.27</v>
      </c>
      <c r="G90" s="197">
        <v>21</v>
      </c>
      <c r="H90" t="s">
        <v>4353</v>
      </c>
      <c r="I90" s="198" t="str">
        <f>+H90&amp;ALNAT[[#This Row],[N°]]</f>
        <v>RACORD - ACOPLES - REDUCCIONES - ENTREROSCAS21</v>
      </c>
      <c r="J90" s="876" t="s">
        <v>4367</v>
      </c>
      <c r="K90" s="1428">
        <v>30</v>
      </c>
      <c r="L90" t="s">
        <v>4368</v>
      </c>
      <c r="M90" s="1">
        <f>+_xlfn.XLOOKUP(Tabla24[[#This Row],[CODIGO]],CODIGOS_Y_COSTOS[CODIGO],CODIGOS_Y_COSTOS[COSTO],0,0)</f>
        <v>1376.3914</v>
      </c>
      <c r="N90" s="1">
        <f>+Tabla24[[#This Row],[Unitario]]*Tabla24[[#This Row],[CANTIDAD]]</f>
        <v>41291.741999999998</v>
      </c>
      <c r="O90" s="13">
        <f>+VLOOKUP(Tabla24[[#This Row],[CODIGO]],B:H,6,0)</f>
        <v>5</v>
      </c>
      <c r="P90" t="str">
        <f>+VLOOKUP(Tabla24[[#This Row],[CODIGO]],B:H,7,0)</f>
        <v>RACORD - ACOPLES - REDUCCIONES - ENTREROSCAS</v>
      </c>
      <c r="S90" s="480" t="s">
        <v>9518</v>
      </c>
      <c r="T90" s="480" t="s">
        <v>9519</v>
      </c>
      <c r="U90" s="504">
        <v>21626.897782514829</v>
      </c>
      <c r="V90" s="89" t="s">
        <v>9337</v>
      </c>
      <c r="W90" s="90">
        <f t="shared" si="29"/>
        <v>15355.097425585527</v>
      </c>
      <c r="AG90" s="491" t="s">
        <v>4385</v>
      </c>
      <c r="AH90" s="69" t="s">
        <v>4386</v>
      </c>
      <c r="AI90" s="60">
        <v>55.590140560206969</v>
      </c>
      <c r="AJ90" s="197">
        <v>11</v>
      </c>
      <c r="AK90" t="s">
        <v>4353</v>
      </c>
      <c r="AL90" s="1"/>
      <c r="AM90" s="1">
        <f t="shared" si="27"/>
        <v>0</v>
      </c>
      <c r="AN90" s="62">
        <f t="shared" si="30"/>
        <v>-1</v>
      </c>
      <c r="BM90" s="1107" t="s">
        <v>4409</v>
      </c>
      <c r="BN90" s="1340" t="e">
        <f>+VLOOKUP(BM90,Tabla24[#All],6,0)</f>
        <v>#N/A</v>
      </c>
      <c r="BO90" s="1340" t="s">
        <v>9520</v>
      </c>
      <c r="BP90" s="1342" t="e">
        <f>+VLOOKUP(BM90,Tabla24[#All],3,0)</f>
        <v>#N/A</v>
      </c>
      <c r="BQ90" s="1342" t="e">
        <f>+VLOOKUP(BM90,Tabla24[#All],7,0)</f>
        <v>#N/A</v>
      </c>
    </row>
    <row r="91" spans="1:69" ht="14.25" x14ac:dyDescent="0.2">
      <c r="B91" t="s">
        <v>4412</v>
      </c>
      <c r="C91">
        <v>30</v>
      </c>
      <c r="D91" t="str">
        <f t="shared" si="23"/>
        <v>RACORD R M 1/2 BSPT MANG 19 MM</v>
      </c>
      <c r="E91" s="196">
        <f>+VLOOKUP(H91&amp;ALNAT[[#This Row],[N°]],CODIGOS_Y_COSTOS[[ID]:[COSTO]],7,0)</f>
        <v>2813.0871000000002</v>
      </c>
      <c r="F91" s="196">
        <f t="shared" si="25"/>
        <v>84392.613000000012</v>
      </c>
      <c r="G91" s="197">
        <v>22</v>
      </c>
      <c r="H91" t="s">
        <v>4353</v>
      </c>
      <c r="I91" s="198" t="str">
        <f>+H91&amp;ALNAT[[#This Row],[N°]]</f>
        <v>RACORD - ACOPLES - REDUCCIONES - ENTREROSCAS22</v>
      </c>
      <c r="J91" s="876" t="s">
        <v>4361</v>
      </c>
      <c r="K91" s="1428">
        <v>50</v>
      </c>
      <c r="L91" t="s">
        <v>4362</v>
      </c>
      <c r="M91" s="1">
        <f>+_xlfn.XLOOKUP(Tabla24[[#This Row],[CODIGO]],CODIGOS_Y_COSTOS[CODIGO],CODIGOS_Y_COSTOS[COSTO],0,0)</f>
        <v>846.14980000000003</v>
      </c>
      <c r="N91" s="1">
        <f>+Tabla24[[#This Row],[Unitario]]*Tabla24[[#This Row],[CANTIDAD]]</f>
        <v>42307.49</v>
      </c>
      <c r="O91" s="13">
        <f>+VLOOKUP(Tabla24[[#This Row],[CODIGO]],B:H,6,0)</f>
        <v>3</v>
      </c>
      <c r="P91" t="str">
        <f>+VLOOKUP(Tabla24[[#This Row],[CODIGO]],B:H,7,0)</f>
        <v>RACORD - ACOPLES - REDUCCIONES - ENTREROSCAS</v>
      </c>
      <c r="S91" s="480" t="s">
        <v>9522</v>
      </c>
      <c r="T91" s="480" t="s">
        <v>9523</v>
      </c>
      <c r="U91" s="504">
        <v>5513.4380788828257</v>
      </c>
      <c r="V91" s="89" t="s">
        <v>9337</v>
      </c>
      <c r="W91" s="90">
        <f t="shared" si="29"/>
        <v>3914.5410360068063</v>
      </c>
      <c r="AG91" s="490" t="s">
        <v>4388</v>
      </c>
      <c r="AH91" s="494" t="s">
        <v>4389</v>
      </c>
      <c r="AI91" s="181">
        <v>65.124627837589571</v>
      </c>
      <c r="AJ91" s="197">
        <v>12</v>
      </c>
      <c r="AK91" t="s">
        <v>4353</v>
      </c>
      <c r="AL91" s="1"/>
      <c r="AM91" s="1">
        <f t="shared" si="27"/>
        <v>0</v>
      </c>
      <c r="AN91" s="62">
        <f t="shared" si="30"/>
        <v>-1</v>
      </c>
      <c r="BM91" s="1107" t="s">
        <v>4501</v>
      </c>
      <c r="BN91" s="1340" t="e">
        <f>+VLOOKUP(BM91,Tabla24[#All],6,0)</f>
        <v>#N/A</v>
      </c>
      <c r="BO91" s="1340" t="s">
        <v>9504</v>
      </c>
      <c r="BP91" s="1342" t="e">
        <f>+VLOOKUP(BM91,Tabla24[#All],3,0)</f>
        <v>#N/A</v>
      </c>
      <c r="BQ91" s="1342" t="e">
        <f>+VLOOKUP(BM91,Tabla24[#All],7,0)</f>
        <v>#N/A</v>
      </c>
    </row>
    <row r="92" spans="1:69" ht="14.25" x14ac:dyDescent="0.2">
      <c r="B92" t="s">
        <v>4415</v>
      </c>
      <c r="C92">
        <v>30</v>
      </c>
      <c r="D92" t="str">
        <f t="shared" si="23"/>
        <v>RACORD R M 3/4 BSPT MANG 19 MM</v>
      </c>
      <c r="E92" s="196">
        <f>+VLOOKUP(H92&amp;ALNAT[[#This Row],[N°]],CODIGOS_Y_COSTOS[[ID]:[COSTO]],7,0)</f>
        <v>3812.2692000000002</v>
      </c>
      <c r="F92" s="196">
        <f t="shared" si="25"/>
        <v>114368.076</v>
      </c>
      <c r="G92" s="197">
        <v>23</v>
      </c>
      <c r="H92" t="s">
        <v>4353</v>
      </c>
      <c r="I92" s="198" t="str">
        <f>+H92&amp;ALNAT[[#This Row],[N°]]</f>
        <v>RACORD - ACOPLES - REDUCCIONES - ENTREROSCAS23</v>
      </c>
      <c r="J92" s="876" t="s">
        <v>4385</v>
      </c>
      <c r="K92" s="1428">
        <v>100</v>
      </c>
      <c r="L92" t="s">
        <v>4386</v>
      </c>
      <c r="M92" s="1">
        <f>+_xlfn.XLOOKUP(Tabla24[[#This Row],[CODIGO]],CODIGOS_Y_COSTOS[CODIGO],CODIGOS_Y_COSTOS[COSTO],0,0)</f>
        <v>508.42099999999999</v>
      </c>
      <c r="N92" s="1">
        <f>+Tabla24[[#This Row],[Unitario]]*Tabla24[[#This Row],[CANTIDAD]]</f>
        <v>50842.1</v>
      </c>
      <c r="O92" s="13">
        <f>+VLOOKUP(Tabla24[[#This Row],[CODIGO]],B:H,6,0)</f>
        <v>11</v>
      </c>
      <c r="P92" t="str">
        <f>+VLOOKUP(Tabla24[[#This Row],[CODIGO]],B:H,7,0)</f>
        <v>RACORD - ACOPLES - REDUCCIONES - ENTREROSCAS</v>
      </c>
      <c r="S92" s="480" t="s">
        <v>9525</v>
      </c>
      <c r="T92" s="480" t="s">
        <v>9526</v>
      </c>
      <c r="U92" s="504">
        <v>5996.8877040452835</v>
      </c>
      <c r="V92" s="89" t="s">
        <v>9337</v>
      </c>
      <c r="W92" s="90">
        <f t="shared" si="29"/>
        <v>4257.7902698721509</v>
      </c>
      <c r="AG92" s="491" t="s">
        <v>4391</v>
      </c>
      <c r="AH92" s="69" t="s">
        <v>4392</v>
      </c>
      <c r="AI92" s="60">
        <v>82.214176349031277</v>
      </c>
      <c r="AJ92" s="197">
        <v>13</v>
      </c>
      <c r="AK92" t="s">
        <v>4353</v>
      </c>
      <c r="AL92" s="1"/>
      <c r="AM92" s="1">
        <f t="shared" si="27"/>
        <v>0</v>
      </c>
      <c r="AN92" s="62">
        <f t="shared" si="30"/>
        <v>-1</v>
      </c>
      <c r="BM92" s="1107" t="s">
        <v>4489</v>
      </c>
      <c r="BN92" s="1340" t="e">
        <f>+VLOOKUP(BM92,Tabla24[#All],6,0)</f>
        <v>#N/A</v>
      </c>
      <c r="BO92" s="1340" t="s">
        <v>9488</v>
      </c>
      <c r="BP92" s="1342" t="e">
        <f>+VLOOKUP(BM92,Tabla24[#All],3,0)</f>
        <v>#N/A</v>
      </c>
      <c r="BQ92" s="1342" t="e">
        <f>+VLOOKUP(BM92,Tabla24[#All],7,0)</f>
        <v>#N/A</v>
      </c>
    </row>
    <row r="93" spans="1:69" ht="14.25" x14ac:dyDescent="0.2">
      <c r="B93" t="s">
        <v>4418</v>
      </c>
      <c r="C93">
        <v>100</v>
      </c>
      <c r="D93" t="str">
        <f t="shared" si="23"/>
        <v>PTA ACOPLE RAP 1/4 R H 1/4 BSP</v>
      </c>
      <c r="E93" s="196">
        <f>+VLOOKUP(H93&amp;ALNAT[[#This Row],[N°]],CODIGOS_Y_COSTOS[[ID]:[COSTO]],7,0)</f>
        <v>1067.6955</v>
      </c>
      <c r="F93" s="196">
        <f t="shared" si="25"/>
        <v>106769.55</v>
      </c>
      <c r="G93" s="197">
        <v>25</v>
      </c>
      <c r="H93" t="s">
        <v>4353</v>
      </c>
      <c r="I93" s="198" t="str">
        <f>+H93&amp;ALNAT[[#This Row],[N°]]</f>
        <v>RACORD - ACOPLES - REDUCCIONES - ENTREROSCAS25</v>
      </c>
      <c r="J93" s="876" t="s">
        <v>4394</v>
      </c>
      <c r="K93" s="1428">
        <v>50</v>
      </c>
      <c r="L93" t="s">
        <v>4395</v>
      </c>
      <c r="M93" s="1">
        <f>+_xlfn.XLOOKUP(Tabla24[[#This Row],[CODIGO]],CODIGOS_Y_COSTOS[CODIGO],CODIGOS_Y_COSTOS[COSTO],0,0)</f>
        <v>1066.1244999999999</v>
      </c>
      <c r="N93" s="1">
        <f>+Tabla24[[#This Row],[Unitario]]*Tabla24[[#This Row],[CANTIDAD]]</f>
        <v>53306.224999999991</v>
      </c>
      <c r="O93" s="13">
        <f>+VLOOKUP(Tabla24[[#This Row],[CODIGO]],B:H,6,0)</f>
        <v>16</v>
      </c>
      <c r="P93" t="str">
        <f>+VLOOKUP(Tabla24[[#This Row],[CODIGO]],B:H,7,0)</f>
        <v>RACORD - ACOPLES - REDUCCIONES - ENTREROSCAS</v>
      </c>
      <c r="S93" s="480" t="s">
        <v>9528</v>
      </c>
      <c r="T93" s="480" t="s">
        <v>9529</v>
      </c>
      <c r="U93" s="504">
        <v>2918.9170951836741</v>
      </c>
      <c r="V93" s="89" t="s">
        <v>9337</v>
      </c>
      <c r="W93" s="90">
        <f t="shared" si="29"/>
        <v>2072.4311375804086</v>
      </c>
      <c r="AG93" s="490" t="s">
        <v>4394</v>
      </c>
      <c r="AH93" s="494" t="s">
        <v>4395</v>
      </c>
      <c r="AI93" s="181">
        <v>96.568792693743603</v>
      </c>
      <c r="AJ93" s="197">
        <v>16</v>
      </c>
      <c r="AK93" t="s">
        <v>4353</v>
      </c>
      <c r="AL93" s="1"/>
      <c r="AM93" s="1">
        <f t="shared" si="27"/>
        <v>0</v>
      </c>
      <c r="AN93" s="62">
        <f t="shared" si="30"/>
        <v>-1</v>
      </c>
      <c r="BM93" s="1107" t="s">
        <v>4513</v>
      </c>
      <c r="BN93" s="1340">
        <f>+VLOOKUP(BM93,Tabla24[#All],6,0)</f>
        <v>78</v>
      </c>
      <c r="BO93" s="1340" t="s">
        <v>9501</v>
      </c>
      <c r="BP93" s="1342" t="str">
        <f>+VLOOKUP(BM93,Tabla24[#All],3,0)</f>
        <v>CUPLA H-H 1/4 BSP</v>
      </c>
      <c r="BQ93" s="1342" t="str">
        <f>+VLOOKUP(BM93,Tabla24[#All],7,0)</f>
        <v>RACORD - ACOPLES - REDUCCIONES - ENTREROSCAS</v>
      </c>
    </row>
    <row r="94" spans="1:69" ht="14.25" x14ac:dyDescent="0.2">
      <c r="B94" t="s">
        <v>4421</v>
      </c>
      <c r="C94">
        <v>100</v>
      </c>
      <c r="D94" t="str">
        <f t="shared" si="23"/>
        <v>RACORD R H 1/8 BSP MANG 6 MM</v>
      </c>
      <c r="E94" s="196">
        <f>+VLOOKUP(H94&amp;ALNAT[[#This Row],[N°]],CODIGOS_Y_COSTOS[[ID]:[COSTO]],7,0)</f>
        <v>558.93899999999996</v>
      </c>
      <c r="F94" s="196">
        <f t="shared" si="25"/>
        <v>55893.899999999994</v>
      </c>
      <c r="G94" s="197">
        <v>26</v>
      </c>
      <c r="H94" t="s">
        <v>4353</v>
      </c>
      <c r="I94" s="198" t="str">
        <f>+H94&amp;ALNAT[[#This Row],[N°]]</f>
        <v>RACORD - ACOPLES - REDUCCIONES - ENTREROSCAS26</v>
      </c>
      <c r="J94" s="876" t="s">
        <v>4397</v>
      </c>
      <c r="K94" s="1428">
        <v>50</v>
      </c>
      <c r="L94" t="s">
        <v>4398</v>
      </c>
      <c r="M94" s="1">
        <f>+_xlfn.XLOOKUP(Tabla24[[#This Row],[CODIGO]],CODIGOS_Y_COSTOS[CODIGO],CODIGOS_Y_COSTOS[COSTO],0,0)</f>
        <v>1048.1656</v>
      </c>
      <c r="N94" s="1">
        <f>+Tabla24[[#This Row],[Unitario]]*Tabla24[[#This Row],[CANTIDAD]]</f>
        <v>52408.28</v>
      </c>
      <c r="O94" s="13">
        <f>+VLOOKUP(Tabla24[[#This Row],[CODIGO]],B:H,6,0)</f>
        <v>17</v>
      </c>
      <c r="P94" t="str">
        <f>+VLOOKUP(Tabla24[[#This Row],[CODIGO]],B:H,7,0)</f>
        <v>RACORD - ACOPLES - REDUCCIONES - ENTREROSCAS</v>
      </c>
      <c r="S94" s="480" t="s">
        <v>9531</v>
      </c>
      <c r="T94" s="480" t="s">
        <v>9532</v>
      </c>
      <c r="U94" s="504">
        <v>4688.4251159097948</v>
      </c>
      <c r="V94" s="89" t="s">
        <v>9337</v>
      </c>
      <c r="W94" s="90">
        <f t="shared" si="29"/>
        <v>3328.7818322959542</v>
      </c>
      <c r="AG94" s="491" t="s">
        <v>4397</v>
      </c>
      <c r="AH94" s="69" t="s">
        <v>4398</v>
      </c>
      <c r="AI94" s="60">
        <v>98.487778247194612</v>
      </c>
      <c r="AJ94" s="197">
        <v>17</v>
      </c>
      <c r="AK94" t="s">
        <v>4353</v>
      </c>
      <c r="AL94" s="1"/>
      <c r="AM94" s="1">
        <f t="shared" si="27"/>
        <v>0</v>
      </c>
      <c r="AN94" s="62">
        <f t="shared" si="30"/>
        <v>-1</v>
      </c>
      <c r="BM94" s="1107" t="s">
        <v>4516</v>
      </c>
      <c r="BN94" s="1340" t="e">
        <f>+VLOOKUP(BM94,Tabla24[#All],6,0)</f>
        <v>#N/A</v>
      </c>
      <c r="BO94" s="1340" t="s">
        <v>9501</v>
      </c>
      <c r="BP94" s="1342" t="e">
        <f>+VLOOKUP(BM94,Tabla24[#All],3,0)</f>
        <v>#N/A</v>
      </c>
      <c r="BQ94" s="1342" t="e">
        <f>+VLOOKUP(BM94,Tabla24[#All],7,0)</f>
        <v>#N/A</v>
      </c>
    </row>
    <row r="95" spans="1:69" ht="14.25" x14ac:dyDescent="0.2">
      <c r="B95" t="s">
        <v>4424</v>
      </c>
      <c r="C95">
        <v>100</v>
      </c>
      <c r="D95" t="str">
        <f t="shared" si="23"/>
        <v>RACORD R H 1/8 BSP MANG 8 MM</v>
      </c>
      <c r="E95" s="196">
        <f>+VLOOKUP(H95&amp;ALNAT[[#This Row],[N°]],CODIGOS_Y_COSTOS[[ID]:[COSTO]],7,0)</f>
        <v>558.93899999999996</v>
      </c>
      <c r="F95" s="196">
        <f t="shared" si="25"/>
        <v>55893.899999999994</v>
      </c>
      <c r="G95" s="197">
        <v>27</v>
      </c>
      <c r="H95" t="s">
        <v>4353</v>
      </c>
      <c r="I95" s="198" t="str">
        <f>+H95&amp;ALNAT[[#This Row],[N°]]</f>
        <v>RACORD - ACOPLES - REDUCCIONES - ENTREROSCAS27</v>
      </c>
      <c r="J95" s="876" t="s">
        <v>4400</v>
      </c>
      <c r="K95" s="1428">
        <v>50</v>
      </c>
      <c r="L95" t="s">
        <v>4401</v>
      </c>
      <c r="M95" s="1">
        <f>+_xlfn.XLOOKUP(Tabla24[[#This Row],[CODIGO]],CODIGOS_Y_COSTOS[CODIGO],CODIGOS_Y_COSTOS[COSTO],0,0)</f>
        <v>1049.9244000000001</v>
      </c>
      <c r="N95" s="1">
        <f>+Tabla24[[#This Row],[Unitario]]*Tabla24[[#This Row],[CANTIDAD]]</f>
        <v>52496.220000000008</v>
      </c>
      <c r="O95" s="13">
        <f>+VLOOKUP(Tabla24[[#This Row],[CODIGO]],B:H,6,0)</f>
        <v>18</v>
      </c>
      <c r="P95" t="str">
        <f>+VLOOKUP(Tabla24[[#This Row],[CODIGO]],B:H,7,0)</f>
        <v>RACORD - ACOPLES - REDUCCIONES - ENTREROSCAS</v>
      </c>
      <c r="S95" s="480" t="s">
        <v>9534</v>
      </c>
      <c r="T95" s="480" t="s">
        <v>9535</v>
      </c>
      <c r="U95" s="504">
        <v>4040.7700121266153</v>
      </c>
      <c r="V95" s="89" t="s">
        <v>9337</v>
      </c>
      <c r="W95" s="90">
        <f t="shared" si="29"/>
        <v>2868.9467086098966</v>
      </c>
      <c r="AG95" s="490" t="s">
        <v>4400</v>
      </c>
      <c r="AH95" s="494" t="s">
        <v>4401</v>
      </c>
      <c r="AI95" s="181">
        <v>98.487778247194612</v>
      </c>
      <c r="AJ95" s="197">
        <v>18</v>
      </c>
      <c r="AK95" t="s">
        <v>4353</v>
      </c>
      <c r="AL95" s="1"/>
      <c r="AM95" s="1">
        <f t="shared" si="27"/>
        <v>0</v>
      </c>
      <c r="AN95" s="62">
        <f t="shared" si="30"/>
        <v>-1</v>
      </c>
      <c r="BM95" s="1107" t="s">
        <v>4504</v>
      </c>
      <c r="BN95" s="1340" t="e">
        <f>+VLOOKUP(BM95,Tabla24[#All],6,0)</f>
        <v>#N/A</v>
      </c>
      <c r="BO95" s="1340" t="s">
        <v>9501</v>
      </c>
      <c r="BP95" s="1342" t="e">
        <f>+VLOOKUP(BM95,Tabla24[#All],3,0)</f>
        <v>#N/A</v>
      </c>
      <c r="BQ95" s="1342" t="e">
        <f>+VLOOKUP(BM95,Tabla24[#All],7,0)</f>
        <v>#N/A</v>
      </c>
    </row>
    <row r="96" spans="1:69" ht="14.25" x14ac:dyDescent="0.2">
      <c r="B96" t="s">
        <v>4427</v>
      </c>
      <c r="C96">
        <v>50</v>
      </c>
      <c r="D96" t="str">
        <f t="shared" si="23"/>
        <v>RACORD R H 1/4 BSP MANG 6 MM</v>
      </c>
      <c r="E96" s="196">
        <f>+VLOOKUP(H96&amp;ALNAT[[#This Row],[N°]],CODIGOS_Y_COSTOS[[ID]:[COSTO]],7,0)</f>
        <v>673.26779999999997</v>
      </c>
      <c r="F96" s="196">
        <f t="shared" si="25"/>
        <v>33663.39</v>
      </c>
      <c r="G96" s="197">
        <v>30</v>
      </c>
      <c r="H96" t="s">
        <v>4353</v>
      </c>
      <c r="I96" s="198" t="str">
        <f>+H96&amp;ALNAT[[#This Row],[N°]]</f>
        <v>RACORD - ACOPLES - REDUCCIONES - ENTREROSCAS30</v>
      </c>
      <c r="J96" s="876" t="s">
        <v>4412</v>
      </c>
      <c r="K96" s="1428">
        <v>20</v>
      </c>
      <c r="L96" t="s">
        <v>4413</v>
      </c>
      <c r="M96" s="1">
        <f>+_xlfn.XLOOKUP(Tabla24[[#This Row],[CODIGO]],CODIGOS_Y_COSTOS[CODIGO],CODIGOS_Y_COSTOS[COSTO],0,0)</f>
        <v>2813.0871000000002</v>
      </c>
      <c r="N96" s="1">
        <f>+Tabla24[[#This Row],[Unitario]]*Tabla24[[#This Row],[CANTIDAD]]</f>
        <v>56261.742000000006</v>
      </c>
      <c r="O96" s="13">
        <f>+VLOOKUP(Tabla24[[#This Row],[CODIGO]],B:H,6,0)</f>
        <v>22</v>
      </c>
      <c r="P96" t="str">
        <f>+VLOOKUP(Tabla24[[#This Row],[CODIGO]],B:H,7,0)</f>
        <v>RACORD - ACOPLES - REDUCCIONES - ENTREROSCAS</v>
      </c>
      <c r="S96" s="480" t="s">
        <v>9536</v>
      </c>
      <c r="T96" s="480" t="s">
        <v>9537</v>
      </c>
      <c r="U96" s="504">
        <v>3066.4578421551028</v>
      </c>
      <c r="V96" s="89" t="s">
        <v>9337</v>
      </c>
      <c r="W96" s="90">
        <f t="shared" si="29"/>
        <v>2177.1850679301228</v>
      </c>
      <c r="AG96" s="491" t="s">
        <v>4406</v>
      </c>
      <c r="AH96" s="69" t="s">
        <v>4407</v>
      </c>
      <c r="AI96" s="60">
        <v>139.3908797683907</v>
      </c>
      <c r="AJ96" s="197">
        <v>20</v>
      </c>
      <c r="AK96" t="s">
        <v>4353</v>
      </c>
      <c r="AL96" s="1"/>
      <c r="AM96" s="1">
        <f t="shared" si="27"/>
        <v>0</v>
      </c>
      <c r="AN96" s="62">
        <f t="shared" si="30"/>
        <v>-1</v>
      </c>
      <c r="BM96" s="1107" t="s">
        <v>4454</v>
      </c>
      <c r="BN96" s="1340">
        <f>+VLOOKUP(BM96,Tabla24[#All],6,0)</f>
        <v>41</v>
      </c>
      <c r="BO96" s="1340" t="s">
        <v>9504</v>
      </c>
      <c r="BP96" s="1342" t="str">
        <f>+VLOOKUP(BM96,Tabla24[#All],3,0)</f>
        <v>UNION DOBLE 6 MM</v>
      </c>
      <c r="BQ96" s="1342" t="str">
        <f>+VLOOKUP(BM96,Tabla24[#All],7,0)</f>
        <v>RACORD - ACOPLES - REDUCCIONES - ENTREROSCAS</v>
      </c>
    </row>
    <row r="97" spans="2:69" ht="14.25" x14ac:dyDescent="0.2">
      <c r="B97" t="s">
        <v>4430</v>
      </c>
      <c r="C97">
        <v>50</v>
      </c>
      <c r="D97" t="str">
        <f t="shared" si="23"/>
        <v>RACORD R H 1/4 BSP MANG 8 MM</v>
      </c>
      <c r="E97" s="196">
        <f>+VLOOKUP(H97&amp;ALNAT[[#This Row],[N°]],CODIGOS_Y_COSTOS[[ID]:[COSTO]],7,0)</f>
        <v>673.26779999999997</v>
      </c>
      <c r="F97" s="196">
        <f t="shared" si="25"/>
        <v>33663.39</v>
      </c>
      <c r="G97" s="197">
        <v>31</v>
      </c>
      <c r="H97" t="s">
        <v>4353</v>
      </c>
      <c r="I97" s="198" t="str">
        <f>+H97&amp;ALNAT[[#This Row],[N°]]</f>
        <v>RACORD - ACOPLES - REDUCCIONES - ENTREROSCAS31</v>
      </c>
      <c r="J97" s="876" t="s">
        <v>4418</v>
      </c>
      <c r="K97" s="1428">
        <v>50</v>
      </c>
      <c r="L97" t="s">
        <v>4419</v>
      </c>
      <c r="M97" s="1">
        <f>+_xlfn.XLOOKUP(Tabla24[[#This Row],[CODIGO]],CODIGOS_Y_COSTOS[CODIGO],CODIGOS_Y_COSTOS[COSTO],0,0)</f>
        <v>1067.6955</v>
      </c>
      <c r="N97" s="1">
        <f>+Tabla24[[#This Row],[Unitario]]*Tabla24[[#This Row],[CANTIDAD]]</f>
        <v>53384.775000000001</v>
      </c>
      <c r="O97" s="13">
        <f>+VLOOKUP(Tabla24[[#This Row],[CODIGO]],B:H,6,0)</f>
        <v>25</v>
      </c>
      <c r="P97" t="str">
        <f>+VLOOKUP(Tabla24[[#This Row],[CODIGO]],B:H,7,0)</f>
        <v>RACORD - ACOPLES - REDUCCIONES - ENTREROSCAS</v>
      </c>
      <c r="S97" s="480" t="s">
        <v>9538</v>
      </c>
      <c r="T97" s="480" t="s">
        <v>9539</v>
      </c>
      <c r="U97" s="504">
        <v>4565.2710069442537</v>
      </c>
      <c r="V97" s="89" t="s">
        <v>9337</v>
      </c>
      <c r="W97" s="90">
        <f t="shared" si="29"/>
        <v>3241.3424149304201</v>
      </c>
      <c r="AG97" s="490" t="s">
        <v>4409</v>
      </c>
      <c r="AH97" s="494" t="s">
        <v>4410</v>
      </c>
      <c r="AI97" s="181">
        <v>187.75838178883711</v>
      </c>
      <c r="AJ97" s="197">
        <v>21</v>
      </c>
      <c r="AK97" t="s">
        <v>4353</v>
      </c>
      <c r="AL97" s="1"/>
      <c r="AM97" s="1">
        <f t="shared" si="27"/>
        <v>0</v>
      </c>
      <c r="AN97" s="62">
        <f t="shared" si="30"/>
        <v>-1</v>
      </c>
      <c r="BM97" s="1107" t="s">
        <v>4457</v>
      </c>
      <c r="BN97" s="1340" t="e">
        <f>+VLOOKUP(BM97,Tabla24[#All],6,0)</f>
        <v>#N/A</v>
      </c>
      <c r="BO97" s="1340" t="s">
        <v>9504</v>
      </c>
      <c r="BP97" s="1342" t="e">
        <f>+VLOOKUP(BM97,Tabla24[#All],3,0)</f>
        <v>#N/A</v>
      </c>
      <c r="BQ97" s="1342" t="e">
        <f>+VLOOKUP(BM97,Tabla24[#All],7,0)</f>
        <v>#N/A</v>
      </c>
    </row>
    <row r="98" spans="2:69" ht="14.25" x14ac:dyDescent="0.2">
      <c r="B98" t="s">
        <v>4433</v>
      </c>
      <c r="C98">
        <v>50</v>
      </c>
      <c r="D98" t="str">
        <f t="shared" si="23"/>
        <v>RACORD R H 1/4 BSP MANG 9.5 MM</v>
      </c>
      <c r="E98" s="196">
        <f>+VLOOKUP(H98&amp;ALNAT[[#This Row],[N°]],CODIGOS_Y_COSTOS[[ID]:[COSTO]],7,0)</f>
        <v>1001.0410000000001</v>
      </c>
      <c r="F98" s="196">
        <f t="shared" si="25"/>
        <v>50052.05</v>
      </c>
      <c r="G98" s="197">
        <v>32</v>
      </c>
      <c r="H98" t="s">
        <v>4353</v>
      </c>
      <c r="I98" s="198" t="str">
        <f>+H98&amp;ALNAT[[#This Row],[N°]]</f>
        <v>RACORD - ACOPLES - REDUCCIONES - ENTREROSCAS32</v>
      </c>
      <c r="J98" s="876" t="s">
        <v>4433</v>
      </c>
      <c r="K98" s="1428">
        <v>50</v>
      </c>
      <c r="L98" t="s">
        <v>4434</v>
      </c>
      <c r="M98" s="1">
        <f>+_xlfn.XLOOKUP(Tabla24[[#This Row],[CODIGO]],CODIGOS_Y_COSTOS[CODIGO],CODIGOS_Y_COSTOS[COSTO],0,0)</f>
        <v>1001.0410000000001</v>
      </c>
      <c r="N98" s="1">
        <f>+Tabla24[[#This Row],[Unitario]]*Tabla24[[#This Row],[CANTIDAD]]</f>
        <v>50052.05</v>
      </c>
      <c r="O98" s="13">
        <f>+VLOOKUP(Tabla24[[#This Row],[CODIGO]],B:H,6,0)</f>
        <v>32</v>
      </c>
      <c r="P98" t="str">
        <f>+VLOOKUP(Tabla24[[#This Row],[CODIGO]],B:H,7,0)</f>
        <v>RACORD - ACOPLES - REDUCCIONES - ENTREROSCAS</v>
      </c>
      <c r="S98" s="480" t="s">
        <v>9540</v>
      </c>
      <c r="T98" s="480" t="s">
        <v>9541</v>
      </c>
      <c r="U98" s="504">
        <v>4802.2131356821601</v>
      </c>
      <c r="V98" s="89" t="s">
        <v>9337</v>
      </c>
      <c r="W98" s="90">
        <f t="shared" si="29"/>
        <v>3409.5713263343337</v>
      </c>
      <c r="AG98" s="491" t="s">
        <v>4412</v>
      </c>
      <c r="AH98" s="69" t="s">
        <v>4413</v>
      </c>
      <c r="AI98" s="60">
        <v>251.71953019638164</v>
      </c>
      <c r="AJ98" s="197">
        <v>22</v>
      </c>
      <c r="AK98" t="s">
        <v>4353</v>
      </c>
      <c r="AL98" s="1"/>
      <c r="AM98" s="1">
        <f t="shared" si="27"/>
        <v>0</v>
      </c>
      <c r="AN98" s="62">
        <f t="shared" si="30"/>
        <v>-1</v>
      </c>
      <c r="AO98" s="62">
        <v>0.5</v>
      </c>
      <c r="AP98" s="498">
        <f>+(AO98+1)*AI98</f>
        <v>377.57929529457249</v>
      </c>
      <c r="AQ98" s="1"/>
      <c r="AR98" s="62"/>
      <c r="BM98" s="1107" t="s">
        <v>4471</v>
      </c>
      <c r="BN98" s="1340">
        <f>+VLOOKUP(BM98,Tabla24[#All],6,0)</f>
        <v>47</v>
      </c>
      <c r="BO98" s="1340" t="s">
        <v>9542</v>
      </c>
      <c r="BP98" s="1342" t="str">
        <f>+VLOOKUP(BM98,Tabla24[#All],3,0)</f>
        <v>UNION DOBLE 19 MM</v>
      </c>
      <c r="BQ98" s="1342" t="str">
        <f>+VLOOKUP(BM98,Tabla24[#All],7,0)</f>
        <v>RACORD - ACOPLES - REDUCCIONES - ENTREROSCAS</v>
      </c>
    </row>
    <row r="99" spans="2:69" ht="14.25" x14ac:dyDescent="0.2">
      <c r="B99" t="s">
        <v>4436</v>
      </c>
      <c r="C99">
        <v>50</v>
      </c>
      <c r="D99" t="str">
        <f t="shared" si="23"/>
        <v>RACORD  RH 1/4 BSP MANG 12.7 MM</v>
      </c>
      <c r="E99" s="196">
        <f>+VLOOKUP(H99&amp;ALNAT[[#This Row],[N°]],CODIGOS_Y_COSTOS[[ID]:[COSTO]],7,0)</f>
        <v>1134.7419</v>
      </c>
      <c r="F99" s="196">
        <f t="shared" si="25"/>
        <v>56737.095000000001</v>
      </c>
      <c r="G99" s="197">
        <v>33</v>
      </c>
      <c r="H99" t="s">
        <v>4353</v>
      </c>
      <c r="I99" s="198" t="str">
        <f>+H99&amp;ALNAT[[#This Row],[N°]]</f>
        <v>RACORD - ACOPLES - REDUCCIONES - ENTREROSCAS33</v>
      </c>
      <c r="J99" s="876" t="s">
        <v>4436</v>
      </c>
      <c r="K99" s="1428">
        <v>50</v>
      </c>
      <c r="L99" t="s">
        <v>4437</v>
      </c>
      <c r="M99" s="1">
        <f>+_xlfn.XLOOKUP(Tabla24[[#This Row],[CODIGO]],CODIGOS_Y_COSTOS[CODIGO],CODIGOS_Y_COSTOS[COSTO],0,0)</f>
        <v>1134.7419</v>
      </c>
      <c r="N99" s="1">
        <f>+Tabla24[[#This Row],[Unitario]]*Tabla24[[#This Row],[CANTIDAD]]</f>
        <v>56737.095000000001</v>
      </c>
      <c r="O99" s="13">
        <f>+VLOOKUP(Tabla24[[#This Row],[CODIGO]],B:H,6,0)</f>
        <v>33</v>
      </c>
      <c r="P99" t="str">
        <f>+VLOOKUP(Tabla24[[#This Row],[CODIGO]],B:H,7,0)</f>
        <v>RACORD - ACOPLES - REDUCCIONES - ENTREROSCAS</v>
      </c>
      <c r="S99" s="480" t="s">
        <v>9543</v>
      </c>
      <c r="T99" s="480" t="s">
        <v>9544</v>
      </c>
      <c r="U99" s="504">
        <v>40972.765360532707</v>
      </c>
      <c r="V99" s="89" t="s">
        <v>9337</v>
      </c>
      <c r="W99" s="90">
        <f t="shared" si="29"/>
        <v>29090.663405978219</v>
      </c>
      <c r="AG99" s="490" t="s">
        <v>4415</v>
      </c>
      <c r="AH99" s="494" t="s">
        <v>4416</v>
      </c>
      <c r="AI99" s="181">
        <v>327.76877657842061</v>
      </c>
      <c r="AJ99" s="197">
        <v>23</v>
      </c>
      <c r="AK99" t="s">
        <v>4353</v>
      </c>
      <c r="AL99" s="1"/>
      <c r="AM99" s="1">
        <f t="shared" si="27"/>
        <v>0</v>
      </c>
      <c r="AN99" s="62">
        <f t="shared" si="30"/>
        <v>-1</v>
      </c>
      <c r="AO99" s="62">
        <v>0.5</v>
      </c>
      <c r="AP99" s="498">
        <f>+(AO99+1)*AI99</f>
        <v>491.65316486763095</v>
      </c>
      <c r="AQ99" s="1"/>
      <c r="AR99" s="62"/>
      <c r="BM99" s="1107" t="s">
        <v>4451</v>
      </c>
      <c r="BN99" s="1340">
        <f>+VLOOKUP(BM99,Tabla24[#All],6,0)</f>
        <v>40</v>
      </c>
      <c r="BO99" s="1340" t="s">
        <v>9504</v>
      </c>
      <c r="BP99" s="1342" t="str">
        <f>+VLOOKUP(BM99,Tabla24[#All],3,0)</f>
        <v>UNION DOBLE 4 MM</v>
      </c>
      <c r="BQ99" s="1342" t="str">
        <f>+VLOOKUP(BM99,Tabla24[#All],7,0)</f>
        <v>RACORD - ACOPLES - REDUCCIONES - ENTREROSCAS</v>
      </c>
    </row>
    <row r="100" spans="2:69" ht="14.25" x14ac:dyDescent="0.2">
      <c r="B100" t="s">
        <v>4451</v>
      </c>
      <c r="C100">
        <v>100</v>
      </c>
      <c r="D100" t="str">
        <f t="shared" si="23"/>
        <v>UNION DOBLE 4 MM</v>
      </c>
      <c r="E100" s="196">
        <f>+VLOOKUP(H100&amp;ALNAT[[#This Row],[N°]],CODIGOS_Y_COSTOS[[ID]:[COSTO]],7,0)</f>
        <v>660.75300000000004</v>
      </c>
      <c r="F100" s="196">
        <f t="shared" si="25"/>
        <v>66075.3</v>
      </c>
      <c r="G100" s="197">
        <v>40</v>
      </c>
      <c r="H100" t="s">
        <v>4353</v>
      </c>
      <c r="I100" s="198" t="str">
        <f>+H100&amp;ALNAT[[#This Row],[N°]]</f>
        <v>RACORD - ACOPLES - REDUCCIONES - ENTREROSCAS40</v>
      </c>
      <c r="J100" s="876" t="s">
        <v>4451</v>
      </c>
      <c r="K100" s="1428">
        <v>50</v>
      </c>
      <c r="L100" t="s">
        <v>4452</v>
      </c>
      <c r="M100" s="1">
        <f>+_xlfn.XLOOKUP(Tabla24[[#This Row],[CODIGO]],CODIGOS_Y_COSTOS[CODIGO],CODIGOS_Y_COSTOS[COSTO],0,0)</f>
        <v>660.75300000000004</v>
      </c>
      <c r="N100" s="1">
        <f>+Tabla24[[#This Row],[Unitario]]*Tabla24[[#This Row],[CANTIDAD]]</f>
        <v>33037.65</v>
      </c>
      <c r="O100" s="13">
        <f>+VLOOKUP(Tabla24[[#This Row],[CODIGO]],B:H,6,0)</f>
        <v>40</v>
      </c>
      <c r="P100" t="str">
        <f>+VLOOKUP(Tabla24[[#This Row],[CODIGO]],B:H,7,0)</f>
        <v>RACORD - ACOPLES - REDUCCIONES - ENTREROSCAS</v>
      </c>
      <c r="S100" s="480" t="s">
        <v>9545</v>
      </c>
      <c r="T100" s="480" t="s">
        <v>9546</v>
      </c>
      <c r="U100" s="504">
        <v>39464.337875225741</v>
      </c>
      <c r="V100" s="89" t="s">
        <v>9337</v>
      </c>
      <c r="W100" s="90">
        <f t="shared" si="29"/>
        <v>28019.679891410276</v>
      </c>
      <c r="AG100" s="491" t="s">
        <v>4418</v>
      </c>
      <c r="AH100" s="69" t="s">
        <v>4419</v>
      </c>
      <c r="AI100" s="60">
        <v>94.773840980059589</v>
      </c>
      <c r="AJ100" s="197">
        <v>25</v>
      </c>
      <c r="AK100" t="s">
        <v>4353</v>
      </c>
      <c r="AL100" s="1"/>
      <c r="AM100" s="1">
        <f t="shared" si="27"/>
        <v>0</v>
      </c>
      <c r="AN100" s="62">
        <f t="shared" si="30"/>
        <v>-1</v>
      </c>
      <c r="BM100" s="1107" t="s">
        <v>4474</v>
      </c>
      <c r="BN100" s="1340">
        <f>+VLOOKUP(BM100,Tabla24[#All],6,0)</f>
        <v>50</v>
      </c>
      <c r="BO100" s="1340" t="s">
        <v>9520</v>
      </c>
      <c r="BP100" s="1342" t="str">
        <f>+VLOOKUP(BM100,Tabla24[#All],3,0)</f>
        <v>UNION TRIPLE 6 MM</v>
      </c>
      <c r="BQ100" s="1342" t="str">
        <f>+VLOOKUP(BM100,Tabla24[#All],7,0)</f>
        <v>RACORD - ACOPLES - REDUCCIONES - ENTREROSCAS</v>
      </c>
    </row>
    <row r="101" spans="2:69" ht="14.25" x14ac:dyDescent="0.2">
      <c r="B101" t="s">
        <v>4454</v>
      </c>
      <c r="C101">
        <v>100</v>
      </c>
      <c r="D101" t="str">
        <f t="shared" si="23"/>
        <v>UNION DOBLE 6 MM</v>
      </c>
      <c r="E101" s="196">
        <f>+VLOOKUP(H101&amp;ALNAT[[#This Row],[N°]],CODIGOS_Y_COSTOS[[ID]:[COSTO]],7,0)</f>
        <v>579.8039</v>
      </c>
      <c r="F101" s="196">
        <f t="shared" si="25"/>
        <v>57980.39</v>
      </c>
      <c r="G101" s="197">
        <v>41</v>
      </c>
      <c r="H101" t="s">
        <v>4353</v>
      </c>
      <c r="I101" s="198" t="str">
        <f>+H101&amp;ALNAT[[#This Row],[N°]]</f>
        <v>RACORD - ACOPLES - REDUCCIONES - ENTREROSCAS41</v>
      </c>
      <c r="J101" s="876" t="s">
        <v>4454</v>
      </c>
      <c r="K101" s="1428">
        <v>100</v>
      </c>
      <c r="L101" t="s">
        <v>4455</v>
      </c>
      <c r="M101" s="1">
        <f>+_xlfn.XLOOKUP(Tabla24[[#This Row],[CODIGO]],CODIGOS_Y_COSTOS[CODIGO],CODIGOS_Y_COSTOS[COSTO],0,0)</f>
        <v>579.8039</v>
      </c>
      <c r="N101" s="1">
        <f>+Tabla24[[#This Row],[Unitario]]*Tabla24[[#This Row],[CANTIDAD]]</f>
        <v>57980.39</v>
      </c>
      <c r="O101" s="13">
        <f>+VLOOKUP(Tabla24[[#This Row],[CODIGO]],B:H,6,0)</f>
        <v>41</v>
      </c>
      <c r="P101" t="str">
        <f>+VLOOKUP(Tabla24[[#This Row],[CODIGO]],B:H,7,0)</f>
        <v>RACORD - ACOPLES - REDUCCIONES - ENTREROSCAS</v>
      </c>
      <c r="S101" s="480" t="s">
        <v>9547</v>
      </c>
      <c r="T101" s="480" t="s">
        <v>9548</v>
      </c>
      <c r="U101" s="504">
        <v>12292.71529035302</v>
      </c>
      <c r="V101" s="89" t="s">
        <v>9337</v>
      </c>
      <c r="W101" s="90">
        <f t="shared" ref="W101:W152" si="31">+IF(V101="Nacional",(1-$AA$1)*U101,(1-$AA$2)*U101)</f>
        <v>8727.8278561506449</v>
      </c>
      <c r="AG101" s="490" t="s">
        <v>4421</v>
      </c>
      <c r="AH101" s="494" t="s">
        <v>4422</v>
      </c>
      <c r="AI101" s="181">
        <v>63.568285223373408</v>
      </c>
      <c r="AJ101" s="197">
        <v>26</v>
      </c>
      <c r="AK101" t="s">
        <v>4353</v>
      </c>
      <c r="AL101" s="1"/>
      <c r="AM101" s="1">
        <f t="shared" si="24"/>
        <v>0</v>
      </c>
      <c r="AN101" s="62">
        <f t="shared" ref="AN101:AN139" si="32">+AM101/AI101-1</f>
        <v>-1</v>
      </c>
      <c r="BM101" s="1107" t="s">
        <v>4477</v>
      </c>
      <c r="BN101" s="1340">
        <f>+VLOOKUP(BM101,Tabla24[#All],6,0)</f>
        <v>51</v>
      </c>
      <c r="BO101" s="1340" t="s">
        <v>9520</v>
      </c>
      <c r="BP101" s="1342" t="str">
        <f>+VLOOKUP(BM101,Tabla24[#All],3,0)</f>
        <v>UNION TRIPLE 8 MM</v>
      </c>
      <c r="BQ101" s="1342" t="str">
        <f>+VLOOKUP(BM101,Tabla24[#All],7,0)</f>
        <v>RACORD - ACOPLES - REDUCCIONES - ENTREROSCAS</v>
      </c>
    </row>
    <row r="102" spans="2:69" ht="14.25" x14ac:dyDescent="0.2">
      <c r="B102" t="s">
        <v>4457</v>
      </c>
      <c r="C102">
        <v>100</v>
      </c>
      <c r="D102" t="str">
        <f t="shared" si="23"/>
        <v>UNION DOBLE 8 MM</v>
      </c>
      <c r="E102" s="196">
        <f>+VLOOKUP(H102&amp;ALNAT[[#This Row],[N°]],CODIGOS_Y_COSTOS[[ID]:[COSTO]],7,0)</f>
        <v>636.90809999999999</v>
      </c>
      <c r="F102" s="196">
        <f t="shared" si="25"/>
        <v>63690.81</v>
      </c>
      <c r="G102" s="197">
        <v>42</v>
      </c>
      <c r="H102" t="s">
        <v>4353</v>
      </c>
      <c r="I102" s="198" t="str">
        <f>+H102&amp;ALNAT[[#This Row],[N°]]</f>
        <v>RACORD - ACOPLES - REDUCCIONES - ENTREROSCAS42</v>
      </c>
      <c r="J102" s="876" t="s">
        <v>4465</v>
      </c>
      <c r="K102" s="1428">
        <v>50</v>
      </c>
      <c r="L102" t="s">
        <v>4466</v>
      </c>
      <c r="M102" s="1">
        <f>+_xlfn.XLOOKUP(Tabla24[[#This Row],[CODIGO]],CODIGOS_Y_COSTOS[CODIGO],CODIGOS_Y_COSTOS[COSTO],0,0)</f>
        <v>1095.1831</v>
      </c>
      <c r="N102" s="1">
        <f>+Tabla24[[#This Row],[Unitario]]*Tabla24[[#This Row],[CANTIDAD]]</f>
        <v>54759.154999999999</v>
      </c>
      <c r="O102" s="13">
        <f>+VLOOKUP(Tabla24[[#This Row],[CODIGO]],B:H,6,0)</f>
        <v>45</v>
      </c>
      <c r="P102" t="str">
        <f>+VLOOKUP(Tabla24[[#This Row],[CODIGO]],B:H,7,0)</f>
        <v>RACORD - ACOPLES - REDUCCIONES - ENTREROSCAS</v>
      </c>
      <c r="S102" s="480" t="s">
        <v>9549</v>
      </c>
      <c r="T102" s="480" t="s">
        <v>9550</v>
      </c>
      <c r="U102" s="504">
        <v>11237.646377694266</v>
      </c>
      <c r="V102" s="89" t="s">
        <v>9337</v>
      </c>
      <c r="W102" s="90">
        <f t="shared" si="31"/>
        <v>7978.7289281629282</v>
      </c>
      <c r="AG102" s="491" t="s">
        <v>4424</v>
      </c>
      <c r="AH102" s="69" t="s">
        <v>4425</v>
      </c>
      <c r="AI102" s="60">
        <v>63.568285223373408</v>
      </c>
      <c r="AJ102" s="197">
        <v>27</v>
      </c>
      <c r="AK102" t="s">
        <v>4353</v>
      </c>
      <c r="AL102" s="1"/>
      <c r="AM102" s="1">
        <f t="shared" si="24"/>
        <v>0</v>
      </c>
      <c r="AN102" s="62">
        <f t="shared" si="32"/>
        <v>-1</v>
      </c>
      <c r="BM102" s="1107" t="s">
        <v>4537</v>
      </c>
      <c r="BN102" s="1340">
        <f>+VLOOKUP(BM102,Tabla24[#All],6,0)</f>
        <v>93</v>
      </c>
      <c r="BO102" s="1340" t="s">
        <v>9504</v>
      </c>
      <c r="BP102" s="1342" t="str">
        <f>+VLOOKUP(BM102,Tabla24[#All],3,0)</f>
        <v>ACOPLE RAP 1/4 ECON R H 1/4 BSP C/PTA</v>
      </c>
      <c r="BQ102" s="1342" t="str">
        <f>+VLOOKUP(BM102,Tabla24[#All],7,0)</f>
        <v>RACORD - ACOPLES - REDUCCIONES - ENTREROSCAS</v>
      </c>
    </row>
    <row r="103" spans="2:69" ht="14.25" x14ac:dyDescent="0.2">
      <c r="B103" t="s">
        <v>4460</v>
      </c>
      <c r="C103">
        <v>50</v>
      </c>
      <c r="D103" t="str">
        <f t="shared" si="23"/>
        <v>UNION DOBLE 9.5 MM</v>
      </c>
      <c r="E103" s="196">
        <f>+VLOOKUP(H103&amp;ALNAT[[#This Row],[N°]],CODIGOS_Y_COSTOS[[ID]:[COSTO]],7,0)</f>
        <v>741.8211</v>
      </c>
      <c r="F103" s="196">
        <f t="shared" si="25"/>
        <v>37091.055</v>
      </c>
      <c r="G103" s="197">
        <v>43</v>
      </c>
      <c r="H103" t="s">
        <v>4353</v>
      </c>
      <c r="I103" s="198" t="str">
        <f>+H103&amp;ALNAT[[#This Row],[N°]]</f>
        <v>RACORD - ACOPLES - REDUCCIONES - ENTREROSCAS43</v>
      </c>
      <c r="J103" s="876" t="s">
        <v>4468</v>
      </c>
      <c r="K103" s="1428">
        <v>20</v>
      </c>
      <c r="L103" t="s">
        <v>4469</v>
      </c>
      <c r="M103" s="1">
        <f>+_xlfn.XLOOKUP(Tabla24[[#This Row],[CODIGO]],CODIGOS_Y_COSTOS[CODIGO],CODIGOS_Y_COSTOS[COSTO],0,0)</f>
        <v>2361.6336999999999</v>
      </c>
      <c r="N103" s="1">
        <f>+Tabla24[[#This Row],[Unitario]]*Tabla24[[#This Row],[CANTIDAD]]</f>
        <v>47232.673999999999</v>
      </c>
      <c r="O103" s="13">
        <f>+VLOOKUP(Tabla24[[#This Row],[CODIGO]],B:H,6,0)</f>
        <v>46</v>
      </c>
      <c r="P103" t="str">
        <f>+VLOOKUP(Tabla24[[#This Row],[CODIGO]],B:H,7,0)</f>
        <v>RACORD - ACOPLES - REDUCCIONES - ENTREROSCAS</v>
      </c>
      <c r="S103" s="480" t="s">
        <v>9551</v>
      </c>
      <c r="T103" s="480" t="s">
        <v>9552</v>
      </c>
      <c r="U103" s="504">
        <v>11937.888861699168</v>
      </c>
      <c r="V103" s="89" t="s">
        <v>9337</v>
      </c>
      <c r="W103" s="90">
        <f t="shared" si="31"/>
        <v>8475.9010918064087</v>
      </c>
      <c r="AG103" s="490" t="s">
        <v>4427</v>
      </c>
      <c r="AH103" s="494" t="s">
        <v>4428</v>
      </c>
      <c r="AI103" s="181">
        <v>82.214176349031277</v>
      </c>
      <c r="AJ103" s="197">
        <v>30</v>
      </c>
      <c r="AK103" t="s">
        <v>4353</v>
      </c>
      <c r="AL103" s="1"/>
      <c r="AM103" s="1">
        <f t="shared" si="24"/>
        <v>0</v>
      </c>
      <c r="AN103" s="62">
        <f t="shared" si="32"/>
        <v>-1</v>
      </c>
      <c r="BM103" s="1107" t="s">
        <v>6121</v>
      </c>
      <c r="BN103" s="1340" t="e">
        <f>+VLOOKUP(BM103,Tabla24[#All],6,0)</f>
        <v>#N/A</v>
      </c>
      <c r="BO103" s="1340" t="s">
        <v>9501</v>
      </c>
      <c r="BP103" s="1342" t="e">
        <f>+VLOOKUP(BM103,Tabla24[#All],3,0)</f>
        <v>#N/A</v>
      </c>
      <c r="BQ103" s="1342" t="e">
        <f>+VLOOKUP(BM103,Tabla24[#All],7,0)</f>
        <v>#N/A</v>
      </c>
    </row>
    <row r="104" spans="2:69" ht="14.25" x14ac:dyDescent="0.2">
      <c r="B104" t="s">
        <v>4465</v>
      </c>
      <c r="C104">
        <v>50</v>
      </c>
      <c r="D104" t="str">
        <f t="shared" si="23"/>
        <v>UNION DOBLE 12.70 MM</v>
      </c>
      <c r="E104" s="196">
        <f>+VLOOKUP(H104&amp;ALNAT[[#This Row],[N°]],CODIGOS_Y_COSTOS[[ID]:[COSTO]],7,0)</f>
        <v>1095.1831</v>
      </c>
      <c r="F104" s="196">
        <f t="shared" si="25"/>
        <v>54759.154999999999</v>
      </c>
      <c r="G104" s="197">
        <v>45</v>
      </c>
      <c r="H104" t="s">
        <v>4353</v>
      </c>
      <c r="I104" s="198" t="str">
        <f>+H104&amp;ALNAT[[#This Row],[N°]]</f>
        <v>RACORD - ACOPLES - REDUCCIONES - ENTREROSCAS45</v>
      </c>
      <c r="J104" s="876" t="s">
        <v>4471</v>
      </c>
      <c r="K104" s="1428">
        <v>20</v>
      </c>
      <c r="L104" t="s">
        <v>4472</v>
      </c>
      <c r="M104" s="1">
        <f>+_xlfn.XLOOKUP(Tabla24[[#This Row],[CODIGO]],CODIGOS_Y_COSTOS[CODIGO],CODIGOS_Y_COSTOS[COSTO],0,0)</f>
        <v>3495.0733</v>
      </c>
      <c r="N104" s="1">
        <f>+Tabla24[[#This Row],[Unitario]]*Tabla24[[#This Row],[CANTIDAD]]</f>
        <v>69901.466</v>
      </c>
      <c r="O104" s="13">
        <f>+VLOOKUP(Tabla24[[#This Row],[CODIGO]],B:H,6,0)</f>
        <v>47</v>
      </c>
      <c r="P104" t="str">
        <f>+VLOOKUP(Tabla24[[#This Row],[CODIGO]],B:H,7,0)</f>
        <v>RACORD - ACOPLES - REDUCCIONES - ENTREROSCAS</v>
      </c>
      <c r="S104" s="480" t="s">
        <v>9553</v>
      </c>
      <c r="T104" s="480" t="s">
        <v>9554</v>
      </c>
      <c r="U104" s="504">
        <v>11937.888861699168</v>
      </c>
      <c r="V104" s="89" t="s">
        <v>9337</v>
      </c>
      <c r="W104" s="90">
        <f t="shared" si="31"/>
        <v>8475.9010918064087</v>
      </c>
      <c r="AG104" s="491" t="s">
        <v>4430</v>
      </c>
      <c r="AH104" s="69" t="s">
        <v>4431</v>
      </c>
      <c r="AI104" s="60">
        <v>82.214176349031277</v>
      </c>
      <c r="AJ104" s="197">
        <v>31</v>
      </c>
      <c r="AK104" t="s">
        <v>4353</v>
      </c>
      <c r="AL104" s="1"/>
      <c r="AM104" s="1">
        <f t="shared" si="24"/>
        <v>0</v>
      </c>
      <c r="AN104" s="62">
        <f t="shared" si="32"/>
        <v>-1</v>
      </c>
      <c r="BM104" s="1107" t="s">
        <v>6225</v>
      </c>
      <c r="BN104" s="1340" t="e">
        <f>+VLOOKUP(BM104,Tabla24[#All],6,0)</f>
        <v>#N/A</v>
      </c>
      <c r="BO104" s="1340" t="s">
        <v>9504</v>
      </c>
      <c r="BP104" s="1342" t="e">
        <f>+VLOOKUP(BM104,Tabla24[#All],3,0)</f>
        <v>#N/A</v>
      </c>
      <c r="BQ104" s="1342" t="e">
        <f>+VLOOKUP(BM104,Tabla24[#All],7,0)</f>
        <v>#N/A</v>
      </c>
    </row>
    <row r="105" spans="2:69" ht="14.25" x14ac:dyDescent="0.2">
      <c r="B105" t="s">
        <v>4468</v>
      </c>
      <c r="C105">
        <v>50</v>
      </c>
      <c r="D105" t="str">
        <f t="shared" si="23"/>
        <v>UNION DOBLE 16 MM</v>
      </c>
      <c r="E105" s="196">
        <f>+VLOOKUP(H105&amp;ALNAT[[#This Row],[N°]],CODIGOS_Y_COSTOS[[ID]:[COSTO]],7,0)</f>
        <v>2361.6336999999999</v>
      </c>
      <c r="F105" s="196">
        <f t="shared" ref="F105:F128" si="33">+E105*C105</f>
        <v>118081.685</v>
      </c>
      <c r="G105" s="197">
        <v>46</v>
      </c>
      <c r="H105" t="s">
        <v>4353</v>
      </c>
      <c r="I105" s="198" t="str">
        <f>+H105&amp;ALNAT[[#This Row],[N°]]</f>
        <v>RACORD - ACOPLES - REDUCCIONES - ENTREROSCAS46</v>
      </c>
      <c r="J105" s="876" t="s">
        <v>4474</v>
      </c>
      <c r="K105" s="1428">
        <v>30</v>
      </c>
      <c r="L105" t="s">
        <v>4475</v>
      </c>
      <c r="M105" s="1">
        <f>+_xlfn.XLOOKUP(Tabla24[[#This Row],[CODIGO]],CODIGOS_Y_COSTOS[CODIGO],CODIGOS_Y_COSTOS[COSTO],0,0)</f>
        <v>1735.0612000000001</v>
      </c>
      <c r="N105" s="1">
        <f>+Tabla24[[#This Row],[Unitario]]*Tabla24[[#This Row],[CANTIDAD]]</f>
        <v>52051.836000000003</v>
      </c>
      <c r="O105" s="13">
        <f>+VLOOKUP(Tabla24[[#This Row],[CODIGO]],B:H,6,0)</f>
        <v>50</v>
      </c>
      <c r="P105" t="str">
        <f>+VLOOKUP(Tabla24[[#This Row],[CODIGO]],B:H,7,0)</f>
        <v>RACORD - ACOPLES - REDUCCIONES - ENTREROSCAS</v>
      </c>
      <c r="S105" s="480" t="s">
        <v>4421</v>
      </c>
      <c r="T105" s="480" t="s">
        <v>4422</v>
      </c>
      <c r="U105" s="504">
        <v>686.06447341714295</v>
      </c>
      <c r="V105" s="89" t="s">
        <v>9337</v>
      </c>
      <c r="W105" s="90">
        <f t="shared" si="31"/>
        <v>487.10577612617146</v>
      </c>
      <c r="AG105" s="490" t="s">
        <v>4433</v>
      </c>
      <c r="AH105" s="494" t="s">
        <v>4434</v>
      </c>
      <c r="AI105" s="181">
        <v>82.637259778138585</v>
      </c>
      <c r="AJ105" s="197">
        <v>32</v>
      </c>
      <c r="AK105" t="s">
        <v>4353</v>
      </c>
      <c r="AL105" s="1"/>
      <c r="AM105" s="1">
        <f t="shared" si="24"/>
        <v>0</v>
      </c>
      <c r="AN105" s="62">
        <f t="shared" si="32"/>
        <v>-1</v>
      </c>
      <c r="BM105" s="1107" t="s">
        <v>6228</v>
      </c>
      <c r="BN105" s="1340" t="e">
        <f>+VLOOKUP(BM105,Tabla24[#All],6,0)</f>
        <v>#N/A</v>
      </c>
      <c r="BO105" s="1340" t="s">
        <v>9504</v>
      </c>
      <c r="BP105" s="1342" t="e">
        <f>+VLOOKUP(BM105,Tabla24[#All],3,0)</f>
        <v>#N/A</v>
      </c>
      <c r="BQ105" s="1342" t="e">
        <f>+VLOOKUP(BM105,Tabla24[#All],7,0)</f>
        <v>#N/A</v>
      </c>
    </row>
    <row r="106" spans="2:69" ht="14.25" x14ac:dyDescent="0.2">
      <c r="B106" t="s">
        <v>4471</v>
      </c>
      <c r="C106">
        <v>30</v>
      </c>
      <c r="D106" t="str">
        <f t="shared" si="23"/>
        <v>UNION DOBLE 19 MM</v>
      </c>
      <c r="E106" s="196">
        <f>+VLOOKUP(H106&amp;ALNAT[[#This Row],[N°]],CODIGOS_Y_COSTOS[[ID]:[COSTO]],7,0)</f>
        <v>3495.0733</v>
      </c>
      <c r="F106" s="196">
        <f t="shared" si="33"/>
        <v>104852.19899999999</v>
      </c>
      <c r="G106" s="197">
        <v>47</v>
      </c>
      <c r="H106" t="s">
        <v>4353</v>
      </c>
      <c r="I106" s="198" t="str">
        <f>+H106&amp;ALNAT[[#This Row],[N°]]</f>
        <v>RACORD - ACOPLES - REDUCCIONES - ENTREROSCAS47</v>
      </c>
      <c r="J106" s="876" t="s">
        <v>4477</v>
      </c>
      <c r="K106" s="1428">
        <v>30</v>
      </c>
      <c r="L106" t="s">
        <v>4478</v>
      </c>
      <c r="M106" s="1">
        <f>+_xlfn.XLOOKUP(Tabla24[[#This Row],[CODIGO]],CODIGOS_Y_COSTOS[CODIGO],CODIGOS_Y_COSTOS[COSTO],0,0)</f>
        <v>1735.0612000000001</v>
      </c>
      <c r="N106" s="1">
        <f>+Tabla24[[#This Row],[Unitario]]*Tabla24[[#This Row],[CANTIDAD]]</f>
        <v>52051.836000000003</v>
      </c>
      <c r="O106" s="13">
        <f>+VLOOKUP(Tabla24[[#This Row],[CODIGO]],B:H,6,0)</f>
        <v>51</v>
      </c>
      <c r="P106" t="str">
        <f>+VLOOKUP(Tabla24[[#This Row],[CODIGO]],B:H,7,0)</f>
        <v>RACORD - ACOPLES - REDUCCIONES - ENTREROSCAS</v>
      </c>
      <c r="S106" s="480" t="s">
        <v>9555</v>
      </c>
      <c r="T106" s="480" t="s">
        <v>9556</v>
      </c>
      <c r="U106" s="504">
        <v>1296.9623563200489</v>
      </c>
      <c r="V106" s="89" t="s">
        <v>9337</v>
      </c>
      <c r="W106" s="90">
        <f t="shared" si="31"/>
        <v>920.84327298723463</v>
      </c>
      <c r="AG106" s="491" t="s">
        <v>4436</v>
      </c>
      <c r="AH106" s="69" t="s">
        <v>4437</v>
      </c>
      <c r="AI106" s="60">
        <v>93.674447616670207</v>
      </c>
      <c r="AJ106" s="197">
        <v>33</v>
      </c>
      <c r="AK106" t="s">
        <v>4353</v>
      </c>
      <c r="AL106" s="1"/>
      <c r="AM106" s="1">
        <f t="shared" si="24"/>
        <v>0</v>
      </c>
      <c r="AN106" s="62">
        <f t="shared" si="32"/>
        <v>-1</v>
      </c>
      <c r="AO106" s="62">
        <v>0.5</v>
      </c>
      <c r="AP106" s="498">
        <f>+(AO106+1)*AI106</f>
        <v>140.51167142500532</v>
      </c>
      <c r="AQ106" s="1"/>
      <c r="AR106" s="62"/>
      <c r="BM106" s="1107" t="s">
        <v>6240</v>
      </c>
      <c r="BN106" s="1340" t="e">
        <f>+VLOOKUP(BM106,Tabla24[#All],6,0)</f>
        <v>#N/A</v>
      </c>
      <c r="BO106" s="1340" t="s">
        <v>9501</v>
      </c>
      <c r="BP106" s="1342" t="e">
        <f>+VLOOKUP(BM106,Tabla24[#All],3,0)</f>
        <v>#N/A</v>
      </c>
      <c r="BQ106" s="1342" t="e">
        <f>+VLOOKUP(BM106,Tabla24[#All],7,0)</f>
        <v>#N/A</v>
      </c>
    </row>
    <row r="107" spans="2:69" ht="14.25" x14ac:dyDescent="0.2">
      <c r="B107" t="s">
        <v>4474</v>
      </c>
      <c r="C107">
        <v>50</v>
      </c>
      <c r="D107" t="str">
        <f t="shared" si="23"/>
        <v>UNION TRIPLE 6 MM</v>
      </c>
      <c r="E107" s="196">
        <f>+VLOOKUP(H107&amp;ALNAT[[#This Row],[N°]],CODIGOS_Y_COSTOS[[ID]:[COSTO]],7,0)</f>
        <v>1735.0612000000001</v>
      </c>
      <c r="F107" s="196">
        <f t="shared" si="33"/>
        <v>86753.06</v>
      </c>
      <c r="G107" s="197">
        <v>50</v>
      </c>
      <c r="H107" t="s">
        <v>4353</v>
      </c>
      <c r="I107" s="198" t="str">
        <f>+H107&amp;ALNAT[[#This Row],[N°]]</f>
        <v>RACORD - ACOPLES - REDUCCIONES - ENTREROSCAS50</v>
      </c>
      <c r="J107" s="876" t="s">
        <v>4486</v>
      </c>
      <c r="K107" s="1428">
        <v>30</v>
      </c>
      <c r="L107" t="s">
        <v>4487</v>
      </c>
      <c r="M107" s="1">
        <f>+_xlfn.XLOOKUP(Tabla24[[#This Row],[CODIGO]],CODIGOS_Y_COSTOS[CODIGO],CODIGOS_Y_COSTOS[COSTO],0,0)</f>
        <v>1713.9051999999999</v>
      </c>
      <c r="N107" s="1">
        <f>+Tabla24[[#This Row],[Unitario]]*Tabla24[[#This Row],[CANTIDAD]]</f>
        <v>51417.155999999995</v>
      </c>
      <c r="O107" s="13">
        <f>+VLOOKUP(Tabla24[[#This Row],[CODIGO]],B:H,6,0)</f>
        <v>56</v>
      </c>
      <c r="P107" t="str">
        <f>+VLOOKUP(Tabla24[[#This Row],[CODIGO]],B:H,7,0)</f>
        <v>RACORD - ACOPLES - REDUCCIONES - ENTREROSCAS</v>
      </c>
      <c r="S107" s="480" t="s">
        <v>4424</v>
      </c>
      <c r="T107" s="480" t="s">
        <v>4425</v>
      </c>
      <c r="U107" s="504">
        <v>686.06447341714295</v>
      </c>
      <c r="V107" s="89" t="s">
        <v>9337</v>
      </c>
      <c r="W107" s="90">
        <f t="shared" si="31"/>
        <v>487.10577612617146</v>
      </c>
      <c r="AG107" s="490" t="s">
        <v>4451</v>
      </c>
      <c r="AH107" s="494" t="s">
        <v>4452</v>
      </c>
      <c r="AI107" s="181">
        <v>60.606701219622224</v>
      </c>
      <c r="AJ107" s="197">
        <v>40</v>
      </c>
      <c r="AK107" t="s">
        <v>4353</v>
      </c>
      <c r="AL107" s="1"/>
      <c r="AM107" s="1">
        <f t="shared" si="24"/>
        <v>0</v>
      </c>
      <c r="AN107" s="62">
        <f t="shared" si="32"/>
        <v>-1</v>
      </c>
      <c r="BM107" s="1107" t="s">
        <v>6243</v>
      </c>
      <c r="BN107" s="1340" t="e">
        <f>+VLOOKUP(BM107,Tabla24[#All],6,0)</f>
        <v>#N/A</v>
      </c>
      <c r="BO107" s="1340" t="s">
        <v>9488</v>
      </c>
      <c r="BP107" s="1342" t="e">
        <f>+VLOOKUP(BM107,Tabla24[#All],3,0)</f>
        <v>#N/A</v>
      </c>
      <c r="BQ107" s="1342" t="e">
        <f>+VLOOKUP(BM107,Tabla24[#All],7,0)</f>
        <v>#N/A</v>
      </c>
    </row>
    <row r="108" spans="2:69" ht="14.25" x14ac:dyDescent="0.2">
      <c r="B108" t="s">
        <v>4477</v>
      </c>
      <c r="C108">
        <v>50</v>
      </c>
      <c r="D108" t="str">
        <f t="shared" si="23"/>
        <v>UNION TRIPLE 8 MM</v>
      </c>
      <c r="E108" s="196">
        <f>+VLOOKUP(H108&amp;ALNAT[[#This Row],[N°]],CODIGOS_Y_COSTOS[[ID]:[COSTO]],7,0)</f>
        <v>1735.0612000000001</v>
      </c>
      <c r="F108" s="196">
        <f t="shared" si="33"/>
        <v>86753.06</v>
      </c>
      <c r="G108" s="197">
        <v>51</v>
      </c>
      <c r="H108" t="s">
        <v>4353</v>
      </c>
      <c r="I108" s="198" t="str">
        <f>+H108&amp;ALNAT[[#This Row],[N°]]</f>
        <v>RACORD - ACOPLES - REDUCCIONES - ENTREROSCAS51</v>
      </c>
      <c r="J108" s="876" t="s">
        <v>4492</v>
      </c>
      <c r="K108" s="1428">
        <v>30</v>
      </c>
      <c r="L108" t="s">
        <v>4493</v>
      </c>
      <c r="M108" s="1">
        <f>+_xlfn.XLOOKUP(Tabla24[[#This Row],[CODIGO]],CODIGOS_Y_COSTOS[CODIGO],CODIGOS_Y_COSTOS[COSTO],0,0)</f>
        <v>2104.7309</v>
      </c>
      <c r="N108" s="1">
        <f>+Tabla24[[#This Row],[Unitario]]*Tabla24[[#This Row],[CANTIDAD]]</f>
        <v>63141.927000000003</v>
      </c>
      <c r="O108" s="13">
        <f>+VLOOKUP(Tabla24[[#This Row],[CODIGO]],B:H,6,0)</f>
        <v>62</v>
      </c>
      <c r="P108" t="str">
        <f>+VLOOKUP(Tabla24[[#This Row],[CODIGO]],B:H,7,0)</f>
        <v>RACORD - ACOPLES - REDUCCIONES - ENTREROSCAS</v>
      </c>
      <c r="S108" s="480" t="s">
        <v>9557</v>
      </c>
      <c r="T108" s="480" t="s">
        <v>9558</v>
      </c>
      <c r="U108" s="504">
        <v>1303.6671972158565</v>
      </c>
      <c r="V108" s="89" t="s">
        <v>9337</v>
      </c>
      <c r="W108" s="90">
        <f t="shared" si="31"/>
        <v>925.60371002325803</v>
      </c>
      <c r="AG108" s="491" t="s">
        <v>4454</v>
      </c>
      <c r="AH108" s="69" t="s">
        <v>4455</v>
      </c>
      <c r="AI108" s="60">
        <v>65.502380899292518</v>
      </c>
      <c r="AJ108" s="197">
        <v>41</v>
      </c>
      <c r="AK108" t="s">
        <v>4353</v>
      </c>
      <c r="AL108" s="1"/>
      <c r="AM108" s="1">
        <f t="shared" si="24"/>
        <v>0</v>
      </c>
      <c r="AN108" s="62">
        <f t="shared" si="32"/>
        <v>-1</v>
      </c>
      <c r="BM108" s="1107" t="s">
        <v>6151</v>
      </c>
      <c r="BN108" s="1340" t="e">
        <f>+VLOOKUP(BM108,Tabla24[#All],6,0)</f>
        <v>#N/A</v>
      </c>
      <c r="BO108" s="1340" t="s">
        <v>9488</v>
      </c>
      <c r="BP108" s="1342" t="e">
        <f>+VLOOKUP(BM108,Tabla24[#All],3,0)</f>
        <v>#N/A</v>
      </c>
      <c r="BQ108" s="1342" t="e">
        <f>+VLOOKUP(BM108,Tabla24[#All],7,0)</f>
        <v>#N/A</v>
      </c>
    </row>
    <row r="109" spans="2:69" ht="14.25" x14ac:dyDescent="0.2">
      <c r="B109" t="s">
        <v>4480</v>
      </c>
      <c r="C109">
        <v>50</v>
      </c>
      <c r="D109" t="str">
        <f t="shared" si="23"/>
        <v>UNION TRIPLE 9.5 MM</v>
      </c>
      <c r="E109" s="196">
        <f>+VLOOKUP(H109&amp;ALNAT[[#This Row],[N°]],CODIGOS_Y_COSTOS[[ID]:[COSTO]],7,0)</f>
        <v>2122.2737000000002</v>
      </c>
      <c r="F109" s="196">
        <f t="shared" si="33"/>
        <v>106113.68500000001</v>
      </c>
      <c r="G109" s="197">
        <v>52</v>
      </c>
      <c r="H109" t="s">
        <v>4353</v>
      </c>
      <c r="I109" s="198" t="str">
        <f>+H109&amp;ALNAT[[#This Row],[N°]]</f>
        <v>RACORD - ACOPLES - REDUCCIONES - ENTREROSCAS52</v>
      </c>
      <c r="J109" s="876" t="s">
        <v>4513</v>
      </c>
      <c r="K109" s="1428">
        <v>50</v>
      </c>
      <c r="L109" t="s">
        <v>4514</v>
      </c>
      <c r="M109" s="1">
        <f>+_xlfn.XLOOKUP(Tabla24[[#This Row],[CODIGO]],CODIGOS_Y_COSTOS[CODIGO],CODIGOS_Y_COSTOS[COSTO],0,0)</f>
        <v>771.36030000000005</v>
      </c>
      <c r="N109" s="1">
        <f>+Tabla24[[#This Row],[Unitario]]*Tabla24[[#This Row],[CANTIDAD]]</f>
        <v>38568.014999999999</v>
      </c>
      <c r="O109" s="13">
        <f>+VLOOKUP(Tabla24[[#This Row],[CODIGO]],B:H,6,0)</f>
        <v>78</v>
      </c>
      <c r="P109" t="str">
        <f>+VLOOKUP(Tabla24[[#This Row],[CODIGO]],B:H,7,0)</f>
        <v>RACORD - ACOPLES - REDUCCIONES - ENTREROSCAS</v>
      </c>
      <c r="S109" s="480" t="s">
        <v>4427</v>
      </c>
      <c r="T109" s="480" t="s">
        <v>4428</v>
      </c>
      <c r="U109" s="504">
        <v>826.39626353142876</v>
      </c>
      <c r="V109" s="89" t="s">
        <v>9337</v>
      </c>
      <c r="W109" s="90">
        <f t="shared" si="31"/>
        <v>586.74134710731437</v>
      </c>
      <c r="AG109" s="490" t="s">
        <v>4457</v>
      </c>
      <c r="AH109" s="494" t="s">
        <v>4458</v>
      </c>
      <c r="AI109" s="181">
        <v>65.502380899292518</v>
      </c>
      <c r="AJ109" s="197">
        <v>42</v>
      </c>
      <c r="AK109" t="s">
        <v>4353</v>
      </c>
      <c r="AL109" s="1"/>
      <c r="AM109" s="1">
        <f t="shared" si="24"/>
        <v>0</v>
      </c>
      <c r="AN109" s="62">
        <f t="shared" si="32"/>
        <v>-1</v>
      </c>
      <c r="BM109" s="1107" t="s">
        <v>6255</v>
      </c>
      <c r="BN109" s="1340" t="e">
        <f>+VLOOKUP(BM109,Tabla24[#All],6,0)</f>
        <v>#N/A</v>
      </c>
      <c r="BO109" s="1340" t="s">
        <v>9501</v>
      </c>
      <c r="BP109" s="1342" t="e">
        <f>+VLOOKUP(BM109,Tabla24[#All],3,0)</f>
        <v>#N/A</v>
      </c>
      <c r="BQ109" s="1342" t="e">
        <f>+VLOOKUP(BM109,Tabla24[#All],7,0)</f>
        <v>#N/A</v>
      </c>
    </row>
    <row r="110" spans="2:69" ht="14.25" x14ac:dyDescent="0.2">
      <c r="B110" t="s">
        <v>4483</v>
      </c>
      <c r="C110">
        <v>50</v>
      </c>
      <c r="D110" t="str">
        <f t="shared" si="23"/>
        <v>RED R M 3/8 BSPT - R M 1/4 BSPT</v>
      </c>
      <c r="E110" s="196">
        <f>+VLOOKUP(H110&amp;ALNAT[[#This Row],[N°]],CODIGOS_Y_COSTOS[[ID]:[COSTO]],7,0)</f>
        <v>1067.9784</v>
      </c>
      <c r="F110" s="196">
        <f t="shared" si="33"/>
        <v>53398.92</v>
      </c>
      <c r="G110" s="197">
        <v>55</v>
      </c>
      <c r="H110" t="s">
        <v>4353</v>
      </c>
      <c r="I110" s="198" t="str">
        <f>+H110&amp;ALNAT[[#This Row],[N°]]</f>
        <v>RACORD - ACOPLES - REDUCCIONES - ENTREROSCAS55</v>
      </c>
      <c r="J110" s="876" t="s">
        <v>4528</v>
      </c>
      <c r="K110" s="1428">
        <v>20</v>
      </c>
      <c r="L110" t="s">
        <v>4529</v>
      </c>
      <c r="M110" s="1">
        <f>+_xlfn.XLOOKUP(Tabla24[[#This Row],[CODIGO]],CODIGOS_Y_COSTOS[CODIGO],CODIGOS_Y_COSTOS[COSTO],0,0)</f>
        <v>2851.2669999999998</v>
      </c>
      <c r="N110" s="1">
        <f>+Tabla24[[#This Row],[Unitario]]*Tabla24[[#This Row],[CANTIDAD]]</f>
        <v>57025.34</v>
      </c>
      <c r="O110" s="13">
        <f>+VLOOKUP(Tabla24[[#This Row],[CODIGO]],B:H,6,0)</f>
        <v>90</v>
      </c>
      <c r="P110" t="str">
        <f>+VLOOKUP(Tabla24[[#This Row],[CODIGO]],B:H,7,0)</f>
        <v>RACORD - ACOPLES - REDUCCIONES - ENTREROSCAS</v>
      </c>
      <c r="S110" s="480" t="s">
        <v>9559</v>
      </c>
      <c r="T110" s="480" t="s">
        <v>9560</v>
      </c>
      <c r="U110" s="504">
        <v>1732.4318708389824</v>
      </c>
      <c r="V110" s="89" t="s">
        <v>9337</v>
      </c>
      <c r="W110" s="90">
        <f t="shared" si="31"/>
        <v>1230.0266282956775</v>
      </c>
      <c r="AG110" s="491" t="s">
        <v>4460</v>
      </c>
      <c r="AH110" s="69" t="s">
        <v>4461</v>
      </c>
      <c r="AI110" s="60">
        <v>88.300231476739981</v>
      </c>
      <c r="AJ110" s="197">
        <v>43</v>
      </c>
      <c r="AK110" t="s">
        <v>4353</v>
      </c>
      <c r="AL110" s="1"/>
      <c r="AM110" s="1">
        <f t="shared" si="24"/>
        <v>0</v>
      </c>
      <c r="AN110" s="62">
        <f t="shared" si="32"/>
        <v>-1</v>
      </c>
      <c r="AO110" s="62">
        <v>0.5</v>
      </c>
      <c r="AP110" s="498">
        <f>+(AO110+1)*AI110</f>
        <v>132.45034721510996</v>
      </c>
      <c r="AQ110" s="1"/>
      <c r="AR110" s="62"/>
      <c r="BM110" s="1107" t="s">
        <v>6166</v>
      </c>
      <c r="BN110" s="1340">
        <f>+VLOOKUP(BM110,Tabla24[#All],6,0)</f>
        <v>81</v>
      </c>
      <c r="BO110" s="1340" t="s">
        <v>9504</v>
      </c>
      <c r="BP110" s="1342" t="str">
        <f>+VLOOKUP(BM110,Tabla24[#All],3,0)</f>
        <v>20001IC04164806Y   REDUCTOR MANGUERA 12 A 10 M</v>
      </c>
      <c r="BQ110" s="1342" t="str">
        <f>+VLOOKUP(BM110,Tabla24[#All],7,0)</f>
        <v>CONECTORES NEUMÁTICOS</v>
      </c>
    </row>
    <row r="111" spans="2:69" ht="14.25" x14ac:dyDescent="0.2">
      <c r="B111" t="s">
        <v>4486</v>
      </c>
      <c r="C111">
        <v>50</v>
      </c>
      <c r="D111" t="str">
        <f t="shared" si="23"/>
        <v>RED R M 1/2 BSPT - R M 1/4 BSPT</v>
      </c>
      <c r="E111" s="196">
        <f>+VLOOKUP(H111&amp;ALNAT[[#This Row],[N°]],CODIGOS_Y_COSTOS[[ID]:[COSTO]],7,0)</f>
        <v>1713.9051999999999</v>
      </c>
      <c r="F111" s="196">
        <f t="shared" si="33"/>
        <v>85695.26</v>
      </c>
      <c r="G111" s="197">
        <v>56</v>
      </c>
      <c r="H111" t="s">
        <v>4353</v>
      </c>
      <c r="I111" s="198" t="str">
        <f>+H111&amp;ALNAT[[#This Row],[N°]]</f>
        <v>RACORD - ACOPLES - REDUCCIONES - ENTREROSCAS56</v>
      </c>
      <c r="J111" s="876" t="s">
        <v>4531</v>
      </c>
      <c r="K111" s="1428">
        <v>20</v>
      </c>
      <c r="L111" t="s">
        <v>4532</v>
      </c>
      <c r="M111" s="1">
        <f>+_xlfn.XLOOKUP(Tabla24[[#This Row],[CODIGO]],CODIGOS_Y_COSTOS[CODIGO],CODIGOS_Y_COSTOS[COSTO],0,0)</f>
        <v>2851.2669999999998</v>
      </c>
      <c r="N111" s="1">
        <f>+Tabla24[[#This Row],[Unitario]]*Tabla24[[#This Row],[CANTIDAD]]</f>
        <v>57025.34</v>
      </c>
      <c r="O111" s="13">
        <f>+VLOOKUP(Tabla24[[#This Row],[CODIGO]],B:H,6,0)</f>
        <v>91</v>
      </c>
      <c r="P111" t="str">
        <f>+VLOOKUP(Tabla24[[#This Row],[CODIGO]],B:H,7,0)</f>
        <v>RACORD - ACOPLES - REDUCCIONES - ENTREROSCAS</v>
      </c>
      <c r="S111" s="480" t="s">
        <v>4430</v>
      </c>
      <c r="T111" s="480" t="s">
        <v>4431</v>
      </c>
      <c r="U111" s="504">
        <v>826.39626353142876</v>
      </c>
      <c r="V111" s="89" t="s">
        <v>9337</v>
      </c>
      <c r="W111" s="90">
        <f t="shared" si="31"/>
        <v>586.74134710731437</v>
      </c>
      <c r="AG111" s="490" t="s">
        <v>4465</v>
      </c>
      <c r="AH111" s="494" t="s">
        <v>4466</v>
      </c>
      <c r="AI111" s="181">
        <v>114.77649026782611</v>
      </c>
      <c r="AJ111" s="197">
        <v>45</v>
      </c>
      <c r="AK111" t="s">
        <v>4353</v>
      </c>
      <c r="AL111" s="1"/>
      <c r="AM111" s="1">
        <f t="shared" si="24"/>
        <v>0</v>
      </c>
      <c r="AN111" s="62">
        <f t="shared" si="32"/>
        <v>-1</v>
      </c>
      <c r="BM111" s="1107" t="s">
        <v>6303</v>
      </c>
      <c r="BN111" s="1340" t="e">
        <f>+VLOOKUP(BM111,Tabla24[#All],6,0)</f>
        <v>#N/A</v>
      </c>
      <c r="BO111" s="1340" t="s">
        <v>9561</v>
      </c>
      <c r="BP111" s="1342" t="e">
        <f>+VLOOKUP(BM111,Tabla24[#All],3,0)</f>
        <v>#N/A</v>
      </c>
      <c r="BQ111" s="1342" t="e">
        <f>+VLOOKUP(BM111,Tabla24[#All],7,0)</f>
        <v>#N/A</v>
      </c>
    </row>
    <row r="112" spans="2:69" ht="14.25" x14ac:dyDescent="0.2">
      <c r="B112" t="s">
        <v>4489</v>
      </c>
      <c r="C112">
        <v>50</v>
      </c>
      <c r="D112" t="str">
        <f t="shared" si="23"/>
        <v>RED R M 1/2 BSPT - R M 3/8 BSPT</v>
      </c>
      <c r="E112" s="196">
        <f>+VLOOKUP(H112&amp;ALNAT[[#This Row],[N°]],CODIGOS_Y_COSTOS[[ID]:[COSTO]],7,0)</f>
        <v>1691.3364999999999</v>
      </c>
      <c r="F112" s="196">
        <f t="shared" si="33"/>
        <v>84566.824999999997</v>
      </c>
      <c r="G112" s="197">
        <v>58</v>
      </c>
      <c r="H112" t="s">
        <v>4353</v>
      </c>
      <c r="I112" s="198" t="str">
        <f>+H112&amp;ALNAT[[#This Row],[N°]]</f>
        <v>RACORD - ACOPLES - REDUCCIONES - ENTREROSCAS58</v>
      </c>
      <c r="J112" s="876" t="s">
        <v>4534</v>
      </c>
      <c r="K112" s="1428">
        <v>15</v>
      </c>
      <c r="L112" t="s">
        <v>4535</v>
      </c>
      <c r="M112" s="1">
        <f>+_xlfn.XLOOKUP(Tabla24[[#This Row],[CODIGO]],CODIGOS_Y_COSTOS[CODIGO],CODIGOS_Y_COSTOS[COSTO],0,0)</f>
        <v>3780</v>
      </c>
      <c r="N112" s="1">
        <f>+Tabla24[[#This Row],[Unitario]]*Tabla24[[#This Row],[CANTIDAD]]</f>
        <v>56700</v>
      </c>
      <c r="O112" s="13">
        <f>+VLOOKUP(Tabla24[[#This Row],[CODIGO]],B:H,6,0)</f>
        <v>92</v>
      </c>
      <c r="P112" t="str">
        <f>+VLOOKUP(Tabla24[[#This Row],[CODIGO]],B:H,7,0)</f>
        <v>RACORD - ACOPLES - REDUCCIONES - ENTREROSCAS</v>
      </c>
      <c r="S112" s="480" t="s">
        <v>9562</v>
      </c>
      <c r="T112" s="480" t="s">
        <v>9563</v>
      </c>
      <c r="U112" s="504">
        <v>1735.7842912868869</v>
      </c>
      <c r="V112" s="89" t="s">
        <v>9337</v>
      </c>
      <c r="W112" s="90">
        <f t="shared" si="31"/>
        <v>1232.4068468136895</v>
      </c>
      <c r="AG112" s="491" t="s">
        <v>4468</v>
      </c>
      <c r="AH112" s="69" t="s">
        <v>4469</v>
      </c>
      <c r="AI112" s="60">
        <v>216.61776425697667</v>
      </c>
      <c r="AJ112" s="197">
        <v>46</v>
      </c>
      <c r="AK112" t="s">
        <v>4353</v>
      </c>
      <c r="AL112" s="1"/>
      <c r="AM112" s="1">
        <f t="shared" si="24"/>
        <v>0</v>
      </c>
      <c r="AN112" s="62">
        <f t="shared" si="32"/>
        <v>-1</v>
      </c>
      <c r="AO112" s="62">
        <v>0.5</v>
      </c>
      <c r="AP112" s="498">
        <f>+(AO112+1)*AI112</f>
        <v>324.92664638546501</v>
      </c>
      <c r="AQ112" s="1"/>
      <c r="AR112" s="62"/>
      <c r="BM112" s="1107" t="s">
        <v>6130</v>
      </c>
      <c r="BN112" s="1340">
        <f>+VLOOKUP(BM112,Tabla24[#All],6,0)</f>
        <v>46</v>
      </c>
      <c r="BO112" s="1340" t="s">
        <v>9501</v>
      </c>
      <c r="BP112" s="1342" t="str">
        <f>+VLOOKUP(BM112,Tabla24[#All],3,0)</f>
        <v>20001IC04026706K  RECTA RH 1/4 X 6</v>
      </c>
      <c r="BQ112" s="1342" t="str">
        <f>+VLOOKUP(BM112,Tabla24[#All],7,0)</f>
        <v>CONECTORES NEUMÁTICOS</v>
      </c>
    </row>
    <row r="113" spans="2:69" ht="14.25" x14ac:dyDescent="0.2">
      <c r="B113" t="s">
        <v>4492</v>
      </c>
      <c r="C113">
        <v>50</v>
      </c>
      <c r="D113" t="str">
        <f t="shared" si="23"/>
        <v>REDUCCION H 1/4 BSP- M 1/8 BSPT</v>
      </c>
      <c r="E113" s="196">
        <f>+VLOOKUP(H113&amp;ALNAT[[#This Row],[N°]],CODIGOS_Y_COSTOS[[ID]:[COSTO]],7,0)</f>
        <v>2104.7309</v>
      </c>
      <c r="F113" s="196">
        <f t="shared" si="33"/>
        <v>105236.545</v>
      </c>
      <c r="G113" s="197">
        <v>62</v>
      </c>
      <c r="H113" t="s">
        <v>4353</v>
      </c>
      <c r="I113" s="198" t="str">
        <f>+H113&amp;ALNAT[[#This Row],[N°]]</f>
        <v>RACORD - ACOPLES - REDUCCIONES - ENTREROSCAS62</v>
      </c>
      <c r="J113" s="876" t="s">
        <v>4537</v>
      </c>
      <c r="K113" s="1428">
        <v>20</v>
      </c>
      <c r="L113" t="s">
        <v>4538</v>
      </c>
      <c r="M113" s="1">
        <f>+_xlfn.XLOOKUP(Tabla24[[#This Row],[CODIGO]],CODIGOS_Y_COSTOS[CODIGO],CODIGOS_Y_COSTOS[COSTO],0,0)</f>
        <v>3073.5763999999999</v>
      </c>
      <c r="N113" s="1">
        <f>+Tabla24[[#This Row],[Unitario]]*Tabla24[[#This Row],[CANTIDAD]]</f>
        <v>61471.527999999998</v>
      </c>
      <c r="O113" s="13">
        <f>+VLOOKUP(Tabla24[[#This Row],[CODIGO]],B:H,6,0)</f>
        <v>93</v>
      </c>
      <c r="P113" t="str">
        <f>+VLOOKUP(Tabla24[[#This Row],[CODIGO]],B:H,7,0)</f>
        <v>RACORD - ACOPLES - REDUCCIONES - ENTREROSCAS</v>
      </c>
      <c r="S113" s="480" t="s">
        <v>4433</v>
      </c>
      <c r="T113" s="480" t="s">
        <v>4434</v>
      </c>
      <c r="U113" s="504">
        <v>1228.7184947851019</v>
      </c>
      <c r="V113" s="89" t="s">
        <v>9337</v>
      </c>
      <c r="W113" s="90">
        <f t="shared" si="31"/>
        <v>872.39013129742239</v>
      </c>
      <c r="AG113" s="490" t="s">
        <v>4471</v>
      </c>
      <c r="AH113" s="494" t="s">
        <v>4472</v>
      </c>
      <c r="AI113" s="181">
        <v>320.58102817306445</v>
      </c>
      <c r="AJ113" s="197">
        <v>47</v>
      </c>
      <c r="AK113" t="s">
        <v>4353</v>
      </c>
      <c r="AL113" s="1"/>
      <c r="AM113" s="1">
        <f t="shared" si="24"/>
        <v>0</v>
      </c>
      <c r="AN113" s="62">
        <f t="shared" si="32"/>
        <v>-1</v>
      </c>
      <c r="AO113" s="62">
        <v>0.5</v>
      </c>
      <c r="AP113" s="498">
        <f>+(AO113+1)*AI113</f>
        <v>480.87154225959671</v>
      </c>
      <c r="AQ113" s="1"/>
      <c r="AR113" s="62"/>
      <c r="BM113" s="1107" t="s">
        <v>6133</v>
      </c>
      <c r="BN113" s="1340" t="e">
        <f>+VLOOKUP(BM113,Tabla24[#All],6,0)</f>
        <v>#N/A</v>
      </c>
      <c r="BO113" s="1340" t="s">
        <v>9501</v>
      </c>
      <c r="BP113" s="1342" t="e">
        <f>+VLOOKUP(BM113,Tabla24[#All],3,0)</f>
        <v>#N/A</v>
      </c>
      <c r="BQ113" s="1342" t="e">
        <f>+VLOOKUP(BM113,Tabla24[#All],7,0)</f>
        <v>#N/A</v>
      </c>
    </row>
    <row r="114" spans="2:69" ht="14.25" x14ac:dyDescent="0.2">
      <c r="B114" t="s">
        <v>4495</v>
      </c>
      <c r="C114">
        <v>50</v>
      </c>
      <c r="D114" t="str">
        <f t="shared" si="23"/>
        <v>RED RM 3/8 BSPT - RH 1/8 BSP</v>
      </c>
      <c r="E114" s="196">
        <f>+VLOOKUP(H114&amp;ALNAT[[#This Row],[N°]],CODIGOS_Y_COSTOS[[ID]:[COSTO]],7,0)</f>
        <v>1026.8505</v>
      </c>
      <c r="F114" s="196">
        <f t="shared" si="33"/>
        <v>51342.525000000001</v>
      </c>
      <c r="G114" s="197">
        <v>64</v>
      </c>
      <c r="H114" t="s">
        <v>4353</v>
      </c>
      <c r="I114" s="198" t="str">
        <f>+H114&amp;ALNAT[[#This Row],[N°]]</f>
        <v>RACORD - ACOPLES - REDUCCIONES - ENTREROSCAS64</v>
      </c>
      <c r="J114" s="876" t="s">
        <v>21546</v>
      </c>
      <c r="K114" s="1428">
        <v>15</v>
      </c>
      <c r="L114" t="s">
        <v>4463</v>
      </c>
      <c r="M114" s="1">
        <f>+_xlfn.XLOOKUP(Tabla24[[#This Row],[CODIGO]],CODIGOS_Y_COSTOS[CODIGO],CODIGOS_Y_COSTOS[COSTO],0,0)</f>
        <v>0</v>
      </c>
      <c r="N114" s="1">
        <f>+Tabla24[[#This Row],[Unitario]]*Tabla24[[#This Row],[CANTIDAD]]</f>
        <v>0</v>
      </c>
      <c r="O114" s="13">
        <f>+VLOOKUP(Tabla24[[#This Row],[CODIGO]],B:H,6,0)</f>
        <v>7</v>
      </c>
      <c r="P114" t="str">
        <f>+VLOOKUP(Tabla24[[#This Row],[CODIGO]],B:H,7,0)</f>
        <v>CONECTORES DE COMBUSTIBLE</v>
      </c>
      <c r="S114" s="480" t="s">
        <v>9564</v>
      </c>
      <c r="T114" s="480" t="s">
        <v>9565</v>
      </c>
      <c r="U114" s="504">
        <v>1884.6317591738152</v>
      </c>
      <c r="V114" s="89" t="s">
        <v>9337</v>
      </c>
      <c r="W114" s="90">
        <f t="shared" si="31"/>
        <v>1338.0885490134087</v>
      </c>
      <c r="AG114" s="491" t="s">
        <v>4474</v>
      </c>
      <c r="AH114" s="69" t="s">
        <v>4475</v>
      </c>
      <c r="AI114" s="60">
        <v>143.23159578739319</v>
      </c>
      <c r="AJ114" s="197">
        <v>50</v>
      </c>
      <c r="AK114" t="s">
        <v>4353</v>
      </c>
      <c r="AL114" s="1"/>
      <c r="AM114" s="1">
        <f t="shared" si="24"/>
        <v>0</v>
      </c>
      <c r="AN114" s="62">
        <f t="shared" si="32"/>
        <v>-1</v>
      </c>
      <c r="BM114" s="1107" t="s">
        <v>6291</v>
      </c>
      <c r="BN114" s="1340" t="e">
        <f>+VLOOKUP(BM114,Tabla24[#All],6,0)</f>
        <v>#N/A</v>
      </c>
      <c r="BO114" s="1340" t="s">
        <v>9542</v>
      </c>
      <c r="BP114" s="1342" t="e">
        <f>+VLOOKUP(BM114,Tabla24[#All],3,0)</f>
        <v>#N/A</v>
      </c>
      <c r="BQ114" s="1342" t="e">
        <f>+VLOOKUP(BM114,Tabla24[#All],7,0)</f>
        <v>#N/A</v>
      </c>
    </row>
    <row r="115" spans="2:69" ht="14.25" x14ac:dyDescent="0.2">
      <c r="B115" t="s">
        <v>4498</v>
      </c>
      <c r="C115">
        <v>100</v>
      </c>
      <c r="D115" t="str">
        <f t="shared" si="23"/>
        <v>RED RM 3/8 BSPT - RH 1/4 BSP</v>
      </c>
      <c r="E115" s="196">
        <f>+VLOOKUP(H115&amp;ALNAT[[#This Row],[N°]],CODIGOS_Y_COSTOS[[ID]:[COSTO]],7,0)</f>
        <v>771.04169999999999</v>
      </c>
      <c r="F115" s="196">
        <f t="shared" si="33"/>
        <v>77104.17</v>
      </c>
      <c r="G115" s="197">
        <v>65</v>
      </c>
      <c r="H115" t="s">
        <v>4353</v>
      </c>
      <c r="I115" s="198" t="str">
        <f>+H115&amp;ALNAT[[#This Row],[N°]]</f>
        <v>RACORD - ACOPLES - REDUCCIONES - ENTREROSCAS65</v>
      </c>
      <c r="J115" s="876" t="s">
        <v>21398</v>
      </c>
      <c r="K115" s="1428">
        <v>15</v>
      </c>
      <c r="L115" t="s">
        <v>21437</v>
      </c>
      <c r="M115" s="1">
        <f>+_xlfn.XLOOKUP(Tabla24[[#This Row],[CODIGO]],CODIGOS_Y_COSTOS[CODIGO],CODIGOS_Y_COSTOS[COSTO],0,0)</f>
        <v>2876.4</v>
      </c>
      <c r="N115" s="1">
        <f>+Tabla24[[#This Row],[Unitario]]*Tabla24[[#This Row],[CANTIDAD]]</f>
        <v>43146</v>
      </c>
      <c r="O115" s="13">
        <f>+VLOOKUP(Tabla24[[#This Row],[CODIGO]],B:H,6,0)</f>
        <v>15</v>
      </c>
      <c r="P115" t="str">
        <f>+VLOOKUP(Tabla24[[#This Row],[CODIGO]],B:H,7,0)</f>
        <v>CONECTORES DE COMBUSTIBLE</v>
      </c>
      <c r="S115" s="480" t="s">
        <v>4436</v>
      </c>
      <c r="T115" s="480" t="s">
        <v>4437</v>
      </c>
      <c r="U115" s="504">
        <v>1392.828447898632</v>
      </c>
      <c r="V115" s="89" t="s">
        <v>9337</v>
      </c>
      <c r="W115" s="90">
        <f t="shared" si="31"/>
        <v>988.90819800802865</v>
      </c>
      <c r="AG115" s="490" t="s">
        <v>4477</v>
      </c>
      <c r="AH115" s="494" t="s">
        <v>4478</v>
      </c>
      <c r="AI115" s="181">
        <v>143.23159578739319</v>
      </c>
      <c r="AJ115" s="197">
        <v>51</v>
      </c>
      <c r="AK115" t="s">
        <v>4353</v>
      </c>
      <c r="AL115" s="1"/>
      <c r="AM115" s="1">
        <f t="shared" si="24"/>
        <v>0</v>
      </c>
      <c r="AN115" s="62">
        <f t="shared" si="32"/>
        <v>-1</v>
      </c>
      <c r="BM115" s="1107" t="s">
        <v>6294</v>
      </c>
      <c r="BN115" s="1340">
        <f>+VLOOKUP(BM115,Tabla24[#All],6,0)</f>
        <v>126</v>
      </c>
      <c r="BO115" s="1340" t="s">
        <v>9542</v>
      </c>
      <c r="BP115" s="1342" t="str">
        <f>+VLOOKUP(BM115,Tabla24[#All],3,0)</f>
        <v>19001IC04030938U REGUL CAUDAL CODO R 1/4 X 6 MM</v>
      </c>
      <c r="BQ115" s="1342" t="str">
        <f>+VLOOKUP(BM115,Tabla24[#All],7,0)</f>
        <v>CONECTORES NEUMÁTICOS</v>
      </c>
    </row>
    <row r="116" spans="2:69" ht="14.25" x14ac:dyDescent="0.2">
      <c r="B116" t="s">
        <v>4501</v>
      </c>
      <c r="C116">
        <v>50</v>
      </c>
      <c r="D116" t="str">
        <f t="shared" si="23"/>
        <v>RED RM 1/2 BSPT - RH 1/4 BSP</v>
      </c>
      <c r="E116" s="196">
        <f>+VLOOKUP(H116&amp;ALNAT[[#This Row],[N°]],CODIGOS_Y_COSTOS[[ID]:[COSTO]],7,0)</f>
        <v>867.77610000000004</v>
      </c>
      <c r="F116" s="196">
        <f t="shared" si="33"/>
        <v>43388.805</v>
      </c>
      <c r="G116" s="197">
        <v>68</v>
      </c>
      <c r="H116" t="s">
        <v>4353</v>
      </c>
      <c r="I116" s="198" t="str">
        <f>+H116&amp;ALNAT[[#This Row],[N°]]</f>
        <v>RACORD - ACOPLES - REDUCCIONES - ENTREROSCAS68</v>
      </c>
      <c r="J116" s="876" t="s">
        <v>9490</v>
      </c>
      <c r="K116" s="1428">
        <v>15</v>
      </c>
      <c r="L116" t="s">
        <v>21445</v>
      </c>
      <c r="M116" s="1">
        <f>+_xlfn.XLOOKUP(Tabla24[[#This Row],[CODIGO]],CODIGOS_Y_COSTOS[CODIGO],CODIGOS_Y_COSTOS[COSTO],0,0)</f>
        <v>2013.48</v>
      </c>
      <c r="N116" s="1">
        <f>+Tabla24[[#This Row],[Unitario]]*Tabla24[[#This Row],[CANTIDAD]]</f>
        <v>30202.2</v>
      </c>
      <c r="O116" s="13">
        <f>+VLOOKUP(Tabla24[[#This Row],[CODIGO]],B:H,6,0)</f>
        <v>23</v>
      </c>
      <c r="P116" t="str">
        <f>+VLOOKUP(Tabla24[[#This Row],[CODIGO]],B:H,7,0)</f>
        <v>CONECTORES DE COMBUSTIBLE</v>
      </c>
      <c r="S116" s="480" t="s">
        <v>9566</v>
      </c>
      <c r="T116" s="480" t="s">
        <v>9567</v>
      </c>
      <c r="U116" s="504">
        <v>1817.5833502157388</v>
      </c>
      <c r="V116" s="89" t="s">
        <v>9337</v>
      </c>
      <c r="W116" s="90">
        <f t="shared" si="31"/>
        <v>1290.4841786531745</v>
      </c>
      <c r="AG116" s="491" t="s">
        <v>4480</v>
      </c>
      <c r="AH116" s="69" t="s">
        <v>4481</v>
      </c>
      <c r="AI116" s="60">
        <v>175.19650054877752</v>
      </c>
      <c r="AJ116" s="197">
        <v>52</v>
      </c>
      <c r="AK116" t="s">
        <v>4353</v>
      </c>
      <c r="AL116" s="1"/>
      <c r="AM116" s="1">
        <f t="shared" si="24"/>
        <v>0</v>
      </c>
      <c r="AN116" s="62">
        <f t="shared" si="32"/>
        <v>-1</v>
      </c>
      <c r="BM116" s="1107" t="s">
        <v>6297</v>
      </c>
      <c r="BN116" s="1340" t="e">
        <f>+VLOOKUP(BM116,Tabla24[#All],6,0)</f>
        <v>#N/A</v>
      </c>
      <c r="BO116" s="1340" t="s">
        <v>9542</v>
      </c>
      <c r="BP116" s="1342" t="e">
        <f>+VLOOKUP(BM116,Tabla24[#All],3,0)</f>
        <v>#N/A</v>
      </c>
      <c r="BQ116" s="1342" t="e">
        <f>+VLOOKUP(BM116,Tabla24[#All],7,0)</f>
        <v>#N/A</v>
      </c>
    </row>
    <row r="117" spans="2:69" ht="14.25" x14ac:dyDescent="0.2">
      <c r="B117" t="s">
        <v>4504</v>
      </c>
      <c r="C117">
        <v>50</v>
      </c>
      <c r="D117" t="str">
        <f t="shared" si="23"/>
        <v>CUPLA RED H 1/4- H 1/8 BSP</v>
      </c>
      <c r="E117" s="196">
        <f>+VLOOKUP(H117&amp;ALNAT[[#This Row],[N°]],CODIGOS_Y_COSTOS[[ID]:[COSTO]],7,0)</f>
        <v>1066.7162000000001</v>
      </c>
      <c r="F117" s="196">
        <f t="shared" si="33"/>
        <v>53335.810000000005</v>
      </c>
      <c r="G117" s="197">
        <v>71</v>
      </c>
      <c r="H117" t="s">
        <v>4353</v>
      </c>
      <c r="I117" s="198" t="str">
        <f>+H117&amp;ALNAT[[#This Row],[N°]]</f>
        <v>RACORD - ACOPLES - REDUCCIONES - ENTREROSCAS71</v>
      </c>
      <c r="J117" s="876" t="s">
        <v>21407</v>
      </c>
      <c r="K117" s="1428">
        <v>15</v>
      </c>
      <c r="L117" t="s">
        <v>21448</v>
      </c>
      <c r="M117" s="1">
        <f>+_xlfn.XLOOKUP(Tabla24[[#This Row],[CODIGO]],CODIGOS_Y_COSTOS[CODIGO],CODIGOS_Y_COSTOS[COSTO],0,0)</f>
        <v>977.976</v>
      </c>
      <c r="N117" s="1">
        <f>+Tabla24[[#This Row],[Unitario]]*Tabla24[[#This Row],[CANTIDAD]]</f>
        <v>14669.64</v>
      </c>
      <c r="O117" s="13">
        <f>+VLOOKUP(Tabla24[[#This Row],[CODIGO]],B:H,6,0)</f>
        <v>28</v>
      </c>
      <c r="P117" t="str">
        <f>+VLOOKUP(Tabla24[[#This Row],[CODIGO]],B:H,7,0)</f>
        <v>CONECTORES DE COMBUSTIBLE</v>
      </c>
      <c r="S117" s="480" t="s">
        <v>9568</v>
      </c>
      <c r="T117" s="480" t="s">
        <v>9569</v>
      </c>
      <c r="U117" s="504">
        <v>3612.101259133723</v>
      </c>
      <c r="V117" s="89" t="s">
        <v>9337</v>
      </c>
      <c r="W117" s="90">
        <f t="shared" si="31"/>
        <v>2564.591893984943</v>
      </c>
      <c r="AG117" s="490" t="s">
        <v>4483</v>
      </c>
      <c r="AH117" s="494" t="s">
        <v>4484</v>
      </c>
      <c r="AI117" s="181">
        <v>97.958923960810495</v>
      </c>
      <c r="AJ117" s="197">
        <v>55</v>
      </c>
      <c r="AK117" t="s">
        <v>4353</v>
      </c>
      <c r="AL117" s="1"/>
      <c r="AM117" s="1">
        <f t="shared" si="24"/>
        <v>0</v>
      </c>
      <c r="AN117" s="62">
        <f t="shared" si="32"/>
        <v>-1</v>
      </c>
      <c r="BM117" s="1107" t="s">
        <v>6178</v>
      </c>
      <c r="BN117" s="1340" t="e">
        <f>+VLOOKUP(BM117,Tabla24[#All],6,0)</f>
        <v>#N/A</v>
      </c>
      <c r="BO117" s="1340" t="s">
        <v>9516</v>
      </c>
      <c r="BP117" s="1342" t="e">
        <f>+VLOOKUP(BM117,Tabla24[#All],3,0)</f>
        <v>#N/A</v>
      </c>
      <c r="BQ117" s="1342" t="e">
        <f>+VLOOKUP(BM117,Tabla24[#All],7,0)</f>
        <v>#N/A</v>
      </c>
    </row>
    <row r="118" spans="2:69" ht="14.25" x14ac:dyDescent="0.2">
      <c r="B118" t="s">
        <v>4507</v>
      </c>
      <c r="C118">
        <v>50</v>
      </c>
      <c r="D118" t="str">
        <f t="shared" si="23"/>
        <v>CUPLA RED H 3/8- H 1/4 BSP</v>
      </c>
      <c r="E118" s="196">
        <f>+VLOOKUP(H118&amp;ALNAT[[#This Row],[N°]],CODIGOS_Y_COSTOS[[ID]:[COSTO]],7,0)</f>
        <v>1936.9331999999999</v>
      </c>
      <c r="F118" s="196">
        <f t="shared" si="33"/>
        <v>96846.66</v>
      </c>
      <c r="G118" s="197">
        <v>74</v>
      </c>
      <c r="H118" t="s">
        <v>4353</v>
      </c>
      <c r="I118" s="198" t="str">
        <f>+H118&amp;ALNAT[[#This Row],[N°]]</f>
        <v>RACORD - ACOPLES - REDUCCIONES - ENTREROSCAS74</v>
      </c>
      <c r="J118" s="876" t="s">
        <v>21408</v>
      </c>
      <c r="K118" s="1428">
        <v>15</v>
      </c>
      <c r="L118" t="s">
        <v>21449</v>
      </c>
      <c r="M118" s="1">
        <f>+_xlfn.XLOOKUP(Tabla24[[#This Row],[CODIGO]],CODIGOS_Y_COSTOS[CODIGO],CODIGOS_Y_COSTOS[COSTO],0,0)</f>
        <v>977.976</v>
      </c>
      <c r="N118" s="1">
        <f>+Tabla24[[#This Row],[Unitario]]*Tabla24[[#This Row],[CANTIDAD]]</f>
        <v>14669.64</v>
      </c>
      <c r="O118" s="13">
        <f>+VLOOKUP(Tabla24[[#This Row],[CODIGO]],B:H,6,0)</f>
        <v>29</v>
      </c>
      <c r="P118" t="str">
        <f>+VLOOKUP(Tabla24[[#This Row],[CODIGO]],B:H,7,0)</f>
        <v>CONECTORES DE COMBUSTIBLE</v>
      </c>
      <c r="S118" s="480" t="s">
        <v>9570</v>
      </c>
      <c r="T118" s="480" t="s">
        <v>9571</v>
      </c>
      <c r="U118" s="504">
        <v>4133.691424362315</v>
      </c>
      <c r="V118" s="89" t="s">
        <v>9337</v>
      </c>
      <c r="W118" s="90">
        <f t="shared" si="31"/>
        <v>2934.9209112972435</v>
      </c>
      <c r="AG118" s="491" t="s">
        <v>4486</v>
      </c>
      <c r="AH118" s="69" t="s">
        <v>4487</v>
      </c>
      <c r="AI118" s="60">
        <v>157.20571415830204</v>
      </c>
      <c r="AJ118" s="197">
        <v>56</v>
      </c>
      <c r="AK118" t="s">
        <v>4353</v>
      </c>
      <c r="AL118" s="1"/>
      <c r="AM118" s="1">
        <f t="shared" si="24"/>
        <v>0</v>
      </c>
      <c r="AN118" s="62">
        <f t="shared" si="32"/>
        <v>-1</v>
      </c>
      <c r="AO118" s="62">
        <v>0.5</v>
      </c>
      <c r="AP118" s="498">
        <f>+(AO118+1)*AI118</f>
        <v>235.80857123745307</v>
      </c>
      <c r="AQ118" s="1"/>
      <c r="AR118" s="62"/>
      <c r="BM118" s="1107" t="s">
        <v>6407</v>
      </c>
      <c r="BN118" s="1340" t="e">
        <f>+VLOOKUP(BM118,Tabla24[#All],6,0)</f>
        <v>#N/A</v>
      </c>
      <c r="BO118" s="1340" t="s">
        <v>9501</v>
      </c>
      <c r="BP118" s="1342" t="e">
        <f>+VLOOKUP(BM118,Tabla24[#All],3,0)</f>
        <v>#N/A</v>
      </c>
      <c r="BQ118" s="1342" t="e">
        <f>+VLOOKUP(BM118,Tabla24[#All],7,0)</f>
        <v>#N/A</v>
      </c>
    </row>
    <row r="119" spans="2:69" ht="14.25" x14ac:dyDescent="0.2">
      <c r="B119" t="s">
        <v>4510</v>
      </c>
      <c r="C119">
        <v>100</v>
      </c>
      <c r="D119" t="str">
        <f t="shared" si="23"/>
        <v>CUPLA H-H 1/8 BSP</v>
      </c>
      <c r="E119" s="196">
        <f>+VLOOKUP(H119&amp;ALNAT[[#This Row],[N°]],CODIGOS_Y_COSTOS[[ID]:[COSTO]],7,0)</f>
        <v>593.09069999999997</v>
      </c>
      <c r="F119" s="196">
        <f t="shared" si="33"/>
        <v>59309.07</v>
      </c>
      <c r="G119" s="197">
        <v>77</v>
      </c>
      <c r="H119" t="s">
        <v>4353</v>
      </c>
      <c r="I119" s="198" t="str">
        <f>+H119&amp;ALNAT[[#This Row],[N°]]</f>
        <v>RACORD - ACOPLES - REDUCCIONES - ENTREROSCAS77</v>
      </c>
      <c r="J119" s="876" t="s">
        <v>21540</v>
      </c>
      <c r="K119" s="1428">
        <v>15</v>
      </c>
      <c r="L119" t="s">
        <v>8353</v>
      </c>
      <c r="M119" s="1">
        <f>+_xlfn.XLOOKUP(Tabla24[[#This Row],[CODIGO]],CODIGOS_Y_COSTOS[CODIGO],CODIGOS_Y_COSTOS[COSTO],0,0)</f>
        <v>977.976</v>
      </c>
      <c r="N119" s="1">
        <f>+Tabla24[[#This Row],[Unitario]]*Tabla24[[#This Row],[CANTIDAD]]</f>
        <v>14669.64</v>
      </c>
      <c r="O119" s="13">
        <f>+VLOOKUP(Tabla24[[#This Row],[CODIGO]],B:H,6,0)</f>
        <v>31</v>
      </c>
      <c r="P119" t="str">
        <f>+VLOOKUP(Tabla24[[#This Row],[CODIGO]],B:H,7,0)</f>
        <v>CONECTORES DE COMBUSTIBLE</v>
      </c>
      <c r="S119" s="480" t="s">
        <v>9572</v>
      </c>
      <c r="T119" s="480" t="s">
        <v>9573</v>
      </c>
      <c r="U119" s="504">
        <v>3612.101259133723</v>
      </c>
      <c r="V119" s="89" t="s">
        <v>9337</v>
      </c>
      <c r="W119" s="90">
        <f t="shared" si="31"/>
        <v>2564.591893984943</v>
      </c>
      <c r="AG119" s="490" t="s">
        <v>4489</v>
      </c>
      <c r="AH119" s="494" t="s">
        <v>4490</v>
      </c>
      <c r="AI119" s="181">
        <v>155.13562738016986</v>
      </c>
      <c r="AJ119" s="197">
        <v>58</v>
      </c>
      <c r="AK119" t="s">
        <v>4353</v>
      </c>
      <c r="AL119" s="1"/>
      <c r="AM119" s="1">
        <f t="shared" si="24"/>
        <v>0</v>
      </c>
      <c r="AN119" s="62">
        <f t="shared" si="32"/>
        <v>-1</v>
      </c>
      <c r="AO119" s="62">
        <v>0.5</v>
      </c>
      <c r="AP119" s="498">
        <f>+(AO119+1)*AI119</f>
        <v>232.7034410702548</v>
      </c>
      <c r="AQ119" s="1"/>
      <c r="AR119" s="62"/>
      <c r="BM119" s="1107" t="s">
        <v>6401</v>
      </c>
      <c r="BN119" s="1340" t="e">
        <f>+VLOOKUP(BM119,Tabla24[#All],6,0)</f>
        <v>#N/A</v>
      </c>
      <c r="BO119" s="1340" t="s">
        <v>9504</v>
      </c>
      <c r="BP119" s="1342" t="e">
        <f>+VLOOKUP(BM119,Tabla24[#All],3,0)</f>
        <v>#N/A</v>
      </c>
      <c r="BQ119" s="1342" t="e">
        <f>+VLOOKUP(BM119,Tabla24[#All],7,0)</f>
        <v>#N/A</v>
      </c>
    </row>
    <row r="120" spans="2:69" ht="14.25" x14ac:dyDescent="0.2">
      <c r="B120" t="s">
        <v>4513</v>
      </c>
      <c r="C120">
        <v>100</v>
      </c>
      <c r="D120" t="str">
        <f t="shared" si="23"/>
        <v>CUPLA H-H 1/4 BSP</v>
      </c>
      <c r="E120" s="196">
        <f>+VLOOKUP(H120&amp;ALNAT[[#This Row],[N°]],CODIGOS_Y_COSTOS[[ID]:[COSTO]],7,0)</f>
        <v>771.36030000000005</v>
      </c>
      <c r="F120" s="196">
        <f t="shared" si="33"/>
        <v>77136.03</v>
      </c>
      <c r="G120" s="197">
        <v>78</v>
      </c>
      <c r="H120" t="s">
        <v>4353</v>
      </c>
      <c r="I120" s="198" t="str">
        <f>+H120&amp;ALNAT[[#This Row],[N°]]</f>
        <v>RACORD - ACOPLES - REDUCCIONES - ENTREROSCAS78</v>
      </c>
      <c r="J120" s="876" t="s">
        <v>21414</v>
      </c>
      <c r="K120" s="1428">
        <v>15</v>
      </c>
      <c r="L120" t="s">
        <v>21457</v>
      </c>
      <c r="M120" s="1">
        <f>+_xlfn.XLOOKUP(Tabla24[[#This Row],[CODIGO]],CODIGOS_Y_COSTOS[CODIGO],CODIGOS_Y_COSTOS[COSTO],0,0)</f>
        <v>0</v>
      </c>
      <c r="N120" s="1">
        <f>+Tabla24[[#This Row],[Unitario]]*Tabla24[[#This Row],[CANTIDAD]]</f>
        <v>0</v>
      </c>
      <c r="O120" s="13">
        <f>+VLOOKUP(Tabla24[[#This Row],[CODIGO]],B:H,6,0)</f>
        <v>40</v>
      </c>
      <c r="P120" t="str">
        <f>+VLOOKUP(Tabla24[[#This Row],[CODIGO]],B:H,7,0)</f>
        <v>CONECTORES DE COMBUSTIBLE</v>
      </c>
      <c r="S120" s="480" t="s">
        <v>9574</v>
      </c>
      <c r="T120" s="480" t="s">
        <v>9575</v>
      </c>
      <c r="U120" s="504">
        <v>4133.691424362315</v>
      </c>
      <c r="V120" s="89" t="s">
        <v>9337</v>
      </c>
      <c r="W120" s="90">
        <f t="shared" si="31"/>
        <v>2934.9209112972435</v>
      </c>
      <c r="AG120" s="491" t="s">
        <v>4492</v>
      </c>
      <c r="AH120" s="69" t="s">
        <v>4493</v>
      </c>
      <c r="AI120" s="60">
        <v>163.89919620922913</v>
      </c>
      <c r="AJ120" s="197">
        <v>62</v>
      </c>
      <c r="AK120" t="s">
        <v>4353</v>
      </c>
      <c r="AL120" s="1"/>
      <c r="AM120" s="1">
        <f t="shared" si="24"/>
        <v>0</v>
      </c>
      <c r="AN120" s="62">
        <f t="shared" si="32"/>
        <v>-1</v>
      </c>
      <c r="AO120" s="62">
        <v>0.5</v>
      </c>
      <c r="AP120" s="498">
        <f>+(AO120+1)*AI120</f>
        <v>245.84879431384371</v>
      </c>
      <c r="AQ120" s="1"/>
      <c r="AR120" s="62"/>
      <c r="BM120" s="1107" t="s">
        <v>6404</v>
      </c>
      <c r="BN120" s="1340" t="e">
        <f>+VLOOKUP(BM120,Tabla24[#All],6,0)</f>
        <v>#N/A</v>
      </c>
      <c r="BO120" s="1340" t="s">
        <v>9501</v>
      </c>
      <c r="BP120" s="1342" t="e">
        <f>+VLOOKUP(BM120,Tabla24[#All],3,0)</f>
        <v>#N/A</v>
      </c>
      <c r="BQ120" s="1342" t="e">
        <f>+VLOOKUP(BM120,Tabla24[#All],7,0)</f>
        <v>#N/A</v>
      </c>
    </row>
    <row r="121" spans="2:69" ht="14.25" x14ac:dyDescent="0.2">
      <c r="B121" t="s">
        <v>4516</v>
      </c>
      <c r="C121">
        <v>50</v>
      </c>
      <c r="D121" t="str">
        <f t="shared" si="23"/>
        <v>CUPLA H-H 3/8 BSP</v>
      </c>
      <c r="E121" s="196">
        <f>+VLOOKUP(H121&amp;ALNAT[[#This Row],[N°]],CODIGOS_Y_COSTOS[[ID]:[COSTO]],7,0)</f>
        <v>1161.7639999999999</v>
      </c>
      <c r="F121" s="196">
        <f t="shared" si="33"/>
        <v>58088.2</v>
      </c>
      <c r="G121" s="197">
        <v>79</v>
      </c>
      <c r="H121" t="s">
        <v>4353</v>
      </c>
      <c r="I121" s="198" t="str">
        <f>+H121&amp;ALNAT[[#This Row],[N°]]</f>
        <v>RACORD - ACOPLES - REDUCCIONES - ENTREROSCAS79</v>
      </c>
      <c r="J121" s="876" t="s">
        <v>21420</v>
      </c>
      <c r="K121" s="1428">
        <v>15</v>
      </c>
      <c r="L121" t="s">
        <v>21465</v>
      </c>
      <c r="M121" s="1">
        <f>+_xlfn.XLOOKUP(Tabla24[[#This Row],[CODIGO]],CODIGOS_Y_COSTOS[CODIGO],CODIGOS_Y_COSTOS[COSTO],0,0)</f>
        <v>2128.5360000000001</v>
      </c>
      <c r="N121" s="1">
        <f>+Tabla24[[#This Row],[Unitario]]*Tabla24[[#This Row],[CANTIDAD]]</f>
        <v>31928.04</v>
      </c>
      <c r="O121" s="13">
        <f>+VLOOKUP(Tabla24[[#This Row],[CODIGO]],B:H,6,0)</f>
        <v>48</v>
      </c>
      <c r="P121" t="str">
        <f>+VLOOKUP(Tabla24[[#This Row],[CODIGO]],B:H,7,0)</f>
        <v>CONECTORES DE COMBUSTIBLE</v>
      </c>
      <c r="S121" s="480" t="s">
        <v>9576</v>
      </c>
      <c r="T121" s="480" t="s">
        <v>9577</v>
      </c>
      <c r="U121" s="504">
        <v>3612.101259133723</v>
      </c>
      <c r="V121" s="89" t="s">
        <v>9337</v>
      </c>
      <c r="W121" s="90">
        <f t="shared" si="31"/>
        <v>2564.591893984943</v>
      </c>
      <c r="AG121" s="490" t="s">
        <v>4495</v>
      </c>
      <c r="AH121" s="494" t="s">
        <v>4496</v>
      </c>
      <c r="AI121" s="181">
        <v>77.660507497915773</v>
      </c>
      <c r="AJ121" s="197">
        <v>64</v>
      </c>
      <c r="AK121" t="s">
        <v>4353</v>
      </c>
      <c r="AL121" s="1"/>
      <c r="AM121" s="1">
        <f t="shared" si="24"/>
        <v>0</v>
      </c>
      <c r="AN121" s="62">
        <f t="shared" si="32"/>
        <v>-1</v>
      </c>
      <c r="BM121" s="1107" t="s">
        <v>6350</v>
      </c>
      <c r="BN121" s="1340" t="e">
        <f>+VLOOKUP(BM121,Tabla24[#All],6,0)</f>
        <v>#N/A</v>
      </c>
      <c r="BO121" s="1340" t="s">
        <v>9516</v>
      </c>
      <c r="BP121" s="1342" t="e">
        <f>+VLOOKUP(BM121,Tabla24[#All],3,0)</f>
        <v>#N/A</v>
      </c>
      <c r="BQ121" s="1342" t="e">
        <f>+VLOOKUP(BM121,Tabla24[#All],7,0)</f>
        <v>#N/A</v>
      </c>
    </row>
    <row r="122" spans="2:69" ht="14.25" x14ac:dyDescent="0.2">
      <c r="B122" t="s">
        <v>4519</v>
      </c>
      <c r="C122">
        <v>100</v>
      </c>
      <c r="D122" t="str">
        <f t="shared" si="23"/>
        <v>ENTRE ROSCA M-M 1/8 BSPT</v>
      </c>
      <c r="E122" s="196">
        <f>+VLOOKUP(H122&amp;ALNAT[[#This Row],[N°]],CODIGOS_Y_COSTOS[[ID]:[COSTO]],7,0)</f>
        <v>364.1601</v>
      </c>
      <c r="F122" s="196">
        <f t="shared" si="33"/>
        <v>36416.01</v>
      </c>
      <c r="G122" s="197">
        <v>82</v>
      </c>
      <c r="H122" t="s">
        <v>4353</v>
      </c>
      <c r="I122" s="198" t="str">
        <f>+H122&amp;ALNAT[[#This Row],[N°]]</f>
        <v>RACORD - ACOPLES - REDUCCIONES - ENTREROSCAS82</v>
      </c>
      <c r="J122" s="876" t="s">
        <v>9498</v>
      </c>
      <c r="K122" s="1428">
        <v>15</v>
      </c>
      <c r="L122" t="s">
        <v>21461</v>
      </c>
      <c r="M122" s="1">
        <f>+_xlfn.XLOOKUP(Tabla24[[#This Row],[CODIGO]],CODIGOS_Y_COSTOS[CODIGO],CODIGOS_Y_COSTOS[COSTO],0,0)</f>
        <v>2128.5360000000001</v>
      </c>
      <c r="N122" s="1">
        <f>+Tabla24[[#This Row],[Unitario]]*Tabla24[[#This Row],[CANTIDAD]]</f>
        <v>31928.04</v>
      </c>
      <c r="O122" s="13">
        <f>+VLOOKUP(Tabla24[[#This Row],[CODIGO]],B:H,6,0)</f>
        <v>49</v>
      </c>
      <c r="P122" t="str">
        <f>+VLOOKUP(Tabla24[[#This Row],[CODIGO]],B:H,7,0)</f>
        <v>CONECTORES DE COMBUSTIBLE</v>
      </c>
      <c r="S122" s="480" t="s">
        <v>9578</v>
      </c>
      <c r="T122" s="480" t="s">
        <v>9579</v>
      </c>
      <c r="U122" s="504">
        <v>4453.5123350923368</v>
      </c>
      <c r="V122" s="89" t="s">
        <v>9337</v>
      </c>
      <c r="W122" s="90">
        <f t="shared" si="31"/>
        <v>3161.9937579155589</v>
      </c>
      <c r="AG122" s="491" t="s">
        <v>4498</v>
      </c>
      <c r="AH122" s="69" t="s">
        <v>4499</v>
      </c>
      <c r="AI122" s="60">
        <v>70.615018157898689</v>
      </c>
      <c r="AJ122" s="197">
        <v>65</v>
      </c>
      <c r="AK122" t="s">
        <v>4353</v>
      </c>
      <c r="AL122" s="1"/>
      <c r="AM122" s="1">
        <f t="shared" si="24"/>
        <v>0</v>
      </c>
      <c r="AN122" s="62">
        <f t="shared" si="32"/>
        <v>-1</v>
      </c>
      <c r="BM122" s="1107" t="s">
        <v>6395</v>
      </c>
      <c r="BN122" s="1340" t="e">
        <f>+VLOOKUP(BM122,Tabla24[#All],6,0)</f>
        <v>#N/A</v>
      </c>
      <c r="BO122" s="1340" t="s">
        <v>9542</v>
      </c>
      <c r="BP122" s="1342" t="e">
        <f>+VLOOKUP(BM122,Tabla24[#All],3,0)</f>
        <v>#N/A</v>
      </c>
      <c r="BQ122" s="1342" t="e">
        <f>+VLOOKUP(BM122,Tabla24[#All],7,0)</f>
        <v>#N/A</v>
      </c>
    </row>
    <row r="123" spans="2:69" ht="14.25" x14ac:dyDescent="0.2">
      <c r="B123" t="s">
        <v>4522</v>
      </c>
      <c r="C123">
        <v>100</v>
      </c>
      <c r="D123" t="str">
        <f t="shared" si="23"/>
        <v>ENTRE ROSCA M-M 1/4 BSPT</v>
      </c>
      <c r="E123" s="196">
        <f>+VLOOKUP(H123&amp;ALNAT[[#This Row],[N°]],CODIGOS_Y_COSTOS[[ID]:[COSTO]],7,0)</f>
        <v>487.60520000000002</v>
      </c>
      <c r="F123" s="196">
        <f t="shared" si="33"/>
        <v>48760.520000000004</v>
      </c>
      <c r="G123" s="197">
        <v>83</v>
      </c>
      <c r="H123" t="s">
        <v>4353</v>
      </c>
      <c r="I123" s="198" t="str">
        <f>+H123&amp;ALNAT[[#This Row],[N°]]</f>
        <v>RACORD - ACOPLES - REDUCCIONES - ENTREROSCAS83</v>
      </c>
      <c r="J123" s="876" t="s">
        <v>11604</v>
      </c>
      <c r="K123" s="1428">
        <v>15</v>
      </c>
      <c r="L123" t="s">
        <v>21471</v>
      </c>
      <c r="M123" s="1">
        <f>+_xlfn.XLOOKUP(Tabla24[[#This Row],[CODIGO]],CODIGOS_Y_COSTOS[CODIGO],CODIGOS_Y_COSTOS[COSTO],0,0)</f>
        <v>0</v>
      </c>
      <c r="N123" s="1">
        <f>+Tabla24[[#This Row],[Unitario]]*Tabla24[[#This Row],[CANTIDAD]]</f>
        <v>0</v>
      </c>
      <c r="O123" s="13">
        <f>+VLOOKUP(Tabla24[[#This Row],[CODIGO]],B:H,6,0)</f>
        <v>52</v>
      </c>
      <c r="P123" t="str">
        <f>+VLOOKUP(Tabla24[[#This Row],[CODIGO]],B:H,7,0)</f>
        <v>CONECTORES DE COMBUSTIBLE</v>
      </c>
      <c r="S123" s="480" t="s">
        <v>9580</v>
      </c>
      <c r="T123" s="480" t="s">
        <v>9581</v>
      </c>
      <c r="U123" s="504">
        <v>3612.101259133723</v>
      </c>
      <c r="V123" s="89" t="s">
        <v>9337</v>
      </c>
      <c r="W123" s="90">
        <f t="shared" si="31"/>
        <v>2564.591893984943</v>
      </c>
      <c r="AG123" s="490" t="s">
        <v>4501</v>
      </c>
      <c r="AH123" s="494" t="s">
        <v>4502</v>
      </c>
      <c r="AI123" s="181">
        <v>103.38799096360539</v>
      </c>
      <c r="AJ123" s="197">
        <v>68</v>
      </c>
      <c r="AK123" t="s">
        <v>4353</v>
      </c>
      <c r="AL123" s="1"/>
      <c r="AM123" s="1">
        <f t="shared" si="24"/>
        <v>0</v>
      </c>
      <c r="AN123" s="62">
        <f t="shared" si="32"/>
        <v>-1</v>
      </c>
      <c r="AO123" s="62">
        <v>0.5</v>
      </c>
      <c r="AP123" s="498">
        <f>+(AO123+1)*AI123</f>
        <v>155.08198644540809</v>
      </c>
      <c r="AQ123" s="1"/>
      <c r="AR123" s="62"/>
      <c r="BM123" s="1107" t="s">
        <v>6371</v>
      </c>
      <c r="BN123" s="1340" t="e">
        <f>+VLOOKUP(BM123,Tabla24[#All],6,0)</f>
        <v>#N/A</v>
      </c>
      <c r="BO123" s="1340" t="s">
        <v>9542</v>
      </c>
      <c r="BP123" s="1342" t="e">
        <f>+VLOOKUP(BM123,Tabla24[#All],3,0)</f>
        <v>#N/A</v>
      </c>
      <c r="BQ123" s="1342" t="e">
        <f>+VLOOKUP(BM123,Tabla24[#All],7,0)</f>
        <v>#N/A</v>
      </c>
    </row>
    <row r="124" spans="2:69" ht="14.25" x14ac:dyDescent="0.2">
      <c r="B124" t="s">
        <v>4525</v>
      </c>
      <c r="C124">
        <v>50</v>
      </c>
      <c r="D124" t="str">
        <f t="shared" si="23"/>
        <v>ENTRE ROSCA M-M 3/8 BSPT</v>
      </c>
      <c r="E124" s="196">
        <f>+VLOOKUP(H124&amp;ALNAT[[#This Row],[N°]],CODIGOS_Y_COSTOS[[ID]:[COSTO]],7,0)</f>
        <v>687.43280000000004</v>
      </c>
      <c r="F124" s="196">
        <f t="shared" si="33"/>
        <v>34371.64</v>
      </c>
      <c r="G124" s="197">
        <v>84</v>
      </c>
      <c r="H124" t="s">
        <v>4353</v>
      </c>
      <c r="I124" s="198" t="str">
        <f>+H124&amp;ALNAT[[#This Row],[N°]]</f>
        <v>RACORD - ACOPLES - REDUCCIONES - ENTREROSCAS84</v>
      </c>
      <c r="J124" s="876" t="s">
        <v>21423</v>
      </c>
      <c r="K124" s="1428">
        <v>15</v>
      </c>
      <c r="L124" t="s">
        <v>21472</v>
      </c>
      <c r="M124" s="1">
        <f>+_xlfn.XLOOKUP(Tabla24[[#This Row],[CODIGO]],CODIGOS_Y_COSTOS[CODIGO],CODIGOS_Y_COSTOS[COSTO],0,0)</f>
        <v>0</v>
      </c>
      <c r="N124" s="1">
        <f>+Tabla24[[#This Row],[Unitario]]*Tabla24[[#This Row],[CANTIDAD]]</f>
        <v>0</v>
      </c>
      <c r="O124" s="13">
        <f>+VLOOKUP(Tabla24[[#This Row],[CODIGO]],B:H,6,0)</f>
        <v>53</v>
      </c>
      <c r="P124" t="str">
        <f>+VLOOKUP(Tabla24[[#This Row],[CODIGO]],B:H,7,0)</f>
        <v>CONECTORES DE COMBUSTIBLE</v>
      </c>
      <c r="S124" s="480" t="s">
        <v>9582</v>
      </c>
      <c r="T124" s="480" t="s">
        <v>9583</v>
      </c>
      <c r="U124" s="504">
        <v>4453.5123350923368</v>
      </c>
      <c r="V124" s="89" t="s">
        <v>9337</v>
      </c>
      <c r="W124" s="90">
        <f t="shared" si="31"/>
        <v>3161.9937579155589</v>
      </c>
      <c r="AG124" s="491" t="s">
        <v>4504</v>
      </c>
      <c r="AH124" s="69" t="s">
        <v>4505</v>
      </c>
      <c r="AI124" s="60">
        <v>95.716126817677889</v>
      </c>
      <c r="AJ124" s="197">
        <v>71</v>
      </c>
      <c r="AK124" t="s">
        <v>4353</v>
      </c>
      <c r="AL124" s="1"/>
      <c r="AM124" s="1">
        <f t="shared" si="24"/>
        <v>0</v>
      </c>
      <c r="AN124" s="62">
        <f t="shared" si="32"/>
        <v>-1</v>
      </c>
      <c r="BM124" s="1107" t="s">
        <v>6389</v>
      </c>
      <c r="BN124" s="1340" t="e">
        <f>+VLOOKUP(BM124,Tabla24[#All],6,0)</f>
        <v>#N/A</v>
      </c>
      <c r="BO124" s="1340" t="s">
        <v>9542</v>
      </c>
      <c r="BP124" s="1342" t="e">
        <f>+VLOOKUP(BM124,Tabla24[#All],3,0)</f>
        <v>#N/A</v>
      </c>
      <c r="BQ124" s="1342" t="e">
        <f>+VLOOKUP(BM124,Tabla24[#All],7,0)</f>
        <v>#N/A</v>
      </c>
    </row>
    <row r="125" spans="2:69" ht="14.25" x14ac:dyDescent="0.2">
      <c r="B125" t="s">
        <v>4528</v>
      </c>
      <c r="C125">
        <v>30</v>
      </c>
      <c r="D125" t="str">
        <f t="shared" si="23"/>
        <v>20001IC04164806Y  PICO INF NEUM COMUN P/ACOPL</v>
      </c>
      <c r="E125" s="196">
        <f>+VLOOKUP(H125&amp;ALNAT[[#This Row],[N°]],CODIGOS_Y_COSTOS[[ID]:[COSTO]],7,0)</f>
        <v>2851.2669999999998</v>
      </c>
      <c r="F125" s="196">
        <f t="shared" si="33"/>
        <v>85538.01</v>
      </c>
      <c r="G125" s="197">
        <v>90</v>
      </c>
      <c r="H125" t="s">
        <v>4353</v>
      </c>
      <c r="I125" s="198" t="str">
        <f>+H125&amp;ALNAT[[#This Row],[N°]]</f>
        <v>RACORD - ACOPLES - REDUCCIONES - ENTREROSCAS90</v>
      </c>
      <c r="J125" s="876" t="s">
        <v>11604</v>
      </c>
      <c r="K125" s="1428">
        <v>15</v>
      </c>
      <c r="L125" t="s">
        <v>21471</v>
      </c>
      <c r="M125" s="1">
        <f>+_xlfn.XLOOKUP(Tabla24[[#This Row],[CODIGO]],CODIGOS_Y_COSTOS[CODIGO],CODIGOS_Y_COSTOS[COSTO],0,0)</f>
        <v>0</v>
      </c>
      <c r="N125" s="1">
        <f>+Tabla24[[#This Row],[Unitario]]*Tabla24[[#This Row],[CANTIDAD]]</f>
        <v>0</v>
      </c>
      <c r="O125" s="13">
        <f>+VLOOKUP(Tabla24[[#This Row],[CODIGO]],B:H,6,0)</f>
        <v>52</v>
      </c>
      <c r="P125" t="str">
        <f>+VLOOKUP(Tabla24[[#This Row],[CODIGO]],B:H,7,0)</f>
        <v>CONECTORES DE COMBUSTIBLE</v>
      </c>
      <c r="S125" s="480" t="s">
        <v>9584</v>
      </c>
      <c r="T125" s="480" t="s">
        <v>9585</v>
      </c>
      <c r="U125" s="504">
        <v>9175.1616940654694</v>
      </c>
      <c r="V125" s="89" t="s">
        <v>9337</v>
      </c>
      <c r="W125" s="90">
        <f t="shared" si="31"/>
        <v>6514.3648027864829</v>
      </c>
      <c r="AG125" s="490" t="s">
        <v>4507</v>
      </c>
      <c r="AH125" s="494" t="s">
        <v>4508</v>
      </c>
      <c r="AI125" s="181">
        <v>173.8004348521591</v>
      </c>
      <c r="AJ125" s="197">
        <v>74</v>
      </c>
      <c r="AK125" t="s">
        <v>4353</v>
      </c>
      <c r="AL125" s="1"/>
      <c r="AM125" s="1">
        <f t="shared" si="24"/>
        <v>0</v>
      </c>
      <c r="AN125" s="62">
        <f t="shared" si="32"/>
        <v>-1</v>
      </c>
      <c r="AO125" s="62">
        <v>0.5</v>
      </c>
      <c r="AP125" s="498">
        <f>+(AO125+1)*AI125</f>
        <v>260.70065227823864</v>
      </c>
      <c r="AQ125" s="1"/>
      <c r="AR125" s="62"/>
      <c r="BM125" s="1107" t="s">
        <v>7948</v>
      </c>
      <c r="BN125" s="1340" t="e">
        <f>+VLOOKUP(BM125,Tabla24[#All],6,0)</f>
        <v>#N/A</v>
      </c>
      <c r="BO125" s="1340" t="s">
        <v>9504</v>
      </c>
      <c r="BP125" s="1342" t="e">
        <f>+VLOOKUP(BM125,Tabla24[#All],3,0)</f>
        <v>#N/A</v>
      </c>
      <c r="BQ125" s="1342" t="e">
        <f>+VLOOKUP(BM125,Tabla24[#All],7,0)</f>
        <v>#N/A</v>
      </c>
    </row>
    <row r="126" spans="2:69" ht="14.25" x14ac:dyDescent="0.2">
      <c r="B126" t="s">
        <v>4531</v>
      </c>
      <c r="C126">
        <v>30</v>
      </c>
      <c r="D126" t="str">
        <f t="shared" si="23"/>
        <v>20001IC04164806Y PICO P/INFLAR NEUM  P/MG 8MM</v>
      </c>
      <c r="E126" s="196">
        <f>+VLOOKUP(H126&amp;ALNAT[[#This Row],[N°]],CODIGOS_Y_COSTOS[[ID]:[COSTO]],7,0)</f>
        <v>2851.2669999999998</v>
      </c>
      <c r="F126" s="196">
        <f t="shared" si="33"/>
        <v>85538.01</v>
      </c>
      <c r="G126" s="197">
        <v>91</v>
      </c>
      <c r="H126" t="s">
        <v>4353</v>
      </c>
      <c r="I126" s="198" t="str">
        <f>+H126&amp;ALNAT[[#This Row],[N°]]</f>
        <v>RACORD - ACOPLES - REDUCCIONES - ENTREROSCAS91</v>
      </c>
      <c r="J126" s="876" t="s">
        <v>21423</v>
      </c>
      <c r="K126" s="1428">
        <v>15</v>
      </c>
      <c r="L126" t="s">
        <v>21472</v>
      </c>
      <c r="M126" s="1">
        <f>+_xlfn.XLOOKUP(Tabla24[[#This Row],[CODIGO]],CODIGOS_Y_COSTOS[CODIGO],CODIGOS_Y_COSTOS[COSTO],0,0)</f>
        <v>0</v>
      </c>
      <c r="N126" s="1">
        <f>+Tabla24[[#This Row],[Unitario]]*Tabla24[[#This Row],[CANTIDAD]]</f>
        <v>0</v>
      </c>
      <c r="O126" s="13">
        <f>+VLOOKUP(Tabla24[[#This Row],[CODIGO]],B:H,6,0)</f>
        <v>53</v>
      </c>
      <c r="P126" t="str">
        <f>+VLOOKUP(Tabla24[[#This Row],[CODIGO]],B:H,7,0)</f>
        <v>CONECTORES DE COMBUSTIBLE</v>
      </c>
      <c r="S126" s="480" t="s">
        <v>9586</v>
      </c>
      <c r="T126" s="480" t="s">
        <v>9587</v>
      </c>
      <c r="U126" s="504">
        <v>10918.44241593791</v>
      </c>
      <c r="V126" s="89" t="s">
        <v>9337</v>
      </c>
      <c r="W126" s="90">
        <f t="shared" si="31"/>
        <v>7752.0941153159165</v>
      </c>
      <c r="AG126" s="491" t="s">
        <v>4510</v>
      </c>
      <c r="AH126" s="69" t="s">
        <v>4511</v>
      </c>
      <c r="AI126" s="60">
        <v>53.217851332712407</v>
      </c>
      <c r="AJ126" s="197">
        <v>77</v>
      </c>
      <c r="AK126" t="s">
        <v>4353</v>
      </c>
      <c r="AL126" s="1"/>
      <c r="AM126" s="1">
        <f t="shared" si="24"/>
        <v>0</v>
      </c>
      <c r="AN126" s="62">
        <f t="shared" si="32"/>
        <v>-1</v>
      </c>
      <c r="BM126" s="1107" t="s">
        <v>7942</v>
      </c>
      <c r="BN126" s="1340">
        <f>+VLOOKUP(BM126,Tabla24[#All],6,0)</f>
        <v>23</v>
      </c>
      <c r="BO126" s="1340" t="s">
        <v>9501</v>
      </c>
      <c r="BP126" s="1342" t="str">
        <f>+VLOOKUP(BM126,Tabla24[#All],3,0)</f>
        <v>TUERCA AJUSTE BRONCE  CONEXIÓN CON VIROLA TUBO 1/2</v>
      </c>
      <c r="BQ126" s="1342" t="str">
        <f>+VLOOKUP(BM126,Tabla24[#All],7,0)</f>
        <v>ACCESORIOS DE BRONCE UNION POLIAMIDA</v>
      </c>
    </row>
    <row r="127" spans="2:69" ht="14.25" x14ac:dyDescent="0.2">
      <c r="B127" t="s">
        <v>4534</v>
      </c>
      <c r="C127">
        <v>50</v>
      </c>
      <c r="D127" t="str">
        <f t="shared" si="23"/>
        <v>19001IC04103051H RACORD MICHEL P/INFLAR 6 MM</v>
      </c>
      <c r="E127" s="196">
        <f>+VLOOKUP(H127&amp;ALNAT[[#This Row],[N°]],CODIGOS_Y_COSTOS[[ID]:[COSTO]],7,0)</f>
        <v>3780</v>
      </c>
      <c r="F127" s="196">
        <f t="shared" si="33"/>
        <v>189000</v>
      </c>
      <c r="G127" s="197">
        <v>92</v>
      </c>
      <c r="H127" t="s">
        <v>4353</v>
      </c>
      <c r="I127" s="198" t="str">
        <f>+H127&amp;ALNAT[[#This Row],[N°]]</f>
        <v>RACORD - ACOPLES - REDUCCIONES - ENTREROSCAS92</v>
      </c>
      <c r="J127" s="876" t="s">
        <v>11601</v>
      </c>
      <c r="K127" s="1428">
        <v>15</v>
      </c>
      <c r="L127" t="s">
        <v>8353</v>
      </c>
      <c r="M127" s="1">
        <f>+_xlfn.XLOOKUP(Tabla24[[#This Row],[CODIGO]],CODIGOS_Y_COSTOS[CODIGO],CODIGOS_Y_COSTOS[COSTO],0,0)</f>
        <v>0</v>
      </c>
      <c r="N127" s="1">
        <f>+Tabla24[[#This Row],[Unitario]]*Tabla24[[#This Row],[CANTIDAD]]</f>
        <v>0</v>
      </c>
      <c r="O127" s="13">
        <f>+VLOOKUP(Tabla24[[#This Row],[CODIGO]],B:H,6,0)</f>
        <v>56</v>
      </c>
      <c r="P127" t="str">
        <f>+VLOOKUP(Tabla24[[#This Row],[CODIGO]],B:H,7,0)</f>
        <v>CONECTORES DE COMBUSTIBLE</v>
      </c>
      <c r="S127" s="480" t="s">
        <v>9588</v>
      </c>
      <c r="T127" s="480" t="s">
        <v>9589</v>
      </c>
      <c r="U127" s="504">
        <v>9175.1616940654694</v>
      </c>
      <c r="V127" s="89" t="s">
        <v>9337</v>
      </c>
      <c r="W127" s="90">
        <f t="shared" si="31"/>
        <v>6514.3648027864829</v>
      </c>
      <c r="AG127" s="490" t="s">
        <v>4513</v>
      </c>
      <c r="AH127" s="494" t="s">
        <v>4514</v>
      </c>
      <c r="AI127" s="181">
        <v>69.21392652778168</v>
      </c>
      <c r="AJ127" s="197">
        <v>78</v>
      </c>
      <c r="AK127" t="s">
        <v>4353</v>
      </c>
      <c r="AL127" s="1"/>
      <c r="AM127" s="1">
        <f t="shared" si="24"/>
        <v>0</v>
      </c>
      <c r="AN127" s="62">
        <f t="shared" si="32"/>
        <v>-1</v>
      </c>
    </row>
    <row r="128" spans="2:69" ht="14.25" x14ac:dyDescent="0.2">
      <c r="B128" t="s">
        <v>4537</v>
      </c>
      <c r="C128">
        <v>30</v>
      </c>
      <c r="D128" t="str">
        <f t="shared" si="23"/>
        <v>ACOPLE RAP 1/4 ECON R H 1/4 BSP C/PTA</v>
      </c>
      <c r="E128" s="196">
        <f>+VLOOKUP(H128&amp;ALNAT[[#This Row],[N°]],CODIGOS_Y_COSTOS[[ID]:[COSTO]],7,0)</f>
        <v>3073.5763999999999</v>
      </c>
      <c r="F128" s="196">
        <f t="shared" si="33"/>
        <v>92207.292000000001</v>
      </c>
      <c r="G128" s="197">
        <v>93</v>
      </c>
      <c r="H128" t="s">
        <v>4353</v>
      </c>
      <c r="I128" s="198" t="str">
        <f>+H128&amp;ALNAT[[#This Row],[N°]]</f>
        <v>RACORD - ACOPLES - REDUCCIONES - ENTREROSCAS93</v>
      </c>
      <c r="J128" s="876" t="s">
        <v>11598</v>
      </c>
      <c r="K128" s="1428">
        <v>15</v>
      </c>
      <c r="L128" t="s">
        <v>8353</v>
      </c>
      <c r="M128" s="1">
        <f>+_xlfn.XLOOKUP(Tabla24[[#This Row],[CODIGO]],CODIGOS_Y_COSTOS[CODIGO],CODIGOS_Y_COSTOS[COSTO],0,0)</f>
        <v>2243.5920000000001</v>
      </c>
      <c r="N128" s="1">
        <f>+Tabla24[[#This Row],[Unitario]]*Tabla24[[#This Row],[CANTIDAD]]</f>
        <v>33653.880000000005</v>
      </c>
      <c r="O128" s="13">
        <f>+VLOOKUP(Tabla24[[#This Row],[CODIGO]],B:H,6,0)</f>
        <v>57</v>
      </c>
      <c r="P128" t="str">
        <f>+VLOOKUP(Tabla24[[#This Row],[CODIGO]],B:H,7,0)</f>
        <v>CONECTORES DE COMBUSTIBLE</v>
      </c>
      <c r="S128" s="480" t="s">
        <v>9590</v>
      </c>
      <c r="T128" s="480" t="s">
        <v>9591</v>
      </c>
      <c r="U128" s="504">
        <v>10918.44241593791</v>
      </c>
      <c r="V128" s="89" t="s">
        <v>9337</v>
      </c>
      <c r="W128" s="90">
        <f t="shared" si="31"/>
        <v>7752.0941153159165</v>
      </c>
      <c r="AG128" s="491" t="s">
        <v>4516</v>
      </c>
      <c r="AH128" s="69" t="s">
        <v>4517</v>
      </c>
      <c r="AI128" s="60">
        <v>104.24473490754765</v>
      </c>
      <c r="AJ128" s="197">
        <v>79</v>
      </c>
      <c r="AK128" t="s">
        <v>4353</v>
      </c>
      <c r="AL128" s="1"/>
      <c r="AM128" s="1">
        <f t="shared" si="24"/>
        <v>0</v>
      </c>
      <c r="AN128" s="62">
        <f t="shared" si="32"/>
        <v>-1</v>
      </c>
    </row>
    <row r="129" spans="1:40" ht="14.25" x14ac:dyDescent="0.2">
      <c r="B129" t="s">
        <v>6317</v>
      </c>
      <c r="C129">
        <v>100</v>
      </c>
      <c r="D129" t="str">
        <f t="shared" si="23"/>
        <v>20001IC04026706K RECTO PLAST 1/8 X 4 MM</v>
      </c>
      <c r="E129" s="196">
        <f>+VLOOKUP(H129&amp;ALNAT[[#This Row],[N°]],CODIGOS_Y_COSTOS[[ID]:[COSTO]],7,0)</f>
        <v>769.13810000000001</v>
      </c>
      <c r="F129" s="196">
        <f>+E129*C129</f>
        <v>76913.81</v>
      </c>
      <c r="G129" s="197">
        <v>3</v>
      </c>
      <c r="H129" t="s">
        <v>6316</v>
      </c>
      <c r="I129" s="198" t="str">
        <f>+H129&amp;ALNAT[[#This Row],[N°]]</f>
        <v>CONECTORES NUEVA INCORPORACION3</v>
      </c>
      <c r="J129" s="876" t="s">
        <v>21424</v>
      </c>
      <c r="K129" s="1428">
        <v>15</v>
      </c>
      <c r="L129" t="s">
        <v>21475</v>
      </c>
      <c r="M129" s="1">
        <f>+_xlfn.XLOOKUP(Tabla24[[#This Row],[CODIGO]],CODIGOS_Y_COSTOS[CODIGO],CODIGOS_Y_COSTOS[COSTO],0,0)</f>
        <v>1208.088</v>
      </c>
      <c r="N129" s="1">
        <f>+Tabla24[[#This Row],[Unitario]]*Tabla24[[#This Row],[CANTIDAD]]</f>
        <v>18121.32</v>
      </c>
      <c r="O129" s="13">
        <f>+VLOOKUP(Tabla24[[#This Row],[CODIGO]],B:H,6,0)</f>
        <v>58</v>
      </c>
      <c r="P129" t="str">
        <f>+VLOOKUP(Tabla24[[#This Row],[CODIGO]],B:H,7,0)</f>
        <v>CONECTORES DE COMBUSTIBLE</v>
      </c>
      <c r="S129" s="480" t="s">
        <v>9592</v>
      </c>
      <c r="T129" s="480" t="s">
        <v>9593</v>
      </c>
      <c r="U129" s="504">
        <v>12768.238685699635</v>
      </c>
      <c r="V129" s="89" t="s">
        <v>9337</v>
      </c>
      <c r="W129" s="90">
        <f t="shared" si="31"/>
        <v>9065.4494668467396</v>
      </c>
      <c r="AG129" s="490" t="s">
        <v>4519</v>
      </c>
      <c r="AH129" s="494" t="s">
        <v>4520</v>
      </c>
      <c r="AI129" s="181">
        <v>47.506225039763727</v>
      </c>
      <c r="AJ129" s="197">
        <v>82</v>
      </c>
      <c r="AK129" t="s">
        <v>4353</v>
      </c>
      <c r="AL129" s="1"/>
      <c r="AM129" s="1">
        <f t="shared" si="24"/>
        <v>0</v>
      </c>
      <c r="AN129" s="62">
        <f t="shared" si="32"/>
        <v>-1</v>
      </c>
    </row>
    <row r="130" spans="1:40" ht="14.25" x14ac:dyDescent="0.2">
      <c r="B130" t="s">
        <v>6320</v>
      </c>
      <c r="C130">
        <v>100</v>
      </c>
      <c r="D130" t="str">
        <f t="shared" si="23"/>
        <v>18001IC04155358A RECTO PLAST 1/4 X 4 MM</v>
      </c>
      <c r="E130" s="196">
        <f>+VLOOKUP(H130&amp;ALNAT[[#This Row],[N°]],CODIGOS_Y_COSTOS[[ID]:[COSTO]],7,0)</f>
        <v>1034.5259000000001</v>
      </c>
      <c r="F130" s="196">
        <f t="shared" ref="F130:F175" si="34">+E130*C130</f>
        <v>103452.59000000001</v>
      </c>
      <c r="G130" s="197">
        <v>7</v>
      </c>
      <c r="H130" t="s">
        <v>6316</v>
      </c>
      <c r="I130" s="198" t="str">
        <f>+H130&amp;ALNAT[[#This Row],[N°]]</f>
        <v>CONECTORES NUEVA INCORPORACION7</v>
      </c>
      <c r="J130" s="876" t="s">
        <v>21400</v>
      </c>
      <c r="K130" s="1428">
        <v>15</v>
      </c>
      <c r="L130" t="s">
        <v>21439</v>
      </c>
      <c r="M130" s="1">
        <f>+_xlfn.XLOOKUP(Tabla24[[#This Row],[CODIGO]],CODIGOS_Y_COSTOS[CODIGO],CODIGOS_Y_COSTOS[COSTO],0,0)</f>
        <v>0</v>
      </c>
      <c r="N130" s="1">
        <f>+Tabla24[[#This Row],[Unitario]]*Tabla24[[#This Row],[CANTIDAD]]</f>
        <v>0</v>
      </c>
      <c r="O130" s="13">
        <f>+VLOOKUP(Tabla24[[#This Row],[CODIGO]],B:H,6,0)</f>
        <v>17</v>
      </c>
      <c r="P130" t="str">
        <f>+VLOOKUP(Tabla24[[#This Row],[CODIGO]],B:H,7,0)</f>
        <v>CONECTORES DE COMBUSTIBLE</v>
      </c>
      <c r="S130" s="480" t="s">
        <v>4370</v>
      </c>
      <c r="T130" s="480" t="s">
        <v>4371</v>
      </c>
      <c r="U130" s="504">
        <v>568.97787830687832</v>
      </c>
      <c r="V130" s="89" t="s">
        <v>9337</v>
      </c>
      <c r="W130" s="90">
        <f t="shared" si="31"/>
        <v>403.97429359788362</v>
      </c>
      <c r="AG130" s="491" t="s">
        <v>4522</v>
      </c>
      <c r="AH130" s="69" t="s">
        <v>4523</v>
      </c>
      <c r="AI130" s="60">
        <v>67.466696820147902</v>
      </c>
      <c r="AJ130" s="197">
        <v>83</v>
      </c>
      <c r="AK130" t="s">
        <v>4353</v>
      </c>
      <c r="AL130" s="1"/>
      <c r="AM130" s="1">
        <f t="shared" si="24"/>
        <v>0</v>
      </c>
      <c r="AN130" s="62">
        <f t="shared" si="32"/>
        <v>-1</v>
      </c>
    </row>
    <row r="131" spans="1:40" ht="14.25" x14ac:dyDescent="0.2">
      <c r="B131" t="s">
        <v>6323</v>
      </c>
      <c r="C131">
        <v>100</v>
      </c>
      <c r="D131" t="str">
        <f t="shared" ref="D131:D194" si="35">+VLOOKUP(B131,$S$1:$W$1375,2,0)</f>
        <v>20001IC04038164L UNION PLASTICA 4 MM</v>
      </c>
      <c r="E131" s="196">
        <f>+VLOOKUP(H131&amp;ALNAT[[#This Row],[N°]],CODIGOS_Y_COSTOS[[ID]:[COSTO]],7,0)</f>
        <v>290.03519999999997</v>
      </c>
      <c r="F131" s="196">
        <f t="shared" si="34"/>
        <v>29003.519999999997</v>
      </c>
      <c r="G131" s="197">
        <v>96</v>
      </c>
      <c r="H131" t="s">
        <v>6316</v>
      </c>
      <c r="I131" s="198" t="str">
        <f>+H131&amp;ALNAT[[#This Row],[N°]]</f>
        <v>CONECTORES NUEVA INCORPORACION96</v>
      </c>
      <c r="J131" s="876" t="s">
        <v>9492</v>
      </c>
      <c r="K131" s="1428">
        <v>15</v>
      </c>
      <c r="L131" t="s">
        <v>21441</v>
      </c>
      <c r="M131" s="1">
        <f>+_xlfn.XLOOKUP(Tabla24[[#This Row],[CODIGO]],CODIGOS_Y_COSTOS[CODIGO],CODIGOS_Y_COSTOS[COSTO],0,0)</f>
        <v>2013.48</v>
      </c>
      <c r="N131" s="1">
        <f>+Tabla24[[#This Row],[Unitario]]*Tabla24[[#This Row],[CANTIDAD]]</f>
        <v>30202.2</v>
      </c>
      <c r="O131" s="13">
        <f>+VLOOKUP(Tabla24[[#This Row],[CODIGO]],B:H,6,0)</f>
        <v>19</v>
      </c>
      <c r="P131" t="str">
        <f>+VLOOKUP(Tabla24[[#This Row],[CODIGO]],B:H,7,0)</f>
        <v>CONECTORES DE COMBUSTIBLE</v>
      </c>
      <c r="S131" s="480" t="s">
        <v>9594</v>
      </c>
      <c r="T131" s="480" t="s">
        <v>9595</v>
      </c>
      <c r="U131" s="504">
        <v>999.80380781785618</v>
      </c>
      <c r="V131" s="89" t="s">
        <v>9337</v>
      </c>
      <c r="W131" s="90">
        <f t="shared" si="31"/>
        <v>709.86070355067784</v>
      </c>
      <c r="AG131" s="490" t="s">
        <v>4525</v>
      </c>
      <c r="AH131" s="494" t="s">
        <v>4526</v>
      </c>
      <c r="AI131" s="181">
        <v>95.450643631102849</v>
      </c>
      <c r="AJ131" s="197">
        <v>84</v>
      </c>
      <c r="AK131" t="s">
        <v>4353</v>
      </c>
      <c r="AL131" s="1"/>
      <c r="AM131" s="1">
        <f t="shared" si="24"/>
        <v>0</v>
      </c>
      <c r="AN131" s="62">
        <f t="shared" si="32"/>
        <v>-1</v>
      </c>
    </row>
    <row r="132" spans="1:40" ht="14.25" x14ac:dyDescent="0.2">
      <c r="B132" t="s">
        <v>6326</v>
      </c>
      <c r="C132">
        <v>100</v>
      </c>
      <c r="D132" t="str">
        <f t="shared" si="35"/>
        <v>20001IC04026706K UNION TRIPLE PLASTICA 4 MM</v>
      </c>
      <c r="E132" s="196">
        <f>+VLOOKUP(H132&amp;ALNAT[[#This Row],[N°]],CODIGOS_Y_COSTOS[[ID]:[COSTO]],7,0)</f>
        <v>748.98220000000003</v>
      </c>
      <c r="F132" s="196">
        <f t="shared" si="34"/>
        <v>74898.22</v>
      </c>
      <c r="G132" s="197">
        <v>107</v>
      </c>
      <c r="H132" t="s">
        <v>6316</v>
      </c>
      <c r="I132" s="198" t="str">
        <f>+H132&amp;ALNAT[[#This Row],[N°]]</f>
        <v>CONECTORES NUEVA INCORPORACION107</v>
      </c>
      <c r="J132" s="876" t="s">
        <v>6187</v>
      </c>
      <c r="K132" s="1428">
        <v>100</v>
      </c>
      <c r="L132" t="s">
        <v>6188</v>
      </c>
      <c r="M132" s="1">
        <f>+_xlfn.XLOOKUP(Tabla24[[#This Row],[CODIGO]],CODIGOS_Y_COSTOS[CODIGO],CODIGOS_Y_COSTOS[COSTO],0,0)</f>
        <v>290.03519999999997</v>
      </c>
      <c r="N132" s="1">
        <f>+Tabla24[[#This Row],[Unitario]]*Tabla24[[#This Row],[CANTIDAD]]</f>
        <v>29003.519999999997</v>
      </c>
      <c r="O132" s="13">
        <f>+VLOOKUP(Tabla24[[#This Row],[CODIGO]],B:H,6,0)</f>
        <v>97</v>
      </c>
      <c r="P132" t="str">
        <f>+VLOOKUP(Tabla24[[#This Row],[CODIGO]],B:H,7,0)</f>
        <v>CONECTORES NEUMÁTICOS</v>
      </c>
      <c r="S132" s="480" t="s">
        <v>4373</v>
      </c>
      <c r="T132" s="480" t="s">
        <v>4374</v>
      </c>
      <c r="U132" s="504">
        <v>570.05729430687836</v>
      </c>
      <c r="V132" s="89" t="s">
        <v>9337</v>
      </c>
      <c r="W132" s="90">
        <f t="shared" si="31"/>
        <v>404.74067895788363</v>
      </c>
      <c r="AG132" s="491" t="s">
        <v>4528</v>
      </c>
      <c r="AH132" s="69" t="s">
        <v>4529</v>
      </c>
      <c r="AI132" s="60">
        <v>392.67323627638598</v>
      </c>
      <c r="AJ132" s="197">
        <v>90</v>
      </c>
      <c r="AK132" t="s">
        <v>4353</v>
      </c>
      <c r="AL132" s="1"/>
      <c r="AM132" s="1">
        <f t="shared" ref="AM132:AM182" si="36">IFERROR((1-$AM$1)*AL132,0)</f>
        <v>0</v>
      </c>
      <c r="AN132" s="62">
        <f t="shared" si="32"/>
        <v>-1</v>
      </c>
    </row>
    <row r="133" spans="1:40" ht="14.25" x14ac:dyDescent="0.2">
      <c r="B133" t="s">
        <v>6329</v>
      </c>
      <c r="C133">
        <v>100</v>
      </c>
      <c r="D133" t="str">
        <f t="shared" si="35"/>
        <v>15091 IC04 059871 J UNION CODO PLASTICA 4 MM</v>
      </c>
      <c r="E133" s="196">
        <f>+VLOOKUP(H133&amp;ALNAT[[#This Row],[N°]],CODIGOS_Y_COSTOS[[ID]:[COSTO]],7,0)</f>
        <v>304.01280000000003</v>
      </c>
      <c r="F133" s="196">
        <f t="shared" si="34"/>
        <v>30401.280000000002</v>
      </c>
      <c r="G133" s="197">
        <v>139</v>
      </c>
      <c r="H133" t="s">
        <v>6316</v>
      </c>
      <c r="I133" s="198" t="str">
        <f>+H133&amp;ALNAT[[#This Row],[N°]]</f>
        <v>CONECTORES NUEVA INCORPORACION139</v>
      </c>
      <c r="J133" s="876" t="s">
        <v>6190</v>
      </c>
      <c r="K133" s="1428">
        <v>100</v>
      </c>
      <c r="L133" t="s">
        <v>6191</v>
      </c>
      <c r="M133" s="1">
        <f>+_xlfn.XLOOKUP(Tabla24[[#This Row],[CODIGO]],CODIGOS_Y_COSTOS[CODIGO],CODIGOS_Y_COSTOS[COSTO],0,0)</f>
        <v>290.03519999999997</v>
      </c>
      <c r="N133" s="1">
        <f>+Tabla24[[#This Row],[Unitario]]*Tabla24[[#This Row],[CANTIDAD]]</f>
        <v>29003.519999999997</v>
      </c>
      <c r="O133" s="13">
        <f>+VLOOKUP(Tabla24[[#This Row],[CODIGO]],B:H,6,0)</f>
        <v>98</v>
      </c>
      <c r="P133" t="str">
        <f>+VLOOKUP(Tabla24[[#This Row],[CODIGO]],B:H,7,0)</f>
        <v>CONECTORES NEUMÁTICOS</v>
      </c>
      <c r="S133" s="480" t="s">
        <v>9596</v>
      </c>
      <c r="T133" s="480" t="s">
        <v>9597</v>
      </c>
      <c r="U133" s="504">
        <v>966.30193791875092</v>
      </c>
      <c r="V133" s="89" t="s">
        <v>9337</v>
      </c>
      <c r="W133" s="90">
        <f t="shared" si="31"/>
        <v>686.07437592231315</v>
      </c>
      <c r="AG133" s="490" t="s">
        <v>4531</v>
      </c>
      <c r="AH133" s="494" t="s">
        <v>4532</v>
      </c>
      <c r="AI133" s="181">
        <v>392.67323627638598</v>
      </c>
      <c r="AJ133" s="197">
        <v>91</v>
      </c>
      <c r="AK133" t="s">
        <v>4353</v>
      </c>
      <c r="AL133" s="1"/>
      <c r="AM133" s="1">
        <f t="shared" si="36"/>
        <v>0</v>
      </c>
      <c r="AN133" s="62">
        <f t="shared" si="32"/>
        <v>-1</v>
      </c>
    </row>
    <row r="134" spans="1:40" ht="14.25" x14ac:dyDescent="0.2">
      <c r="B134" t="s">
        <v>6332</v>
      </c>
      <c r="C134">
        <v>100</v>
      </c>
      <c r="D134" t="str">
        <f t="shared" si="35"/>
        <v>20001IC04206029X CODO PLAST 1/8 X 4 MM</v>
      </c>
      <c r="E134" s="196">
        <f>+VLOOKUP(H134&amp;ALNAT[[#This Row],[N°]],CODIGOS_Y_COSTOS[[ID]:[COSTO]],7,0)</f>
        <v>840.80110000000002</v>
      </c>
      <c r="F134" s="196">
        <f t="shared" si="34"/>
        <v>84080.11</v>
      </c>
      <c r="G134" s="197">
        <v>152</v>
      </c>
      <c r="H134" t="s">
        <v>6316</v>
      </c>
      <c r="I134" s="198" t="str">
        <f>+H134&amp;ALNAT[[#This Row],[N°]]</f>
        <v>CONECTORES NUEVA INCORPORACION152</v>
      </c>
      <c r="J134" s="876" t="s">
        <v>7885</v>
      </c>
      <c r="K134" s="1428">
        <v>200</v>
      </c>
      <c r="L134" t="s">
        <v>10759</v>
      </c>
      <c r="M134" s="1">
        <f>+_xlfn.XLOOKUP(Tabla24[[#This Row],[CODIGO]],CODIGOS_Y_COSTOS[CODIGO],CODIGOS_Y_COSTOS[COSTO],0,0)</f>
        <v>77.516999999999996</v>
      </c>
      <c r="N134" s="1">
        <f>+Tabla24[[#This Row],[Unitario]]*Tabla24[[#This Row],[CANTIDAD]]</f>
        <v>15503.4</v>
      </c>
      <c r="O134" s="13">
        <f>+VLOOKUP(Tabla24[[#This Row],[CODIGO]],B:H,6,0)</f>
        <v>3</v>
      </c>
      <c r="P134" t="str">
        <f>+VLOOKUP(Tabla24[[#This Row],[CODIGO]],B:H,7,0)</f>
        <v>ACCESORIOS DE BRONCE UNION POLIAMIDA</v>
      </c>
      <c r="S134" s="480" t="s">
        <v>4382</v>
      </c>
      <c r="T134" s="480" t="s">
        <v>4383</v>
      </c>
      <c r="U134" s="504">
        <v>622.97723428571442</v>
      </c>
      <c r="V134" s="89" t="s">
        <v>9337</v>
      </c>
      <c r="W134" s="90">
        <f t="shared" si="31"/>
        <v>442.3138363428572</v>
      </c>
      <c r="AG134" s="491" t="s">
        <v>4534</v>
      </c>
      <c r="AH134" s="69" t="s">
        <v>4535</v>
      </c>
      <c r="AI134" s="60">
        <v>187.52811035042856</v>
      </c>
      <c r="AJ134" s="197">
        <v>92</v>
      </c>
      <c r="AK134" t="s">
        <v>4353</v>
      </c>
      <c r="AL134" s="1"/>
      <c r="AM134" s="1">
        <f t="shared" si="36"/>
        <v>0</v>
      </c>
      <c r="AN134" s="62">
        <f t="shared" si="32"/>
        <v>-1</v>
      </c>
    </row>
    <row r="135" spans="1:40" ht="14.25" x14ac:dyDescent="0.2">
      <c r="B135" t="s">
        <v>6335</v>
      </c>
      <c r="C135">
        <v>100</v>
      </c>
      <c r="D135" t="str">
        <f t="shared" si="35"/>
        <v>18001IC04047152P CODO PLAST 1/4 X 4 MM</v>
      </c>
      <c r="E135" s="196">
        <f>+VLOOKUP(H135&amp;ALNAT[[#This Row],[N°]],CODIGOS_Y_COSTOS[[ID]:[COSTO]],7,0)</f>
        <v>932.21979999999996</v>
      </c>
      <c r="F135" s="196">
        <f t="shared" si="34"/>
        <v>93221.98</v>
      </c>
      <c r="G135" s="197">
        <v>156</v>
      </c>
      <c r="H135" t="s">
        <v>6316</v>
      </c>
      <c r="I135" s="198" t="str">
        <f>+H135&amp;ALNAT[[#This Row],[N°]]</f>
        <v>CONECTORES NUEVA INCORPORACION156</v>
      </c>
      <c r="J135" s="876" t="s">
        <v>7921</v>
      </c>
      <c r="K135" s="1428">
        <v>100</v>
      </c>
      <c r="L135" t="s">
        <v>10742</v>
      </c>
      <c r="M135" s="1">
        <f>+_xlfn.XLOOKUP(Tabla24[[#This Row],[CODIGO]],CODIGOS_Y_COSTOS[CODIGO],CODIGOS_Y_COSTOS[COSTO],0,0)</f>
        <v>230.7825</v>
      </c>
      <c r="N135" s="1">
        <f>+Tabla24[[#This Row],[Unitario]]*Tabla24[[#This Row],[CANTIDAD]]</f>
        <v>23078.25</v>
      </c>
      <c r="O135" s="13">
        <f>+VLOOKUP(Tabla24[[#This Row],[CODIGO]],B:H,6,0)</f>
        <v>15</v>
      </c>
      <c r="P135" t="str">
        <f>+VLOOKUP(Tabla24[[#This Row],[CODIGO]],B:H,7,0)</f>
        <v>ACCESORIOS DE BRONCE UNION POLIAMIDA</v>
      </c>
      <c r="S135" s="480" t="s">
        <v>9598</v>
      </c>
      <c r="T135" s="480" t="s">
        <v>9599</v>
      </c>
      <c r="U135" s="504">
        <v>1537.69815312324</v>
      </c>
      <c r="V135" s="89" t="s">
        <v>9337</v>
      </c>
      <c r="W135" s="90">
        <f t="shared" si="31"/>
        <v>1091.7656887175003</v>
      </c>
      <c r="AG135" s="490" t="s">
        <v>4537</v>
      </c>
      <c r="AH135" s="494" t="s">
        <v>4538</v>
      </c>
      <c r="AI135" s="181">
        <v>437.96582232480006</v>
      </c>
      <c r="AJ135" s="197">
        <v>93</v>
      </c>
      <c r="AK135" t="s">
        <v>4353</v>
      </c>
      <c r="AL135" s="1"/>
      <c r="AM135" s="1">
        <f t="shared" si="36"/>
        <v>0</v>
      </c>
      <c r="AN135" s="62">
        <f t="shared" si="32"/>
        <v>-1</v>
      </c>
    </row>
    <row r="136" spans="1:40" ht="14.25" x14ac:dyDescent="0.2">
      <c r="B136" t="s">
        <v>6338</v>
      </c>
      <c r="C136">
        <v>50</v>
      </c>
      <c r="D136" t="str">
        <f t="shared" si="35"/>
        <v>20001IC04206029X RECTA PLÁSTICA R 3/8 BSPT X 8 MM</v>
      </c>
      <c r="E136" s="196">
        <f>+VLOOKUP(H136&amp;ALNAT[[#This Row],[N°]],CODIGOS_Y_COSTOS[[ID]:[COSTO]],7,0)</f>
        <v>1180.7774999999999</v>
      </c>
      <c r="F136" s="196">
        <f t="shared" si="34"/>
        <v>59038.874999999993</v>
      </c>
      <c r="G136" s="197">
        <v>14</v>
      </c>
      <c r="H136" t="s">
        <v>6316</v>
      </c>
      <c r="I136" s="198" t="str">
        <f>+H136&amp;ALNAT[[#This Row],[N°]]</f>
        <v>CONECTORES NUEVA INCORPORACION14</v>
      </c>
      <c r="J136" s="876" t="s">
        <v>7939</v>
      </c>
      <c r="K136" s="1428">
        <v>30</v>
      </c>
      <c r="L136" t="s">
        <v>9801</v>
      </c>
      <c r="M136" s="1">
        <f>+_xlfn.XLOOKUP(Tabla24[[#This Row],[CODIGO]],CODIGOS_Y_COSTOS[CODIGO],CODIGOS_Y_COSTOS[COSTO],0,0)</f>
        <v>690.83</v>
      </c>
      <c r="N136" s="1">
        <f>+Tabla24[[#This Row],[Unitario]]*Tabla24[[#This Row],[CANTIDAD]]</f>
        <v>20724.900000000001</v>
      </c>
      <c r="O136" s="13">
        <f>+VLOOKUP(Tabla24[[#This Row],[CODIGO]],B:H,6,0)</f>
        <v>22</v>
      </c>
      <c r="P136" t="str">
        <f>+VLOOKUP(Tabla24[[#This Row],[CODIGO]],B:H,7,0)</f>
        <v>ACCESORIOS DE BRONCE UNION POLIAMIDA</v>
      </c>
      <c r="S136" s="480" t="s">
        <v>4385</v>
      </c>
      <c r="T136" s="480" t="s">
        <v>4386</v>
      </c>
      <c r="U136" s="504">
        <v>624.05665028571423</v>
      </c>
      <c r="V136" s="89" t="s">
        <v>9337</v>
      </c>
      <c r="W136" s="90">
        <f t="shared" si="31"/>
        <v>443.0802217028571</v>
      </c>
      <c r="AG136" s="491" t="s">
        <v>6317</v>
      </c>
      <c r="AH136" s="69" t="s">
        <v>6318</v>
      </c>
      <c r="AI136" s="60">
        <v>84.16633359362045</v>
      </c>
      <c r="AJ136" s="197">
        <v>3</v>
      </c>
      <c r="AK136" t="s">
        <v>6316</v>
      </c>
      <c r="AL136" s="1"/>
      <c r="AM136" s="1">
        <f t="shared" si="36"/>
        <v>0</v>
      </c>
      <c r="AN136" s="62">
        <f t="shared" si="32"/>
        <v>-1</v>
      </c>
    </row>
    <row r="137" spans="1:40" ht="14.25" x14ac:dyDescent="0.2">
      <c r="B137" t="s">
        <v>6341</v>
      </c>
      <c r="C137">
        <v>50</v>
      </c>
      <c r="D137" t="str">
        <f t="shared" si="35"/>
        <v>20001IC04026706K  RECTO PLAST 3/8 MANG 10 MM</v>
      </c>
      <c r="E137" s="196">
        <f>+VLOOKUP(H137&amp;ALNAT[[#This Row],[N°]],CODIGOS_Y_COSTOS[[ID]:[COSTO]],7,0)</f>
        <v>1204.875</v>
      </c>
      <c r="F137" s="196">
        <f t="shared" si="34"/>
        <v>60243.75</v>
      </c>
      <c r="G137" s="197">
        <v>15</v>
      </c>
      <c r="H137" t="s">
        <v>6316</v>
      </c>
      <c r="I137" s="198" t="str">
        <f>+H137&amp;ALNAT[[#This Row],[N°]]</f>
        <v>CONECTORES NUEVA INCORPORACION15</v>
      </c>
      <c r="J137" s="876" t="s">
        <v>7942</v>
      </c>
      <c r="K137" s="1428">
        <v>30</v>
      </c>
      <c r="L137" t="s">
        <v>9804</v>
      </c>
      <c r="M137" s="1">
        <f>+_xlfn.XLOOKUP(Tabla24[[#This Row],[CODIGO]],CODIGOS_Y_COSTOS[CODIGO],CODIGOS_Y_COSTOS[COSTO],0,0)</f>
        <v>868.99739999999997</v>
      </c>
      <c r="N137" s="1">
        <f>+Tabla24[[#This Row],[Unitario]]*Tabla24[[#This Row],[CANTIDAD]]</f>
        <v>26069.921999999999</v>
      </c>
      <c r="O137" s="13">
        <f>+VLOOKUP(Tabla24[[#This Row],[CODIGO]],B:H,6,0)</f>
        <v>23</v>
      </c>
      <c r="P137" t="str">
        <f>+VLOOKUP(Tabla24[[#This Row],[CODIGO]],B:H,7,0)</f>
        <v>ACCESORIOS DE BRONCE UNION POLIAMIDA</v>
      </c>
      <c r="S137" s="480" t="s">
        <v>9600</v>
      </c>
      <c r="T137" s="480" t="s">
        <v>9601</v>
      </c>
      <c r="U137" s="504">
        <v>1292.1773065769401</v>
      </c>
      <c r="V137" s="89" t="s">
        <v>9337</v>
      </c>
      <c r="W137" s="90">
        <f t="shared" si="31"/>
        <v>917.44588766962738</v>
      </c>
      <c r="AG137" s="490" t="s">
        <v>6320</v>
      </c>
      <c r="AH137" s="494" t="s">
        <v>6321</v>
      </c>
      <c r="AI137" s="181">
        <v>80.578916096187413</v>
      </c>
      <c r="AJ137" s="197">
        <v>7</v>
      </c>
      <c r="AK137" t="s">
        <v>6316</v>
      </c>
      <c r="AL137" s="1"/>
      <c r="AM137" s="1">
        <f t="shared" si="36"/>
        <v>0</v>
      </c>
      <c r="AN137" s="62">
        <f t="shared" si="32"/>
        <v>-1</v>
      </c>
    </row>
    <row r="138" spans="1:40" ht="14.25" x14ac:dyDescent="0.2">
      <c r="B138" t="s">
        <v>6344</v>
      </c>
      <c r="C138">
        <v>50</v>
      </c>
      <c r="D138" t="str">
        <f t="shared" si="35"/>
        <v>20001IC04026706K CONECC R PLAST 3/8 X 12</v>
      </c>
      <c r="E138" s="196">
        <f>+VLOOKUP(H138&amp;ALNAT[[#This Row],[N°]],CODIGOS_Y_COSTOS[[ID]:[COSTO]],7,0)</f>
        <v>661.50450000000001</v>
      </c>
      <c r="F138" s="196">
        <f t="shared" si="34"/>
        <v>33075.224999999999</v>
      </c>
      <c r="G138" s="197">
        <v>16</v>
      </c>
      <c r="H138" t="s">
        <v>6316</v>
      </c>
      <c r="I138" s="198" t="str">
        <f>+H138&amp;ALNAT[[#This Row],[N°]]</f>
        <v>CONECTORES NUEVA INCORPORACION16</v>
      </c>
      <c r="J138" s="876" t="s">
        <v>7951</v>
      </c>
      <c r="K138" s="1428">
        <v>30</v>
      </c>
      <c r="L138" t="s">
        <v>9888</v>
      </c>
      <c r="M138" s="1">
        <f>+_xlfn.XLOOKUP(Tabla24[[#This Row],[CODIGO]],CODIGOS_Y_COSTOS[CODIGO],CODIGOS_Y_COSTOS[COSTO],0,0)</f>
        <v>690.83</v>
      </c>
      <c r="N138" s="1">
        <f>+Tabla24[[#This Row],[Unitario]]*Tabla24[[#This Row],[CANTIDAD]]</f>
        <v>20724.900000000001</v>
      </c>
      <c r="O138" s="13">
        <f>+VLOOKUP(Tabla24[[#This Row],[CODIGO]],B:H,6,0)</f>
        <v>26</v>
      </c>
      <c r="P138" t="str">
        <f>+VLOOKUP(Tabla24[[#This Row],[CODIGO]],B:H,7,0)</f>
        <v>ACCESORIOS DE BRONCE UNION POLIAMIDA</v>
      </c>
      <c r="S138" s="480" t="s">
        <v>4388</v>
      </c>
      <c r="T138" s="480" t="s">
        <v>4389</v>
      </c>
      <c r="U138" s="504">
        <v>778.46453904761927</v>
      </c>
      <c r="V138" s="89" t="s">
        <v>9337</v>
      </c>
      <c r="W138" s="90">
        <f t="shared" si="31"/>
        <v>552.70982272380968</v>
      </c>
      <c r="AG138" s="491" t="s">
        <v>6323</v>
      </c>
      <c r="AH138" s="69" t="s">
        <v>6324</v>
      </c>
      <c r="AI138" s="60">
        <v>67.145417344261404</v>
      </c>
      <c r="AJ138" s="197">
        <v>96</v>
      </c>
      <c r="AK138" t="s">
        <v>6316</v>
      </c>
      <c r="AL138" s="1"/>
      <c r="AM138" s="1">
        <f t="shared" si="36"/>
        <v>0</v>
      </c>
      <c r="AN138" s="62">
        <f t="shared" si="32"/>
        <v>-1</v>
      </c>
    </row>
    <row r="139" spans="1:40" ht="14.25" x14ac:dyDescent="0.2">
      <c r="B139" t="s">
        <v>6347</v>
      </c>
      <c r="C139">
        <v>50</v>
      </c>
      <c r="D139" t="str">
        <f t="shared" si="35"/>
        <v>14 001 IC04 184811 P - RECTO RH 3/8 X 10</v>
      </c>
      <c r="E139" s="196">
        <f>+VLOOKUP(H139&amp;ALNAT[[#This Row],[N°]],CODIGOS_Y_COSTOS[[ID]:[COSTO]],7,0)</f>
        <v>1507.1012000000001</v>
      </c>
      <c r="F139" s="196">
        <f t="shared" si="34"/>
        <v>75355.06</v>
      </c>
      <c r="G139" s="197">
        <v>50</v>
      </c>
      <c r="H139" t="s">
        <v>6316</v>
      </c>
      <c r="I139" s="198" t="str">
        <f>+H139&amp;ALNAT[[#This Row],[N°]]</f>
        <v>CONECTORES NUEVA INCORPORACION50</v>
      </c>
      <c r="J139" s="876" t="s">
        <v>7954</v>
      </c>
      <c r="K139" s="1428">
        <v>30</v>
      </c>
      <c r="L139" s="195" t="s">
        <v>9524</v>
      </c>
      <c r="M139" s="1">
        <f>+_xlfn.XLOOKUP(Tabla24[[#This Row],[CODIGO]],CODIGOS_Y_COSTOS[CODIGO],CODIGOS_Y_COSTOS[COSTO],0,0)</f>
        <v>868.99739999999997</v>
      </c>
      <c r="N139" s="1">
        <f>+Tabla24[[#This Row],[Unitario]]*Tabla24[[#This Row],[CANTIDAD]]</f>
        <v>26069.921999999999</v>
      </c>
      <c r="O139" s="13">
        <f>+VLOOKUP(Tabla24[[#This Row],[CODIGO]],B:H,6,0)</f>
        <v>27</v>
      </c>
      <c r="P139" t="str">
        <f>+VLOOKUP(Tabla24[[#This Row],[CODIGO]],B:H,7,0)</f>
        <v>ACCESORIOS DE BRONCE UNION POLIAMIDA</v>
      </c>
      <c r="S139" s="480" t="s">
        <v>9602</v>
      </c>
      <c r="T139" s="480" t="s">
        <v>9603</v>
      </c>
      <c r="U139" s="504">
        <v>1527.7234595308857</v>
      </c>
      <c r="V139" s="89" t="s">
        <v>9337</v>
      </c>
      <c r="W139" s="90">
        <f t="shared" si="31"/>
        <v>1084.6836562669289</v>
      </c>
      <c r="AG139" s="490" t="s">
        <v>6326</v>
      </c>
      <c r="AH139" s="494" t="s">
        <v>6327</v>
      </c>
      <c r="AI139" s="181">
        <v>88.213123764972451</v>
      </c>
      <c r="AJ139" s="197">
        <v>107</v>
      </c>
      <c r="AK139" t="s">
        <v>6316</v>
      </c>
      <c r="AL139" s="1"/>
      <c r="AM139" s="1">
        <f t="shared" si="36"/>
        <v>0</v>
      </c>
      <c r="AN139" s="62">
        <f t="shared" si="32"/>
        <v>-1</v>
      </c>
    </row>
    <row r="140" spans="1:40" ht="14.25" x14ac:dyDescent="0.2">
      <c r="B140" t="s">
        <v>6350</v>
      </c>
      <c r="C140">
        <v>50</v>
      </c>
      <c r="D140" t="str">
        <f t="shared" si="35"/>
        <v>16091IC06000764W  CODO PLAST 3/8 X 8 MM</v>
      </c>
      <c r="E140" s="196">
        <f>+VLOOKUP(H140&amp;ALNAT[[#This Row],[N°]],CODIGOS_Y_COSTOS[[ID]:[COSTO]],7,0)</f>
        <v>1466.7568000000001</v>
      </c>
      <c r="F140" s="196">
        <f t="shared" si="34"/>
        <v>73337.840000000011</v>
      </c>
      <c r="G140" s="197">
        <v>165</v>
      </c>
      <c r="H140" s="39" t="s">
        <v>6316</v>
      </c>
      <c r="I140" s="198" t="str">
        <f>+H140&amp;ALNAT[[#This Row],[N°]]</f>
        <v>CONECTORES NUEVA INCORPORACION165</v>
      </c>
      <c r="J140" s="876" t="s">
        <v>7962</v>
      </c>
      <c r="K140" s="1428">
        <v>30</v>
      </c>
      <c r="L140" t="s">
        <v>9527</v>
      </c>
      <c r="M140" s="1">
        <f>+_xlfn.XLOOKUP(Tabla24[[#This Row],[CODIGO]],CODIGOS_Y_COSTOS[CODIGO],CODIGOS_Y_COSTOS[COSTO],0,0)</f>
        <v>1016.6064</v>
      </c>
      <c r="N140" s="1">
        <f>+Tabla24[[#This Row],[Unitario]]*Tabla24[[#This Row],[CANTIDAD]]</f>
        <v>30498.191999999999</v>
      </c>
      <c r="O140" s="13">
        <f>+VLOOKUP(Tabla24[[#This Row],[CODIGO]],B:H,6,0)</f>
        <v>32</v>
      </c>
      <c r="P140" t="str">
        <f>+VLOOKUP(Tabla24[[#This Row],[CODIGO]],B:H,7,0)</f>
        <v>ACCESORIOS DE BRONCE UNION POLIAMIDA</v>
      </c>
      <c r="S140" s="480" t="s">
        <v>4391</v>
      </c>
      <c r="T140" s="480" t="s">
        <v>4392</v>
      </c>
      <c r="U140" s="504">
        <v>999.7962198095239</v>
      </c>
      <c r="V140" s="89" t="s">
        <v>9337</v>
      </c>
      <c r="W140" s="90">
        <f t="shared" si="31"/>
        <v>709.85531606476195</v>
      </c>
      <c r="AG140" s="491" t="s">
        <v>6329</v>
      </c>
      <c r="AH140" s="69" t="s">
        <v>6330</v>
      </c>
      <c r="AI140" s="60">
        <v>72.576215524990715</v>
      </c>
      <c r="AJ140" s="197">
        <v>139</v>
      </c>
      <c r="AK140" s="39" t="s">
        <v>6316</v>
      </c>
      <c r="AL140" s="1"/>
      <c r="AM140" s="1">
        <f t="shared" si="36"/>
        <v>0</v>
      </c>
      <c r="AN140" s="62">
        <f t="shared" ref="AN140:AN182" si="37">+AM140/AI140-1</f>
        <v>-1</v>
      </c>
    </row>
    <row r="141" spans="1:40" ht="14.25" x14ac:dyDescent="0.2">
      <c r="B141" t="s">
        <v>6353</v>
      </c>
      <c r="C141">
        <v>50</v>
      </c>
      <c r="D141" t="str">
        <f t="shared" si="35"/>
        <v>20001IC04010074B CODO PLAS R 3/8 X 10 MM</v>
      </c>
      <c r="E141" s="196">
        <f>+VLOOKUP(H141&amp;ALNAT[[#This Row],[N°]],CODIGOS_Y_COSTOS[[ID]:[COSTO]],7,0)</f>
        <v>1494.0450000000001</v>
      </c>
      <c r="F141" s="196">
        <f t="shared" si="34"/>
        <v>74702.25</v>
      </c>
      <c r="G141" s="197">
        <v>166</v>
      </c>
      <c r="H141" s="39" t="s">
        <v>6316</v>
      </c>
      <c r="I141" s="198" t="str">
        <f>+H141&amp;ALNAT[[#This Row],[N°]]</f>
        <v>CONECTORES NUEVA INCORPORACION166</v>
      </c>
      <c r="J141" s="876" t="s">
        <v>7964</v>
      </c>
      <c r="K141" s="1428">
        <v>30</v>
      </c>
      <c r="L141" t="s">
        <v>9805</v>
      </c>
      <c r="M141" s="1">
        <f>+_xlfn.XLOOKUP(Tabla24[[#This Row],[CODIGO]],CODIGOS_Y_COSTOS[CODIGO],CODIGOS_Y_COSTOS[COSTO],0,0)</f>
        <v>1371.3436999999999</v>
      </c>
      <c r="N141" s="1">
        <f>+Tabla24[[#This Row],[Unitario]]*Tabla24[[#This Row],[CANTIDAD]]</f>
        <v>41140.310999999994</v>
      </c>
      <c r="O141" s="13">
        <f>+VLOOKUP(Tabla24[[#This Row],[CODIGO]],B:H,6,0)</f>
        <v>33</v>
      </c>
      <c r="P141" t="str">
        <f>+VLOOKUP(Tabla24[[#This Row],[CODIGO]],B:H,7,0)</f>
        <v>ACCESORIOS DE BRONCE UNION POLIAMIDA</v>
      </c>
      <c r="S141" s="480" t="s">
        <v>9604</v>
      </c>
      <c r="T141" s="480" t="s">
        <v>9605</v>
      </c>
      <c r="U141" s="504">
        <v>1553.6711937976611</v>
      </c>
      <c r="V141" s="89" t="s">
        <v>9337</v>
      </c>
      <c r="W141" s="90">
        <f t="shared" si="31"/>
        <v>1103.1065475963394</v>
      </c>
      <c r="AG141" s="490" t="s">
        <v>6332</v>
      </c>
      <c r="AH141" s="494" t="s">
        <v>6333</v>
      </c>
      <c r="AI141" s="181">
        <v>84.411358815864403</v>
      </c>
      <c r="AJ141" s="197">
        <v>152</v>
      </c>
      <c r="AK141" s="39" t="s">
        <v>6316</v>
      </c>
      <c r="AL141" s="1"/>
      <c r="AM141" s="1">
        <f t="shared" si="36"/>
        <v>0</v>
      </c>
      <c r="AN141" s="62">
        <f t="shared" si="37"/>
        <v>-1</v>
      </c>
    </row>
    <row r="142" spans="1:40" x14ac:dyDescent="0.2">
      <c r="A142" s="39"/>
      <c r="B142" t="s">
        <v>6356</v>
      </c>
      <c r="C142">
        <v>50</v>
      </c>
      <c r="D142" t="str">
        <f t="shared" si="35"/>
        <v>20001IC04206029X CODO PLAS R 3/8 X 12 MM</v>
      </c>
      <c r="E142" s="196">
        <f>+VLOOKUP(H142&amp;ALNAT[[#This Row],[N°]],CODIGOS_Y_COSTOS[[ID]:[COSTO]],7,0)</f>
        <v>1896.7568000000001</v>
      </c>
      <c r="F142" s="196">
        <f t="shared" si="34"/>
        <v>94837.840000000011</v>
      </c>
      <c r="G142" s="197">
        <v>167</v>
      </c>
      <c r="H142" s="83" t="s">
        <v>6316</v>
      </c>
      <c r="I142" s="198" t="str">
        <f>+H142&amp;ALNAT[[#This Row],[N°]]</f>
        <v>CONECTORES NUEVA INCORPORACION167</v>
      </c>
      <c r="S142" s="480" t="s">
        <v>4394</v>
      </c>
      <c r="T142" s="480" t="s">
        <v>4395</v>
      </c>
      <c r="U142" s="504">
        <v>1308.6046543673472</v>
      </c>
      <c r="V142" s="89" t="s">
        <v>9337</v>
      </c>
      <c r="W142" s="90">
        <f t="shared" si="31"/>
        <v>929.10930460081647</v>
      </c>
      <c r="AG142" s="491" t="s">
        <v>6335</v>
      </c>
      <c r="AH142" s="69" t="s">
        <v>6336</v>
      </c>
      <c r="AI142" s="60">
        <v>104.55680102400004</v>
      </c>
      <c r="AJ142" s="197">
        <v>156</v>
      </c>
      <c r="AK142" s="83" t="s">
        <v>6316</v>
      </c>
      <c r="AL142" s="1"/>
      <c r="AM142" s="1">
        <f t="shared" si="36"/>
        <v>0</v>
      </c>
      <c r="AN142" s="62">
        <f t="shared" si="37"/>
        <v>-1</v>
      </c>
    </row>
    <row r="143" spans="1:40" x14ac:dyDescent="0.2">
      <c r="B143" s="405" t="s">
        <v>6359</v>
      </c>
      <c r="C143" s="405">
        <v>50</v>
      </c>
      <c r="D143" s="405" t="str">
        <f t="shared" si="35"/>
        <v>CONECT RAP P/MAN RM 1/8 MANG 6</v>
      </c>
      <c r="E143" s="196">
        <f>+VLOOKUP(H143&amp;ALNAT[[#This Row],[N°]],CODIGOS_Y_COSTOS[[ID]:[COSTO]],7,0)</f>
        <v>1002.6444</v>
      </c>
      <c r="F143" s="738">
        <f t="shared" si="34"/>
        <v>50132.22</v>
      </c>
      <c r="G143" s="497">
        <v>240</v>
      </c>
      <c r="H143" s="39" t="s">
        <v>6316</v>
      </c>
      <c r="I143" s="198" t="str">
        <f>+H143&amp;ALNAT[[#This Row],[N°]]</f>
        <v>CONECTORES NUEVA INCORPORACION240</v>
      </c>
      <c r="S143" s="480" t="s">
        <v>9606</v>
      </c>
      <c r="T143" s="480" t="s">
        <v>9607</v>
      </c>
      <c r="U143" s="504">
        <v>1991.9000797270953</v>
      </c>
      <c r="V143" s="89" t="s">
        <v>9337</v>
      </c>
      <c r="W143" s="90">
        <f t="shared" si="31"/>
        <v>1414.2490566062377</v>
      </c>
      <c r="AG143" s="490" t="s">
        <v>6338</v>
      </c>
      <c r="AH143" s="494" t="s">
        <v>6339</v>
      </c>
      <c r="AI143" s="181">
        <v>160.29685199299101</v>
      </c>
      <c r="AJ143" s="197">
        <v>14</v>
      </c>
      <c r="AK143" s="39" t="s">
        <v>6316</v>
      </c>
      <c r="AL143" s="1"/>
      <c r="AM143" s="1">
        <f t="shared" si="36"/>
        <v>0</v>
      </c>
      <c r="AN143" s="62">
        <f t="shared" si="37"/>
        <v>-1</v>
      </c>
    </row>
    <row r="144" spans="1:40" x14ac:dyDescent="0.2">
      <c r="B144" s="405" t="s">
        <v>6362</v>
      </c>
      <c r="C144" s="405">
        <v>50</v>
      </c>
      <c r="D144" s="405" t="str">
        <f t="shared" si="35"/>
        <v>CONECT RAP P/MAN RM 1/8 MANG 8</v>
      </c>
      <c r="E144" s="196">
        <f>+VLOOKUP(H144&amp;ALNAT[[#This Row],[N°]],CODIGOS_Y_COSTOS[[ID]:[COSTO]],7,0)</f>
        <v>1120.8344</v>
      </c>
      <c r="F144" s="738">
        <f t="shared" si="34"/>
        <v>56041.72</v>
      </c>
      <c r="G144" s="497">
        <v>241</v>
      </c>
      <c r="H144" s="39" t="s">
        <v>6316</v>
      </c>
      <c r="I144" s="198" t="str">
        <f>+H144&amp;ALNAT[[#This Row],[N°]]</f>
        <v>CONECTORES NUEVA INCORPORACION241</v>
      </c>
      <c r="S144" s="480" t="s">
        <v>4397</v>
      </c>
      <c r="T144" s="480" t="s">
        <v>4398</v>
      </c>
      <c r="U144" s="504">
        <v>1286.5610704761905</v>
      </c>
      <c r="V144" s="89" t="s">
        <v>9337</v>
      </c>
      <c r="W144" s="90">
        <f t="shared" si="31"/>
        <v>913.45836003809518</v>
      </c>
      <c r="AG144" s="491" t="s">
        <v>6341</v>
      </c>
      <c r="AH144" s="69" t="s">
        <v>6342</v>
      </c>
      <c r="AI144" s="60">
        <v>176.25761906688001</v>
      </c>
      <c r="AJ144" s="197">
        <v>15</v>
      </c>
      <c r="AK144" s="39" t="s">
        <v>6316</v>
      </c>
      <c r="AL144" s="1"/>
      <c r="AM144" s="1">
        <f t="shared" si="36"/>
        <v>0</v>
      </c>
      <c r="AN144" s="62">
        <f t="shared" si="37"/>
        <v>-1</v>
      </c>
    </row>
    <row r="145" spans="2:44" x14ac:dyDescent="0.2">
      <c r="B145" s="405" t="s">
        <v>6365</v>
      </c>
      <c r="C145" s="405">
        <v>50</v>
      </c>
      <c r="D145" s="405" t="str">
        <f t="shared" si="35"/>
        <v>CONECT RAP P/MAN RM 1/4 MANG 8</v>
      </c>
      <c r="E145" s="196">
        <f>+VLOOKUP(H145&amp;ALNAT[[#This Row],[N°]],CODIGOS_Y_COSTOS[[ID]:[COSTO]],7,0)</f>
        <v>1123.0644</v>
      </c>
      <c r="F145" s="738">
        <f t="shared" si="34"/>
        <v>56153.22</v>
      </c>
      <c r="G145" s="497">
        <v>242</v>
      </c>
      <c r="H145" s="39" t="s">
        <v>6316</v>
      </c>
      <c r="I145" s="198" t="str">
        <f>+H145&amp;ALNAT[[#This Row],[N°]]</f>
        <v>CONECTORES NUEVA INCORPORACION242</v>
      </c>
      <c r="S145" s="480" t="s">
        <v>9608</v>
      </c>
      <c r="T145" s="480" t="s">
        <v>9609</v>
      </c>
      <c r="U145" s="504">
        <v>1956.482515475383</v>
      </c>
      <c r="V145" s="89" t="s">
        <v>9337</v>
      </c>
      <c r="W145" s="90">
        <f t="shared" si="31"/>
        <v>1389.1025859875219</v>
      </c>
      <c r="AG145" s="490" t="s">
        <v>6344</v>
      </c>
      <c r="AH145" s="494" t="s">
        <v>6345</v>
      </c>
      <c r="AI145" s="181">
        <v>193.27477108951177</v>
      </c>
      <c r="AJ145" s="197">
        <v>16</v>
      </c>
      <c r="AK145" s="39" t="s">
        <v>6316</v>
      </c>
      <c r="AL145" s="1"/>
      <c r="AM145" s="1">
        <f t="shared" si="36"/>
        <v>0</v>
      </c>
      <c r="AN145" s="62">
        <f t="shared" si="37"/>
        <v>-1</v>
      </c>
    </row>
    <row r="146" spans="2:44" x14ac:dyDescent="0.2">
      <c r="B146" s="405" t="s">
        <v>6368</v>
      </c>
      <c r="C146" s="405">
        <v>50</v>
      </c>
      <c r="D146" s="405" t="str">
        <f t="shared" si="35"/>
        <v>CONECT RAP P/MAN RM 1/4 MANG 10</v>
      </c>
      <c r="E146" s="196">
        <f>+VLOOKUP(H146&amp;ALNAT[[#This Row],[N°]],CODIGOS_Y_COSTOS[[ID]:[COSTO]],7,0)</f>
        <v>2174.2507000000001</v>
      </c>
      <c r="F146" s="738">
        <f t="shared" si="34"/>
        <v>108712.535</v>
      </c>
      <c r="G146" s="497">
        <v>243</v>
      </c>
      <c r="H146" s="39" t="s">
        <v>6316</v>
      </c>
      <c r="I146" s="198" t="str">
        <f>+H146&amp;ALNAT[[#This Row],[N°]]</f>
        <v>CONECTORES NUEVA INCORPORACION243</v>
      </c>
      <c r="S146" s="480" t="s">
        <v>4400</v>
      </c>
      <c r="T146" s="480" t="s">
        <v>4401</v>
      </c>
      <c r="U146" s="504">
        <v>1288.7199024761908</v>
      </c>
      <c r="V146" s="89" t="s">
        <v>9337</v>
      </c>
      <c r="W146" s="90">
        <f t="shared" si="31"/>
        <v>914.99113075809544</v>
      </c>
      <c r="AG146" s="491" t="s">
        <v>6347</v>
      </c>
      <c r="AH146" s="69" t="s">
        <v>6348</v>
      </c>
      <c r="AI146" s="60">
        <v>162.3168439992379</v>
      </c>
      <c r="AJ146" s="197">
        <v>50</v>
      </c>
      <c r="AK146" s="39" t="s">
        <v>6316</v>
      </c>
      <c r="AL146" s="1"/>
      <c r="AM146" s="1">
        <f t="shared" si="36"/>
        <v>0</v>
      </c>
      <c r="AN146" s="62">
        <f t="shared" si="37"/>
        <v>-1</v>
      </c>
    </row>
    <row r="147" spans="2:44" x14ac:dyDescent="0.2">
      <c r="B147" s="405" t="s">
        <v>6371</v>
      </c>
      <c r="C147" s="405">
        <v>25</v>
      </c>
      <c r="D147" s="405" t="str">
        <f t="shared" si="35"/>
        <v>14 001 IC04 135282 N CODO GIRATORIO 90º 1/8 X 6</v>
      </c>
      <c r="E147" s="196">
        <f>+VLOOKUP(H147&amp;ALNAT[[#This Row],[N°]],CODIGOS_Y_COSTOS[[ID]:[COSTO]],7,0)</f>
        <v>4297.0808999999999</v>
      </c>
      <c r="F147" s="738">
        <f t="shared" si="34"/>
        <v>107427.02249999999</v>
      </c>
      <c r="G147" s="497">
        <v>248</v>
      </c>
      <c r="H147" s="39" t="s">
        <v>6316</v>
      </c>
      <c r="I147" s="198" t="str">
        <f>+H147&amp;ALNAT[[#This Row],[N°]]</f>
        <v>CONECTORES NUEVA INCORPORACION248</v>
      </c>
      <c r="S147" s="480" t="s">
        <v>9610</v>
      </c>
      <c r="T147" s="480" t="s">
        <v>9611</v>
      </c>
      <c r="U147" s="504">
        <v>1910.9738625633231</v>
      </c>
      <c r="V147" s="89" t="s">
        <v>9337</v>
      </c>
      <c r="W147" s="90">
        <f t="shared" si="31"/>
        <v>1356.7914424199594</v>
      </c>
      <c r="AG147" s="490" t="s">
        <v>6350</v>
      </c>
      <c r="AH147" s="494" t="s">
        <v>6351</v>
      </c>
      <c r="AI147" s="181">
        <v>146.94062069485582</v>
      </c>
      <c r="AJ147" s="197">
        <v>165</v>
      </c>
      <c r="AK147" s="39" t="s">
        <v>6316</v>
      </c>
      <c r="AL147" s="1"/>
      <c r="AM147" s="1">
        <f t="shared" si="36"/>
        <v>0</v>
      </c>
      <c r="AN147" s="62">
        <f t="shared" si="37"/>
        <v>-1</v>
      </c>
    </row>
    <row r="148" spans="2:44" x14ac:dyDescent="0.2">
      <c r="B148" s="405" t="s">
        <v>6374</v>
      </c>
      <c r="C148" s="405">
        <v>25</v>
      </c>
      <c r="D148" s="405" t="str">
        <f t="shared" si="35"/>
        <v>14 001 IC04 135282 N CODO GIRATORIO 90º 1/8 X 8</v>
      </c>
      <c r="E148" s="196">
        <f>+VLOOKUP(H148&amp;ALNAT[[#This Row],[N°]],CODIGOS_Y_COSTOS[[ID]:[COSTO]],7,0)</f>
        <v>5013.2179999999998</v>
      </c>
      <c r="F148" s="738">
        <f t="shared" si="34"/>
        <v>125330.45</v>
      </c>
      <c r="G148" s="497">
        <v>249</v>
      </c>
      <c r="H148" s="39" t="s">
        <v>6316</v>
      </c>
      <c r="I148" s="198" t="str">
        <f>+H148&amp;ALNAT[[#This Row],[N°]]</f>
        <v>CONECTORES NUEVA INCORPORACION249</v>
      </c>
      <c r="S148" s="480" t="s">
        <v>9612</v>
      </c>
      <c r="T148" s="480" t="s">
        <v>9613</v>
      </c>
      <c r="U148" s="504">
        <v>1513.4440335238096</v>
      </c>
      <c r="V148" s="89" t="s">
        <v>9337</v>
      </c>
      <c r="W148" s="90">
        <f t="shared" si="31"/>
        <v>1074.5452638019049</v>
      </c>
      <c r="AG148" s="491" t="s">
        <v>6353</v>
      </c>
      <c r="AH148" s="69" t="s">
        <v>6354</v>
      </c>
      <c r="AI148" s="60">
        <v>182.234976768</v>
      </c>
      <c r="AJ148" s="197">
        <v>166</v>
      </c>
      <c r="AK148" s="39" t="s">
        <v>6316</v>
      </c>
      <c r="AL148" s="1"/>
      <c r="AM148" s="1">
        <f t="shared" si="36"/>
        <v>0</v>
      </c>
      <c r="AN148" s="62">
        <f t="shared" si="37"/>
        <v>-1</v>
      </c>
    </row>
    <row r="149" spans="2:44" x14ac:dyDescent="0.2">
      <c r="B149" s="405" t="s">
        <v>6377</v>
      </c>
      <c r="C149" s="405">
        <v>25</v>
      </c>
      <c r="D149" s="405" t="str">
        <f t="shared" si="35"/>
        <v>14 001 IC04 135282 N CODO GIRATORIO 90º 1/4 X 8</v>
      </c>
      <c r="E149" s="196">
        <f>+VLOOKUP(H149&amp;ALNAT[[#This Row],[N°]],CODIGOS_Y_COSTOS[[ID]:[COSTO]],7,0)</f>
        <v>5776.9422999999997</v>
      </c>
      <c r="F149" s="738">
        <f t="shared" si="34"/>
        <v>144423.5575</v>
      </c>
      <c r="G149" s="497">
        <v>251</v>
      </c>
      <c r="H149" s="39" t="s">
        <v>6316</v>
      </c>
      <c r="I149" s="198" t="str">
        <f>+H149&amp;ALNAT[[#This Row],[N°]]</f>
        <v>CONECTORES NUEVA INCORPORACION251</v>
      </c>
      <c r="S149" s="480" t="s">
        <v>9614</v>
      </c>
      <c r="T149" s="480" t="s">
        <v>9615</v>
      </c>
      <c r="U149" s="504">
        <v>2819.9980944434096</v>
      </c>
      <c r="V149" s="89" t="s">
        <v>9337</v>
      </c>
      <c r="W149" s="90">
        <f t="shared" si="31"/>
        <v>2002.1986470548206</v>
      </c>
      <c r="AG149" s="490" t="s">
        <v>6356</v>
      </c>
      <c r="AH149" s="494" t="s">
        <v>6357</v>
      </c>
      <c r="AI149" s="181">
        <v>190.42293066205104</v>
      </c>
      <c r="AJ149" s="197">
        <v>167</v>
      </c>
      <c r="AK149" s="39" t="s">
        <v>6316</v>
      </c>
      <c r="AL149" s="1"/>
      <c r="AM149" s="1">
        <f t="shared" si="36"/>
        <v>0</v>
      </c>
      <c r="AN149" s="62">
        <f t="shared" si="37"/>
        <v>-1</v>
      </c>
    </row>
    <row r="150" spans="2:44" x14ac:dyDescent="0.2">
      <c r="B150" s="405" t="s">
        <v>6380</v>
      </c>
      <c r="C150" s="405">
        <v>50</v>
      </c>
      <c r="D150" s="405" t="str">
        <f t="shared" si="35"/>
        <v>14 001 IC04 135282 N UNION TRIPLE RAPIDA 6 MM</v>
      </c>
      <c r="E150" s="196">
        <f>+VLOOKUP(H150&amp;ALNAT[[#This Row],[N°]],CODIGOS_Y_COSTOS[[ID]:[COSTO]],7,0)</f>
        <v>4488.7232000000004</v>
      </c>
      <c r="F150" s="738">
        <f t="shared" si="34"/>
        <v>224436.16000000003</v>
      </c>
      <c r="G150" s="497">
        <v>256</v>
      </c>
      <c r="H150" s="39" t="s">
        <v>6316</v>
      </c>
      <c r="I150" s="198" t="str">
        <f>+H150&amp;ALNAT[[#This Row],[N°]]</f>
        <v>CONECTORES NUEVA INCORPORACION256</v>
      </c>
      <c r="S150" s="480" t="s">
        <v>9616</v>
      </c>
      <c r="T150" s="480" t="s">
        <v>9617</v>
      </c>
      <c r="U150" s="504">
        <v>1513.4440335238096</v>
      </c>
      <c r="V150" s="89" t="s">
        <v>9337</v>
      </c>
      <c r="W150" s="90">
        <f t="shared" si="31"/>
        <v>1074.5452638019049</v>
      </c>
      <c r="AG150" s="491" t="s">
        <v>6359</v>
      </c>
      <c r="AH150" s="69" t="s">
        <v>6360</v>
      </c>
      <c r="AI150" s="60">
        <v>190.19368928269574</v>
      </c>
      <c r="AJ150" s="497">
        <v>240</v>
      </c>
      <c r="AK150" s="39" t="s">
        <v>6316</v>
      </c>
      <c r="AL150" s="1"/>
      <c r="AM150" s="1">
        <f t="shared" si="36"/>
        <v>0</v>
      </c>
      <c r="AN150" s="62">
        <f t="shared" si="37"/>
        <v>-1</v>
      </c>
      <c r="AO150" s="62">
        <v>1</v>
      </c>
      <c r="AP150" s="498">
        <f t="shared" ref="AP150:AP163" si="38">+(AO150+1)*AI150</f>
        <v>380.38737856539149</v>
      </c>
      <c r="AQ150" s="1"/>
      <c r="AR150" s="62"/>
    </row>
    <row r="151" spans="2:44" x14ac:dyDescent="0.2">
      <c r="B151" s="405" t="s">
        <v>6383</v>
      </c>
      <c r="C151" s="405">
        <v>30</v>
      </c>
      <c r="D151" s="405" t="str">
        <f t="shared" si="35"/>
        <v>14 001 IC04 135282 N UNION TRIPLE RAPIDA 8 MM</v>
      </c>
      <c r="E151" s="196">
        <f>+VLOOKUP(H151&amp;ALNAT[[#This Row],[N°]],CODIGOS_Y_COSTOS[[ID]:[COSTO]],7,0)</f>
        <v>5872.3755000000001</v>
      </c>
      <c r="F151" s="738">
        <f t="shared" si="34"/>
        <v>176171.26500000001</v>
      </c>
      <c r="G151" s="497">
        <v>257</v>
      </c>
      <c r="H151" s="39" t="s">
        <v>6316</v>
      </c>
      <c r="I151" s="198" t="str">
        <f>+H151&amp;ALNAT[[#This Row],[N°]]</f>
        <v>CONECTORES NUEVA INCORPORACION257</v>
      </c>
      <c r="S151" s="480" t="s">
        <v>9618</v>
      </c>
      <c r="T151" s="480" t="s">
        <v>9619</v>
      </c>
      <c r="U151" s="504">
        <v>2819.9980944434096</v>
      </c>
      <c r="V151" s="89" t="s">
        <v>9337</v>
      </c>
      <c r="W151" s="90">
        <f t="shared" si="31"/>
        <v>2002.1986470548206</v>
      </c>
      <c r="AG151" s="490" t="s">
        <v>6362</v>
      </c>
      <c r="AH151" s="494" t="s">
        <v>6363</v>
      </c>
      <c r="AI151" s="181">
        <v>217.21126210450402</v>
      </c>
      <c r="AJ151" s="497">
        <v>241</v>
      </c>
      <c r="AK151" s="39" t="s">
        <v>6316</v>
      </c>
      <c r="AL151" s="1"/>
      <c r="AM151" s="1">
        <f t="shared" si="36"/>
        <v>0</v>
      </c>
      <c r="AN151" s="62">
        <f t="shared" si="37"/>
        <v>-1</v>
      </c>
      <c r="AO151" s="62">
        <v>1</v>
      </c>
      <c r="AP151" s="498">
        <f t="shared" si="38"/>
        <v>434.42252420900803</v>
      </c>
      <c r="AQ151" s="1"/>
      <c r="AR151" s="62"/>
    </row>
    <row r="152" spans="2:44" x14ac:dyDescent="0.2">
      <c r="B152" s="405" t="s">
        <v>6386</v>
      </c>
      <c r="C152" s="405">
        <v>50</v>
      </c>
      <c r="D152" s="405" t="str">
        <f t="shared" si="35"/>
        <v>14 001 IC04 135282 N UNION CODO RAPIDA 6 MM</v>
      </c>
      <c r="E152" s="196">
        <f>+VLOOKUP(H152&amp;ALNAT[[#This Row],[N°]],CODIGOS_Y_COSTOS[[ID]:[COSTO]],7,0)</f>
        <v>4153.5432000000001</v>
      </c>
      <c r="F152" s="738">
        <f t="shared" si="34"/>
        <v>207677.16</v>
      </c>
      <c r="G152" s="497">
        <v>263</v>
      </c>
      <c r="H152" s="39" t="s">
        <v>6316</v>
      </c>
      <c r="I152" s="198" t="str">
        <f>+H152&amp;ALNAT[[#This Row],[N°]]</f>
        <v>CONECTORES NUEVA INCORPORACION263</v>
      </c>
      <c r="S152" s="480" t="s">
        <v>4403</v>
      </c>
      <c r="T152" s="480" t="s">
        <v>4404</v>
      </c>
      <c r="U152" s="504">
        <v>1627.2967211428575</v>
      </c>
      <c r="V152" s="89" t="s">
        <v>9337</v>
      </c>
      <c r="W152" s="90">
        <f t="shared" si="31"/>
        <v>1155.3806720114287</v>
      </c>
      <c r="AG152" s="491" t="s">
        <v>6365</v>
      </c>
      <c r="AH152" s="69" t="s">
        <v>6366</v>
      </c>
      <c r="AI152" s="60">
        <v>216.4139475608587</v>
      </c>
      <c r="AJ152" s="497">
        <v>242</v>
      </c>
      <c r="AK152" s="39" t="s">
        <v>6316</v>
      </c>
      <c r="AL152" s="1"/>
      <c r="AM152" s="1">
        <f t="shared" si="36"/>
        <v>0</v>
      </c>
      <c r="AN152" s="62">
        <f t="shared" si="37"/>
        <v>-1</v>
      </c>
      <c r="AO152" s="62">
        <v>1</v>
      </c>
      <c r="AP152" s="498">
        <f t="shared" si="38"/>
        <v>432.8278951217174</v>
      </c>
      <c r="AQ152" s="1"/>
      <c r="AR152" s="62"/>
    </row>
    <row r="153" spans="2:44" x14ac:dyDescent="0.2">
      <c r="B153" s="405" t="s">
        <v>6389</v>
      </c>
      <c r="C153" s="405">
        <v>30</v>
      </c>
      <c r="D153" s="405" t="str">
        <f t="shared" si="35"/>
        <v>14 001 IC04 135282 N UNION CODO RAPIDA 8 MM</v>
      </c>
      <c r="E153" s="196">
        <f>+VLOOKUP(H153&amp;ALNAT[[#This Row],[N°]],CODIGOS_Y_COSTOS[[ID]:[COSTO]],7,0)</f>
        <v>5250.8958000000002</v>
      </c>
      <c r="F153" s="738">
        <f t="shared" si="34"/>
        <v>157526.87400000001</v>
      </c>
      <c r="G153" s="497">
        <v>264</v>
      </c>
      <c r="H153" s="39" t="s">
        <v>6316</v>
      </c>
      <c r="I153" s="198" t="str">
        <f>+H153&amp;ALNAT[[#This Row],[N°]]</f>
        <v>CONECTORES NUEVA INCORPORACION264</v>
      </c>
      <c r="S153" s="480" t="s">
        <v>9620</v>
      </c>
      <c r="T153" s="480" t="s">
        <v>9621</v>
      </c>
      <c r="U153" s="504">
        <v>2894.6398579386314</v>
      </c>
      <c r="V153" s="89" t="s">
        <v>9337</v>
      </c>
      <c r="W153" s="90">
        <f t="shared" ref="W153:W216" si="39">+IF(V153="Nacional",(1-$AA$1)*U153,(1-$AA$2)*U153)</f>
        <v>2055.1942991364281</v>
      </c>
      <c r="AG153" s="490" t="s">
        <v>6368</v>
      </c>
      <c r="AH153" s="494" t="s">
        <v>6369</v>
      </c>
      <c r="AI153" s="181">
        <v>349.99830424474032</v>
      </c>
      <c r="AJ153" s="497">
        <v>243</v>
      </c>
      <c r="AK153" s="39" t="s">
        <v>6316</v>
      </c>
      <c r="AL153" s="1"/>
      <c r="AM153" s="1">
        <f t="shared" si="36"/>
        <v>0</v>
      </c>
      <c r="AN153" s="62">
        <f t="shared" si="37"/>
        <v>-1</v>
      </c>
      <c r="AO153" s="62">
        <v>1</v>
      </c>
      <c r="AP153" s="498">
        <f t="shared" si="38"/>
        <v>699.99660848948065</v>
      </c>
      <c r="AQ153" s="1"/>
      <c r="AR153" s="62"/>
    </row>
    <row r="154" spans="2:44" x14ac:dyDescent="0.2">
      <c r="B154" s="405" t="s">
        <v>6392</v>
      </c>
      <c r="C154" s="405">
        <v>30</v>
      </c>
      <c r="D154" s="405" t="str">
        <f t="shared" si="35"/>
        <v>UNIONES DOBLES RAPIDAS 6 MM</v>
      </c>
      <c r="E154" s="196">
        <f>+VLOOKUP(H154&amp;ALNAT[[#This Row],[N°]],CODIGOS_Y_COSTOS[[ID]:[COSTO]],7,0)</f>
        <v>2019.7556</v>
      </c>
      <c r="F154" s="738">
        <f t="shared" si="34"/>
        <v>60592.667999999998</v>
      </c>
      <c r="G154" s="497">
        <v>274</v>
      </c>
      <c r="H154" s="39" t="s">
        <v>6316</v>
      </c>
      <c r="I154" s="198" t="str">
        <f>+H154&amp;ALNAT[[#This Row],[N°]]</f>
        <v>CONECTORES NUEVA INCORPORACION274</v>
      </c>
      <c r="S154" s="480" t="s">
        <v>4406</v>
      </c>
      <c r="T154" s="480" t="s">
        <v>4407</v>
      </c>
      <c r="U154" s="504">
        <v>1787.9241020952381</v>
      </c>
      <c r="V154" s="89" t="s">
        <v>9337</v>
      </c>
      <c r="W154" s="90">
        <f t="shared" si="39"/>
        <v>1269.4261124876191</v>
      </c>
      <c r="AG154" s="491" t="s">
        <v>6371</v>
      </c>
      <c r="AH154" s="69" t="s">
        <v>6372</v>
      </c>
      <c r="AI154" s="60">
        <v>354.72971328601267</v>
      </c>
      <c r="AJ154" s="497">
        <v>248</v>
      </c>
      <c r="AK154" s="39" t="s">
        <v>6316</v>
      </c>
      <c r="AL154" s="1"/>
      <c r="AM154" s="1">
        <f t="shared" si="36"/>
        <v>0</v>
      </c>
      <c r="AN154" s="62">
        <f t="shared" si="37"/>
        <v>-1</v>
      </c>
      <c r="AO154" s="62">
        <v>1</v>
      </c>
      <c r="AP154" s="498">
        <f t="shared" si="38"/>
        <v>709.45942657202534</v>
      </c>
      <c r="AQ154" s="1"/>
      <c r="AR154" s="62"/>
    </row>
    <row r="155" spans="2:44" x14ac:dyDescent="0.2">
      <c r="B155" s="405" t="s">
        <v>6395</v>
      </c>
      <c r="C155" s="405">
        <v>30</v>
      </c>
      <c r="D155" s="405" t="str">
        <f t="shared" si="35"/>
        <v>UNIONES DOBLES RAPIDAS 8 MM</v>
      </c>
      <c r="E155" s="196">
        <f>+VLOOKUP(H155&amp;ALNAT[[#This Row],[N°]],CODIGOS_Y_COSTOS[[ID]:[COSTO]],7,0)</f>
        <v>2247.2156</v>
      </c>
      <c r="F155" s="738">
        <f t="shared" si="34"/>
        <v>67416.467999999993</v>
      </c>
      <c r="G155" s="497">
        <v>275</v>
      </c>
      <c r="H155" s="39" t="s">
        <v>6316</v>
      </c>
      <c r="I155" s="198" t="str">
        <f>+H155&amp;ALNAT[[#This Row],[N°]]</f>
        <v>CONECTORES NUEVA INCORPORACION275</v>
      </c>
      <c r="S155" s="480" t="s">
        <v>9622</v>
      </c>
      <c r="T155" s="480" t="s">
        <v>9623</v>
      </c>
      <c r="U155" s="504">
        <v>2884.7633447053113</v>
      </c>
      <c r="V155" s="89" t="s">
        <v>9337</v>
      </c>
      <c r="W155" s="90">
        <f t="shared" si="39"/>
        <v>2048.1819747407708</v>
      </c>
      <c r="AG155" s="490" t="s">
        <v>6374</v>
      </c>
      <c r="AH155" s="494" t="s">
        <v>6375</v>
      </c>
      <c r="AI155" s="181">
        <v>413.84777383906538</v>
      </c>
      <c r="AJ155" s="497">
        <v>249</v>
      </c>
      <c r="AK155" s="39" t="s">
        <v>6316</v>
      </c>
      <c r="AL155" s="1"/>
      <c r="AM155" s="1">
        <f t="shared" si="36"/>
        <v>0</v>
      </c>
      <c r="AN155" s="62">
        <f t="shared" si="37"/>
        <v>-1</v>
      </c>
      <c r="AO155" s="62">
        <v>1</v>
      </c>
      <c r="AP155" s="498">
        <f t="shared" si="38"/>
        <v>827.69554767813077</v>
      </c>
      <c r="AQ155" s="1"/>
      <c r="AR155" s="62"/>
    </row>
    <row r="156" spans="2:44" x14ac:dyDescent="0.2">
      <c r="B156" s="405" t="s">
        <v>6398</v>
      </c>
      <c r="C156" s="405">
        <v>30</v>
      </c>
      <c r="D156" s="405" t="str">
        <f t="shared" si="35"/>
        <v>UNIONES DOBLES RAPIDAS 10 MM</v>
      </c>
      <c r="E156" s="196">
        <f>+VLOOKUP(H156&amp;ALNAT[[#This Row],[N°]],CODIGOS_Y_COSTOS[[ID]:[COSTO]],7,0)</f>
        <v>3550.9162000000001</v>
      </c>
      <c r="F156" s="738">
        <f t="shared" si="34"/>
        <v>106527.486</v>
      </c>
      <c r="G156" s="497">
        <v>276</v>
      </c>
      <c r="H156" s="39" t="s">
        <v>6316</v>
      </c>
      <c r="I156" s="198" t="str">
        <f>+H156&amp;ALNAT[[#This Row],[N°]]</f>
        <v>CONECTORES NUEVA INCORPORACION276</v>
      </c>
      <c r="S156" s="480" t="s">
        <v>4376</v>
      </c>
      <c r="T156" s="480" t="s">
        <v>4377</v>
      </c>
      <c r="U156" s="504">
        <v>832.79514438095248</v>
      </c>
      <c r="V156" s="89" t="s">
        <v>9337</v>
      </c>
      <c r="W156" s="90">
        <f t="shared" si="39"/>
        <v>591.28455251047626</v>
      </c>
      <c r="AG156" s="491" t="s">
        <v>6377</v>
      </c>
      <c r="AH156" s="69" t="s">
        <v>6378</v>
      </c>
      <c r="AI156" s="60">
        <v>476.8942284483698</v>
      </c>
      <c r="AJ156" s="497">
        <v>251</v>
      </c>
      <c r="AK156" s="39" t="s">
        <v>6316</v>
      </c>
      <c r="AL156" s="1"/>
      <c r="AM156" s="1">
        <f t="shared" si="36"/>
        <v>0</v>
      </c>
      <c r="AN156" s="62">
        <f t="shared" si="37"/>
        <v>-1</v>
      </c>
      <c r="AO156" s="62">
        <v>1</v>
      </c>
      <c r="AP156" s="498">
        <f t="shared" si="38"/>
        <v>953.7884568967396</v>
      </c>
      <c r="AQ156" s="1"/>
      <c r="AR156" s="62"/>
    </row>
    <row r="157" spans="2:44" x14ac:dyDescent="0.2">
      <c r="B157" t="s">
        <v>6401</v>
      </c>
      <c r="C157">
        <v>50</v>
      </c>
      <c r="D157" t="str">
        <f t="shared" si="35"/>
        <v>19001IC04179295H  RECTA PLÁST R 1/8 BSPT X 1/4 MAN</v>
      </c>
      <c r="E157" s="196">
        <f>+VLOOKUP(H157&amp;ALNAT[[#This Row],[N°]],CODIGOS_Y_COSTOS[[ID]:[COSTO]],7,0)</f>
        <v>478.7937</v>
      </c>
      <c r="F157" s="196">
        <f t="shared" si="34"/>
        <v>23939.685000000001</v>
      </c>
      <c r="G157" s="197">
        <v>300</v>
      </c>
      <c r="H157" s="39" t="s">
        <v>6316</v>
      </c>
      <c r="I157" s="198" t="str">
        <f>+H157&amp;ALNAT[[#This Row],[N°]]</f>
        <v>CONECTORES NUEVA INCORPORACION300</v>
      </c>
      <c r="S157" s="480" t="s">
        <v>9624</v>
      </c>
      <c r="T157" s="480" t="s">
        <v>9625</v>
      </c>
      <c r="U157" s="504">
        <v>1304.7719804028841</v>
      </c>
      <c r="V157" s="89" t="s">
        <v>9337</v>
      </c>
      <c r="W157" s="90">
        <f t="shared" si="39"/>
        <v>926.38810608604763</v>
      </c>
      <c r="AG157" s="490" t="s">
        <v>6380</v>
      </c>
      <c r="AH157" s="494" t="s">
        <v>6381</v>
      </c>
      <c r="AI157" s="181">
        <v>370.5500393495056</v>
      </c>
      <c r="AJ157" s="497">
        <v>256</v>
      </c>
      <c r="AK157" s="39" t="s">
        <v>6316</v>
      </c>
      <c r="AL157" s="1"/>
      <c r="AM157" s="1">
        <f t="shared" si="36"/>
        <v>0</v>
      </c>
      <c r="AN157" s="62">
        <f t="shared" si="37"/>
        <v>-1</v>
      </c>
      <c r="AO157" s="62">
        <v>1</v>
      </c>
      <c r="AP157" s="498">
        <f t="shared" si="38"/>
        <v>741.10007869901119</v>
      </c>
      <c r="AQ157" s="1"/>
      <c r="AR157" s="62"/>
    </row>
    <row r="158" spans="2:44" x14ac:dyDescent="0.2">
      <c r="B158" t="s">
        <v>6404</v>
      </c>
      <c r="C158">
        <v>50</v>
      </c>
      <c r="D158" t="str">
        <f t="shared" si="35"/>
        <v>20001IC04164806Y  RECTA PLÁST R 1/4 BSPT X 3/8 MAN</v>
      </c>
      <c r="E158" s="196">
        <f>+VLOOKUP(H158&amp;ALNAT[[#This Row],[N°]],CODIGOS_Y_COSTOS[[ID]:[COSTO]],7,0)</f>
        <v>820.78920000000005</v>
      </c>
      <c r="F158" s="196">
        <f t="shared" si="34"/>
        <v>41039.46</v>
      </c>
      <c r="G158" s="197">
        <v>304</v>
      </c>
      <c r="H158" s="39" t="s">
        <v>6316</v>
      </c>
      <c r="I158" s="198" t="str">
        <f>+H158&amp;ALNAT[[#This Row],[N°]]</f>
        <v>CONECTORES NUEVA INCORPORACION304</v>
      </c>
      <c r="S158" s="480" t="s">
        <v>4379</v>
      </c>
      <c r="T158" s="480" t="s">
        <v>4380</v>
      </c>
      <c r="U158" s="504">
        <v>1006.7353226666669</v>
      </c>
      <c r="V158" s="89" t="s">
        <v>9337</v>
      </c>
      <c r="W158" s="90">
        <f t="shared" si="39"/>
        <v>714.78207909333344</v>
      </c>
      <c r="AG158" s="491" t="s">
        <v>6383</v>
      </c>
      <c r="AH158" s="69" t="s">
        <v>6384</v>
      </c>
      <c r="AI158" s="60">
        <v>484.7723665285709</v>
      </c>
      <c r="AJ158" s="497">
        <v>257</v>
      </c>
      <c r="AK158" s="39" t="s">
        <v>6316</v>
      </c>
      <c r="AL158" s="1"/>
      <c r="AM158" s="1">
        <f t="shared" si="36"/>
        <v>0</v>
      </c>
      <c r="AN158" s="62">
        <f t="shared" si="37"/>
        <v>-1</v>
      </c>
      <c r="AO158" s="62">
        <v>1</v>
      </c>
      <c r="AP158" s="498">
        <f t="shared" si="38"/>
        <v>969.5447330571418</v>
      </c>
      <c r="AQ158" s="1"/>
      <c r="AR158" s="62"/>
    </row>
    <row r="159" spans="2:44" x14ac:dyDescent="0.2">
      <c r="B159" t="s">
        <v>6407</v>
      </c>
      <c r="C159">
        <v>50</v>
      </c>
      <c r="D159" t="str">
        <f t="shared" si="35"/>
        <v>19001IC04030938U RECTA PLÁST R 1/4 BSPT X 1/2 MANG</v>
      </c>
      <c r="E159" s="196">
        <f>+VLOOKUP(H159&amp;ALNAT[[#This Row],[N°]],CODIGOS_Y_COSTOS[[ID]:[COSTO]],7,0)</f>
        <v>1620.1782000000001</v>
      </c>
      <c r="F159" s="196">
        <f t="shared" si="34"/>
        <v>81008.91</v>
      </c>
      <c r="G159" s="197">
        <v>305</v>
      </c>
      <c r="H159" s="39" t="s">
        <v>6316</v>
      </c>
      <c r="I159" s="198" t="str">
        <f>+H159&amp;ALNAT[[#This Row],[N°]]</f>
        <v>CONECTORES NUEVA INCORPORACION305</v>
      </c>
      <c r="S159" s="480" t="s">
        <v>9626</v>
      </c>
      <c r="T159" s="480" t="s">
        <v>9627</v>
      </c>
      <c r="U159" s="504">
        <v>1602.2657709498667</v>
      </c>
      <c r="V159" s="89" t="s">
        <v>9337</v>
      </c>
      <c r="W159" s="90">
        <f t="shared" si="39"/>
        <v>1137.6086973744052</v>
      </c>
      <c r="AG159" s="490" t="s">
        <v>6386</v>
      </c>
      <c r="AH159" s="494" t="s">
        <v>6387</v>
      </c>
      <c r="AI159" s="181">
        <v>342.88048121416574</v>
      </c>
      <c r="AJ159" s="497">
        <v>263</v>
      </c>
      <c r="AK159" s="39" t="s">
        <v>6316</v>
      </c>
      <c r="AL159" s="1"/>
      <c r="AM159" s="1">
        <f t="shared" si="36"/>
        <v>0</v>
      </c>
      <c r="AN159" s="62">
        <f t="shared" si="37"/>
        <v>-1</v>
      </c>
      <c r="AO159" s="62">
        <v>1</v>
      </c>
      <c r="AP159" s="498">
        <f t="shared" si="38"/>
        <v>685.76096242833148</v>
      </c>
      <c r="AQ159" s="1"/>
      <c r="AR159" s="62"/>
    </row>
    <row r="160" spans="2:44" x14ac:dyDescent="0.2">
      <c r="B160" t="s">
        <v>6410</v>
      </c>
      <c r="C160">
        <v>50</v>
      </c>
      <c r="D160" t="str">
        <f t="shared" si="35"/>
        <v>20001IC04206029X UNIÓN TRIPLE PLÁSTICA 1/4 MANG</v>
      </c>
      <c r="E160" s="196">
        <f>+VLOOKUP(H160&amp;ALNAT[[#This Row],[N°]],CODIGOS_Y_COSTOS[[ID]:[COSTO]],7,0)</f>
        <v>341.99549999999999</v>
      </c>
      <c r="F160" s="196">
        <f t="shared" si="34"/>
        <v>17099.775000000001</v>
      </c>
      <c r="G160" s="197">
        <v>317</v>
      </c>
      <c r="H160" s="39" t="s">
        <v>6316</v>
      </c>
      <c r="I160" s="198" t="str">
        <f>+H160&amp;ALNAT[[#This Row],[N°]]</f>
        <v>CONECTORES NUEVA INCORPORACION317</v>
      </c>
      <c r="S160" s="480" t="s">
        <v>9628</v>
      </c>
      <c r="T160" s="480" t="s">
        <v>9629</v>
      </c>
      <c r="U160" s="504">
        <v>1308.6046543673472</v>
      </c>
      <c r="V160" s="89" t="s">
        <v>9337</v>
      </c>
      <c r="W160" s="90">
        <f t="shared" si="39"/>
        <v>929.10930460081647</v>
      </c>
      <c r="AG160" s="491" t="s">
        <v>6389</v>
      </c>
      <c r="AH160" s="69" t="s">
        <v>6390</v>
      </c>
      <c r="AI160" s="60">
        <v>433.46839415262792</v>
      </c>
      <c r="AJ160" s="497">
        <v>264</v>
      </c>
      <c r="AK160" s="39" t="s">
        <v>6316</v>
      </c>
      <c r="AL160" s="1"/>
      <c r="AM160" s="1">
        <f t="shared" si="36"/>
        <v>0</v>
      </c>
      <c r="AN160" s="62">
        <f t="shared" si="37"/>
        <v>-1</v>
      </c>
      <c r="AO160" s="62">
        <v>1</v>
      </c>
      <c r="AP160" s="498">
        <f t="shared" si="38"/>
        <v>866.93678830525585</v>
      </c>
      <c r="AQ160" s="1"/>
      <c r="AR160" s="62"/>
    </row>
    <row r="161" spans="2:44" x14ac:dyDescent="0.2">
      <c r="B161" t="s">
        <v>6413</v>
      </c>
      <c r="C161">
        <v>50</v>
      </c>
      <c r="D161" t="str">
        <f t="shared" si="35"/>
        <v>16001IC04005051H UNIÓN TRIPLE PLÁSTICA 3/8 MANG</v>
      </c>
      <c r="E161" s="196">
        <f>+VLOOKUP(H161&amp;ALNAT[[#This Row],[N°]],CODIGOS_Y_COSTOS[[ID]:[COSTO]],7,0)</f>
        <v>478.7937</v>
      </c>
      <c r="F161" s="196">
        <f t="shared" si="34"/>
        <v>23939.685000000001</v>
      </c>
      <c r="G161" s="197">
        <v>319</v>
      </c>
      <c r="H161" s="39" t="s">
        <v>6316</v>
      </c>
      <c r="I161" s="198" t="str">
        <f>+H161&amp;ALNAT[[#This Row],[N°]]</f>
        <v>CONECTORES NUEVA INCORPORACION319</v>
      </c>
      <c r="S161" s="480" t="s">
        <v>9630</v>
      </c>
      <c r="T161" s="480" t="s">
        <v>9631</v>
      </c>
      <c r="U161" s="504">
        <v>1991.9000797270953</v>
      </c>
      <c r="V161" s="89" t="s">
        <v>9337</v>
      </c>
      <c r="W161" s="90">
        <f t="shared" si="39"/>
        <v>1414.2490566062377</v>
      </c>
      <c r="AG161" s="490" t="s">
        <v>6392</v>
      </c>
      <c r="AH161" s="494" t="s">
        <v>6393</v>
      </c>
      <c r="AI161" s="181">
        <v>330.17725043443789</v>
      </c>
      <c r="AJ161" s="497">
        <v>274</v>
      </c>
      <c r="AK161" s="39" t="s">
        <v>6316</v>
      </c>
      <c r="AL161" s="1"/>
      <c r="AM161" s="1">
        <f t="shared" si="36"/>
        <v>0</v>
      </c>
      <c r="AN161" s="62">
        <f t="shared" si="37"/>
        <v>-1</v>
      </c>
      <c r="AO161" s="62">
        <v>1</v>
      </c>
      <c r="AP161" s="498">
        <f t="shared" si="38"/>
        <v>660.35450086887579</v>
      </c>
      <c r="AQ161" s="1"/>
      <c r="AR161" s="62"/>
    </row>
    <row r="162" spans="2:44" x14ac:dyDescent="0.2">
      <c r="B162" t="s">
        <v>6416</v>
      </c>
      <c r="C162">
        <v>50</v>
      </c>
      <c r="D162" t="str">
        <f t="shared" si="35"/>
        <v>18001IC04155358A UNIÓN TRIPLE PLÁSTICA 1/2 MANG</v>
      </c>
      <c r="E162" s="196">
        <f>+VLOOKUP(H162&amp;ALNAT[[#This Row],[N°]],CODIGOS_Y_COSTOS[[ID]:[COSTO]],7,0)</f>
        <v>615.59190000000001</v>
      </c>
      <c r="F162" s="196">
        <f t="shared" si="34"/>
        <v>30779.595000000001</v>
      </c>
      <c r="G162" s="197">
        <v>320</v>
      </c>
      <c r="H162" s="39" t="s">
        <v>6316</v>
      </c>
      <c r="I162" s="198" t="str">
        <f>+H162&amp;ALNAT[[#This Row],[N°]]</f>
        <v>CONECTORES NUEVA INCORPORACION320</v>
      </c>
      <c r="S162" s="480" t="s">
        <v>4409</v>
      </c>
      <c r="T162" s="480" t="s">
        <v>4410</v>
      </c>
      <c r="U162" s="504">
        <v>2617.8922045714289</v>
      </c>
      <c r="V162" s="89" t="s">
        <v>9337</v>
      </c>
      <c r="W162" s="90">
        <f t="shared" si="39"/>
        <v>1858.7034652457144</v>
      </c>
      <c r="AG162" s="491" t="s">
        <v>6395</v>
      </c>
      <c r="AH162" s="69" t="s">
        <v>6396</v>
      </c>
      <c r="AI162" s="60">
        <v>372.89853579617801</v>
      </c>
      <c r="AJ162" s="497">
        <v>275</v>
      </c>
      <c r="AK162" s="39" t="s">
        <v>6316</v>
      </c>
      <c r="AL162" s="1"/>
      <c r="AM162" s="1">
        <f t="shared" si="36"/>
        <v>0</v>
      </c>
      <c r="AN162" s="62">
        <f t="shared" si="37"/>
        <v>-1</v>
      </c>
      <c r="AO162" s="62">
        <v>1</v>
      </c>
      <c r="AP162" s="498">
        <f t="shared" si="38"/>
        <v>745.79707159235602</v>
      </c>
      <c r="AQ162" s="1"/>
      <c r="AR162" s="62"/>
    </row>
    <row r="163" spans="2:44" x14ac:dyDescent="0.2">
      <c r="B163" t="s">
        <v>6419</v>
      </c>
      <c r="C163">
        <v>100</v>
      </c>
      <c r="D163" t="str">
        <f t="shared" si="35"/>
        <v>16001IC04005051H UNIÓN CODO PLÁSTICA 1/4 MANG</v>
      </c>
      <c r="E163" s="196">
        <f>+VLOOKUP(H163&amp;ALNAT[[#This Row],[N°]],CODIGOS_Y_COSTOS[[ID]:[COSTO]],7,0)</f>
        <v>218.29499999999999</v>
      </c>
      <c r="F163" s="196">
        <f t="shared" si="34"/>
        <v>21829.5</v>
      </c>
      <c r="G163" s="197">
        <v>321</v>
      </c>
      <c r="H163" s="39" t="s">
        <v>6316</v>
      </c>
      <c r="I163" s="198" t="str">
        <f>+H163&amp;ALNAT[[#This Row],[N°]]</f>
        <v>CONECTORES NUEVA INCORPORACION321</v>
      </c>
      <c r="S163" s="480" t="s">
        <v>9632</v>
      </c>
      <c r="T163" s="480" t="s">
        <v>9633</v>
      </c>
      <c r="U163" s="504">
        <v>3448.8973988636749</v>
      </c>
      <c r="V163" s="89" t="s">
        <v>9337</v>
      </c>
      <c r="W163" s="90">
        <f t="shared" si="39"/>
        <v>2448.717153193209</v>
      </c>
      <c r="AG163" s="490" t="s">
        <v>6398</v>
      </c>
      <c r="AH163" s="494" t="s">
        <v>6399</v>
      </c>
      <c r="AI163" s="181">
        <v>522.6899091584811</v>
      </c>
      <c r="AJ163" s="497">
        <v>276</v>
      </c>
      <c r="AK163" s="39" t="s">
        <v>6316</v>
      </c>
      <c r="AL163" s="1"/>
      <c r="AM163" s="1">
        <f t="shared" si="36"/>
        <v>0</v>
      </c>
      <c r="AN163" s="62">
        <f t="shared" si="37"/>
        <v>-1</v>
      </c>
      <c r="AO163" s="62">
        <v>1</v>
      </c>
      <c r="AP163" s="498">
        <f t="shared" si="38"/>
        <v>1045.3798183169622</v>
      </c>
      <c r="AQ163" s="1"/>
      <c r="AR163" s="62"/>
    </row>
    <row r="164" spans="2:44" x14ac:dyDescent="0.2">
      <c r="B164" t="s">
        <v>6422</v>
      </c>
      <c r="C164">
        <v>100</v>
      </c>
      <c r="D164" t="str">
        <f t="shared" si="35"/>
        <v>20001IC04026706K UNIÓN CODO PLÁSTICA 3/8 MANG</v>
      </c>
      <c r="E164" s="196">
        <f>+VLOOKUP(H164&amp;ALNAT[[#This Row],[N°]],CODIGOS_Y_COSTOS[[ID]:[COSTO]],7,0)</f>
        <v>363.82499999999999</v>
      </c>
      <c r="F164" s="196">
        <f t="shared" si="34"/>
        <v>36382.5</v>
      </c>
      <c r="G164" s="197">
        <v>323</v>
      </c>
      <c r="H164" s="39" t="s">
        <v>6316</v>
      </c>
      <c r="I164" s="198" t="str">
        <f>+H164&amp;ALNAT[[#This Row],[N°]]</f>
        <v>CONECTORES NUEVA INCORPORACION323</v>
      </c>
      <c r="S164" s="480" t="s">
        <v>4412</v>
      </c>
      <c r="T164" s="480" t="s">
        <v>4413</v>
      </c>
      <c r="U164" s="504">
        <v>3452.8975817142859</v>
      </c>
      <c r="V164" s="89" t="s">
        <v>9337</v>
      </c>
      <c r="W164" s="90">
        <f t="shared" si="39"/>
        <v>2451.5572830171427</v>
      </c>
      <c r="AG164" s="491" t="s">
        <v>6401</v>
      </c>
      <c r="AH164" s="69" t="s">
        <v>6402</v>
      </c>
      <c r="AI164" s="60">
        <v>100.82533294080004</v>
      </c>
      <c r="AJ164" s="197">
        <v>300</v>
      </c>
      <c r="AK164" s="39" t="s">
        <v>6316</v>
      </c>
      <c r="AL164" s="1"/>
      <c r="AM164" s="1">
        <f t="shared" si="36"/>
        <v>0</v>
      </c>
      <c r="AN164" s="62">
        <f t="shared" si="37"/>
        <v>-1</v>
      </c>
    </row>
    <row r="165" spans="2:44" x14ac:dyDescent="0.2">
      <c r="B165" t="s">
        <v>6425</v>
      </c>
      <c r="C165">
        <v>100</v>
      </c>
      <c r="D165" t="str">
        <f t="shared" si="35"/>
        <v>16001IC04005051H UNIÓN CODO PLÁSTICA 1/2 MANG</v>
      </c>
      <c r="E165" s="196">
        <f>+VLOOKUP(H165&amp;ALNAT[[#This Row],[N°]],CODIGOS_Y_COSTOS[[ID]:[COSTO]],7,0)</f>
        <v>436.59</v>
      </c>
      <c r="F165" s="196">
        <f t="shared" si="34"/>
        <v>43659</v>
      </c>
      <c r="G165" s="197">
        <v>324</v>
      </c>
      <c r="H165" s="39" t="s">
        <v>6316</v>
      </c>
      <c r="I165" s="198" t="str">
        <f>+H165&amp;ALNAT[[#This Row],[N°]]</f>
        <v>CONECTORES NUEVA INCORPORACION324</v>
      </c>
      <c r="S165" s="480" t="s">
        <v>9634</v>
      </c>
      <c r="T165" s="480" t="s">
        <v>9635</v>
      </c>
      <c r="U165" s="504">
        <v>3448.8973988636749</v>
      </c>
      <c r="V165" s="89" t="s">
        <v>9337</v>
      </c>
      <c r="W165" s="90">
        <f t="shared" si="39"/>
        <v>2448.717153193209</v>
      </c>
      <c r="AG165" s="490" t="s">
        <v>6404</v>
      </c>
      <c r="AH165" s="494" t="s">
        <v>6405</v>
      </c>
      <c r="AI165" s="181">
        <v>181.66726656</v>
      </c>
      <c r="AJ165" s="197">
        <v>304</v>
      </c>
      <c r="AK165" s="39" t="s">
        <v>6316</v>
      </c>
      <c r="AL165" s="1"/>
      <c r="AM165" s="1">
        <f t="shared" si="36"/>
        <v>0</v>
      </c>
      <c r="AN165" s="62">
        <f t="shared" si="37"/>
        <v>-1</v>
      </c>
    </row>
    <row r="166" spans="2:44" x14ac:dyDescent="0.2">
      <c r="B166" t="s">
        <v>6428</v>
      </c>
      <c r="C166">
        <v>100</v>
      </c>
      <c r="D166" t="str">
        <f t="shared" si="35"/>
        <v>20001IC04038164L UNIÓN DOBLE PLÁSTICA 1/4 MANG</v>
      </c>
      <c r="E166" s="196">
        <f>+VLOOKUP(H166&amp;ALNAT[[#This Row],[N°]],CODIGOS_Y_COSTOS[[ID]:[COSTO]],7,0)</f>
        <v>313.23599999999999</v>
      </c>
      <c r="F166" s="196">
        <f t="shared" si="34"/>
        <v>31323.599999999999</v>
      </c>
      <c r="G166" s="197">
        <v>325</v>
      </c>
      <c r="H166" s="39" t="s">
        <v>6316</v>
      </c>
      <c r="I166" s="198" t="str">
        <f>+H166&amp;ALNAT[[#This Row],[N°]]</f>
        <v>CONECTORES NUEVA INCORPORACION325</v>
      </c>
      <c r="S166" s="480" t="s">
        <v>9636</v>
      </c>
      <c r="T166" s="480" t="s">
        <v>9637</v>
      </c>
      <c r="U166" s="504">
        <v>4139.3327280544227</v>
      </c>
      <c r="V166" s="89" t="s">
        <v>9337</v>
      </c>
      <c r="W166" s="90">
        <f t="shared" si="39"/>
        <v>2938.9262369186399</v>
      </c>
      <c r="AG166" s="491" t="s">
        <v>6407</v>
      </c>
      <c r="AH166" s="69" t="s">
        <v>6408</v>
      </c>
      <c r="AI166" s="60">
        <v>178.12475486208004</v>
      </c>
      <c r="AJ166" s="197">
        <v>305</v>
      </c>
      <c r="AK166" s="39" t="s">
        <v>6316</v>
      </c>
      <c r="AL166" s="1"/>
      <c r="AM166" s="1">
        <f t="shared" si="36"/>
        <v>0</v>
      </c>
      <c r="AN166" s="62">
        <f t="shared" si="37"/>
        <v>-1</v>
      </c>
    </row>
    <row r="167" spans="2:44" x14ac:dyDescent="0.2">
      <c r="B167" t="s">
        <v>6431</v>
      </c>
      <c r="C167">
        <v>100</v>
      </c>
      <c r="D167" t="str">
        <f t="shared" si="35"/>
        <v>20001IC04038164L UNIÓN DOBLE PLÁSTICA 3/8 MANG</v>
      </c>
      <c r="E167" s="196">
        <f>+VLOOKUP(H167&amp;ALNAT[[#This Row],[N°]],CODIGOS_Y_COSTOS[[ID]:[COSTO]],7,0)</f>
        <v>492.49799999999999</v>
      </c>
      <c r="F167" s="196">
        <f t="shared" si="34"/>
        <v>49249.799999999996</v>
      </c>
      <c r="G167" s="197">
        <v>327</v>
      </c>
      <c r="H167" s="39" t="s">
        <v>6316</v>
      </c>
      <c r="I167" s="198" t="str">
        <f>+H167&amp;ALNAT[[#This Row],[N°]]</f>
        <v>CONECTORES NUEVA INCORPORACION327</v>
      </c>
      <c r="S167" s="480" t="s">
        <v>9638</v>
      </c>
      <c r="T167" s="480" t="s">
        <v>9639</v>
      </c>
      <c r="U167" s="504">
        <v>5666.7860092570754</v>
      </c>
      <c r="V167" s="89" t="s">
        <v>9337</v>
      </c>
      <c r="W167" s="90">
        <f t="shared" si="39"/>
        <v>4023.4180665725235</v>
      </c>
      <c r="AG167" s="490" t="s">
        <v>6410</v>
      </c>
      <c r="AH167" s="494" t="s">
        <v>6411</v>
      </c>
      <c r="AI167" s="181">
        <v>97.464488509440017</v>
      </c>
      <c r="AJ167" s="197">
        <v>317</v>
      </c>
      <c r="AK167" s="39" t="s">
        <v>6316</v>
      </c>
      <c r="AL167" s="1"/>
      <c r="AM167" s="1">
        <f t="shared" si="36"/>
        <v>0</v>
      </c>
      <c r="AN167" s="62">
        <f t="shared" si="37"/>
        <v>-1</v>
      </c>
    </row>
    <row r="168" spans="2:44" x14ac:dyDescent="0.2">
      <c r="B168" t="s">
        <v>6434</v>
      </c>
      <c r="C168">
        <v>50</v>
      </c>
      <c r="D168" t="str">
        <f t="shared" si="35"/>
        <v>20001IC04038164L UNIÓN DOBLE PLÁSTICA 1/2 MANG</v>
      </c>
      <c r="E168" s="196">
        <f>+VLOOKUP(H168&amp;ALNAT[[#This Row],[N°]],CODIGOS_Y_COSTOS[[ID]:[COSTO]],7,0)</f>
        <v>492.49799999999999</v>
      </c>
      <c r="F168" s="196">
        <f t="shared" si="34"/>
        <v>24624.899999999998</v>
      </c>
      <c r="G168" s="197">
        <v>328</v>
      </c>
      <c r="H168" s="39" t="s">
        <v>6316</v>
      </c>
      <c r="I168" s="198" t="str">
        <f>+H168&amp;ALNAT[[#This Row],[N°]]</f>
        <v>CONECTORES NUEVA INCORPORACION328</v>
      </c>
      <c r="S168" s="480" t="s">
        <v>4415</v>
      </c>
      <c r="T168" s="480" t="s">
        <v>4416</v>
      </c>
      <c r="U168" s="504">
        <v>4679.3344466938779</v>
      </c>
      <c r="V168" s="89" t="s">
        <v>9337</v>
      </c>
      <c r="W168" s="90">
        <f t="shared" si="39"/>
        <v>3322.3274571526531</v>
      </c>
      <c r="AG168" s="491" t="s">
        <v>6413</v>
      </c>
      <c r="AH168" s="69" t="s">
        <v>6414</v>
      </c>
      <c r="AI168" s="60">
        <v>121.93153689600001</v>
      </c>
      <c r="AJ168" s="197">
        <v>319</v>
      </c>
      <c r="AK168" s="39" t="s">
        <v>6316</v>
      </c>
      <c r="AL168" s="1"/>
      <c r="AM168" s="1">
        <f t="shared" si="36"/>
        <v>0</v>
      </c>
      <c r="AN168" s="62">
        <f t="shared" si="37"/>
        <v>-1</v>
      </c>
    </row>
    <row r="169" spans="2:44" x14ac:dyDescent="0.2">
      <c r="B169" t="s">
        <v>6437</v>
      </c>
      <c r="C169">
        <v>50</v>
      </c>
      <c r="D169" t="str">
        <f t="shared" si="35"/>
        <v>19001IC04098450A REDUCTOR MANGUERA 5/16 A 1/4"</v>
      </c>
      <c r="E169" s="196">
        <f>+VLOOKUP(H169&amp;ALNAT[[#This Row],[N°]],CODIGOS_Y_COSTOS[[ID]:[COSTO]],7,0)</f>
        <v>853.74</v>
      </c>
      <c r="F169" s="196">
        <f t="shared" si="34"/>
        <v>42687</v>
      </c>
      <c r="G169" s="197">
        <v>333</v>
      </c>
      <c r="H169" s="39" t="s">
        <v>6316</v>
      </c>
      <c r="I169" s="198" t="str">
        <f>+H169&amp;ALNAT[[#This Row],[N°]]</f>
        <v>CONECTORES NUEVA INCORPORACION333</v>
      </c>
      <c r="S169" s="480" t="s">
        <v>9640</v>
      </c>
      <c r="T169" s="480" t="s">
        <v>9641</v>
      </c>
      <c r="U169" s="504">
        <v>5567.5856672181671</v>
      </c>
      <c r="V169" s="89" t="s">
        <v>9337</v>
      </c>
      <c r="W169" s="90">
        <f t="shared" si="39"/>
        <v>3952.9858237248986</v>
      </c>
      <c r="AG169" s="490" t="s">
        <v>6416</v>
      </c>
      <c r="AH169" s="494" t="s">
        <v>6417</v>
      </c>
      <c r="AI169" s="181">
        <v>137.79462168576001</v>
      </c>
      <c r="AJ169" s="197">
        <v>320</v>
      </c>
      <c r="AK169" s="39" t="s">
        <v>6316</v>
      </c>
      <c r="AL169" s="1"/>
      <c r="AM169" s="1">
        <f t="shared" si="36"/>
        <v>0</v>
      </c>
      <c r="AN169" s="62">
        <f t="shared" si="37"/>
        <v>-1</v>
      </c>
    </row>
    <row r="170" spans="2:44" x14ac:dyDescent="0.2">
      <c r="B170" t="s">
        <v>6440</v>
      </c>
      <c r="C170">
        <v>50</v>
      </c>
      <c r="D170" t="str">
        <f t="shared" si="35"/>
        <v>19001IC04098450A REDUCTOR MANGUERA 3/8 A 5/16"</v>
      </c>
      <c r="E170" s="196">
        <f>+VLOOKUP(H170&amp;ALNAT[[#This Row],[N°]],CODIGOS_Y_COSTOS[[ID]:[COSTO]],7,0)</f>
        <v>1131.0678</v>
      </c>
      <c r="F170" s="196">
        <f t="shared" si="34"/>
        <v>56553.39</v>
      </c>
      <c r="G170" s="197">
        <v>334</v>
      </c>
      <c r="H170" s="39" t="s">
        <v>6316</v>
      </c>
      <c r="I170" s="198" t="str">
        <f>+H170&amp;ALNAT[[#This Row],[N°]]</f>
        <v>CONECTORES NUEVA INCORPORACION334</v>
      </c>
      <c r="S170" s="480" t="s">
        <v>9642</v>
      </c>
      <c r="T170" s="480" t="s">
        <v>9643</v>
      </c>
      <c r="U170" s="504">
        <v>6635.1697397126363</v>
      </c>
      <c r="V170" s="89" t="s">
        <v>9337</v>
      </c>
      <c r="W170" s="96">
        <f t="shared" si="39"/>
        <v>4710.9705151959715</v>
      </c>
      <c r="X170" s="1">
        <v>3316.94</v>
      </c>
      <c r="Y170">
        <f>+X170/25</f>
        <v>132.67760000000001</v>
      </c>
      <c r="AG170" s="491" t="s">
        <v>6419</v>
      </c>
      <c r="AH170" s="69" t="s">
        <v>6420</v>
      </c>
      <c r="AI170" s="60">
        <v>80.660266352640022</v>
      </c>
      <c r="AJ170" s="197">
        <v>321</v>
      </c>
      <c r="AK170" s="39" t="s">
        <v>6316</v>
      </c>
      <c r="AL170" s="1"/>
      <c r="AM170" s="1">
        <f t="shared" si="36"/>
        <v>0</v>
      </c>
      <c r="AN170" s="62">
        <f t="shared" si="37"/>
        <v>-1</v>
      </c>
    </row>
    <row r="171" spans="2:44" x14ac:dyDescent="0.2">
      <c r="B171" t="s">
        <v>6443</v>
      </c>
      <c r="C171">
        <v>50</v>
      </c>
      <c r="D171" t="str">
        <f t="shared" si="35"/>
        <v>19001IC04098450A REDUCTOR MANGUERA 1/2 A 3/8</v>
      </c>
      <c r="E171" s="196">
        <f>+VLOOKUP(H171&amp;ALNAT[[#This Row],[N°]],CODIGOS_Y_COSTOS[[ID]:[COSTO]],7,0)</f>
        <v>1423.0661</v>
      </c>
      <c r="F171" s="196">
        <f t="shared" si="34"/>
        <v>71153.304999999993</v>
      </c>
      <c r="G171" s="197">
        <v>335</v>
      </c>
      <c r="H171" s="39" t="s">
        <v>6316</v>
      </c>
      <c r="I171" s="198" t="str">
        <f>+H171&amp;ALNAT[[#This Row],[N°]]</f>
        <v>CONECTORES NUEVA INCORPORACION335</v>
      </c>
      <c r="S171" s="480" t="s">
        <v>9644</v>
      </c>
      <c r="T171" s="480" t="s">
        <v>9645</v>
      </c>
      <c r="U171" s="504">
        <v>5603.7918080555273</v>
      </c>
      <c r="V171" s="89" t="s">
        <v>9337</v>
      </c>
      <c r="W171" s="90">
        <f t="shared" si="39"/>
        <v>3978.6921837194241</v>
      </c>
      <c r="AG171" s="490" t="s">
        <v>6422</v>
      </c>
      <c r="AH171" s="494" t="s">
        <v>6423</v>
      </c>
      <c r="AI171" s="181">
        <v>97.464488509440017</v>
      </c>
      <c r="AJ171" s="197">
        <v>323</v>
      </c>
      <c r="AK171" s="39" t="s">
        <v>6316</v>
      </c>
      <c r="AL171" s="1"/>
      <c r="AM171" s="1">
        <f t="shared" si="36"/>
        <v>0</v>
      </c>
      <c r="AN171" s="62">
        <f t="shared" si="37"/>
        <v>-1</v>
      </c>
    </row>
    <row r="172" spans="2:44" x14ac:dyDescent="0.2">
      <c r="B172" t="s">
        <v>6450</v>
      </c>
      <c r="C172">
        <v>1</v>
      </c>
      <c r="D172" t="str">
        <f t="shared" si="35"/>
        <v>16001IC04042849V TUBO POL 6 TRANSP 1/4" X4X 200M</v>
      </c>
      <c r="E172" s="196">
        <f>+VLOOKUP(H172&amp;ALNAT[[#This Row],[N°]],CODIGOS_Y_COSTOS[[ID]:[COSTO]],7,0)</f>
        <v>406.89190000000002</v>
      </c>
      <c r="F172" s="196">
        <f t="shared" si="34"/>
        <v>406.89190000000002</v>
      </c>
      <c r="G172" s="197">
        <v>340</v>
      </c>
      <c r="H172" s="39" t="s">
        <v>6316</v>
      </c>
      <c r="I172" s="198" t="str">
        <f>+H172&amp;ALNAT[[#This Row],[N°]]</f>
        <v>CONECTORES NUEVA INCORPORACION340</v>
      </c>
      <c r="S172" s="480" t="s">
        <v>9646</v>
      </c>
      <c r="T172" s="480" t="s">
        <v>9647</v>
      </c>
      <c r="U172" s="504">
        <v>7678.9850856207722</v>
      </c>
      <c r="V172" s="89" t="s">
        <v>9337</v>
      </c>
      <c r="W172" s="90">
        <f t="shared" si="39"/>
        <v>5452.0794107907477</v>
      </c>
      <c r="AG172" s="491" t="s">
        <v>6425</v>
      </c>
      <c r="AH172" s="69" t="s">
        <v>6426</v>
      </c>
      <c r="AI172" s="60">
        <v>110.90786623488003</v>
      </c>
      <c r="AJ172" s="197">
        <v>324</v>
      </c>
      <c r="AK172" s="39" t="s">
        <v>6316</v>
      </c>
      <c r="AL172" s="1"/>
      <c r="AM172" s="1">
        <f t="shared" si="36"/>
        <v>0</v>
      </c>
      <c r="AN172" s="62">
        <f t="shared" si="37"/>
        <v>-1</v>
      </c>
    </row>
    <row r="173" spans="2:44" x14ac:dyDescent="0.2">
      <c r="B173" t="s">
        <v>6453</v>
      </c>
      <c r="C173">
        <v>1</v>
      </c>
      <c r="D173" t="str">
        <f t="shared" si="35"/>
        <v>16001IC04042849V TUBO POL 6 TRANSP 3/8X6,5X100 M</v>
      </c>
      <c r="E173" s="196">
        <f>+VLOOKUP(H173&amp;ALNAT[[#This Row],[N°]],CODIGOS_Y_COSTOS[[ID]:[COSTO]],7,0)</f>
        <v>879.30250000000001</v>
      </c>
      <c r="F173" s="196">
        <f t="shared" si="34"/>
        <v>879.30250000000001</v>
      </c>
      <c r="G173" s="197">
        <v>341</v>
      </c>
      <c r="H173" s="39" t="s">
        <v>6316</v>
      </c>
      <c r="I173" s="198" t="str">
        <f>+H173&amp;ALNAT[[#This Row],[N°]]</f>
        <v>CONECTORES NUEVA INCORPORACION341</v>
      </c>
      <c r="S173" s="480" t="s">
        <v>9648</v>
      </c>
      <c r="T173" s="480" t="s">
        <v>9649</v>
      </c>
      <c r="U173" s="504">
        <v>8493.0898598424847</v>
      </c>
      <c r="V173" s="89" t="s">
        <v>9337</v>
      </c>
      <c r="W173" s="90">
        <f t="shared" si="39"/>
        <v>6030.0938004881637</v>
      </c>
      <c r="AG173" s="490" t="s">
        <v>6428</v>
      </c>
      <c r="AH173" s="494" t="s">
        <v>6429</v>
      </c>
      <c r="AI173" s="181">
        <v>73.938577489920021</v>
      </c>
      <c r="AJ173" s="197">
        <v>325</v>
      </c>
      <c r="AK173" s="39" t="s">
        <v>6316</v>
      </c>
      <c r="AL173" s="1"/>
      <c r="AM173" s="1">
        <f t="shared" si="36"/>
        <v>0</v>
      </c>
      <c r="AN173" s="62">
        <f t="shared" si="37"/>
        <v>-1</v>
      </c>
    </row>
    <row r="174" spans="2:44" x14ac:dyDescent="0.2">
      <c r="B174" t="s">
        <v>6456</v>
      </c>
      <c r="C174">
        <v>1</v>
      </c>
      <c r="D174" t="str">
        <f t="shared" si="35"/>
        <v>16001IC04042849V TUBO POL 6 TRANSP 1/2 X9,5 X100M</v>
      </c>
      <c r="E174" s="196">
        <f>+VLOOKUP(H174&amp;ALNAT[[#This Row],[N°]],CODIGOS_Y_COSTOS[[ID]:[COSTO]],7,0)</f>
        <v>1092.3137999999999</v>
      </c>
      <c r="F174" s="196">
        <f t="shared" si="34"/>
        <v>1092.3137999999999</v>
      </c>
      <c r="G174" s="197">
        <v>342</v>
      </c>
      <c r="H174" s="39" t="s">
        <v>6316</v>
      </c>
      <c r="I174" s="198" t="str">
        <f>+H174&amp;ALNAT[[#This Row],[N°]]</f>
        <v>CONECTORES NUEVA INCORPORACION342</v>
      </c>
      <c r="S174" s="480" t="s">
        <v>9650</v>
      </c>
      <c r="T174" s="480" t="s">
        <v>9651</v>
      </c>
      <c r="U174" s="504">
        <v>8567.3290110880098</v>
      </c>
      <c r="V174" s="89" t="s">
        <v>9337</v>
      </c>
      <c r="W174" s="90">
        <f t="shared" si="39"/>
        <v>6082.8035978724865</v>
      </c>
      <c r="AG174" s="491" t="s">
        <v>6431</v>
      </c>
      <c r="AH174" s="69" t="s">
        <v>6432</v>
      </c>
      <c r="AI174" s="60">
        <v>109.02138624000001</v>
      </c>
      <c r="AJ174" s="197">
        <v>327</v>
      </c>
      <c r="AK174" s="39" t="s">
        <v>6316</v>
      </c>
      <c r="AL174" s="1"/>
      <c r="AM174" s="1">
        <f t="shared" si="36"/>
        <v>0</v>
      </c>
      <c r="AN174" s="62">
        <f t="shared" si="37"/>
        <v>-1</v>
      </c>
    </row>
    <row r="175" spans="2:44" x14ac:dyDescent="0.2">
      <c r="B175" t="s">
        <v>6459</v>
      </c>
      <c r="C175">
        <v>1</v>
      </c>
      <c r="D175" t="str">
        <f t="shared" si="35"/>
        <v>17001IC04275036S - TUBO PU 4MM X 2.5 X 200 MT</v>
      </c>
      <c r="E175" s="196">
        <f>+VLOOKUP(H175&amp;ALNAT[[#This Row],[N°]],CODIGOS_Y_COSTOS[[ID]:[COSTO]],7,0)</f>
        <v>209.25</v>
      </c>
      <c r="F175" s="196">
        <f t="shared" si="34"/>
        <v>209.25</v>
      </c>
      <c r="G175" s="197">
        <v>227</v>
      </c>
      <c r="H175" s="39" t="s">
        <v>6316</v>
      </c>
      <c r="I175" s="198" t="str">
        <f>+H175&amp;ALNAT[[#This Row],[N°]]</f>
        <v>CONECTORES NUEVA INCORPORACION227</v>
      </c>
      <c r="S175" s="480" t="s">
        <v>9652</v>
      </c>
      <c r="T175" s="480" t="s">
        <v>9653</v>
      </c>
      <c r="U175" s="504">
        <v>8404.2032898356501</v>
      </c>
      <c r="V175" s="89" t="s">
        <v>9337</v>
      </c>
      <c r="W175" s="90">
        <f t="shared" si="39"/>
        <v>5966.9843357833115</v>
      </c>
      <c r="AG175" s="490" t="s">
        <v>6434</v>
      </c>
      <c r="AH175" s="494" t="s">
        <v>6435</v>
      </c>
      <c r="AI175" s="181">
        <v>123.10900992000002</v>
      </c>
      <c r="AJ175" s="197">
        <v>328</v>
      </c>
      <c r="AK175" s="39" t="s">
        <v>6316</v>
      </c>
      <c r="AL175" s="1"/>
      <c r="AM175" s="1">
        <f t="shared" si="36"/>
        <v>0</v>
      </c>
      <c r="AN175" s="62">
        <f t="shared" si="37"/>
        <v>-1</v>
      </c>
    </row>
    <row r="176" spans="2:44" x14ac:dyDescent="0.2">
      <c r="B176" t="s">
        <v>7879</v>
      </c>
      <c r="C176">
        <v>200</v>
      </c>
      <c r="D176" s="13" t="str">
        <f t="shared" si="35"/>
        <v>19001IC04208820R VIROLA 4 MM</v>
      </c>
      <c r="E176" s="196">
        <f>+VLOOKUP(H176&amp;ALNAT[[#This Row],[N°]],CODIGOS_Y_COSTOS[[ID]:[COSTO]],7,0)</f>
        <v>55.984499999999997</v>
      </c>
      <c r="F176" s="196">
        <f t="shared" ref="F176:F208" si="40">+E176*C176</f>
        <v>11196.9</v>
      </c>
      <c r="G176" s="944">
        <v>1</v>
      </c>
      <c r="H176" s="39" t="s">
        <v>7878</v>
      </c>
      <c r="I176" s="198" t="str">
        <f>+H176&amp;ALNAT[[#This Row],[N°]]</f>
        <v>ACCESORIOS DE BRONCE UNION POLIAMIDA1</v>
      </c>
      <c r="S176" s="480" t="s">
        <v>9654</v>
      </c>
      <c r="T176" s="480" t="s">
        <v>9655</v>
      </c>
      <c r="U176" s="504">
        <v>4832.0973204798211</v>
      </c>
      <c r="V176" s="89" t="s">
        <v>9337</v>
      </c>
      <c r="W176" s="90">
        <f t="shared" si="39"/>
        <v>3430.7890975406726</v>
      </c>
      <c r="AG176" s="491" t="s">
        <v>6437</v>
      </c>
      <c r="AH176" s="69" t="s">
        <v>6438</v>
      </c>
      <c r="AI176" s="60">
        <v>106.96080844800001</v>
      </c>
      <c r="AJ176" s="197">
        <v>333</v>
      </c>
      <c r="AK176" s="39" t="s">
        <v>6316</v>
      </c>
      <c r="AL176" s="1"/>
      <c r="AM176" s="1">
        <f t="shared" si="36"/>
        <v>0</v>
      </c>
      <c r="AN176" s="62">
        <f t="shared" si="37"/>
        <v>-1</v>
      </c>
    </row>
    <row r="177" spans="2:40" x14ac:dyDescent="0.2">
      <c r="B177" t="s">
        <v>7882</v>
      </c>
      <c r="C177">
        <v>200</v>
      </c>
      <c r="D177" s="13" t="str">
        <f t="shared" si="35"/>
        <v>19001IC04208820R VIROLA 6 MM</v>
      </c>
      <c r="E177" s="196">
        <f>+VLOOKUP(H177&amp;ALNAT[[#This Row],[N°]],CODIGOS_Y_COSTOS[[ID]:[COSTO]],7,0)</f>
        <v>67.181399999999996</v>
      </c>
      <c r="F177" s="196">
        <f t="shared" si="40"/>
        <v>13436.279999999999</v>
      </c>
      <c r="G177" s="944">
        <v>2</v>
      </c>
      <c r="H177" s="39" t="s">
        <v>7878</v>
      </c>
      <c r="I177" s="198" t="str">
        <f>+H177&amp;ALNAT[[#This Row],[N°]]</f>
        <v>ACCESORIOS DE BRONCE UNION POLIAMIDA2</v>
      </c>
      <c r="S177" s="480" t="s">
        <v>9656</v>
      </c>
      <c r="T177" s="480" t="s">
        <v>9657</v>
      </c>
      <c r="U177" s="504">
        <v>5786.0773965691251</v>
      </c>
      <c r="V177" s="89" t="s">
        <v>9337</v>
      </c>
      <c r="W177" s="90">
        <f t="shared" si="39"/>
        <v>4108.1149515640782</v>
      </c>
      <c r="AG177" s="490" t="s">
        <v>6440</v>
      </c>
      <c r="AH177" s="494" t="s">
        <v>6441</v>
      </c>
      <c r="AI177" s="181">
        <v>136.46772172800001</v>
      </c>
      <c r="AJ177" s="197">
        <v>334</v>
      </c>
      <c r="AK177" s="39" t="s">
        <v>6316</v>
      </c>
      <c r="AL177" s="1"/>
      <c r="AM177" s="1">
        <f t="shared" si="36"/>
        <v>0</v>
      </c>
      <c r="AN177" s="62">
        <f t="shared" si="37"/>
        <v>-1</v>
      </c>
    </row>
    <row r="178" spans="2:40" x14ac:dyDescent="0.2">
      <c r="B178" t="s">
        <v>7885</v>
      </c>
      <c r="C178">
        <v>200</v>
      </c>
      <c r="D178" s="13" t="str">
        <f t="shared" si="35"/>
        <v>19001IC04208820R VIROLA 8 MM</v>
      </c>
      <c r="E178" s="196">
        <f>+VLOOKUP(H178&amp;ALNAT[[#This Row],[N°]],CODIGOS_Y_COSTOS[[ID]:[COSTO]],7,0)</f>
        <v>77.516999999999996</v>
      </c>
      <c r="F178" s="196">
        <f t="shared" si="40"/>
        <v>15503.4</v>
      </c>
      <c r="G178" s="944">
        <v>3</v>
      </c>
      <c r="H178" s="39" t="s">
        <v>7878</v>
      </c>
      <c r="I178" s="198" t="str">
        <f>+H178&amp;ALNAT[[#This Row],[N°]]</f>
        <v>ACCESORIOS DE BRONCE UNION POLIAMIDA3</v>
      </c>
      <c r="S178" s="480" t="s">
        <v>9658</v>
      </c>
      <c r="T178" s="480" t="s">
        <v>9659</v>
      </c>
      <c r="U178" s="504">
        <v>752.96976114285735</v>
      </c>
      <c r="V178" s="89" t="s">
        <v>9337</v>
      </c>
      <c r="W178" s="90">
        <f t="shared" si="39"/>
        <v>534.60853041142866</v>
      </c>
      <c r="AG178" s="491" t="s">
        <v>6443</v>
      </c>
      <c r="AH178" s="69" t="s">
        <v>6444</v>
      </c>
      <c r="AI178" s="60">
        <v>210.23500492800002</v>
      </c>
      <c r="AJ178" s="197">
        <v>335</v>
      </c>
      <c r="AK178" s="39" t="s">
        <v>6316</v>
      </c>
      <c r="AL178" s="1"/>
      <c r="AM178" s="1">
        <f t="shared" si="36"/>
        <v>0</v>
      </c>
      <c r="AN178" s="62">
        <f t="shared" si="37"/>
        <v>-1</v>
      </c>
    </row>
    <row r="179" spans="2:40" x14ac:dyDescent="0.2">
      <c r="B179" t="s">
        <v>7888</v>
      </c>
      <c r="C179">
        <v>200</v>
      </c>
      <c r="D179" s="13" t="str">
        <f t="shared" si="35"/>
        <v>19001IC04208820R VIROLA 10 MM</v>
      </c>
      <c r="E179" s="196">
        <f>+VLOOKUP(H179&amp;ALNAT[[#This Row],[N°]],CODIGOS_Y_COSTOS[[ID]:[COSTO]],7,0)</f>
        <v>100.77209999999999</v>
      </c>
      <c r="F179" s="196">
        <f t="shared" si="40"/>
        <v>20154.419999999998</v>
      </c>
      <c r="G179" s="944">
        <v>4</v>
      </c>
      <c r="H179" s="39" t="s">
        <v>7878</v>
      </c>
      <c r="I179" s="198" t="str">
        <f>+H179&amp;ALNAT[[#This Row],[N°]]</f>
        <v>ACCESORIOS DE BRONCE UNION POLIAMIDA4</v>
      </c>
      <c r="S179" s="480" t="s">
        <v>9660</v>
      </c>
      <c r="T179" s="480" t="s">
        <v>9661</v>
      </c>
      <c r="U179" s="504">
        <v>1087.2144901610679</v>
      </c>
      <c r="V179" s="89" t="s">
        <v>9337</v>
      </c>
      <c r="W179" s="90">
        <f t="shared" si="39"/>
        <v>771.92228801435817</v>
      </c>
      <c r="AG179" s="490" t="s">
        <v>6450</v>
      </c>
      <c r="AH179" s="494" t="s">
        <v>6451</v>
      </c>
      <c r="AI179" s="181">
        <v>12834.863634577476</v>
      </c>
      <c r="AJ179" s="197">
        <v>340</v>
      </c>
      <c r="AK179" s="39" t="s">
        <v>6316</v>
      </c>
      <c r="AL179" s="1"/>
      <c r="AM179" s="1">
        <f t="shared" si="36"/>
        <v>0</v>
      </c>
      <c r="AN179" s="62">
        <f t="shared" si="37"/>
        <v>-1</v>
      </c>
    </row>
    <row r="180" spans="2:40" x14ac:dyDescent="0.2">
      <c r="B180" t="s">
        <v>7891</v>
      </c>
      <c r="C180">
        <v>100</v>
      </c>
      <c r="D180" s="13" t="str">
        <f t="shared" si="35"/>
        <v>19001IC04208820R VIROLA 12 MM</v>
      </c>
      <c r="E180" s="196">
        <f>+VLOOKUP(H180&amp;ALNAT[[#This Row],[N°]],CODIGOS_Y_COSTOS[[ID]:[COSTO]],7,0)</f>
        <v>139.96119999999999</v>
      </c>
      <c r="F180" s="196">
        <f t="shared" si="40"/>
        <v>13996.119999999999</v>
      </c>
      <c r="G180" s="944">
        <v>5</v>
      </c>
      <c r="H180" s="39" t="s">
        <v>7878</v>
      </c>
      <c r="I180" s="198" t="str">
        <f>+H180&amp;ALNAT[[#This Row],[N°]]</f>
        <v>ACCESORIOS DE BRONCE UNION POLIAMIDA5</v>
      </c>
      <c r="S180" s="480" t="s">
        <v>4498</v>
      </c>
      <c r="T180" s="480" t="s">
        <v>4499</v>
      </c>
      <c r="U180" s="504">
        <v>946.40796177777804</v>
      </c>
      <c r="V180" s="89" t="s">
        <v>9337</v>
      </c>
      <c r="W180" s="90">
        <f t="shared" si="39"/>
        <v>671.94965286222237</v>
      </c>
      <c r="AG180" s="491" t="s">
        <v>6453</v>
      </c>
      <c r="AH180" s="69" t="s">
        <v>6454</v>
      </c>
      <c r="AI180" s="60">
        <v>13556.254659584358</v>
      </c>
      <c r="AJ180" s="197">
        <v>341</v>
      </c>
      <c r="AK180" s="39" t="s">
        <v>6316</v>
      </c>
      <c r="AL180" s="1"/>
      <c r="AM180" s="1">
        <f t="shared" si="36"/>
        <v>0</v>
      </c>
      <c r="AN180" s="62">
        <f t="shared" si="37"/>
        <v>-1</v>
      </c>
    </row>
    <row r="181" spans="2:40" x14ac:dyDescent="0.2">
      <c r="B181" t="s">
        <v>7894</v>
      </c>
      <c r="C181">
        <v>100</v>
      </c>
      <c r="D181" s="13" t="str">
        <f t="shared" si="35"/>
        <v>19001IC04208820R VIROLA 14 MM</v>
      </c>
      <c r="E181" s="196">
        <f>+VLOOKUP(H181&amp;ALNAT[[#This Row],[N°]],CODIGOS_Y_COSTOS[[ID]:[COSTO]],7,0)</f>
        <v>230.7825</v>
      </c>
      <c r="F181" s="196">
        <f t="shared" si="40"/>
        <v>23078.25</v>
      </c>
      <c r="G181" s="944">
        <v>6</v>
      </c>
      <c r="H181" s="39" t="s">
        <v>7878</v>
      </c>
      <c r="I181" s="198" t="str">
        <f>+H181&amp;ALNAT[[#This Row],[N°]]</f>
        <v>ACCESORIOS DE BRONCE UNION POLIAMIDA6</v>
      </c>
      <c r="S181" s="480" t="s">
        <v>9662</v>
      </c>
      <c r="T181" s="480" t="s">
        <v>9663</v>
      </c>
      <c r="U181" s="504">
        <v>1579.6073781734051</v>
      </c>
      <c r="V181" s="89" t="s">
        <v>9337</v>
      </c>
      <c r="W181" s="90">
        <f t="shared" si="39"/>
        <v>1121.5212385031175</v>
      </c>
      <c r="AG181" s="490" t="s">
        <v>6456</v>
      </c>
      <c r="AH181" s="494" t="s">
        <v>6457</v>
      </c>
      <c r="AI181" s="181">
        <v>18004.873120554967</v>
      </c>
      <c r="AJ181" s="197">
        <v>342</v>
      </c>
      <c r="AK181" s="39" t="s">
        <v>6316</v>
      </c>
      <c r="AL181" s="1"/>
      <c r="AM181" s="1">
        <f t="shared" si="36"/>
        <v>0</v>
      </c>
      <c r="AN181" s="62">
        <f t="shared" si="37"/>
        <v>-1</v>
      </c>
    </row>
    <row r="182" spans="2:40" x14ac:dyDescent="0.2">
      <c r="B182" t="s">
        <v>7897</v>
      </c>
      <c r="C182">
        <v>100</v>
      </c>
      <c r="D182" s="13" t="str">
        <f t="shared" si="35"/>
        <v>19001IC04208820R VIROLA 16 MM</v>
      </c>
      <c r="E182" s="196">
        <f>+VLOOKUP(H182&amp;ALNAT[[#This Row],[N°]],CODIGOS_Y_COSTOS[[ID]:[COSTO]],7,0)</f>
        <v>303.3141</v>
      </c>
      <c r="F182" s="196">
        <f t="shared" si="40"/>
        <v>30331.41</v>
      </c>
      <c r="G182" s="944">
        <v>7</v>
      </c>
      <c r="H182" s="39" t="s">
        <v>7878</v>
      </c>
      <c r="I182" s="198" t="str">
        <f>+H182&amp;ALNAT[[#This Row],[N°]]</f>
        <v>ACCESORIOS DE BRONCE UNION POLIAMIDA7</v>
      </c>
      <c r="S182" s="480" t="s">
        <v>4501</v>
      </c>
      <c r="T182" s="480" t="s">
        <v>4502</v>
      </c>
      <c r="U182" s="504">
        <v>1065.143721777778</v>
      </c>
      <c r="V182" s="89" t="s">
        <v>9337</v>
      </c>
      <c r="W182" s="90">
        <f t="shared" si="39"/>
        <v>756.25204246222233</v>
      </c>
      <c r="AG182" s="491" t="s">
        <v>6459</v>
      </c>
      <c r="AH182" s="69" t="s">
        <v>6460</v>
      </c>
      <c r="AI182" s="60">
        <v>10065.896122320366</v>
      </c>
      <c r="AJ182" s="197">
        <v>227</v>
      </c>
      <c r="AK182" s="39" t="s">
        <v>6316</v>
      </c>
      <c r="AL182" s="1"/>
      <c r="AM182" s="1">
        <f t="shared" si="36"/>
        <v>0</v>
      </c>
      <c r="AN182" s="62">
        <f t="shared" si="37"/>
        <v>-1</v>
      </c>
    </row>
    <row r="183" spans="2:40" x14ac:dyDescent="0.2">
      <c r="B183" t="s">
        <v>7900</v>
      </c>
      <c r="C183">
        <v>200</v>
      </c>
      <c r="D183" s="13" t="str">
        <f t="shared" si="35"/>
        <v>19001IC04208820R VIROLA 1/4</v>
      </c>
      <c r="E183" s="196">
        <f>+VLOOKUP(H183&amp;ALNAT[[#This Row],[N°]],CODIGOS_Y_COSTOS[[ID]:[COSTO]],7,0)</f>
        <v>73.210499999999996</v>
      </c>
      <c r="F183" s="196">
        <f t="shared" si="40"/>
        <v>14642.099999999999</v>
      </c>
      <c r="G183" s="944">
        <v>8</v>
      </c>
      <c r="H183" s="39" t="s">
        <v>7878</v>
      </c>
      <c r="I183" s="198" t="str">
        <f>+H183&amp;ALNAT[[#This Row],[N°]]</f>
        <v>ACCESORIOS DE BRONCE UNION POLIAMIDA8</v>
      </c>
      <c r="S183" s="480" t="s">
        <v>9664</v>
      </c>
      <c r="T183" s="480" t="s">
        <v>4502</v>
      </c>
      <c r="U183" s="504">
        <v>1959.759592939324</v>
      </c>
      <c r="V183" s="89" t="s">
        <v>9337</v>
      </c>
      <c r="W183" s="90">
        <f t="shared" si="39"/>
        <v>1391.42931098692</v>
      </c>
    </row>
    <row r="184" spans="2:40" x14ac:dyDescent="0.2">
      <c r="B184" t="s">
        <v>7903</v>
      </c>
      <c r="C184">
        <v>200</v>
      </c>
      <c r="D184" s="13" t="str">
        <f t="shared" si="35"/>
        <v>19001IC04208820R VIROLA 3/8</v>
      </c>
      <c r="E184" s="196">
        <f>+VLOOKUP(H184&amp;ALNAT[[#This Row],[N°]],CODIGOS_Y_COSTOS[[ID]:[COSTO]],7,0)</f>
        <v>91.298599999999993</v>
      </c>
      <c r="F184" s="196">
        <f t="shared" si="40"/>
        <v>18259.719999999998</v>
      </c>
      <c r="G184" s="944">
        <v>9</v>
      </c>
      <c r="H184" s="39" t="s">
        <v>7878</v>
      </c>
      <c r="I184" s="198" t="str">
        <f>+H184&amp;ALNAT[[#This Row],[N°]]</f>
        <v>ACCESORIOS DE BRONCE UNION POLIAMIDA9</v>
      </c>
      <c r="S184" s="480" t="s">
        <v>9665</v>
      </c>
      <c r="T184" s="480" t="s">
        <v>9666</v>
      </c>
      <c r="U184" s="504">
        <v>1171.2348943492066</v>
      </c>
      <c r="V184" s="89" t="s">
        <v>9337</v>
      </c>
      <c r="W184" s="90">
        <f t="shared" si="39"/>
        <v>831.57677498793657</v>
      </c>
    </row>
    <row r="185" spans="2:40" x14ac:dyDescent="0.2">
      <c r="B185" t="s">
        <v>7906</v>
      </c>
      <c r="C185">
        <v>200</v>
      </c>
      <c r="D185" s="13" t="str">
        <f t="shared" si="35"/>
        <v>19001IC04208820R VIROLA 1/2</v>
      </c>
      <c r="E185" s="196">
        <f>+VLOOKUP(H185&amp;ALNAT[[#This Row],[N°]],CODIGOS_Y_COSTOS[[ID]:[COSTO]],7,0)</f>
        <v>139.96119999999999</v>
      </c>
      <c r="F185" s="196">
        <f t="shared" si="40"/>
        <v>27992.239999999998</v>
      </c>
      <c r="G185" s="944">
        <v>10</v>
      </c>
      <c r="H185" s="39" t="s">
        <v>7878</v>
      </c>
      <c r="I185" s="198" t="str">
        <f>+H185&amp;ALNAT[[#This Row],[N°]]</f>
        <v>ACCESORIOS DE BRONCE UNION POLIAMIDA10</v>
      </c>
      <c r="S185" s="480" t="s">
        <v>9667</v>
      </c>
      <c r="T185" s="480" t="s">
        <v>9668</v>
      </c>
      <c r="U185" s="504">
        <v>2486.7600873498018</v>
      </c>
      <c r="V185" s="89" t="s">
        <v>9337</v>
      </c>
      <c r="W185" s="90">
        <f t="shared" si="39"/>
        <v>1765.5996620183591</v>
      </c>
    </row>
    <row r="186" spans="2:40" x14ac:dyDescent="0.2">
      <c r="B186" t="s">
        <v>7909</v>
      </c>
      <c r="C186">
        <v>200</v>
      </c>
      <c r="D186" s="13" t="str">
        <f t="shared" si="35"/>
        <v>19001IC04208820R MANGO BRONCE 4 MM</v>
      </c>
      <c r="E186" s="196">
        <f>+VLOOKUP(H186&amp;ALNAT[[#This Row],[N°]],CODIGOS_Y_COSTOS[[ID]:[COSTO]],7,0)</f>
        <v>115.3912</v>
      </c>
      <c r="F186" s="196">
        <f t="shared" si="40"/>
        <v>23078.239999999998</v>
      </c>
      <c r="G186" s="944">
        <v>11</v>
      </c>
      <c r="H186" s="39" t="s">
        <v>7878</v>
      </c>
      <c r="I186" s="198" t="str">
        <f>+H186&amp;ALNAT[[#This Row],[N°]]</f>
        <v>ACCESORIOS DE BRONCE UNION POLIAMIDA11</v>
      </c>
      <c r="S186" s="480" t="s">
        <v>4495</v>
      </c>
      <c r="T186" s="480" t="s">
        <v>4496</v>
      </c>
      <c r="U186" s="504">
        <v>1260.3980826666668</v>
      </c>
      <c r="V186" s="89" t="s">
        <v>9337</v>
      </c>
      <c r="W186" s="90">
        <f t="shared" si="39"/>
        <v>894.88263869333343</v>
      </c>
    </row>
    <row r="187" spans="2:40" x14ac:dyDescent="0.2">
      <c r="B187" t="s">
        <v>7912</v>
      </c>
      <c r="C187">
        <v>200</v>
      </c>
      <c r="D187" s="13" t="str">
        <f t="shared" si="35"/>
        <v>20001IC04206029X MANGO BRONCE 6 MM</v>
      </c>
      <c r="E187" s="196">
        <f>+VLOOKUP(H187&amp;ALNAT[[#This Row],[N°]],CODIGOS_Y_COSTOS[[ID]:[COSTO]],7,0)</f>
        <v>118.68810000000001</v>
      </c>
      <c r="F187" s="196">
        <f t="shared" si="40"/>
        <v>23737.620000000003</v>
      </c>
      <c r="G187" s="944">
        <v>12</v>
      </c>
      <c r="H187" s="39" t="s">
        <v>7878</v>
      </c>
      <c r="I187" s="198" t="str">
        <f>+H187&amp;ALNAT[[#This Row],[N°]]</f>
        <v>ACCESORIOS DE BRONCE UNION POLIAMIDA12</v>
      </c>
      <c r="S187" s="480" t="s">
        <v>9669</v>
      </c>
      <c r="T187" s="480" t="s">
        <v>9670</v>
      </c>
      <c r="U187" s="504">
        <v>1470.8468883115759</v>
      </c>
      <c r="V187" s="89" t="s">
        <v>9337</v>
      </c>
      <c r="W187" s="90">
        <f t="shared" si="39"/>
        <v>1044.3012907012187</v>
      </c>
    </row>
    <row r="188" spans="2:40" x14ac:dyDescent="0.2">
      <c r="B188" t="s">
        <v>7915</v>
      </c>
      <c r="C188">
        <v>200</v>
      </c>
      <c r="D188" t="str">
        <f t="shared" si="35"/>
        <v>20001IC04206029X MANGO BRONCE 8 MM</v>
      </c>
      <c r="E188" s="196">
        <f>+VLOOKUP(H188&amp;ALNAT[[#This Row],[N°]],CODIGOS_Y_COSTOS[[ID]:[COSTO]],7,0)</f>
        <v>151.65700000000001</v>
      </c>
      <c r="F188" s="196">
        <f t="shared" si="40"/>
        <v>30331.4</v>
      </c>
      <c r="G188" s="944">
        <v>13</v>
      </c>
      <c r="H188" s="39" t="s">
        <v>7878</v>
      </c>
      <c r="I188" s="198" t="str">
        <f>+H188&amp;ALNAT[[#This Row],[N°]]</f>
        <v>ACCESORIOS DE BRONCE UNION POLIAMIDA13</v>
      </c>
      <c r="S188" s="480" t="s">
        <v>9671</v>
      </c>
      <c r="T188" s="480" t="s">
        <v>9672</v>
      </c>
      <c r="U188" s="504">
        <v>3545.3727878228319</v>
      </c>
      <c r="V188" s="89" t="s">
        <v>9337</v>
      </c>
      <c r="W188" s="90">
        <f t="shared" si="39"/>
        <v>2517.2146793542106</v>
      </c>
    </row>
    <row r="189" spans="2:40" x14ac:dyDescent="0.2">
      <c r="B189" t="s">
        <v>7918</v>
      </c>
      <c r="C189">
        <v>100</v>
      </c>
      <c r="D189" t="str">
        <f t="shared" si="35"/>
        <v>20001IC04206029X MANGO BRONCE 10 MM</v>
      </c>
      <c r="E189" s="196">
        <f>+VLOOKUP(H189&amp;ALNAT[[#This Row],[N°]],CODIGOS_Y_COSTOS[[ID]:[COSTO]],7,0)</f>
        <v>230.7825</v>
      </c>
      <c r="F189" s="196">
        <f t="shared" si="40"/>
        <v>23078.25</v>
      </c>
      <c r="G189" s="944">
        <v>14</v>
      </c>
      <c r="H189" s="39" t="s">
        <v>7878</v>
      </c>
      <c r="I189" s="198" t="str">
        <f>+H189&amp;ALNAT[[#This Row],[N°]]</f>
        <v>ACCESORIOS DE BRONCE UNION POLIAMIDA14</v>
      </c>
      <c r="S189" s="480" t="s">
        <v>9673</v>
      </c>
      <c r="T189" s="480" t="s">
        <v>9674</v>
      </c>
      <c r="U189" s="504">
        <v>3905.3915918600642</v>
      </c>
      <c r="V189" s="89" t="s">
        <v>9337</v>
      </c>
      <c r="W189" s="90">
        <f t="shared" si="39"/>
        <v>2772.8280302206454</v>
      </c>
    </row>
    <row r="190" spans="2:40" x14ac:dyDescent="0.2">
      <c r="B190" t="s">
        <v>7921</v>
      </c>
      <c r="C190">
        <v>100</v>
      </c>
      <c r="D190" t="str">
        <f t="shared" si="35"/>
        <v>20001IC04206029X MANGO BRONCE 12 MM</v>
      </c>
      <c r="E190" s="196">
        <f>+VLOOKUP(H190&amp;ALNAT[[#This Row],[N°]],CODIGOS_Y_COSTOS[[ID]:[COSTO]],7,0)</f>
        <v>230.7825</v>
      </c>
      <c r="F190" s="196">
        <f t="shared" si="40"/>
        <v>23078.25</v>
      </c>
      <c r="G190" s="944">
        <v>15</v>
      </c>
      <c r="H190" s="39" t="s">
        <v>7878</v>
      </c>
      <c r="I190" s="198" t="str">
        <f>+H190&amp;ALNAT[[#This Row],[N°]]</f>
        <v>ACCESORIOS DE BRONCE UNION POLIAMIDA15</v>
      </c>
      <c r="S190" s="480" t="s">
        <v>9675</v>
      </c>
      <c r="T190" s="480" t="s">
        <v>9676</v>
      </c>
      <c r="U190" s="504">
        <v>3797.694079717131</v>
      </c>
      <c r="V190" s="89" t="s">
        <v>9337</v>
      </c>
      <c r="W190" s="90">
        <f t="shared" si="39"/>
        <v>2696.3627965991627</v>
      </c>
    </row>
    <row r="191" spans="2:40" x14ac:dyDescent="0.2">
      <c r="B191" t="s">
        <v>7924</v>
      </c>
      <c r="C191">
        <v>200</v>
      </c>
      <c r="D191" t="str">
        <f t="shared" si="35"/>
        <v>19001IC04208820R MANGO BRONCE 1/4</v>
      </c>
      <c r="E191" s="196">
        <f>+VLOOKUP(H191&amp;ALNAT[[#This Row],[N°]],CODIGOS_Y_COSTOS[[ID]:[COSTO]],7,0)</f>
        <v>118.68810000000001</v>
      </c>
      <c r="F191" s="196">
        <f t="shared" si="40"/>
        <v>23737.620000000003</v>
      </c>
      <c r="G191" s="944">
        <v>16</v>
      </c>
      <c r="H191" s="39" t="s">
        <v>7878</v>
      </c>
      <c r="I191" s="198" t="str">
        <f>+H191&amp;ALNAT[[#This Row],[N°]]</f>
        <v>ACCESORIOS DE BRONCE UNION POLIAMIDA16</v>
      </c>
      <c r="S191" s="480" t="s">
        <v>9677</v>
      </c>
      <c r="T191" s="480" t="s">
        <v>9678</v>
      </c>
      <c r="U191" s="504">
        <v>3905.3915918600642</v>
      </c>
      <c r="V191" s="89" t="s">
        <v>9337</v>
      </c>
      <c r="W191" s="90">
        <f t="shared" si="39"/>
        <v>2772.8280302206454</v>
      </c>
    </row>
    <row r="192" spans="2:40" x14ac:dyDescent="0.2">
      <c r="B192" t="s">
        <v>7927</v>
      </c>
      <c r="C192">
        <v>100</v>
      </c>
      <c r="D192" t="str">
        <f t="shared" si="35"/>
        <v>19001IC04208820R MANGO BRONCE 3/8</v>
      </c>
      <c r="E192" s="196">
        <f>+VLOOKUP(H192&amp;ALNAT[[#This Row],[N°]],CODIGOS_Y_COSTOS[[ID]:[COSTO]],7,0)</f>
        <v>230.7825</v>
      </c>
      <c r="F192" s="196">
        <f t="shared" si="40"/>
        <v>23078.25</v>
      </c>
      <c r="G192" s="944">
        <v>17</v>
      </c>
      <c r="H192" s="39" t="s">
        <v>7878</v>
      </c>
      <c r="I192" s="198" t="str">
        <f>+H192&amp;ALNAT[[#This Row],[N°]]</f>
        <v>ACCESORIOS DE BRONCE UNION POLIAMIDA17</v>
      </c>
      <c r="S192" s="480" t="s">
        <v>9679</v>
      </c>
      <c r="T192" s="480" t="s">
        <v>9680</v>
      </c>
      <c r="U192" s="504">
        <v>6274.3831499737344</v>
      </c>
      <c r="V192" s="89" t="s">
        <v>9337</v>
      </c>
      <c r="W192" s="90">
        <f t="shared" si="39"/>
        <v>4454.8120364813512</v>
      </c>
    </row>
    <row r="193" spans="2:23" x14ac:dyDescent="0.2">
      <c r="B193" t="s">
        <v>7930</v>
      </c>
      <c r="C193">
        <v>100</v>
      </c>
      <c r="D193" t="str">
        <f t="shared" si="35"/>
        <v>19001IC04208820R MANGO BRONCE 1/2</v>
      </c>
      <c r="E193" s="196">
        <f>+VLOOKUP(H193&amp;ALNAT[[#This Row],[N°]],CODIGOS_Y_COSTOS[[ID]:[COSTO]],7,0)</f>
        <v>230.7825</v>
      </c>
      <c r="F193" s="196">
        <f t="shared" si="40"/>
        <v>23078.25</v>
      </c>
      <c r="G193" s="944">
        <v>18</v>
      </c>
      <c r="H193" s="39" t="s">
        <v>7878</v>
      </c>
      <c r="I193" s="198" t="str">
        <f>+H193&amp;ALNAT[[#This Row],[N°]]</f>
        <v>ACCESORIOS DE BRONCE UNION POLIAMIDA18</v>
      </c>
      <c r="S193" s="480" t="s">
        <v>9681</v>
      </c>
      <c r="T193" s="480" t="s">
        <v>9682</v>
      </c>
      <c r="U193" s="504">
        <v>6274.3831499737344</v>
      </c>
      <c r="V193" s="89" t="s">
        <v>9337</v>
      </c>
      <c r="W193" s="90">
        <f t="shared" si="39"/>
        <v>4454.8120364813512</v>
      </c>
    </row>
    <row r="194" spans="2:23" x14ac:dyDescent="0.2">
      <c r="B194" t="s">
        <v>7933</v>
      </c>
      <c r="C194">
        <v>100</v>
      </c>
      <c r="D194" t="str">
        <f t="shared" si="35"/>
        <v>TUERCA AJUSTE BRONCE  CONEXIÓN CON VIROLA TUBO 1/4</v>
      </c>
      <c r="E194" s="196">
        <f>+VLOOKUP(H194&amp;ALNAT[[#This Row],[N°]],CODIGOS_Y_COSTOS[[ID]:[COSTO]],7,0)</f>
        <v>374.17</v>
      </c>
      <c r="F194" s="196">
        <f t="shared" si="40"/>
        <v>37417</v>
      </c>
      <c r="G194" s="944">
        <v>20</v>
      </c>
      <c r="H194" s="39" t="s">
        <v>7878</v>
      </c>
      <c r="I194" s="198" t="str">
        <f>+H194&amp;ALNAT[[#This Row],[N°]]</f>
        <v>ACCESORIOS DE BRONCE UNION POLIAMIDA20</v>
      </c>
      <c r="S194" s="480" t="s">
        <v>9683</v>
      </c>
      <c r="T194" s="480" t="s">
        <v>9684</v>
      </c>
      <c r="U194" s="504">
        <v>6274.3831499737344</v>
      </c>
      <c r="V194" s="89" t="s">
        <v>9337</v>
      </c>
      <c r="W194" s="90">
        <f t="shared" si="39"/>
        <v>4454.8120364813512</v>
      </c>
    </row>
    <row r="195" spans="2:23" x14ac:dyDescent="0.2">
      <c r="B195" t="s">
        <v>7936</v>
      </c>
      <c r="C195">
        <v>50</v>
      </c>
      <c r="D195" t="str">
        <f t="shared" ref="D195:D263" si="41">+VLOOKUP(B195,$S$1:$W$1375,2,0)</f>
        <v>TUERCA AJUSTE BRONCE  CONEXIÓN CON VIROLA TUBO 5/6</v>
      </c>
      <c r="E195" s="196">
        <f>+VLOOKUP(H195&amp;ALNAT[[#This Row],[N°]],CODIGOS_Y_COSTOS[[ID]:[COSTO]],7,0)</f>
        <v>474.52140000000003</v>
      </c>
      <c r="F195" s="196">
        <f t="shared" si="40"/>
        <v>23726.07</v>
      </c>
      <c r="G195" s="944">
        <v>21</v>
      </c>
      <c r="H195" s="39" t="s">
        <v>7878</v>
      </c>
      <c r="I195" s="198" t="str">
        <f>+H195&amp;ALNAT[[#This Row],[N°]]</f>
        <v>ACCESORIOS DE BRONCE UNION POLIAMIDA21</v>
      </c>
      <c r="S195" s="480" t="s">
        <v>9685</v>
      </c>
      <c r="T195" s="480" t="s">
        <v>9686</v>
      </c>
      <c r="U195" s="504">
        <v>4879.2952291183783</v>
      </c>
      <c r="V195" s="89" t="s">
        <v>9337</v>
      </c>
      <c r="W195" s="90">
        <f t="shared" si="39"/>
        <v>3464.2996126740486</v>
      </c>
    </row>
    <row r="196" spans="2:23" x14ac:dyDescent="0.2">
      <c r="B196" t="s">
        <v>7939</v>
      </c>
      <c r="C196">
        <v>50</v>
      </c>
      <c r="D196" t="str">
        <f t="shared" si="41"/>
        <v>TUERCA AJUSTE BRONCE  CONEXIÓN CON VIROLA TUBO 3/8</v>
      </c>
      <c r="E196" s="196">
        <f>+VLOOKUP(H196&amp;ALNAT[[#This Row],[N°]],CODIGOS_Y_COSTOS[[ID]:[COSTO]],7,0)</f>
        <v>690.83</v>
      </c>
      <c r="F196" s="196">
        <f t="shared" si="40"/>
        <v>34541.5</v>
      </c>
      <c r="G196" s="944">
        <v>22</v>
      </c>
      <c r="H196" s="39" t="s">
        <v>7878</v>
      </c>
      <c r="I196" s="198" t="str">
        <f>+H196&amp;ALNAT[[#This Row],[N°]]</f>
        <v>ACCESORIOS DE BRONCE UNION POLIAMIDA22</v>
      </c>
      <c r="S196" s="480" t="s">
        <v>4492</v>
      </c>
      <c r="T196" s="480" t="s">
        <v>4493</v>
      </c>
      <c r="U196" s="504">
        <v>2583.4324356391144</v>
      </c>
      <c r="V196" s="89" t="s">
        <v>9337</v>
      </c>
      <c r="W196" s="90">
        <f t="shared" si="39"/>
        <v>1834.2370293037711</v>
      </c>
    </row>
    <row r="197" spans="2:23" x14ac:dyDescent="0.2">
      <c r="B197" t="s">
        <v>7942</v>
      </c>
      <c r="C197">
        <v>30</v>
      </c>
      <c r="D197" t="str">
        <f t="shared" si="41"/>
        <v>TUERCA AJUSTE BRONCE  CONEXIÓN CON VIROLA TUBO 1/2</v>
      </c>
      <c r="E197" s="196">
        <f>+VLOOKUP(H197&amp;ALNAT[[#This Row],[N°]],CODIGOS_Y_COSTOS[[ID]:[COSTO]],7,0)</f>
        <v>868.99739999999997</v>
      </c>
      <c r="F197" s="196">
        <f t="shared" si="40"/>
        <v>26069.921999999999</v>
      </c>
      <c r="G197" s="944">
        <v>23</v>
      </c>
      <c r="H197" s="39" t="s">
        <v>7878</v>
      </c>
      <c r="I197" s="198" t="str">
        <f>+H197&amp;ALNAT[[#This Row],[N°]]</f>
        <v>ACCESORIOS DE BRONCE UNION POLIAMIDA23</v>
      </c>
      <c r="S197" s="480" t="s">
        <v>9687</v>
      </c>
      <c r="T197" s="480" t="s">
        <v>9688</v>
      </c>
      <c r="U197" s="504">
        <v>2732.1319083833178</v>
      </c>
      <c r="V197" s="89" t="s">
        <v>9337</v>
      </c>
      <c r="W197" s="90">
        <f t="shared" si="39"/>
        <v>1939.8136549521555</v>
      </c>
    </row>
    <row r="198" spans="2:23" x14ac:dyDescent="0.2">
      <c r="B198" t="s">
        <v>7945</v>
      </c>
      <c r="C198">
        <v>100</v>
      </c>
      <c r="D198" t="str">
        <f t="shared" si="41"/>
        <v>TUERCA AJUSTE BRONCE  CONEXIÓN CON VIROLA TUBO 6 M</v>
      </c>
      <c r="E198" s="196">
        <f>+VLOOKUP(H198&amp;ALNAT[[#This Row],[N°]],CODIGOS_Y_COSTOS[[ID]:[COSTO]],7,0)</f>
        <v>374.17</v>
      </c>
      <c r="F198" s="196">
        <f t="shared" si="40"/>
        <v>37417</v>
      </c>
      <c r="G198" s="944">
        <v>24</v>
      </c>
      <c r="H198" s="39" t="s">
        <v>7878</v>
      </c>
      <c r="I198" s="198" t="str">
        <f>+H198&amp;ALNAT[[#This Row],[N°]]</f>
        <v>ACCESORIOS DE BRONCE UNION POLIAMIDA24</v>
      </c>
      <c r="S198" s="480" t="s">
        <v>9689</v>
      </c>
      <c r="T198" s="480" t="s">
        <v>9690</v>
      </c>
      <c r="U198" s="504">
        <v>3504.9899658487288</v>
      </c>
      <c r="V198" s="89" t="s">
        <v>9337</v>
      </c>
      <c r="W198" s="90">
        <f t="shared" si="39"/>
        <v>2488.5428757525974</v>
      </c>
    </row>
    <row r="199" spans="2:23" x14ac:dyDescent="0.2">
      <c r="B199" t="s">
        <v>7948</v>
      </c>
      <c r="C199">
        <v>100</v>
      </c>
      <c r="D199" t="str">
        <f t="shared" si="41"/>
        <v>TUERCA AJUSTE BRONCE  CONEXIÓN CON VIROLA TUBO 8 M</v>
      </c>
      <c r="E199" s="196">
        <f>+VLOOKUP(H199&amp;ALNAT[[#This Row],[N°]],CODIGOS_Y_COSTOS[[ID]:[COSTO]],7,0)</f>
        <v>474.52140000000003</v>
      </c>
      <c r="F199" s="196">
        <f t="shared" si="40"/>
        <v>47452.14</v>
      </c>
      <c r="G199" s="944">
        <v>25</v>
      </c>
      <c r="H199" s="39" t="s">
        <v>7878</v>
      </c>
      <c r="I199" s="198" t="str">
        <f>+H199&amp;ALNAT[[#This Row],[N°]]</f>
        <v>ACCESORIOS DE BRONCE UNION POLIAMIDA25</v>
      </c>
      <c r="S199" s="480" t="s">
        <v>9691</v>
      </c>
      <c r="T199" s="480" t="s">
        <v>9692</v>
      </c>
      <c r="U199" s="504">
        <v>3568.2180667181428</v>
      </c>
      <c r="V199" s="89" t="s">
        <v>9337</v>
      </c>
      <c r="W199" s="90">
        <f t="shared" si="39"/>
        <v>2533.4348273698811</v>
      </c>
    </row>
    <row r="200" spans="2:23" x14ac:dyDescent="0.2">
      <c r="B200" t="s">
        <v>7951</v>
      </c>
      <c r="C200">
        <v>100</v>
      </c>
      <c r="D200" t="str">
        <f t="shared" si="41"/>
        <v>TUERCA AJUSTE BRONCE  CONEXIÓN C/VIROLA TUBO 10MM</v>
      </c>
      <c r="E200" s="196">
        <f>+VLOOKUP(H200&amp;ALNAT[[#This Row],[N°]],CODIGOS_Y_COSTOS[[ID]:[COSTO]],7,0)</f>
        <v>690.83</v>
      </c>
      <c r="F200" s="196">
        <f t="shared" si="40"/>
        <v>69083</v>
      </c>
      <c r="G200" s="944">
        <v>26</v>
      </c>
      <c r="H200" s="39" t="s">
        <v>7878</v>
      </c>
      <c r="I200" s="198" t="str">
        <f>+H200&amp;ALNAT[[#This Row],[N°]]</f>
        <v>ACCESORIOS DE BRONCE UNION POLIAMIDA26</v>
      </c>
      <c r="S200" s="480" t="s">
        <v>9693</v>
      </c>
      <c r="T200" s="480" t="s">
        <v>9694</v>
      </c>
      <c r="U200" s="504">
        <v>4348.7460505431372</v>
      </c>
      <c r="V200" s="89" t="s">
        <v>9337</v>
      </c>
      <c r="W200" s="90">
        <f t="shared" si="39"/>
        <v>3087.6096958856274</v>
      </c>
    </row>
    <row r="201" spans="2:23" x14ac:dyDescent="0.2">
      <c r="B201" t="s">
        <v>7954</v>
      </c>
      <c r="C201">
        <v>50</v>
      </c>
      <c r="D201" t="str">
        <f t="shared" si="41"/>
        <v>TUERCA AJUSTE BRONCE  CONEXIÓN C/VIROLA TUBO 12 MM</v>
      </c>
      <c r="E201" s="196">
        <f>+VLOOKUP(H201&amp;ALNAT[[#This Row],[N°]],CODIGOS_Y_COSTOS[[ID]:[COSTO]],7,0)</f>
        <v>868.99739999999997</v>
      </c>
      <c r="F201" s="196">
        <f t="shared" si="40"/>
        <v>43449.869999999995</v>
      </c>
      <c r="G201" s="944">
        <v>27</v>
      </c>
      <c r="H201" s="39" t="s">
        <v>7878</v>
      </c>
      <c r="I201" s="198" t="str">
        <f>+H201&amp;ALNAT[[#This Row],[N°]]</f>
        <v>ACCESORIOS DE BRONCE UNION POLIAMIDA27</v>
      </c>
      <c r="S201" s="480" t="s">
        <v>4519</v>
      </c>
      <c r="T201" s="480" t="s">
        <v>4520</v>
      </c>
      <c r="U201" s="504">
        <v>446.98497942857148</v>
      </c>
      <c r="V201" s="89" t="s">
        <v>9337</v>
      </c>
      <c r="W201" s="90">
        <f t="shared" si="39"/>
        <v>317.35933539428572</v>
      </c>
    </row>
    <row r="202" spans="2:23" x14ac:dyDescent="0.2">
      <c r="B202" t="s">
        <v>7957</v>
      </c>
      <c r="C202">
        <v>50</v>
      </c>
      <c r="D202" t="str">
        <f t="shared" si="41"/>
        <v>CUERPO UNION DOBLE AJUSTE VIROLA 1/4</v>
      </c>
      <c r="E202" s="196">
        <f>+VLOOKUP(H202&amp;ALNAT[[#This Row],[N°]],CODIGOS_Y_COSTOS[[ID]:[COSTO]],7,0)</f>
        <v>485.58319999999998</v>
      </c>
      <c r="F202" s="196">
        <f t="shared" si="40"/>
        <v>24279.16</v>
      </c>
      <c r="G202" s="944">
        <v>30</v>
      </c>
      <c r="H202" s="39" t="s">
        <v>7878</v>
      </c>
      <c r="I202" s="198" t="str">
        <f>+H202&amp;ALNAT[[#This Row],[N°]]</f>
        <v>ACCESORIOS DE BRONCE UNION POLIAMIDA30</v>
      </c>
      <c r="S202" s="480" t="s">
        <v>9695</v>
      </c>
      <c r="T202" s="480" t="s">
        <v>9696</v>
      </c>
      <c r="U202" s="504">
        <v>822.77733645971159</v>
      </c>
      <c r="V202" s="89" t="s">
        <v>9337</v>
      </c>
      <c r="W202" s="90">
        <f t="shared" si="39"/>
        <v>584.17190888639516</v>
      </c>
    </row>
    <row r="203" spans="2:23" ht="12.75" customHeight="1" x14ac:dyDescent="0.2">
      <c r="B203" t="s">
        <v>7959</v>
      </c>
      <c r="C203">
        <v>50</v>
      </c>
      <c r="D203" t="str">
        <f t="shared" si="41"/>
        <v>CUERPO UNION DOBLE AJUSTE VIROLA 5/16</v>
      </c>
      <c r="E203" s="196">
        <f>+VLOOKUP(H203&amp;ALNAT[[#This Row],[N°]],CODIGOS_Y_COSTOS[[ID]:[COSTO]],7,0)</f>
        <v>461.05270000000002</v>
      </c>
      <c r="F203" s="196">
        <f t="shared" si="40"/>
        <v>23052.635000000002</v>
      </c>
      <c r="G203" s="944">
        <v>31</v>
      </c>
      <c r="H203" s="39" t="s">
        <v>7878</v>
      </c>
      <c r="I203" s="198" t="str">
        <f>+H203&amp;ALNAT[[#This Row],[N°]]</f>
        <v>ACCESORIOS DE BRONCE UNION POLIAMIDA31</v>
      </c>
      <c r="S203" s="480" t="s">
        <v>4522</v>
      </c>
      <c r="T203" s="480" t="s">
        <v>4523</v>
      </c>
      <c r="U203" s="504">
        <v>598.50651771428579</v>
      </c>
      <c r="V203" s="89" t="s">
        <v>9337</v>
      </c>
      <c r="W203" s="90">
        <f t="shared" si="39"/>
        <v>424.93962757714291</v>
      </c>
    </row>
    <row r="204" spans="2:23" ht="12.75" customHeight="1" x14ac:dyDescent="0.2">
      <c r="B204" t="s">
        <v>7962</v>
      </c>
      <c r="C204">
        <v>30</v>
      </c>
      <c r="D204" t="str">
        <f t="shared" si="41"/>
        <v>CUERPO UNION DOBLE AJUSTE VIROLA 3/8</v>
      </c>
      <c r="E204" s="196">
        <f>+VLOOKUP(H204&amp;ALNAT[[#This Row],[N°]],CODIGOS_Y_COSTOS[[ID]:[COSTO]],7,0)</f>
        <v>1016.6064</v>
      </c>
      <c r="F204" s="196">
        <f t="shared" si="40"/>
        <v>30498.191999999999</v>
      </c>
      <c r="G204" s="944">
        <v>32</v>
      </c>
      <c r="H204" s="39" t="s">
        <v>7878</v>
      </c>
      <c r="I204" s="198" t="str">
        <f>+H204&amp;ALNAT[[#This Row],[N°]]</f>
        <v>ACCESORIOS DE BRONCE UNION POLIAMIDA32</v>
      </c>
      <c r="S204" s="480" t="s">
        <v>9697</v>
      </c>
      <c r="T204" s="480" t="s">
        <v>9698</v>
      </c>
      <c r="U204" s="504">
        <v>1275.3540969267244</v>
      </c>
      <c r="V204" s="89" t="s">
        <v>9337</v>
      </c>
      <c r="W204" s="90">
        <f t="shared" si="39"/>
        <v>905.50140881797427</v>
      </c>
    </row>
    <row r="205" spans="2:23" x14ac:dyDescent="0.2">
      <c r="B205" t="s">
        <v>7964</v>
      </c>
      <c r="C205">
        <v>30</v>
      </c>
      <c r="D205" t="str">
        <f t="shared" si="41"/>
        <v>CUERPO UNION DOBLE AJUSTE VIROLA 1/2</v>
      </c>
      <c r="E205" s="196">
        <f>+VLOOKUP(H205&amp;ALNAT[[#This Row],[N°]],CODIGOS_Y_COSTOS[[ID]:[COSTO]],7,0)</f>
        <v>1371.3436999999999</v>
      </c>
      <c r="F205" s="196">
        <f t="shared" si="40"/>
        <v>41140.310999999994</v>
      </c>
      <c r="G205" s="944">
        <v>33</v>
      </c>
      <c r="H205" s="39" t="s">
        <v>7878</v>
      </c>
      <c r="I205" s="198" t="str">
        <f>+H205&amp;ALNAT[[#This Row],[N°]]</f>
        <v>ACCESORIOS DE BRONCE UNION POLIAMIDA33</v>
      </c>
      <c r="S205" s="480" t="s">
        <v>4525</v>
      </c>
      <c r="T205" s="480" t="s">
        <v>4526</v>
      </c>
      <c r="U205" s="504">
        <v>843.78304571428589</v>
      </c>
      <c r="V205" s="89" t="s">
        <v>9337</v>
      </c>
      <c r="W205" s="90">
        <f t="shared" si="39"/>
        <v>599.08596245714295</v>
      </c>
    </row>
    <row r="206" spans="2:23" ht="12.75" customHeight="1" x14ac:dyDescent="0.2">
      <c r="B206" t="s">
        <v>7966</v>
      </c>
      <c r="C206">
        <v>30</v>
      </c>
      <c r="D206" t="str">
        <f t="shared" si="41"/>
        <v>CUERPO UNION DOBLE VIROLA 6 MM</v>
      </c>
      <c r="E206" s="196">
        <f>+VLOOKUP(H206&amp;ALNAT[[#This Row],[N°]],CODIGOS_Y_COSTOS[[ID]:[COSTO]],7,0)</f>
        <v>485.58319999999998</v>
      </c>
      <c r="F206" s="196">
        <f t="shared" si="40"/>
        <v>14567.495999999999</v>
      </c>
      <c r="G206" s="944">
        <v>34</v>
      </c>
      <c r="H206" s="39" t="s">
        <v>7878</v>
      </c>
      <c r="I206" s="198" t="str">
        <f>+H206&amp;ALNAT[[#This Row],[N°]]</f>
        <v>ACCESORIOS DE BRONCE UNION POLIAMIDA34</v>
      </c>
      <c r="S206" s="480" t="s">
        <v>9699</v>
      </c>
      <c r="T206" s="480" t="s">
        <v>9700</v>
      </c>
      <c r="U206" s="504">
        <v>1717.3558804871859</v>
      </c>
      <c r="V206" s="89" t="s">
        <v>9337</v>
      </c>
      <c r="W206" s="90">
        <f t="shared" si="39"/>
        <v>1219.3226751459019</v>
      </c>
    </row>
    <row r="207" spans="2:23" ht="13.5" customHeight="1" x14ac:dyDescent="0.2">
      <c r="B207" t="s">
        <v>7968</v>
      </c>
      <c r="C207">
        <v>30</v>
      </c>
      <c r="D207" t="str">
        <f t="shared" si="41"/>
        <v>CUERPO UNION DOBLE VIROLA 8 MM</v>
      </c>
      <c r="E207" s="196">
        <f>+VLOOKUP(H207&amp;ALNAT[[#This Row],[N°]],CODIGOS_Y_COSTOS[[ID]:[COSTO]],7,0)</f>
        <v>461.05270000000002</v>
      </c>
      <c r="F207" s="196">
        <f t="shared" si="40"/>
        <v>13831.581</v>
      </c>
      <c r="G207" s="944">
        <v>35</v>
      </c>
      <c r="H207" s="39" t="s">
        <v>7878</v>
      </c>
      <c r="I207" s="198" t="str">
        <f>+H207&amp;ALNAT[[#This Row],[N°]]</f>
        <v>ACCESORIOS DE BRONCE UNION POLIAMIDA35</v>
      </c>
      <c r="S207" s="480" t="s">
        <v>9701</v>
      </c>
      <c r="T207" s="480" t="s">
        <v>9702</v>
      </c>
      <c r="U207" s="504">
        <v>1422.3800248739497</v>
      </c>
      <c r="V207" s="89" t="s">
        <v>9337</v>
      </c>
      <c r="W207" s="90">
        <f t="shared" si="39"/>
        <v>1009.8898176605041</v>
      </c>
    </row>
    <row r="208" spans="2:23" x14ac:dyDescent="0.2">
      <c r="B208" t="s">
        <v>7970</v>
      </c>
      <c r="C208">
        <v>30</v>
      </c>
      <c r="D208" t="str">
        <f t="shared" si="41"/>
        <v>CUERPO UNION DOBLE VIROLA 10 MM</v>
      </c>
      <c r="E208" s="196">
        <f>+VLOOKUP(H208&amp;ALNAT[[#This Row],[N°]],CODIGOS_Y_COSTOS[[ID]:[COSTO]],7,0)</f>
        <v>1016.6064</v>
      </c>
      <c r="F208" s="196">
        <f t="shared" si="40"/>
        <v>30498.191999999999</v>
      </c>
      <c r="G208" s="944">
        <v>36</v>
      </c>
      <c r="H208" s="39" t="s">
        <v>7878</v>
      </c>
      <c r="I208" s="198" t="str">
        <f>+H208&amp;ALNAT[[#This Row],[N°]]</f>
        <v>ACCESORIOS DE BRONCE UNION POLIAMIDA36</v>
      </c>
      <c r="S208" s="480" t="s">
        <v>9703</v>
      </c>
      <c r="T208" s="480" t="s">
        <v>9704</v>
      </c>
      <c r="U208" s="504">
        <v>3620.4358537882417</v>
      </c>
      <c r="V208" s="89" t="s">
        <v>9337</v>
      </c>
      <c r="W208" s="90">
        <f t="shared" si="39"/>
        <v>2570.5094561896517</v>
      </c>
    </row>
    <row r="209" spans="2:23" x14ac:dyDescent="0.2">
      <c r="B209" t="s">
        <v>21392</v>
      </c>
      <c r="C209">
        <v>15</v>
      </c>
      <c r="D209" t="str">
        <f t="shared" si="41"/>
        <v>SAE 7.89 ID-6 - Acople recto</v>
      </c>
      <c r="E209" s="196">
        <f>+VLOOKUP(H209&amp;ALNAT[[#This Row],[N°]],CODIGOS_Y_COSTOS[[ID]:[COSTO]],7,0)</f>
        <v>0</v>
      </c>
      <c r="F209" s="1427">
        <f t="shared" ref="F209:F240" si="42">+E209*C209</f>
        <v>0</v>
      </c>
      <c r="G209" s="944">
        <v>1</v>
      </c>
      <c r="H209" t="s">
        <v>21391</v>
      </c>
      <c r="I209" s="198" t="str">
        <f>+H209&amp;ALNAT[[#This Row],[N°]]</f>
        <v>CONECTORES DE COMBUSTIBLE1</v>
      </c>
      <c r="S209" s="480" t="s">
        <v>9705</v>
      </c>
      <c r="T209" s="480" t="s">
        <v>9706</v>
      </c>
      <c r="U209" s="504">
        <v>4388.2886468571432</v>
      </c>
      <c r="V209" s="89" t="s">
        <v>9337</v>
      </c>
      <c r="W209" s="90">
        <f t="shared" si="39"/>
        <v>3115.6849392685717</v>
      </c>
    </row>
    <row r="210" spans="2:23" x14ac:dyDescent="0.2">
      <c r="B210" t="s">
        <v>9487</v>
      </c>
      <c r="C210">
        <v>15</v>
      </c>
      <c r="D210" t="str">
        <f t="shared" si="41"/>
        <v>SAE 7.89 ID-4 - Codo 90°</v>
      </c>
      <c r="E210" s="196">
        <f>+VLOOKUP(H210&amp;ALNAT[[#This Row],[N°]],CODIGOS_Y_COSTOS[[ID]:[COSTO]],7,0)</f>
        <v>2013.48</v>
      </c>
      <c r="F210" s="1427">
        <f t="shared" si="42"/>
        <v>30202.2</v>
      </c>
      <c r="G210" s="944">
        <v>2</v>
      </c>
      <c r="H210" t="s">
        <v>21391</v>
      </c>
      <c r="I210" s="198" t="str">
        <f>+H210&amp;ALNAT[[#This Row],[N°]]</f>
        <v>CONECTORES DE COMBUSTIBLE2</v>
      </c>
      <c r="S210" s="480" t="s">
        <v>9707</v>
      </c>
      <c r="T210" s="480" t="s">
        <v>9708</v>
      </c>
      <c r="U210" s="504">
        <v>6611.3465574427728</v>
      </c>
      <c r="V210" s="89" t="s">
        <v>9337</v>
      </c>
      <c r="W210" s="90">
        <f t="shared" si="39"/>
        <v>4694.0560557843683</v>
      </c>
    </row>
    <row r="211" spans="2:23" x14ac:dyDescent="0.2">
      <c r="B211" t="s">
        <v>21394</v>
      </c>
      <c r="C211">
        <v>15</v>
      </c>
      <c r="D211" t="str">
        <f t="shared" si="41"/>
        <v>SAE 7.89 ID-8 - Acople recto</v>
      </c>
      <c r="E211" s="196">
        <f>+VLOOKUP(H211&amp;ALNAT[[#This Row],[N°]],CODIGOS_Y_COSTOS[[ID]:[COSTO]],7,0)</f>
        <v>2013.48</v>
      </c>
      <c r="F211" s="1427">
        <f t="shared" si="42"/>
        <v>30202.2</v>
      </c>
      <c r="G211" s="944">
        <v>3</v>
      </c>
      <c r="H211" t="s">
        <v>21391</v>
      </c>
      <c r="I211" s="198" t="str">
        <f>+H211&amp;ALNAT[[#This Row],[N°]]</f>
        <v>CONECTORES DE COMBUSTIBLE3</v>
      </c>
      <c r="S211" s="480" t="s">
        <v>9709</v>
      </c>
      <c r="T211" s="480" t="s">
        <v>9710</v>
      </c>
      <c r="U211" s="504">
        <v>5627.9208217142886</v>
      </c>
      <c r="V211" s="89" t="s">
        <v>9337</v>
      </c>
      <c r="W211" s="90">
        <f t="shared" si="39"/>
        <v>3995.8237834171446</v>
      </c>
    </row>
    <row r="212" spans="2:23" x14ac:dyDescent="0.2">
      <c r="B212" t="s">
        <v>21393</v>
      </c>
      <c r="C212">
        <v>15</v>
      </c>
      <c r="D212" t="str">
        <f t="shared" si="41"/>
        <v>SAE 7.89 ID-6 - Codo 90°</v>
      </c>
      <c r="E212" s="196">
        <f>+VLOOKUP(H212&amp;ALNAT[[#This Row],[N°]],CODIGOS_Y_COSTOS[[ID]:[COSTO]],7,0)</f>
        <v>2013.48</v>
      </c>
      <c r="F212" s="1427">
        <f t="shared" si="42"/>
        <v>30202.2</v>
      </c>
      <c r="G212" s="944">
        <v>4</v>
      </c>
      <c r="H212" t="s">
        <v>21391</v>
      </c>
      <c r="I212" s="198" t="str">
        <f>+H212&amp;ALNAT[[#This Row],[N°]]</f>
        <v>CONECTORES DE COMBUSTIBLE4</v>
      </c>
      <c r="S212" s="480" t="s">
        <v>9711</v>
      </c>
      <c r="T212" s="480" t="s">
        <v>9712</v>
      </c>
      <c r="U212" s="504">
        <v>12362.94579495477</v>
      </c>
      <c r="V212" s="89" t="s">
        <v>9337</v>
      </c>
      <c r="W212" s="90">
        <f t="shared" si="39"/>
        <v>8777.6915144178874</v>
      </c>
    </row>
    <row r="213" spans="2:23" x14ac:dyDescent="0.2">
      <c r="B213" t="s">
        <v>21406</v>
      </c>
      <c r="C213">
        <v>15</v>
      </c>
      <c r="D213" t="str">
        <f t="shared" si="41"/>
        <v>SAE 7.89 ID-5 - Codo inclinado</v>
      </c>
      <c r="E213" s="196">
        <f>+VLOOKUP(H213&amp;ALNAT[[#This Row],[N°]],CODIGOS_Y_COSTOS[[ID]:[COSTO]],7,0)</f>
        <v>2013.48</v>
      </c>
      <c r="F213" s="1427">
        <f t="shared" si="42"/>
        <v>30202.2</v>
      </c>
      <c r="G213" s="944">
        <v>5</v>
      </c>
      <c r="H213" t="s">
        <v>21391</v>
      </c>
      <c r="I213" s="198" t="str">
        <f>+H213&amp;ALNAT[[#This Row],[N°]]</f>
        <v>CONECTORES DE COMBUSTIBLE5</v>
      </c>
      <c r="S213" s="480" t="s">
        <v>9713</v>
      </c>
      <c r="T213" s="480" t="s">
        <v>9714</v>
      </c>
      <c r="U213" s="504">
        <v>961.47390719196301</v>
      </c>
      <c r="V213" s="89" t="s">
        <v>9337</v>
      </c>
      <c r="W213" s="90">
        <f t="shared" si="39"/>
        <v>682.64647410629368</v>
      </c>
    </row>
    <row r="214" spans="2:23" x14ac:dyDescent="0.2">
      <c r="B214" t="s">
        <v>21397</v>
      </c>
      <c r="C214">
        <v>15</v>
      </c>
      <c r="D214" t="str">
        <f t="shared" si="41"/>
        <v>SAE 7.89 ID-6-7.89 - Tee 90° con espiga, ramificación</v>
      </c>
      <c r="E214" s="196">
        <f>+VLOOKUP(H214&amp;ALNAT[[#This Row],[N°]],CODIGOS_Y_COSTOS[[ID]:[COSTO]],7,0)</f>
        <v>2876.4</v>
      </c>
      <c r="F214" s="1427">
        <f t="shared" si="42"/>
        <v>43146</v>
      </c>
      <c r="G214" s="944">
        <v>6</v>
      </c>
      <c r="H214" t="s">
        <v>21391</v>
      </c>
      <c r="I214" s="198" t="str">
        <f>+H214&amp;ALNAT[[#This Row],[N°]]</f>
        <v>CONECTORES DE COMBUSTIBLE6</v>
      </c>
      <c r="S214" s="480" t="s">
        <v>9715</v>
      </c>
      <c r="T214" s="480" t="s">
        <v>9716</v>
      </c>
      <c r="U214" s="504">
        <v>1202.4716276752586</v>
      </c>
      <c r="V214" s="89" t="s">
        <v>9337</v>
      </c>
      <c r="W214" s="90">
        <f t="shared" si="39"/>
        <v>853.75485564943358</v>
      </c>
    </row>
    <row r="215" spans="2:23" x14ac:dyDescent="0.2">
      <c r="B215" t="s">
        <v>21546</v>
      </c>
      <c r="C215">
        <v>15</v>
      </c>
      <c r="D215" t="s">
        <v>4463</v>
      </c>
      <c r="E215" s="196">
        <f>+VLOOKUP(H215&amp;ALNAT[[#This Row],[N°]],CODIGOS_Y_COSTOS[[ID]:[COSTO]],7,0)</f>
        <v>2013.48</v>
      </c>
      <c r="F215" s="1427">
        <f t="shared" si="42"/>
        <v>30202.2</v>
      </c>
      <c r="G215" s="944">
        <v>7</v>
      </c>
      <c r="H215" t="s">
        <v>21391</v>
      </c>
      <c r="I215" s="198" t="str">
        <f>+H215&amp;ALNAT[[#This Row],[N°]]</f>
        <v>CONECTORES DE COMBUSTIBLE7</v>
      </c>
      <c r="S215" s="480" t="s">
        <v>4483</v>
      </c>
      <c r="T215" s="480" t="s">
        <v>4484</v>
      </c>
      <c r="U215" s="504">
        <v>1310.8801977550988</v>
      </c>
      <c r="V215" s="89" t="s">
        <v>9337</v>
      </c>
      <c r="W215" s="90">
        <f t="shared" si="39"/>
        <v>930.72494040612014</v>
      </c>
    </row>
    <row r="216" spans="2:23" x14ac:dyDescent="0.2">
      <c r="B216" t="s">
        <v>21404</v>
      </c>
      <c r="C216">
        <v>15</v>
      </c>
      <c r="D216" t="str">
        <f t="shared" si="41"/>
        <v>SAE 7.89 ID-6 - Acople recto</v>
      </c>
      <c r="E216" s="196">
        <f>+VLOOKUP(H216&amp;ALNAT[[#This Row],[N°]],CODIGOS_Y_COSTOS[[ID]:[COSTO]],7,0)</f>
        <v>2013.48</v>
      </c>
      <c r="F216" s="1427">
        <f t="shared" si="42"/>
        <v>30202.2</v>
      </c>
      <c r="G216" s="944">
        <v>8</v>
      </c>
      <c r="H216" t="s">
        <v>21391</v>
      </c>
      <c r="I216" s="198" t="str">
        <f>+H216&amp;ALNAT[[#This Row],[N°]]</f>
        <v>CONECTORES DE COMBUSTIBLE8</v>
      </c>
      <c r="S216" s="480" t="s">
        <v>9717</v>
      </c>
      <c r="T216" s="480" t="s">
        <v>9718</v>
      </c>
      <c r="U216" s="504">
        <v>1834.612514472374</v>
      </c>
      <c r="V216" s="89" t="s">
        <v>9337</v>
      </c>
      <c r="W216" s="90">
        <f t="shared" si="39"/>
        <v>1302.5748852753854</v>
      </c>
    </row>
    <row r="217" spans="2:23" x14ac:dyDescent="0.2">
      <c r="B217" t="s">
        <v>9487</v>
      </c>
      <c r="C217">
        <v>15</v>
      </c>
      <c r="D217" t="str">
        <f t="shared" si="41"/>
        <v>SAE 7.89 ID-4 - Codo 90°</v>
      </c>
      <c r="E217" s="196">
        <f>+VLOOKUP(H217&amp;ALNAT[[#This Row],[N°]],CODIGOS_Y_COSTOS[[ID]:[COSTO]],7,0)</f>
        <v>0</v>
      </c>
      <c r="F217" s="1427">
        <f t="shared" si="42"/>
        <v>0</v>
      </c>
      <c r="G217" s="944">
        <v>9</v>
      </c>
      <c r="H217" t="s">
        <v>21391</v>
      </c>
      <c r="I217" s="198" t="str">
        <f>+H217&amp;ALNAT[[#This Row],[N°]]</f>
        <v>CONECTORES DE COMBUSTIBLE9</v>
      </c>
      <c r="S217" s="480" t="s">
        <v>4486</v>
      </c>
      <c r="T217" s="480" t="s">
        <v>4487</v>
      </c>
      <c r="U217" s="504">
        <v>2103.7170410988797</v>
      </c>
      <c r="V217" s="89" t="s">
        <v>9337</v>
      </c>
      <c r="W217" s="90">
        <f t="shared" ref="W217:W280" si="43">+IF(V217="Nacional",(1-$AA$1)*U217,(1-$AA$2)*U217)</f>
        <v>1493.6390991802045</v>
      </c>
    </row>
    <row r="218" spans="2:23" x14ac:dyDescent="0.2">
      <c r="B218" t="s">
        <v>21397</v>
      </c>
      <c r="C218">
        <v>15</v>
      </c>
      <c r="D218" t="str">
        <f t="shared" si="41"/>
        <v>SAE 7.89 ID-6-7.89 - Tee 90° con espiga, ramificación</v>
      </c>
      <c r="E218" s="196">
        <f>+VLOOKUP(H218&amp;ALNAT[[#This Row],[N°]],CODIGOS_Y_COSTOS[[ID]:[COSTO]],7,0)</f>
        <v>2876.4</v>
      </c>
      <c r="F218" s="1427">
        <f t="shared" si="42"/>
        <v>43146</v>
      </c>
      <c r="G218" s="944">
        <v>13</v>
      </c>
      <c r="H218" t="s">
        <v>21391</v>
      </c>
      <c r="I218" s="198" t="str">
        <f>+H218&amp;ALNAT[[#This Row],[N°]]</f>
        <v>CONECTORES DE COMBUSTIBLE13</v>
      </c>
      <c r="S218" s="480" t="s">
        <v>9719</v>
      </c>
      <c r="T218" s="480" t="s">
        <v>9720</v>
      </c>
      <c r="U218" s="504">
        <v>2800.3845868168005</v>
      </c>
      <c r="V218" s="89" t="s">
        <v>9337</v>
      </c>
      <c r="W218" s="90">
        <f t="shared" si="43"/>
        <v>1988.2730566399282</v>
      </c>
    </row>
    <row r="219" spans="2:23" x14ac:dyDescent="0.2">
      <c r="B219" t="s">
        <v>21397</v>
      </c>
      <c r="C219">
        <v>15</v>
      </c>
      <c r="D219" t="str">
        <f t="shared" si="41"/>
        <v>SAE 7.89 ID-6-7.89 - Tee 90° con espiga, ramificación</v>
      </c>
      <c r="E219" s="196">
        <f>+VLOOKUP(H219&amp;ALNAT[[#This Row],[N°]],CODIGOS_Y_COSTOS[[ID]:[COSTO]],7,0)</f>
        <v>2876.4</v>
      </c>
      <c r="F219" s="1427">
        <f t="shared" si="42"/>
        <v>43146</v>
      </c>
      <c r="G219" s="944">
        <v>14</v>
      </c>
      <c r="H219" t="s">
        <v>21391</v>
      </c>
      <c r="I219" s="198" t="str">
        <f>+H219&amp;ALNAT[[#This Row],[N°]]</f>
        <v>CONECTORES DE COMBUSTIBLE14</v>
      </c>
      <c r="R219" s="1"/>
      <c r="S219" s="480" t="s">
        <v>4489</v>
      </c>
      <c r="T219" s="480" t="s">
        <v>4490</v>
      </c>
      <c r="U219" s="504">
        <v>2076.015269219743</v>
      </c>
      <c r="V219" s="89" t="s">
        <v>9337</v>
      </c>
      <c r="W219" s="90">
        <f t="shared" si="43"/>
        <v>1473.9708411460174</v>
      </c>
    </row>
    <row r="220" spans="2:23" x14ac:dyDescent="0.2">
      <c r="B220" t="s">
        <v>21398</v>
      </c>
      <c r="C220">
        <v>15</v>
      </c>
      <c r="D220" t="str">
        <f t="shared" si="41"/>
        <v>SAE 7.89 ID-6 - Tee igual</v>
      </c>
      <c r="E220" s="196">
        <f>+VLOOKUP(H220&amp;ALNAT[[#This Row],[N°]],CODIGOS_Y_COSTOS[[ID]:[COSTO]],7,0)</f>
        <v>2876.4</v>
      </c>
      <c r="F220" s="1427">
        <f t="shared" si="42"/>
        <v>43146</v>
      </c>
      <c r="G220" s="944">
        <v>15</v>
      </c>
      <c r="H220" t="s">
        <v>21391</v>
      </c>
      <c r="I220" s="198" t="str">
        <f>+H220&amp;ALNAT[[#This Row],[N°]]</f>
        <v>CONECTORES DE COMBUSTIBLE15</v>
      </c>
      <c r="R220" s="1"/>
      <c r="S220" s="480" t="s">
        <v>9721</v>
      </c>
      <c r="T220" s="480" t="s">
        <v>9722</v>
      </c>
      <c r="U220" s="504">
        <v>3044.7760374689874</v>
      </c>
      <c r="V220" s="89" t="s">
        <v>9337</v>
      </c>
      <c r="W220" s="90">
        <f t="shared" si="43"/>
        <v>2161.7909866029809</v>
      </c>
    </row>
    <row r="221" spans="2:23" x14ac:dyDescent="0.2">
      <c r="B221" t="s">
        <v>21399</v>
      </c>
      <c r="C221">
        <v>15</v>
      </c>
      <c r="D221" t="str">
        <f t="shared" si="41"/>
        <v>SAE 7.89 ID-6 - Tee estándar</v>
      </c>
      <c r="E221" s="196">
        <f>+VLOOKUP(H221&amp;ALNAT[[#This Row],[N°]],CODIGOS_Y_COSTOS[[ID]:[COSTO]],7,0)</f>
        <v>2876.4</v>
      </c>
      <c r="F221" s="1427">
        <f t="shared" si="42"/>
        <v>43146</v>
      </c>
      <c r="G221" s="944">
        <v>16</v>
      </c>
      <c r="H221" t="s">
        <v>21391</v>
      </c>
      <c r="I221" s="198" t="str">
        <f>+H221&amp;ALNAT[[#This Row],[N°]]</f>
        <v>CONECTORES DE COMBUSTIBLE16</v>
      </c>
      <c r="S221" s="480" t="s">
        <v>9723</v>
      </c>
      <c r="T221" s="480" t="s">
        <v>9724</v>
      </c>
      <c r="U221" s="504">
        <v>3994.995919721955</v>
      </c>
      <c r="V221" s="89" t="s">
        <v>9337</v>
      </c>
      <c r="W221" s="90">
        <f t="shared" si="43"/>
        <v>2836.4471030025879</v>
      </c>
    </row>
    <row r="222" spans="2:23" x14ac:dyDescent="0.2">
      <c r="B222" t="s">
        <v>21400</v>
      </c>
      <c r="C222">
        <v>15</v>
      </c>
      <c r="D222" t="str">
        <f t="shared" si="41"/>
        <v>SAE 7.89 ID-10 - Acople recto</v>
      </c>
      <c r="E222" s="196">
        <f>+VLOOKUP(H222&amp;ALNAT[[#This Row],[N°]],CODIGOS_Y_COSTOS[[ID]:[COSTO]],7,0)</f>
        <v>2013.48</v>
      </c>
      <c r="F222" s="1427">
        <f t="shared" si="42"/>
        <v>30202.2</v>
      </c>
      <c r="G222" s="944">
        <v>17</v>
      </c>
      <c r="H222" t="s">
        <v>21391</v>
      </c>
      <c r="I222" s="198" t="str">
        <f>+H222&amp;ALNAT[[#This Row],[N°]]</f>
        <v>CONECTORES DE COMBUSTIBLE17</v>
      </c>
      <c r="S222" s="480" t="s">
        <v>9725</v>
      </c>
      <c r="T222" s="480" t="s">
        <v>9726</v>
      </c>
      <c r="U222" s="504">
        <v>5595.3917214923567</v>
      </c>
      <c r="V222" s="89" t="s">
        <v>9337</v>
      </c>
      <c r="W222" s="90">
        <f t="shared" si="43"/>
        <v>3972.728122259573</v>
      </c>
    </row>
    <row r="223" spans="2:23" x14ac:dyDescent="0.2">
      <c r="B223" t="s">
        <v>21401</v>
      </c>
      <c r="C223">
        <v>15</v>
      </c>
      <c r="D223" t="str">
        <f t="shared" si="41"/>
        <v>SAE 7.89 ID-10 - Codo 90°</v>
      </c>
      <c r="E223" s="196">
        <f>+VLOOKUP(H223&amp;ALNAT[[#This Row],[N°]],CODIGOS_Y_COSTOS[[ID]:[COSTO]],7,0)</f>
        <v>0</v>
      </c>
      <c r="F223" s="1427">
        <f t="shared" si="42"/>
        <v>0</v>
      </c>
      <c r="G223" s="944">
        <v>18</v>
      </c>
      <c r="H223" t="s">
        <v>21391</v>
      </c>
      <c r="I223" s="198" t="str">
        <f>+H223&amp;ALNAT[[#This Row],[N°]]</f>
        <v>CONECTORES DE COMBUSTIBLE18</v>
      </c>
      <c r="S223" s="480" t="s">
        <v>9727</v>
      </c>
      <c r="T223" s="480" t="s">
        <v>9728</v>
      </c>
      <c r="U223" s="504">
        <v>7491.8127729483513</v>
      </c>
      <c r="V223" s="89" t="s">
        <v>9337</v>
      </c>
      <c r="W223" s="90">
        <f t="shared" si="43"/>
        <v>5319.1870687933288</v>
      </c>
    </row>
    <row r="224" spans="2:23" x14ac:dyDescent="0.2">
      <c r="B224" t="s">
        <v>9492</v>
      </c>
      <c r="C224">
        <v>15</v>
      </c>
      <c r="D224" t="str">
        <f t="shared" si="41"/>
        <v>SAE 7.89 ID-8 - Espiga recta para manguera</v>
      </c>
      <c r="E224" s="196">
        <f>+VLOOKUP(H224&amp;ALNAT[[#This Row],[N°]],CODIGOS_Y_COSTOS[[ID]:[COSTO]],7,0)</f>
        <v>2013.48</v>
      </c>
      <c r="F224" s="1427">
        <f t="shared" si="42"/>
        <v>30202.2</v>
      </c>
      <c r="G224" s="944">
        <v>19</v>
      </c>
      <c r="H224" t="s">
        <v>21391</v>
      </c>
      <c r="I224" s="198" t="str">
        <f>+H224&amp;ALNAT[[#This Row],[N°]]</f>
        <v>CONECTORES DE COMBUSTIBLE19</v>
      </c>
      <c r="S224" s="480" t="s">
        <v>9729</v>
      </c>
      <c r="T224" s="480" t="s">
        <v>9730</v>
      </c>
      <c r="U224" s="504">
        <v>6850.8205394530205</v>
      </c>
      <c r="V224" s="89" t="s">
        <v>9337</v>
      </c>
      <c r="W224" s="90">
        <f t="shared" si="43"/>
        <v>4864.0825830116446</v>
      </c>
    </row>
    <row r="225" spans="2:23" x14ac:dyDescent="0.2">
      <c r="B225" t="s">
        <v>21402</v>
      </c>
      <c r="C225">
        <v>15</v>
      </c>
      <c r="D225" t="str">
        <f t="shared" si="41"/>
        <v>SAE 7.89 ID-8 - Espiga codo 90° para manguera</v>
      </c>
      <c r="E225" s="196">
        <f>+VLOOKUP(H225&amp;ALNAT[[#This Row],[N°]],CODIGOS_Y_COSTOS[[ID]:[COSTO]],7,0)</f>
        <v>2013.48</v>
      </c>
      <c r="F225" s="1427">
        <f t="shared" si="42"/>
        <v>30202.2</v>
      </c>
      <c r="G225" s="944">
        <v>20</v>
      </c>
      <c r="H225" t="s">
        <v>21391</v>
      </c>
      <c r="I225" s="198" t="str">
        <f>+H225&amp;ALNAT[[#This Row],[N°]]</f>
        <v>CONECTORES DE COMBUSTIBLE20</v>
      </c>
      <c r="S225" s="480" t="s">
        <v>4510</v>
      </c>
      <c r="T225" s="480" t="s">
        <v>4511</v>
      </c>
      <c r="U225" s="504">
        <v>727.98369273038577</v>
      </c>
      <c r="V225" s="89" t="s">
        <v>9337</v>
      </c>
      <c r="W225" s="90">
        <f t="shared" si="43"/>
        <v>516.86842183857391</v>
      </c>
    </row>
    <row r="226" spans="2:23" x14ac:dyDescent="0.2">
      <c r="B226" t="s">
        <v>21406</v>
      </c>
      <c r="C226">
        <v>15</v>
      </c>
      <c r="D226" t="str">
        <f t="shared" si="41"/>
        <v>SAE 7.89 ID-5 - Codo inclinado</v>
      </c>
      <c r="E226" s="196">
        <f>+VLOOKUP(H226&amp;ALNAT[[#This Row],[N°]],CODIGOS_Y_COSTOS[[ID]:[COSTO]],7,0)</f>
        <v>0</v>
      </c>
      <c r="F226" s="1427">
        <f t="shared" si="42"/>
        <v>0</v>
      </c>
      <c r="G226" s="944">
        <v>21</v>
      </c>
      <c r="H226" t="s">
        <v>21391</v>
      </c>
      <c r="I226" s="198" t="str">
        <f>+H226&amp;ALNAT[[#This Row],[N°]]</f>
        <v>CONECTORES DE COMBUSTIBLE21</v>
      </c>
      <c r="S226" s="480" t="s">
        <v>9731</v>
      </c>
      <c r="T226" s="480" t="s">
        <v>9732</v>
      </c>
      <c r="U226" s="504">
        <v>914.84654032714491</v>
      </c>
      <c r="V226" s="89" t="s">
        <v>9337</v>
      </c>
      <c r="W226" s="90">
        <f t="shared" si="43"/>
        <v>649.54104363227282</v>
      </c>
    </row>
    <row r="227" spans="2:23" x14ac:dyDescent="0.2">
      <c r="B227" t="s">
        <v>21396</v>
      </c>
      <c r="C227">
        <v>15</v>
      </c>
      <c r="D227" t="str">
        <f t="shared" si="41"/>
        <v>SAE 7.89 ID-6 - Tee en ángulo con rosca macho extendida</v>
      </c>
      <c r="E227" s="196">
        <f>+VLOOKUP(H227&amp;ALNAT[[#This Row],[N°]],CODIGOS_Y_COSTOS[[ID]:[COSTO]],7,0)</f>
        <v>2876.4</v>
      </c>
      <c r="F227" s="1427">
        <f t="shared" si="42"/>
        <v>43146</v>
      </c>
      <c r="G227" s="944">
        <v>22</v>
      </c>
      <c r="H227" t="s">
        <v>21391</v>
      </c>
      <c r="I227" s="198" t="str">
        <f>+H227&amp;ALNAT[[#This Row],[N°]]</f>
        <v>CONECTORES DE COMBUSTIBLE22</v>
      </c>
      <c r="S227" s="480" t="s">
        <v>4513</v>
      </c>
      <c r="T227" s="480" t="s">
        <v>4514</v>
      </c>
      <c r="U227" s="504">
        <v>946.79902627132265</v>
      </c>
      <c r="V227" s="89" t="s">
        <v>9337</v>
      </c>
      <c r="W227" s="90">
        <f t="shared" si="43"/>
        <v>672.22730865263907</v>
      </c>
    </row>
    <row r="228" spans="2:23" x14ac:dyDescent="0.2">
      <c r="B228" t="s">
        <v>9490</v>
      </c>
      <c r="C228">
        <v>15</v>
      </c>
      <c r="D228" t="str">
        <f t="shared" si="41"/>
        <v>SAE 7.89 ID-8 - Codo inclinado</v>
      </c>
      <c r="E228" s="196">
        <f>+VLOOKUP(H228&amp;ALNAT[[#This Row],[N°]],CODIGOS_Y_COSTOS[[ID]:[COSTO]],7,0)</f>
        <v>2013.48</v>
      </c>
      <c r="F228" s="1427">
        <f t="shared" si="42"/>
        <v>30202.2</v>
      </c>
      <c r="G228" s="944">
        <v>23</v>
      </c>
      <c r="H228" t="s">
        <v>21391</v>
      </c>
      <c r="I228" s="198" t="str">
        <f>+H228&amp;ALNAT[[#This Row],[N°]]</f>
        <v>CONECTORES DE COMBUSTIBLE23</v>
      </c>
      <c r="S228" s="480" t="s">
        <v>9733</v>
      </c>
      <c r="T228" s="480" t="s">
        <v>9734</v>
      </c>
      <c r="U228" s="504">
        <v>1205.9977515961593</v>
      </c>
      <c r="V228" s="89" t="s">
        <v>9337</v>
      </c>
      <c r="W228" s="90">
        <f t="shared" si="43"/>
        <v>856.25840363327313</v>
      </c>
    </row>
    <row r="229" spans="2:23" x14ac:dyDescent="0.2">
      <c r="B229" t="s">
        <v>21403</v>
      </c>
      <c r="C229">
        <v>15</v>
      </c>
      <c r="D229" t="str">
        <f t="shared" si="41"/>
        <v>SAE 7.89 ID-6 - Tee en ángulo con O-Ring</v>
      </c>
      <c r="E229" s="196">
        <f>+VLOOKUP(H229&amp;ALNAT[[#This Row],[N°]],CODIGOS_Y_COSTOS[[ID]:[COSTO]],7,0)</f>
        <v>2876.4</v>
      </c>
      <c r="F229" s="1427">
        <f t="shared" si="42"/>
        <v>43146</v>
      </c>
      <c r="G229" s="944">
        <v>24</v>
      </c>
      <c r="H229" t="s">
        <v>21391</v>
      </c>
      <c r="I229" s="198" t="str">
        <f>+H229&amp;ALNAT[[#This Row],[N°]]</f>
        <v>CONECTORES DE COMBUSTIBLE24</v>
      </c>
      <c r="S229" s="480" t="s">
        <v>4516</v>
      </c>
      <c r="T229" s="480" t="s">
        <v>4517</v>
      </c>
      <c r="U229" s="504">
        <v>1425.9964497861813</v>
      </c>
      <c r="V229" s="89" t="s">
        <v>9337</v>
      </c>
      <c r="W229" s="90">
        <f t="shared" si="43"/>
        <v>1012.4574793481887</v>
      </c>
    </row>
    <row r="230" spans="2:23" x14ac:dyDescent="0.2">
      <c r="B230" t="s">
        <v>21392</v>
      </c>
      <c r="C230">
        <v>15</v>
      </c>
      <c r="D230" t="str">
        <f t="shared" si="41"/>
        <v>SAE 7.89 ID-6 - Acople recto</v>
      </c>
      <c r="E230" s="196">
        <f>+VLOOKUP(H230&amp;ALNAT[[#This Row],[N°]],CODIGOS_Y_COSTOS[[ID]:[COSTO]],7,0)</f>
        <v>0</v>
      </c>
      <c r="F230" s="1427">
        <f t="shared" si="42"/>
        <v>0</v>
      </c>
      <c r="G230" s="944">
        <v>25</v>
      </c>
      <c r="H230" t="s">
        <v>21391</v>
      </c>
      <c r="I230" s="198" t="str">
        <f>+H230&amp;ALNAT[[#This Row],[N°]]</f>
        <v>CONECTORES DE COMBUSTIBLE25</v>
      </c>
      <c r="S230" s="480" t="s">
        <v>9735</v>
      </c>
      <c r="T230" s="480" t="s">
        <v>9736</v>
      </c>
      <c r="U230" s="504">
        <v>2130.6487496457285</v>
      </c>
      <c r="V230" s="89" t="s">
        <v>9337</v>
      </c>
      <c r="W230" s="90">
        <f t="shared" si="43"/>
        <v>1512.7606122484672</v>
      </c>
    </row>
    <row r="231" spans="2:23" x14ac:dyDescent="0.2">
      <c r="B231" t="s">
        <v>21412</v>
      </c>
      <c r="C231">
        <v>15</v>
      </c>
      <c r="D231" t="str">
        <f t="shared" si="41"/>
        <v>SAE 7.89 ID-8 - Codo 90°
AdBlue</v>
      </c>
      <c r="E231" s="196">
        <f>+VLOOKUP(H231&amp;ALNAT[[#This Row],[N°]],CODIGOS_Y_COSTOS[[ID]:[COSTO]],7,0)</f>
        <v>0</v>
      </c>
      <c r="F231" s="1427">
        <f t="shared" si="42"/>
        <v>0</v>
      </c>
      <c r="G231" s="944">
        <v>26</v>
      </c>
      <c r="H231" t="s">
        <v>21391</v>
      </c>
      <c r="I231" s="198" t="str">
        <f>+H231&amp;ALNAT[[#This Row],[N°]]</f>
        <v>CONECTORES DE COMBUSTIBLE26</v>
      </c>
      <c r="S231" s="480" t="s">
        <v>9737</v>
      </c>
      <c r="T231" s="480" t="s">
        <v>9738</v>
      </c>
      <c r="U231" s="504">
        <v>2547.2730295948663</v>
      </c>
      <c r="V231" s="89" t="s">
        <v>9337</v>
      </c>
      <c r="W231" s="90">
        <f t="shared" si="43"/>
        <v>1808.5638510123549</v>
      </c>
    </row>
    <row r="232" spans="2:23" x14ac:dyDescent="0.2">
      <c r="B232" t="s">
        <v>21395</v>
      </c>
      <c r="C232">
        <v>15</v>
      </c>
      <c r="D232" t="str">
        <f t="shared" si="41"/>
        <v>SAE 7.89 ID-6 - Codo inclinado</v>
      </c>
      <c r="E232" s="196">
        <f>+VLOOKUP(H232&amp;ALNAT[[#This Row],[N°]],CODIGOS_Y_COSTOS[[ID]:[COSTO]],7,0)</f>
        <v>2013.48</v>
      </c>
      <c r="F232" s="1427">
        <f t="shared" si="42"/>
        <v>30202.2</v>
      </c>
      <c r="G232" s="944">
        <v>27</v>
      </c>
      <c r="H232" t="s">
        <v>21391</v>
      </c>
      <c r="I232" s="198" t="str">
        <f>+H232&amp;ALNAT[[#This Row],[N°]]</f>
        <v>CONECTORES DE COMBUSTIBLE27</v>
      </c>
      <c r="S232" s="480" t="s">
        <v>9739</v>
      </c>
      <c r="T232" s="480" t="s">
        <v>9740</v>
      </c>
      <c r="U232" s="504">
        <v>3452.2830837581255</v>
      </c>
      <c r="V232" s="89" t="s">
        <v>9337</v>
      </c>
      <c r="W232" s="90">
        <f t="shared" si="43"/>
        <v>2451.1209894682688</v>
      </c>
    </row>
    <row r="233" spans="2:23" x14ac:dyDescent="0.2">
      <c r="B233" t="s">
        <v>21407</v>
      </c>
      <c r="C233">
        <v>15</v>
      </c>
      <c r="D233" t="str">
        <f t="shared" si="41"/>
        <v>SAE 7.89 ID-6 - Conector macho</v>
      </c>
      <c r="E233" s="196">
        <f>+VLOOKUP(H233&amp;ALNAT[[#This Row],[N°]],CODIGOS_Y_COSTOS[[ID]:[COSTO]],7,0)</f>
        <v>977.976</v>
      </c>
      <c r="F233" s="1427">
        <f t="shared" si="42"/>
        <v>14669.64</v>
      </c>
      <c r="G233" s="944">
        <v>28</v>
      </c>
      <c r="H233" t="s">
        <v>21391</v>
      </c>
      <c r="I233" s="198" t="str">
        <f>+H233&amp;ALNAT[[#This Row],[N°]]</f>
        <v>CONECTORES DE COMBUSTIBLE28</v>
      </c>
      <c r="S233" s="480" t="s">
        <v>9741</v>
      </c>
      <c r="T233" s="480" t="s">
        <v>9742</v>
      </c>
      <c r="U233" s="504">
        <v>5089.8729203020057</v>
      </c>
      <c r="V233" s="89" t="s">
        <v>9337</v>
      </c>
      <c r="W233" s="90">
        <f t="shared" si="43"/>
        <v>3613.8097734144239</v>
      </c>
    </row>
    <row r="234" spans="2:23" x14ac:dyDescent="0.2">
      <c r="B234" t="s">
        <v>21408</v>
      </c>
      <c r="C234">
        <v>15</v>
      </c>
      <c r="D234" t="str">
        <f t="shared" si="41"/>
        <v>SAE 7.89 ID-8 - Conector macho</v>
      </c>
      <c r="E234" s="196">
        <f>+VLOOKUP(H234&amp;ALNAT[[#This Row],[N°]],CODIGOS_Y_COSTOS[[ID]:[COSTO]],7,0)</f>
        <v>977.976</v>
      </c>
      <c r="F234" s="1427">
        <f t="shared" si="42"/>
        <v>14669.64</v>
      </c>
      <c r="G234" s="944">
        <v>29</v>
      </c>
      <c r="H234" t="s">
        <v>21391</v>
      </c>
      <c r="I234" s="198" t="str">
        <f>+H234&amp;ALNAT[[#This Row],[N°]]</f>
        <v>CONECTORES DE COMBUSTIBLE29</v>
      </c>
      <c r="S234" s="480" t="s">
        <v>9743</v>
      </c>
      <c r="T234" s="480" t="s">
        <v>9744</v>
      </c>
      <c r="U234" s="504">
        <v>5152.5483530923666</v>
      </c>
      <c r="V234" s="89" t="s">
        <v>9337</v>
      </c>
      <c r="W234" s="90">
        <f t="shared" si="43"/>
        <v>3658.3093306955802</v>
      </c>
    </row>
    <row r="235" spans="2:23" x14ac:dyDescent="0.2">
      <c r="B235" t="s">
        <v>21409</v>
      </c>
      <c r="C235">
        <v>15</v>
      </c>
      <c r="D235" t="str">
        <f t="shared" si="41"/>
        <v>SAE 7.89 ID-8 - Conector macho extendido</v>
      </c>
      <c r="E235" s="196">
        <f>+VLOOKUP(H235&amp;ALNAT[[#This Row],[N°]],CODIGOS_Y_COSTOS[[ID]:[COSTO]],7,0)</f>
        <v>977.976</v>
      </c>
      <c r="F235" s="1427">
        <f t="shared" si="42"/>
        <v>14669.64</v>
      </c>
      <c r="G235" s="944">
        <v>30</v>
      </c>
      <c r="H235" t="s">
        <v>21391</v>
      </c>
      <c r="I235" s="198" t="str">
        <f>+H235&amp;ALNAT[[#This Row],[N°]]</f>
        <v>CONECTORES DE COMBUSTIBLE30</v>
      </c>
      <c r="S235" s="480" t="s">
        <v>4504</v>
      </c>
      <c r="T235" s="480" t="s">
        <v>4505</v>
      </c>
      <c r="U235" s="504">
        <v>1309.330942712294</v>
      </c>
      <c r="V235" s="89" t="s">
        <v>9337</v>
      </c>
      <c r="W235" s="90">
        <f t="shared" si="43"/>
        <v>929.62496932572867</v>
      </c>
    </row>
    <row r="236" spans="2:23" x14ac:dyDescent="0.2">
      <c r="B236" t="s">
        <v>21540</v>
      </c>
      <c r="C236">
        <v>15</v>
      </c>
      <c r="D236" t="e">
        <f t="shared" si="41"/>
        <v>#N/A</v>
      </c>
      <c r="E236" s="196">
        <f>+VLOOKUP(H236&amp;ALNAT[[#This Row],[N°]],CODIGOS_Y_COSTOS[[ID]:[COSTO]],7,0)</f>
        <v>977.976</v>
      </c>
      <c r="F236" s="1427">
        <f t="shared" si="42"/>
        <v>14669.64</v>
      </c>
      <c r="G236" s="944">
        <v>31</v>
      </c>
      <c r="H236" t="s">
        <v>21391</v>
      </c>
      <c r="I236" s="198" t="str">
        <f>+H236&amp;ALNAT[[#This Row],[N°]]</f>
        <v>CONECTORES DE COMBUSTIBLE31</v>
      </c>
      <c r="S236" s="480" t="s">
        <v>4507</v>
      </c>
      <c r="T236" s="480" t="s">
        <v>4508</v>
      </c>
      <c r="U236" s="504">
        <v>2377.4707019042844</v>
      </c>
      <c r="V236" s="89" t="s">
        <v>9337</v>
      </c>
      <c r="W236" s="90">
        <f t="shared" si="43"/>
        <v>1688.0041983520418</v>
      </c>
    </row>
    <row r="237" spans="2:23" x14ac:dyDescent="0.2">
      <c r="C237">
        <v>15</v>
      </c>
      <c r="D237" t="e">
        <f t="shared" si="41"/>
        <v>#N/A</v>
      </c>
      <c r="E237" s="196">
        <f>+VLOOKUP(H237&amp;ALNAT[[#This Row],[N°]],CODIGOS_Y_COSTOS[[ID]:[COSTO]],7,0)</f>
        <v>0</v>
      </c>
      <c r="F237" s="1427">
        <f t="shared" si="42"/>
        <v>0</v>
      </c>
      <c r="G237" s="944">
        <v>32</v>
      </c>
      <c r="H237" t="s">
        <v>21391</v>
      </c>
      <c r="I237" s="198" t="str">
        <f>+H237&amp;ALNAT[[#This Row],[N°]]</f>
        <v>CONECTORES DE COMBUSTIBLE32</v>
      </c>
      <c r="S237" s="480" t="s">
        <v>9745</v>
      </c>
      <c r="T237" s="480" t="s">
        <v>9746</v>
      </c>
      <c r="U237" s="504">
        <v>3039.2402052417156</v>
      </c>
      <c r="V237" s="89" t="s">
        <v>9337</v>
      </c>
      <c r="W237" s="90">
        <f t="shared" si="43"/>
        <v>2157.8605457216181</v>
      </c>
    </row>
    <row r="238" spans="2:23" x14ac:dyDescent="0.2">
      <c r="B238" t="s">
        <v>21392</v>
      </c>
      <c r="C238">
        <v>15</v>
      </c>
      <c r="D238" t="str">
        <f t="shared" si="41"/>
        <v>SAE 7.89 ID-6 - Acople recto</v>
      </c>
      <c r="E238" s="196">
        <f>+VLOOKUP(H238&amp;ALNAT[[#This Row],[N°]],CODIGOS_Y_COSTOS[[ID]:[COSTO]],7,0)</f>
        <v>0</v>
      </c>
      <c r="F238" s="1427">
        <f t="shared" si="42"/>
        <v>0</v>
      </c>
      <c r="G238" s="944">
        <v>35</v>
      </c>
      <c r="H238" t="s">
        <v>21391</v>
      </c>
      <c r="I238" s="198" t="str">
        <f>+H238&amp;ALNAT[[#This Row],[N°]]</f>
        <v>CONECTORES DE COMBUSTIBLE35</v>
      </c>
      <c r="S238" s="480" t="s">
        <v>9747</v>
      </c>
      <c r="T238" s="480" t="s">
        <v>9748</v>
      </c>
      <c r="U238" s="504">
        <v>3331.0514801050849</v>
      </c>
      <c r="V238" s="89" t="s">
        <v>9337</v>
      </c>
      <c r="W238" s="90">
        <f t="shared" si="43"/>
        <v>2365.0465508746101</v>
      </c>
    </row>
    <row r="239" spans="2:23" x14ac:dyDescent="0.2">
      <c r="B239" t="s">
        <v>9487</v>
      </c>
      <c r="C239">
        <v>15</v>
      </c>
      <c r="D239" t="str">
        <f t="shared" si="41"/>
        <v>SAE 7.89 ID-4 - Codo 90°</v>
      </c>
      <c r="E239" s="196">
        <f>+VLOOKUP(H239&amp;ALNAT[[#This Row],[N°]],CODIGOS_Y_COSTOS[[ID]:[COSTO]],7,0)</f>
        <v>0</v>
      </c>
      <c r="F239" s="1427">
        <f t="shared" si="42"/>
        <v>0</v>
      </c>
      <c r="G239" s="944">
        <v>36</v>
      </c>
      <c r="H239" t="s">
        <v>21391</v>
      </c>
      <c r="I239" s="198" t="str">
        <f>+H239&amp;ALNAT[[#This Row],[N°]]</f>
        <v>CONECTORES DE COMBUSTIBLE36</v>
      </c>
      <c r="S239" s="480" t="s">
        <v>9749</v>
      </c>
      <c r="T239" s="480" t="s">
        <v>9750</v>
      </c>
      <c r="U239" s="504">
        <v>5024.2870346865357</v>
      </c>
      <c r="V239" s="89" t="s">
        <v>9337</v>
      </c>
      <c r="W239" s="90">
        <f t="shared" si="43"/>
        <v>3567.2437946274404</v>
      </c>
    </row>
    <row r="240" spans="2:23" x14ac:dyDescent="0.2">
      <c r="B240" t="s">
        <v>21411</v>
      </c>
      <c r="C240">
        <v>15</v>
      </c>
      <c r="D240" t="str">
        <f t="shared" si="41"/>
        <v>SAE 7.89 ID-8 - Acople recto
AdBlue</v>
      </c>
      <c r="E240" s="196">
        <f>+VLOOKUP(H240&amp;ALNAT[[#This Row],[N°]],CODIGOS_Y_COSTOS[[ID]:[COSTO]],7,0)</f>
        <v>2013.48</v>
      </c>
      <c r="F240" s="1427">
        <f t="shared" si="42"/>
        <v>30202.2</v>
      </c>
      <c r="G240" s="944">
        <v>37</v>
      </c>
      <c r="H240" t="s">
        <v>21391</v>
      </c>
      <c r="I240" s="198" t="str">
        <f>+H240&amp;ALNAT[[#This Row],[N°]]</f>
        <v>CONECTORES DE COMBUSTIBLE37</v>
      </c>
      <c r="S240" s="480" t="s">
        <v>9751</v>
      </c>
      <c r="T240" s="480" t="s">
        <v>9752</v>
      </c>
      <c r="U240" s="504">
        <v>5024.2870346865357</v>
      </c>
      <c r="V240" s="89" t="s">
        <v>9337</v>
      </c>
      <c r="W240" s="90">
        <f t="shared" si="43"/>
        <v>3567.2437946274404</v>
      </c>
    </row>
    <row r="241" spans="2:23" x14ac:dyDescent="0.2">
      <c r="B241" t="s">
        <v>21405</v>
      </c>
      <c r="C241">
        <v>15</v>
      </c>
      <c r="D241" t="str">
        <f t="shared" si="41"/>
        <v>SAE 7.89 ID-6 - Codo 90°</v>
      </c>
      <c r="E241" s="196">
        <f>+VLOOKUP(H241&amp;ALNAT[[#This Row],[N°]],CODIGOS_Y_COSTOS[[ID]:[COSTO]],7,0)</f>
        <v>2013.48</v>
      </c>
      <c r="F241" s="1427">
        <f t="shared" ref="F241:F263" si="44">+E241*C241</f>
        <v>30202.2</v>
      </c>
      <c r="G241" s="944">
        <v>38</v>
      </c>
      <c r="H241" t="s">
        <v>21391</v>
      </c>
      <c r="I241" s="198" t="str">
        <f>+H241&amp;ALNAT[[#This Row],[N°]]</f>
        <v>CONECTORES DE COMBUSTIBLE38</v>
      </c>
      <c r="S241" s="480" t="s">
        <v>9753</v>
      </c>
      <c r="T241" s="480" t="s">
        <v>9754</v>
      </c>
      <c r="U241" s="504">
        <v>174.09438057142859</v>
      </c>
      <c r="V241" s="89" t="s">
        <v>9337</v>
      </c>
      <c r="W241" s="90">
        <f t="shared" si="43"/>
        <v>123.60701020571429</v>
      </c>
    </row>
    <row r="242" spans="2:23" x14ac:dyDescent="0.2">
      <c r="B242" t="s">
        <v>21413</v>
      </c>
      <c r="C242">
        <v>15</v>
      </c>
      <c r="D242" t="str">
        <f t="shared" si="41"/>
        <v>SAE 9.49 ID-8 - Acople recto</v>
      </c>
      <c r="E242" s="196">
        <f>+VLOOKUP(H242&amp;ALNAT[[#This Row],[N°]],CODIGOS_Y_COSTOS[[ID]:[COSTO]],7,0)</f>
        <v>2128.5360000000001</v>
      </c>
      <c r="F242" s="1427">
        <f t="shared" si="44"/>
        <v>31928.04</v>
      </c>
      <c r="G242" s="944">
        <v>39</v>
      </c>
      <c r="H242" t="s">
        <v>21391</v>
      </c>
      <c r="I242" s="198" t="str">
        <f>+H242&amp;ALNAT[[#This Row],[N°]]</f>
        <v>CONECTORES DE COMBUSTIBLE39</v>
      </c>
      <c r="S242" s="480" t="s">
        <v>9755</v>
      </c>
      <c r="T242" s="480" t="s">
        <v>9756</v>
      </c>
      <c r="U242" s="504">
        <v>444.36120858455513</v>
      </c>
      <c r="V242" s="89" t="s">
        <v>9337</v>
      </c>
      <c r="W242" s="90">
        <f t="shared" si="43"/>
        <v>315.49645809503414</v>
      </c>
    </row>
    <row r="243" spans="2:23" x14ac:dyDescent="0.2">
      <c r="B243" t="s">
        <v>21414</v>
      </c>
      <c r="C243">
        <v>15</v>
      </c>
      <c r="D243" t="str">
        <f t="shared" si="41"/>
        <v>SAE 9.49 ID-8 - Codo 90°</v>
      </c>
      <c r="E243" s="196">
        <f>+VLOOKUP(H243&amp;ALNAT[[#This Row],[N°]],CODIGOS_Y_COSTOS[[ID]:[COSTO]],7,0)</f>
        <v>2128.5360000000001</v>
      </c>
      <c r="F243" s="1427">
        <f t="shared" si="44"/>
        <v>31928.04</v>
      </c>
      <c r="G243" s="944">
        <v>40</v>
      </c>
      <c r="H243" t="s">
        <v>21391</v>
      </c>
      <c r="I243" s="198" t="str">
        <f>+H243&amp;ALNAT[[#This Row],[N°]]</f>
        <v>CONECTORES DE COMBUSTIBLE40</v>
      </c>
      <c r="S243" s="480" t="s">
        <v>9757</v>
      </c>
      <c r="T243" s="480" t="s">
        <v>9758</v>
      </c>
      <c r="U243" s="504">
        <v>283.42380114285714</v>
      </c>
      <c r="V243" s="89" t="s">
        <v>9337</v>
      </c>
      <c r="W243" s="90">
        <f t="shared" si="43"/>
        <v>201.23089881142857</v>
      </c>
    </row>
    <row r="244" spans="2:23" x14ac:dyDescent="0.2">
      <c r="B244" t="s">
        <v>9495</v>
      </c>
      <c r="C244">
        <v>15</v>
      </c>
      <c r="D244" t="str">
        <f t="shared" si="41"/>
        <v>SAE 9.49 ID-8 - Codo 45°
AdBlue</v>
      </c>
      <c r="E244" s="196">
        <f>+VLOOKUP(H244&amp;ALNAT[[#This Row],[N°]],CODIGOS_Y_COSTOS[[ID]:[COSTO]],7,0)</f>
        <v>2243.5920000000001</v>
      </c>
      <c r="F244" s="1427">
        <f t="shared" si="44"/>
        <v>33653.880000000005</v>
      </c>
      <c r="G244" s="944">
        <v>41</v>
      </c>
      <c r="H244" t="s">
        <v>21391</v>
      </c>
      <c r="I244" s="198" t="str">
        <f>+H244&amp;ALNAT[[#This Row],[N°]]</f>
        <v>CONECTORES DE COMBUSTIBLE41</v>
      </c>
      <c r="S244" s="480" t="s">
        <v>9759</v>
      </c>
      <c r="T244" s="480" t="s">
        <v>9760</v>
      </c>
      <c r="U244" s="504">
        <v>649.52933999626794</v>
      </c>
      <c r="V244" s="89" t="s">
        <v>9337</v>
      </c>
      <c r="W244" s="90">
        <f t="shared" si="43"/>
        <v>461.16583139735019</v>
      </c>
    </row>
    <row r="245" spans="2:23" x14ac:dyDescent="0.2">
      <c r="B245" t="s">
        <v>21416</v>
      </c>
      <c r="C245">
        <v>15</v>
      </c>
      <c r="D245" t="str">
        <f t="shared" si="41"/>
        <v xml:space="preserve">SAE 9.49 ID-6 - Acople recto </v>
      </c>
      <c r="E245" s="196">
        <f>+VLOOKUP(H245&amp;ALNAT[[#This Row],[N°]],CODIGOS_Y_COSTOS[[ID]:[COSTO]],7,0)</f>
        <v>2128.5360000000001</v>
      </c>
      <c r="F245" s="1427">
        <f t="shared" si="44"/>
        <v>31928.04</v>
      </c>
      <c r="G245" s="944">
        <v>42</v>
      </c>
      <c r="H245" t="s">
        <v>21391</v>
      </c>
      <c r="I245" s="198" t="str">
        <f>+H245&amp;ALNAT[[#This Row],[N°]]</f>
        <v>CONECTORES DE COMBUSTIBLE42</v>
      </c>
      <c r="S245" s="480" t="s">
        <v>9761</v>
      </c>
      <c r="T245" s="480" t="s">
        <v>9762</v>
      </c>
      <c r="U245" s="504">
        <v>423.07967123809527</v>
      </c>
      <c r="V245" s="89" t="s">
        <v>9337</v>
      </c>
      <c r="W245" s="90">
        <f t="shared" si="43"/>
        <v>300.38656657904761</v>
      </c>
    </row>
    <row r="246" spans="2:23" x14ac:dyDescent="0.2">
      <c r="B246" t="s">
        <v>21417</v>
      </c>
      <c r="C246">
        <v>15</v>
      </c>
      <c r="D246" t="str">
        <f t="shared" si="41"/>
        <v>SAE 9.49 ID-8 - Acople recto
AdBlue</v>
      </c>
      <c r="E246" s="196">
        <f>+VLOOKUP(H246&amp;ALNAT[[#This Row],[N°]],CODIGOS_Y_COSTOS[[ID]:[COSTO]],7,0)</f>
        <v>0</v>
      </c>
      <c r="F246" s="1427">
        <f t="shared" si="44"/>
        <v>0</v>
      </c>
      <c r="G246" s="944">
        <v>43</v>
      </c>
      <c r="H246" t="s">
        <v>21391</v>
      </c>
      <c r="I246" s="198" t="str">
        <f>+H246&amp;ALNAT[[#This Row],[N°]]</f>
        <v>CONECTORES DE COMBUSTIBLE43</v>
      </c>
      <c r="S246" s="480" t="s">
        <v>9763</v>
      </c>
      <c r="T246" s="480" t="s">
        <v>9764</v>
      </c>
      <c r="U246" s="504">
        <v>986.74040135351811</v>
      </c>
      <c r="V246" s="89" t="s">
        <v>9337</v>
      </c>
      <c r="W246" s="90">
        <f t="shared" si="43"/>
        <v>700.58568496099781</v>
      </c>
    </row>
    <row r="247" spans="2:23" x14ac:dyDescent="0.2">
      <c r="B247" t="s">
        <v>21421</v>
      </c>
      <c r="C247">
        <v>15</v>
      </c>
      <c r="D247" t="str">
        <f t="shared" si="41"/>
        <v>SAE 9.49 ID-10 - Codo 90°</v>
      </c>
      <c r="E247" s="196">
        <f>+VLOOKUP(H247&amp;ALNAT[[#This Row],[N°]],CODIGOS_Y_COSTOS[[ID]:[COSTO]],7,0)</f>
        <v>2128.5360000000001</v>
      </c>
      <c r="F247" s="1427">
        <f t="shared" si="44"/>
        <v>31928.04</v>
      </c>
      <c r="G247" s="944">
        <v>44</v>
      </c>
      <c r="H247" t="s">
        <v>21391</v>
      </c>
      <c r="I247" s="198" t="str">
        <f>+H247&amp;ALNAT[[#This Row],[N°]]</f>
        <v>CONECTORES DE COMBUSTIBLE44</v>
      </c>
      <c r="S247" s="480" t="s">
        <v>9765</v>
      </c>
      <c r="T247" s="480" t="s">
        <v>9766</v>
      </c>
      <c r="U247" s="504">
        <v>760.1144670476192</v>
      </c>
      <c r="V247" s="89" t="s">
        <v>9337</v>
      </c>
      <c r="W247" s="90">
        <f t="shared" si="43"/>
        <v>539.68127160380959</v>
      </c>
    </row>
    <row r="248" spans="2:23" x14ac:dyDescent="0.2">
      <c r="B248" t="s">
        <v>9495</v>
      </c>
      <c r="C248">
        <v>15</v>
      </c>
      <c r="D248" t="str">
        <f t="shared" si="41"/>
        <v>SAE 9.49 ID-8 - Codo 45°
AdBlue</v>
      </c>
      <c r="E248" s="196">
        <f>+VLOOKUP(H248&amp;ALNAT[[#This Row],[N°]],CODIGOS_Y_COSTOS[[ID]:[COSTO]],7,0)</f>
        <v>0</v>
      </c>
      <c r="F248" s="1427">
        <f t="shared" si="44"/>
        <v>0</v>
      </c>
      <c r="G248" s="944">
        <v>45</v>
      </c>
      <c r="H248" t="s">
        <v>21391</v>
      </c>
      <c r="I248" s="198" t="str">
        <f>+H248&amp;ALNAT[[#This Row],[N°]]</f>
        <v>CONECTORES DE COMBUSTIBLE45</v>
      </c>
      <c r="S248" s="480" t="s">
        <v>9767</v>
      </c>
      <c r="T248" s="480" t="s">
        <v>9768</v>
      </c>
      <c r="U248" s="504">
        <v>1666.0935526255682</v>
      </c>
      <c r="V248" s="89" t="s">
        <v>9337</v>
      </c>
      <c r="W248" s="90">
        <f t="shared" si="43"/>
        <v>1182.9264223641535</v>
      </c>
    </row>
    <row r="249" spans="2:23" x14ac:dyDescent="0.2">
      <c r="B249" t="s">
        <v>21418</v>
      </c>
      <c r="C249">
        <v>15</v>
      </c>
      <c r="D249" t="str">
        <f t="shared" si="41"/>
        <v>SAE 9.49 ID-6 - Acople recto
AdBlue</v>
      </c>
      <c r="E249" s="196">
        <f>+VLOOKUP(H249&amp;ALNAT[[#This Row],[N°]],CODIGOS_Y_COSTOS[[ID]:[COSTO]],7,0)</f>
        <v>2128.5360000000001</v>
      </c>
      <c r="F249" s="1427">
        <f t="shared" si="44"/>
        <v>31928.04</v>
      </c>
      <c r="G249" s="944">
        <v>46</v>
      </c>
      <c r="H249" t="s">
        <v>21391</v>
      </c>
      <c r="I249" s="198" t="str">
        <f>+H249&amp;ALNAT[[#This Row],[N°]]</f>
        <v>CONECTORES DE COMBUSTIBLE46</v>
      </c>
      <c r="S249" s="480" t="s">
        <v>9769</v>
      </c>
      <c r="T249" s="480" t="s">
        <v>9770</v>
      </c>
      <c r="U249" s="504">
        <v>2070.4740902857147</v>
      </c>
      <c r="V249" s="89" t="s">
        <v>9337</v>
      </c>
      <c r="W249" s="90">
        <f t="shared" si="43"/>
        <v>1470.0366041028574</v>
      </c>
    </row>
    <row r="250" spans="2:23" x14ac:dyDescent="0.2">
      <c r="B250" t="s">
        <v>21419</v>
      </c>
      <c r="C250">
        <v>15</v>
      </c>
      <c r="D250" t="str">
        <f t="shared" si="41"/>
        <v>SAE 9.49 ID-6 - Codo 90°</v>
      </c>
      <c r="E250" s="196">
        <f>+VLOOKUP(H250&amp;ALNAT[[#This Row],[N°]],CODIGOS_Y_COSTOS[[ID]:[COSTO]],7,0)</f>
        <v>2128.5360000000001</v>
      </c>
      <c r="F250" s="1427">
        <f t="shared" si="44"/>
        <v>31928.04</v>
      </c>
      <c r="G250" s="944">
        <v>47</v>
      </c>
      <c r="H250" t="s">
        <v>21391</v>
      </c>
      <c r="I250" s="198" t="str">
        <f>+H250&amp;ALNAT[[#This Row],[N°]]</f>
        <v>CONECTORES DE COMBUSTIBLE47</v>
      </c>
      <c r="S250" s="480" t="s">
        <v>9771</v>
      </c>
      <c r="T250" s="480" t="s">
        <v>9772</v>
      </c>
      <c r="U250" s="504">
        <v>3374.4474062222653</v>
      </c>
      <c r="V250" s="89" t="s">
        <v>9337</v>
      </c>
      <c r="W250" s="90">
        <f t="shared" si="43"/>
        <v>2395.8576584178081</v>
      </c>
    </row>
    <row r="251" spans="2:23" x14ac:dyDescent="0.2">
      <c r="B251" t="s">
        <v>21420</v>
      </c>
      <c r="C251">
        <v>15</v>
      </c>
      <c r="D251" t="str">
        <f t="shared" si="41"/>
        <v>SAE 9.49 ID-10 - Acople recto</v>
      </c>
      <c r="E251" s="196">
        <f>+VLOOKUP(H251&amp;ALNAT[[#This Row],[N°]],CODIGOS_Y_COSTOS[[ID]:[COSTO]],7,0)</f>
        <v>2128.5360000000001</v>
      </c>
      <c r="F251" s="1427">
        <f t="shared" si="44"/>
        <v>31928.04</v>
      </c>
      <c r="G251" s="944">
        <v>48</v>
      </c>
      <c r="H251" t="s">
        <v>21391</v>
      </c>
      <c r="I251" s="198" t="str">
        <f>+H251&amp;ALNAT[[#This Row],[N°]]</f>
        <v>CONECTORES DE COMBUSTIBLE48</v>
      </c>
      <c r="S251" s="480" t="s">
        <v>9773</v>
      </c>
      <c r="T251" s="480" t="s">
        <v>9774</v>
      </c>
      <c r="U251" s="504">
        <v>4478.4749551020413</v>
      </c>
      <c r="V251" s="89" t="s">
        <v>9337</v>
      </c>
      <c r="W251" s="90">
        <f t="shared" si="43"/>
        <v>3179.7172181224491</v>
      </c>
    </row>
    <row r="252" spans="2:23" x14ac:dyDescent="0.2">
      <c r="B252" t="s">
        <v>9498</v>
      </c>
      <c r="C252">
        <v>15</v>
      </c>
      <c r="D252" t="str">
        <f t="shared" si="41"/>
        <v>SAE 9.49 ID-8 - Codo 90°
AdBlue</v>
      </c>
      <c r="E252" s="196">
        <f>+VLOOKUP(H252&amp;ALNAT[[#This Row],[N°]],CODIGOS_Y_COSTOS[[ID]:[COSTO]],7,0)</f>
        <v>2128.5360000000001</v>
      </c>
      <c r="F252" s="1427">
        <f t="shared" si="44"/>
        <v>31928.04</v>
      </c>
      <c r="G252" s="944">
        <v>49</v>
      </c>
      <c r="H252" t="s">
        <v>21391</v>
      </c>
      <c r="I252" s="198" t="str">
        <f>+H252&amp;ALNAT[[#This Row],[N°]]</f>
        <v>CONECTORES DE COMBUSTIBLE49</v>
      </c>
      <c r="S252" s="480" t="s">
        <v>9775</v>
      </c>
      <c r="T252" s="480" t="s">
        <v>9776</v>
      </c>
      <c r="U252" s="504">
        <v>9129.8327245833461</v>
      </c>
      <c r="V252" s="89" t="s">
        <v>9337</v>
      </c>
      <c r="W252" s="90">
        <f t="shared" si="43"/>
        <v>6482.1812344541759</v>
      </c>
    </row>
    <row r="253" spans="2:23" x14ac:dyDescent="0.2">
      <c r="B253" t="s">
        <v>21416</v>
      </c>
      <c r="C253">
        <v>15</v>
      </c>
      <c r="D253" t="str">
        <f t="shared" si="41"/>
        <v xml:space="preserve">SAE 9.49 ID-6 - Acople recto </v>
      </c>
      <c r="E253" s="196">
        <f>+VLOOKUP(H253&amp;ALNAT[[#This Row],[N°]],CODIGOS_Y_COSTOS[[ID]:[COSTO]],7,0)</f>
        <v>0</v>
      </c>
      <c r="F253" s="1427">
        <f t="shared" si="44"/>
        <v>0</v>
      </c>
      <c r="G253" s="944">
        <v>50</v>
      </c>
      <c r="H253" t="s">
        <v>21391</v>
      </c>
      <c r="I253" s="198" t="str">
        <f>+H253&amp;ALNAT[[#This Row],[N°]]</f>
        <v>CONECTORES DE COMBUSTIBLE50</v>
      </c>
      <c r="S253" s="480" t="s">
        <v>4454</v>
      </c>
      <c r="T253" s="480" t="s">
        <v>4455</v>
      </c>
      <c r="U253" s="504">
        <v>711.67494976415583</v>
      </c>
      <c r="V253" s="89" t="s">
        <v>9337</v>
      </c>
      <c r="W253" s="90">
        <f t="shared" si="43"/>
        <v>505.28921433255061</v>
      </c>
    </row>
    <row r="254" spans="2:23" x14ac:dyDescent="0.2">
      <c r="B254" t="s">
        <v>21419</v>
      </c>
      <c r="C254">
        <v>15</v>
      </c>
      <c r="D254" t="str">
        <f t="shared" si="41"/>
        <v>SAE 9.49 ID-6 - Codo 90°</v>
      </c>
      <c r="E254" s="196">
        <f>+VLOOKUP(H254&amp;ALNAT[[#This Row],[N°]],CODIGOS_Y_COSTOS[[ID]:[COSTO]],7,0)</f>
        <v>0</v>
      </c>
      <c r="F254" s="1427">
        <f t="shared" si="44"/>
        <v>0</v>
      </c>
      <c r="G254" s="944">
        <v>51</v>
      </c>
      <c r="H254" t="s">
        <v>21391</v>
      </c>
      <c r="I254" s="198" t="str">
        <f>+H254&amp;ALNAT[[#This Row],[N°]]</f>
        <v>CONECTORES DE COMBUSTIBLE51</v>
      </c>
      <c r="S254" s="480" t="s">
        <v>9777</v>
      </c>
      <c r="T254" s="480" t="s">
        <v>9778</v>
      </c>
      <c r="U254" s="504">
        <v>1494.2172086180244</v>
      </c>
      <c r="V254" s="89" t="s">
        <v>9337</v>
      </c>
      <c r="W254" s="90">
        <f t="shared" si="43"/>
        <v>1060.8942181187972</v>
      </c>
    </row>
    <row r="255" spans="2:23" x14ac:dyDescent="0.2">
      <c r="B255" t="s">
        <v>11604</v>
      </c>
      <c r="C255">
        <v>15</v>
      </c>
      <c r="D255" t="str">
        <f t="shared" si="41"/>
        <v>SAE 9.89 ID-8 - Espiga recta</v>
      </c>
      <c r="E255" s="196">
        <f>+VLOOKUP(H255&amp;ALNAT[[#This Row],[N°]],CODIGOS_Y_COSTOS[[ID]:[COSTO]],7,0)</f>
        <v>0</v>
      </c>
      <c r="F255" s="1427">
        <f t="shared" si="44"/>
        <v>0</v>
      </c>
      <c r="G255" s="944">
        <v>52</v>
      </c>
      <c r="H255" t="s">
        <v>21391</v>
      </c>
      <c r="I255" s="198" t="str">
        <f>+H255&amp;ALNAT[[#This Row],[N°]]</f>
        <v>CONECTORES DE COMBUSTIBLE52</v>
      </c>
      <c r="S255" s="480" t="s">
        <v>4457</v>
      </c>
      <c r="T255" s="480" t="s">
        <v>4458</v>
      </c>
      <c r="U255" s="504">
        <v>781.76689781610401</v>
      </c>
      <c r="V255" s="89" t="s">
        <v>9337</v>
      </c>
      <c r="W255" s="90">
        <f t="shared" si="43"/>
        <v>555.05449744943382</v>
      </c>
    </row>
    <row r="256" spans="2:23" x14ac:dyDescent="0.2">
      <c r="B256" t="s">
        <v>21423</v>
      </c>
      <c r="C256">
        <v>15</v>
      </c>
      <c r="D256" t="str">
        <f t="shared" si="41"/>
        <v>SAE 9.89 ID-8 - Codo 90°</v>
      </c>
      <c r="E256" s="196">
        <f>+VLOOKUP(H256&amp;ALNAT[[#This Row],[N°]],CODIGOS_Y_COSTOS[[ID]:[COSTO]],7,0)</f>
        <v>0</v>
      </c>
      <c r="F256" s="1427">
        <f t="shared" si="44"/>
        <v>0</v>
      </c>
      <c r="G256" s="944">
        <v>53</v>
      </c>
      <c r="H256" t="s">
        <v>21391</v>
      </c>
      <c r="I256" s="198" t="str">
        <f>+H256&amp;ALNAT[[#This Row],[N°]]</f>
        <v>CONECTORES DE COMBUSTIBLE53</v>
      </c>
      <c r="S256" s="480" t="s">
        <v>9779</v>
      </c>
      <c r="T256" s="480" t="s">
        <v>9780</v>
      </c>
      <c r="U256" s="504">
        <v>1494.2172086180244</v>
      </c>
      <c r="V256" s="89" t="s">
        <v>9337</v>
      </c>
      <c r="W256" s="90">
        <f t="shared" si="43"/>
        <v>1060.8942181187972</v>
      </c>
    </row>
    <row r="257" spans="2:23" x14ac:dyDescent="0.2">
      <c r="B257" t="s">
        <v>11604</v>
      </c>
      <c r="C257">
        <v>15</v>
      </c>
      <c r="D257" t="str">
        <f t="shared" si="41"/>
        <v>SAE 9.89 ID-8 - Espiga recta</v>
      </c>
      <c r="E257" s="196">
        <f>+VLOOKUP(H257&amp;ALNAT[[#This Row],[N°]],CODIGOS_Y_COSTOS[[ID]:[COSTO]],7,0)</f>
        <v>2243.5920000000001</v>
      </c>
      <c r="F257" s="1427">
        <f t="shared" si="44"/>
        <v>33653.880000000005</v>
      </c>
      <c r="G257" s="944">
        <v>54</v>
      </c>
      <c r="H257" t="s">
        <v>21391</v>
      </c>
      <c r="I257" s="198" t="str">
        <f>+H257&amp;ALNAT[[#This Row],[N°]]</f>
        <v>CONECTORES DE COMBUSTIBLE54</v>
      </c>
      <c r="S257" s="480" t="s">
        <v>4460</v>
      </c>
      <c r="T257" s="480" t="s">
        <v>4461</v>
      </c>
      <c r="U257" s="504">
        <v>910.54136680000011</v>
      </c>
      <c r="V257" s="89" t="s">
        <v>9337</v>
      </c>
      <c r="W257" s="90">
        <f t="shared" si="43"/>
        <v>646.48437042800003</v>
      </c>
    </row>
    <row r="258" spans="2:23" x14ac:dyDescent="0.2">
      <c r="B258" t="s">
        <v>21423</v>
      </c>
      <c r="C258">
        <v>15</v>
      </c>
      <c r="D258" t="str">
        <f t="shared" si="41"/>
        <v>SAE 9.89 ID-8 - Codo 90°</v>
      </c>
      <c r="E258" s="196">
        <f>+VLOOKUP(H258&amp;ALNAT[[#This Row],[N°]],CODIGOS_Y_COSTOS[[ID]:[COSTO]],7,0)</f>
        <v>2243.5920000000001</v>
      </c>
      <c r="F258" s="1427">
        <f t="shared" si="44"/>
        <v>33653.880000000005</v>
      </c>
      <c r="G258" s="944">
        <v>55</v>
      </c>
      <c r="H258" t="s">
        <v>21391</v>
      </c>
      <c r="I258" s="198" t="str">
        <f>+H258&amp;ALNAT[[#This Row],[N°]]</f>
        <v>CONECTORES DE COMBUSTIBLE55</v>
      </c>
      <c r="S258" s="480" t="s">
        <v>9781</v>
      </c>
      <c r="T258" s="480" t="s">
        <v>9782</v>
      </c>
      <c r="U258" s="504">
        <v>1544.8887009381901</v>
      </c>
      <c r="V258" s="89" t="s">
        <v>9337</v>
      </c>
      <c r="W258" s="90">
        <f t="shared" si="43"/>
        <v>1096.8709776661149</v>
      </c>
    </row>
    <row r="259" spans="2:23" x14ac:dyDescent="0.2">
      <c r="B259" t="s">
        <v>11601</v>
      </c>
      <c r="C259">
        <v>15</v>
      </c>
      <c r="D259" t="e">
        <f t="shared" si="41"/>
        <v>#N/A</v>
      </c>
      <c r="E259" s="196">
        <f>+VLOOKUP(H259&amp;ALNAT[[#This Row],[N°]],CODIGOS_Y_COSTOS[[ID]:[COSTO]],7,0)</f>
        <v>2243.5920000000001</v>
      </c>
      <c r="F259" s="1427">
        <f t="shared" si="44"/>
        <v>33653.880000000005</v>
      </c>
      <c r="G259" s="944">
        <v>56</v>
      </c>
      <c r="H259" t="s">
        <v>21391</v>
      </c>
      <c r="I259" s="198" t="str">
        <f>+H259&amp;ALNAT[[#This Row],[N°]]</f>
        <v>CONECTORES DE COMBUSTIBLE56</v>
      </c>
      <c r="S259" s="480" t="s">
        <v>4465</v>
      </c>
      <c r="T259" s="480" t="s">
        <v>4466</v>
      </c>
      <c r="U259" s="504">
        <v>1344.27230392</v>
      </c>
      <c r="V259" s="89" t="s">
        <v>9337</v>
      </c>
      <c r="W259" s="90">
        <f t="shared" si="43"/>
        <v>954.43333578319994</v>
      </c>
    </row>
    <row r="260" spans="2:23" x14ac:dyDescent="0.2">
      <c r="B260" t="s">
        <v>11598</v>
      </c>
      <c r="C260">
        <v>15</v>
      </c>
      <c r="D260" t="e">
        <f t="shared" si="41"/>
        <v>#N/A</v>
      </c>
      <c r="E260" s="196">
        <f>+VLOOKUP(H260&amp;ALNAT[[#This Row],[N°]],CODIGOS_Y_COSTOS[[ID]:[COSTO]],7,0)</f>
        <v>2243.5920000000001</v>
      </c>
      <c r="F260" s="1427">
        <f t="shared" si="44"/>
        <v>33653.880000000005</v>
      </c>
      <c r="G260" s="944">
        <v>57</v>
      </c>
      <c r="H260" t="s">
        <v>21391</v>
      </c>
      <c r="I260" s="198" t="str">
        <f>+H260&amp;ALNAT[[#This Row],[N°]]</f>
        <v>CONECTORES DE COMBUSTIBLE57</v>
      </c>
      <c r="S260" s="480" t="s">
        <v>9783</v>
      </c>
      <c r="T260" s="480" t="s">
        <v>9784</v>
      </c>
      <c r="U260" s="504">
        <v>1705.804882437573</v>
      </c>
      <c r="V260" s="89" t="s">
        <v>9337</v>
      </c>
      <c r="W260" s="90">
        <f t="shared" si="43"/>
        <v>1211.1214665306768</v>
      </c>
    </row>
    <row r="261" spans="2:23" x14ac:dyDescent="0.2">
      <c r="B261" t="s">
        <v>21424</v>
      </c>
      <c r="C261">
        <v>15</v>
      </c>
      <c r="D261" t="str">
        <f t="shared" si="41"/>
        <v>SAE 9.89 ID-8 - Conector macho</v>
      </c>
      <c r="E261" s="196">
        <f>+VLOOKUP(H261&amp;ALNAT[[#This Row],[N°]],CODIGOS_Y_COSTOS[[ID]:[COSTO]],7,0)</f>
        <v>1208.088</v>
      </c>
      <c r="F261" s="1427">
        <f t="shared" si="44"/>
        <v>18121.32</v>
      </c>
      <c r="G261" s="944">
        <v>58</v>
      </c>
      <c r="H261" t="s">
        <v>21391</v>
      </c>
      <c r="I261" s="198" t="str">
        <f>+H261&amp;ALNAT[[#This Row],[N°]]</f>
        <v>CONECTORES DE COMBUSTIBLE58</v>
      </c>
      <c r="S261" s="480" t="s">
        <v>4468</v>
      </c>
      <c r="T261" s="480" t="s">
        <v>4469</v>
      </c>
      <c r="U261" s="504">
        <v>2898.7653821111198</v>
      </c>
      <c r="V261" s="89" t="s">
        <v>9337</v>
      </c>
      <c r="W261" s="90">
        <f t="shared" si="43"/>
        <v>2058.1234212988948</v>
      </c>
    </row>
    <row r="262" spans="2:23" x14ac:dyDescent="0.2">
      <c r="C262">
        <v>15</v>
      </c>
      <c r="D262" t="e">
        <f t="shared" si="41"/>
        <v>#N/A</v>
      </c>
      <c r="E262" s="196">
        <f>+VLOOKUP(H262&amp;ALNAT[[#This Row],[N°]],CODIGOS_Y_COSTOS[[ID]:[COSTO]],7,0)</f>
        <v>0</v>
      </c>
      <c r="F262" s="1427">
        <f t="shared" si="44"/>
        <v>0</v>
      </c>
      <c r="G262" s="944">
        <v>59</v>
      </c>
      <c r="H262" t="s">
        <v>21391</v>
      </c>
      <c r="I262" s="198" t="str">
        <f>+H262&amp;ALNAT[[#This Row],[N°]]</f>
        <v>CONECTORES DE COMBUSTIBLE59</v>
      </c>
      <c r="S262" s="480" t="s">
        <v>9785</v>
      </c>
      <c r="T262" s="480" t="s">
        <v>4469</v>
      </c>
      <c r="U262" s="504">
        <v>3222.4254649306154</v>
      </c>
      <c r="V262" s="89" t="s">
        <v>9337</v>
      </c>
      <c r="W262" s="90">
        <f t="shared" si="43"/>
        <v>2287.9220801007368</v>
      </c>
    </row>
    <row r="263" spans="2:23" x14ac:dyDescent="0.2">
      <c r="B263" t="s">
        <v>21425</v>
      </c>
      <c r="C263">
        <v>15</v>
      </c>
      <c r="D263" t="str">
        <f t="shared" si="41"/>
        <v>SAE 9.89 ID-10 - Conector macho</v>
      </c>
      <c r="E263" s="196">
        <f>+VLOOKUP(H263&amp;ALNAT[[#This Row],[N°]],CODIGOS_Y_COSTOS[[ID]:[COSTO]],7,0)</f>
        <v>1208.088</v>
      </c>
      <c r="F263" s="1427">
        <f t="shared" si="44"/>
        <v>18121.32</v>
      </c>
      <c r="G263" s="944">
        <v>60</v>
      </c>
      <c r="H263" t="s">
        <v>21391</v>
      </c>
      <c r="I263" s="198" t="str">
        <f>+H263&amp;ALNAT[[#This Row],[N°]]</f>
        <v>CONECTORES DE COMBUSTIBLE60</v>
      </c>
      <c r="S263" s="480" t="s">
        <v>4471</v>
      </c>
      <c r="T263" s="480" t="s">
        <v>4472</v>
      </c>
      <c r="U263" s="504">
        <v>4289.9952818608172</v>
      </c>
      <c r="V263" s="89" t="s">
        <v>9337</v>
      </c>
      <c r="W263" s="90">
        <f t="shared" si="43"/>
        <v>3045.8966501211798</v>
      </c>
    </row>
    <row r="264" spans="2:23" x14ac:dyDescent="0.2">
      <c r="S264" s="480" t="s">
        <v>9786</v>
      </c>
      <c r="T264" s="480" t="s">
        <v>9787</v>
      </c>
      <c r="U264" s="504">
        <v>4094.2614432537207</v>
      </c>
      <c r="V264" s="89" t="s">
        <v>9337</v>
      </c>
      <c r="W264" s="90">
        <f t="shared" si="43"/>
        <v>2906.9256247101416</v>
      </c>
    </row>
    <row r="265" spans="2:23" x14ac:dyDescent="0.2">
      <c r="S265" s="480" t="s">
        <v>9788</v>
      </c>
      <c r="T265" s="480" t="s">
        <v>9789</v>
      </c>
      <c r="U265" s="504">
        <v>2900.5451999999996</v>
      </c>
      <c r="V265" s="89" t="s">
        <v>9337</v>
      </c>
      <c r="W265" s="90">
        <f t="shared" si="43"/>
        <v>2059.3870919999995</v>
      </c>
    </row>
    <row r="266" spans="2:23" x14ac:dyDescent="0.2">
      <c r="S266" s="480" t="s">
        <v>4451</v>
      </c>
      <c r="T266" s="480" t="s">
        <v>4452</v>
      </c>
      <c r="U266" s="504">
        <v>811.03508764394564</v>
      </c>
      <c r="V266" s="89" t="s">
        <v>9337</v>
      </c>
      <c r="W266" s="90">
        <f t="shared" si="43"/>
        <v>575.83491222720136</v>
      </c>
    </row>
    <row r="267" spans="2:23" x14ac:dyDescent="0.2">
      <c r="S267" s="480" t="s">
        <v>9790</v>
      </c>
      <c r="T267" s="480" t="s">
        <v>9791</v>
      </c>
      <c r="U267" s="504">
        <v>1993.7726851639675</v>
      </c>
      <c r="V267" s="89" t="s">
        <v>9337</v>
      </c>
      <c r="W267" s="90">
        <f t="shared" si="43"/>
        <v>1415.5786064664169</v>
      </c>
    </row>
    <row r="268" spans="2:23" x14ac:dyDescent="0.2">
      <c r="S268" s="480" t="s">
        <v>9792</v>
      </c>
      <c r="T268" s="480" t="s">
        <v>9793</v>
      </c>
      <c r="U268" s="504">
        <v>3678.0673757774571</v>
      </c>
      <c r="V268" s="89" t="s">
        <v>9337</v>
      </c>
      <c r="W268" s="90">
        <f t="shared" si="43"/>
        <v>2611.4278368019945</v>
      </c>
    </row>
    <row r="269" spans="2:23" x14ac:dyDescent="0.2">
      <c r="S269" s="480" t="s">
        <v>7933</v>
      </c>
      <c r="T269" s="480" t="s">
        <v>9794</v>
      </c>
      <c r="U269" s="504">
        <v>976.77300322995097</v>
      </c>
      <c r="V269" s="89" t="s">
        <v>9337</v>
      </c>
      <c r="W269" s="90">
        <f t="shared" si="43"/>
        <v>693.50883229326519</v>
      </c>
    </row>
    <row r="270" spans="2:23" x14ac:dyDescent="0.2">
      <c r="S270" s="480" t="s">
        <v>7957</v>
      </c>
      <c r="T270" s="480" t="s">
        <v>9795</v>
      </c>
      <c r="U270" s="504">
        <v>1194.2103495771432</v>
      </c>
      <c r="V270" s="89" t="s">
        <v>9337</v>
      </c>
      <c r="W270" s="90">
        <f t="shared" si="43"/>
        <v>847.88934819977169</v>
      </c>
    </row>
    <row r="271" spans="2:23" x14ac:dyDescent="0.2">
      <c r="S271" s="480" t="s">
        <v>9796</v>
      </c>
      <c r="T271" s="480" t="s">
        <v>9797</v>
      </c>
      <c r="U271" s="504">
        <v>4284.450849433515</v>
      </c>
      <c r="V271" s="89" t="s">
        <v>9337</v>
      </c>
      <c r="W271" s="90">
        <f t="shared" si="43"/>
        <v>3041.9601030977956</v>
      </c>
    </row>
    <row r="272" spans="2:23" x14ac:dyDescent="0.2">
      <c r="S272" s="480" t="s">
        <v>7936</v>
      </c>
      <c r="T272" s="480" t="s">
        <v>9798</v>
      </c>
      <c r="U272" s="504">
        <v>1109.5874319156651</v>
      </c>
      <c r="V272" s="89" t="s">
        <v>9337</v>
      </c>
      <c r="W272" s="90">
        <f t="shared" si="43"/>
        <v>787.80707666012222</v>
      </c>
    </row>
    <row r="273" spans="19:23" x14ac:dyDescent="0.2">
      <c r="S273" s="480" t="s">
        <v>7959</v>
      </c>
      <c r="T273" s="480" t="s">
        <v>9530</v>
      </c>
      <c r="U273" s="504">
        <v>1161.7446003428577</v>
      </c>
      <c r="V273" s="89" t="s">
        <v>9337</v>
      </c>
      <c r="W273" s="90">
        <f t="shared" si="43"/>
        <v>824.83866624342886</v>
      </c>
    </row>
    <row r="274" spans="19:23" x14ac:dyDescent="0.2">
      <c r="S274" s="480" t="s">
        <v>9799</v>
      </c>
      <c r="T274" s="480" t="s">
        <v>9800</v>
      </c>
      <c r="U274" s="504">
        <v>6078.4382659372714</v>
      </c>
      <c r="V274" s="89" t="s">
        <v>9337</v>
      </c>
      <c r="W274" s="90">
        <f t="shared" si="43"/>
        <v>4315.6911688154623</v>
      </c>
    </row>
    <row r="275" spans="19:23" x14ac:dyDescent="0.2">
      <c r="S275" s="480" t="s">
        <v>7939</v>
      </c>
      <c r="T275" s="480" t="s">
        <v>9801</v>
      </c>
      <c r="U275" s="504">
        <v>1691.9845800000001</v>
      </c>
      <c r="V275" s="89" t="s">
        <v>9337</v>
      </c>
      <c r="W275" s="90">
        <f t="shared" si="43"/>
        <v>1201.3090517999999</v>
      </c>
    </row>
    <row r="276" spans="19:23" x14ac:dyDescent="0.2">
      <c r="S276" s="480" t="s">
        <v>7962</v>
      </c>
      <c r="T276" s="480" t="s">
        <v>9527</v>
      </c>
      <c r="U276" s="504">
        <v>1946.6822086730158</v>
      </c>
      <c r="V276" s="89" t="s">
        <v>9337</v>
      </c>
      <c r="W276" s="90">
        <f t="shared" si="43"/>
        <v>1382.1443681578412</v>
      </c>
    </row>
    <row r="277" spans="19:23" x14ac:dyDescent="0.2">
      <c r="S277" s="480" t="s">
        <v>9802</v>
      </c>
      <c r="T277" s="480" t="s">
        <v>9803</v>
      </c>
      <c r="U277" s="504">
        <v>7821.8750038294565</v>
      </c>
      <c r="V277" s="89" t="s">
        <v>9337</v>
      </c>
      <c r="W277" s="90">
        <f t="shared" si="43"/>
        <v>5553.5312527189135</v>
      </c>
    </row>
    <row r="278" spans="19:23" x14ac:dyDescent="0.2">
      <c r="S278" s="480" t="s">
        <v>7942</v>
      </c>
      <c r="T278" s="480" t="s">
        <v>9804</v>
      </c>
      <c r="U278" s="504">
        <v>2533.1426283428582</v>
      </c>
      <c r="V278" s="89" t="s">
        <v>9337</v>
      </c>
      <c r="W278" s="90">
        <f t="shared" si="43"/>
        <v>1798.5312661234293</v>
      </c>
    </row>
    <row r="279" spans="19:23" x14ac:dyDescent="0.2">
      <c r="S279" s="480" t="s">
        <v>7964</v>
      </c>
      <c r="T279" s="480" t="s">
        <v>9805</v>
      </c>
      <c r="U279" s="504">
        <v>4247.2755059330993</v>
      </c>
      <c r="V279" s="89" t="s">
        <v>9337</v>
      </c>
      <c r="W279" s="90">
        <f t="shared" si="43"/>
        <v>3015.5656092125005</v>
      </c>
    </row>
    <row r="280" spans="19:23" x14ac:dyDescent="0.2">
      <c r="S280" s="480" t="s">
        <v>9806</v>
      </c>
      <c r="T280" s="480" t="s">
        <v>9807</v>
      </c>
      <c r="U280" s="504">
        <v>2483.4986727654982</v>
      </c>
      <c r="V280" s="89" t="s">
        <v>9337</v>
      </c>
      <c r="W280" s="90">
        <f t="shared" si="43"/>
        <v>1763.2840576635037</v>
      </c>
    </row>
    <row r="281" spans="19:23" x14ac:dyDescent="0.2">
      <c r="S281" s="480" t="s">
        <v>9808</v>
      </c>
      <c r="T281" s="480" t="s">
        <v>9809</v>
      </c>
      <c r="U281" s="504">
        <v>1249.3570521502045</v>
      </c>
      <c r="V281" s="89" t="s">
        <v>9337</v>
      </c>
      <c r="W281" s="90">
        <f t="shared" ref="W281:W344" si="45">+IF(V281="Nacional",(1-$AA$1)*U281,(1-$AA$2)*U281)</f>
        <v>887.0435070266451</v>
      </c>
    </row>
    <row r="282" spans="19:23" x14ac:dyDescent="0.2">
      <c r="S282" s="480" t="s">
        <v>9810</v>
      </c>
      <c r="T282" s="480" t="s">
        <v>9811</v>
      </c>
      <c r="U282" s="504">
        <v>2765.6837942593897</v>
      </c>
      <c r="V282" s="89" t="s">
        <v>9337</v>
      </c>
      <c r="W282" s="90">
        <f t="shared" si="45"/>
        <v>1963.6354939241667</v>
      </c>
    </row>
    <row r="283" spans="19:23" x14ac:dyDescent="0.2">
      <c r="S283" s="480" t="s">
        <v>9812</v>
      </c>
      <c r="T283" s="480" t="s">
        <v>9813</v>
      </c>
      <c r="U283" s="504">
        <v>1931.002658218488</v>
      </c>
      <c r="V283" s="89" t="s">
        <v>9337</v>
      </c>
      <c r="W283" s="90">
        <f t="shared" si="45"/>
        <v>1371.0118873351264</v>
      </c>
    </row>
    <row r="284" spans="19:23" x14ac:dyDescent="0.2">
      <c r="S284" s="480" t="s">
        <v>9814</v>
      </c>
      <c r="T284" s="480" t="s">
        <v>9815</v>
      </c>
      <c r="U284" s="504">
        <v>1228.6970299102045</v>
      </c>
      <c r="V284" s="89" t="s">
        <v>9337</v>
      </c>
      <c r="W284" s="90">
        <f t="shared" si="45"/>
        <v>872.37489123624516</v>
      </c>
    </row>
    <row r="285" spans="19:23" x14ac:dyDescent="0.2">
      <c r="S285" s="480" t="s">
        <v>9816</v>
      </c>
      <c r="T285" s="480" t="s">
        <v>9817</v>
      </c>
      <c r="U285" s="504">
        <v>3462.3844803681145</v>
      </c>
      <c r="V285" s="89" t="s">
        <v>9337</v>
      </c>
      <c r="W285" s="90">
        <f t="shared" si="45"/>
        <v>2458.2929810613614</v>
      </c>
    </row>
    <row r="286" spans="19:23" x14ac:dyDescent="0.2">
      <c r="S286" s="480" t="s">
        <v>9818</v>
      </c>
      <c r="T286" s="480" t="s">
        <v>9819</v>
      </c>
      <c r="U286" s="504">
        <v>1875.2108199314289</v>
      </c>
      <c r="V286" s="89" t="s">
        <v>9337</v>
      </c>
      <c r="W286" s="90">
        <f t="shared" si="45"/>
        <v>1331.3996821513144</v>
      </c>
    </row>
    <row r="287" spans="19:23" x14ac:dyDescent="0.2">
      <c r="S287" s="480" t="s">
        <v>9820</v>
      </c>
      <c r="T287" s="480" t="s">
        <v>9821</v>
      </c>
      <c r="U287" s="504">
        <v>3904.5344159572674</v>
      </c>
      <c r="V287" s="89" t="s">
        <v>9337</v>
      </c>
      <c r="W287" s="90">
        <f t="shared" si="45"/>
        <v>2772.2194353296595</v>
      </c>
    </row>
    <row r="288" spans="19:23" x14ac:dyDescent="0.2">
      <c r="S288" s="480" t="s">
        <v>9822</v>
      </c>
      <c r="T288" s="480" t="s">
        <v>9823</v>
      </c>
      <c r="U288" s="504">
        <v>1928.0512264699164</v>
      </c>
      <c r="V288" s="89" t="s">
        <v>9337</v>
      </c>
      <c r="W288" s="90">
        <f t="shared" si="45"/>
        <v>1368.9163707936407</v>
      </c>
    </row>
    <row r="289" spans="19:23" x14ac:dyDescent="0.2">
      <c r="S289" s="480" t="s">
        <v>9824</v>
      </c>
      <c r="T289" s="480" t="s">
        <v>9825</v>
      </c>
      <c r="U289" s="504">
        <v>2741.981867931429</v>
      </c>
      <c r="V289" s="89" t="s">
        <v>9337</v>
      </c>
      <c r="W289" s="90">
        <f t="shared" si="45"/>
        <v>1946.8071262313144</v>
      </c>
    </row>
    <row r="290" spans="19:23" x14ac:dyDescent="0.2">
      <c r="S290" s="480" t="s">
        <v>9826</v>
      </c>
      <c r="T290" s="480" t="s">
        <v>9827</v>
      </c>
      <c r="U290" s="504">
        <v>1262.093279794286</v>
      </c>
      <c r="V290" s="89" t="s">
        <v>9337</v>
      </c>
      <c r="W290" s="90">
        <f t="shared" si="45"/>
        <v>896.08622865394295</v>
      </c>
    </row>
    <row r="291" spans="19:23" x14ac:dyDescent="0.2">
      <c r="S291" s="480" t="s">
        <v>9828</v>
      </c>
      <c r="T291" s="480" t="s">
        <v>9829</v>
      </c>
      <c r="U291" s="504">
        <v>2106.8134009371433</v>
      </c>
      <c r="V291" s="89" t="s">
        <v>9337</v>
      </c>
      <c r="W291" s="90">
        <f t="shared" si="45"/>
        <v>1495.8375146653716</v>
      </c>
    </row>
    <row r="292" spans="19:23" x14ac:dyDescent="0.2">
      <c r="S292" s="480" t="s">
        <v>9830</v>
      </c>
      <c r="T292" s="480" t="s">
        <v>9831</v>
      </c>
      <c r="U292" s="504">
        <v>4953.06782520248</v>
      </c>
      <c r="V292" s="89" t="s">
        <v>9337</v>
      </c>
      <c r="W292" s="90">
        <f t="shared" si="45"/>
        <v>3516.6781558937605</v>
      </c>
    </row>
    <row r="293" spans="19:23" x14ac:dyDescent="0.2">
      <c r="S293" s="480" t="s">
        <v>9832</v>
      </c>
      <c r="T293" s="480" t="s">
        <v>9833</v>
      </c>
      <c r="U293" s="504">
        <v>2534.7710044800006</v>
      </c>
      <c r="V293" s="89" t="s">
        <v>9337</v>
      </c>
      <c r="W293" s="90">
        <f t="shared" si="45"/>
        <v>1799.6874131808004</v>
      </c>
    </row>
    <row r="294" spans="19:23" x14ac:dyDescent="0.2">
      <c r="S294" s="480" t="s">
        <v>9834</v>
      </c>
      <c r="T294" s="480" t="s">
        <v>9835</v>
      </c>
      <c r="U294" s="504">
        <v>5672.2205016041589</v>
      </c>
      <c r="V294" s="89" t="s">
        <v>9337</v>
      </c>
      <c r="W294" s="90">
        <f t="shared" si="45"/>
        <v>4027.2765561389529</v>
      </c>
    </row>
    <row r="295" spans="19:23" x14ac:dyDescent="0.2">
      <c r="S295" s="480" t="s">
        <v>9836</v>
      </c>
      <c r="T295" s="480" t="s">
        <v>9837</v>
      </c>
      <c r="U295" s="504">
        <v>2654.68927572245</v>
      </c>
      <c r="V295" s="89" t="s">
        <v>9337</v>
      </c>
      <c r="W295" s="90">
        <f t="shared" si="45"/>
        <v>1884.8293857629394</v>
      </c>
    </row>
    <row r="296" spans="19:23" x14ac:dyDescent="0.2">
      <c r="S296" s="480" t="s">
        <v>9838</v>
      </c>
      <c r="T296" s="480" t="s">
        <v>9839</v>
      </c>
      <c r="U296" s="504">
        <v>1860.168296252773</v>
      </c>
      <c r="V296" s="89" t="s">
        <v>9337</v>
      </c>
      <c r="W296" s="90">
        <f t="shared" si="45"/>
        <v>1320.7194903394688</v>
      </c>
    </row>
    <row r="297" spans="19:23" x14ac:dyDescent="0.2">
      <c r="S297" s="480" t="s">
        <v>9840</v>
      </c>
      <c r="T297" s="480" t="s">
        <v>9841</v>
      </c>
      <c r="U297" s="504">
        <v>2515.4340378514294</v>
      </c>
      <c r="V297" s="89" t="s">
        <v>9337</v>
      </c>
      <c r="W297" s="90">
        <f t="shared" si="45"/>
        <v>1785.9581668745147</v>
      </c>
    </row>
    <row r="298" spans="19:23" x14ac:dyDescent="0.2">
      <c r="S298" s="480" t="s">
        <v>9842</v>
      </c>
      <c r="T298" s="480" t="s">
        <v>9843</v>
      </c>
      <c r="U298" s="504">
        <v>2631.9433225678263</v>
      </c>
      <c r="V298" s="89" t="s">
        <v>9337</v>
      </c>
      <c r="W298" s="90">
        <f t="shared" si="45"/>
        <v>1868.6797590231565</v>
      </c>
    </row>
    <row r="299" spans="19:23" x14ac:dyDescent="0.2">
      <c r="S299" s="480" t="s">
        <v>9844</v>
      </c>
      <c r="T299" s="480" t="s">
        <v>9845</v>
      </c>
      <c r="U299" s="504">
        <v>2666.4950027167351</v>
      </c>
      <c r="V299" s="89" t="s">
        <v>9337</v>
      </c>
      <c r="W299" s="90">
        <f t="shared" si="45"/>
        <v>1893.2114519288818</v>
      </c>
    </row>
    <row r="300" spans="19:23" x14ac:dyDescent="0.2">
      <c r="S300" s="480" t="s">
        <v>9846</v>
      </c>
      <c r="T300" s="480" t="s">
        <v>9847</v>
      </c>
      <c r="U300" s="504">
        <v>2595.3821473542598</v>
      </c>
      <c r="V300" s="89" t="s">
        <v>9337</v>
      </c>
      <c r="W300" s="90">
        <f t="shared" si="45"/>
        <v>1842.7213246215244</v>
      </c>
    </row>
    <row r="301" spans="19:23" x14ac:dyDescent="0.2">
      <c r="S301" s="480" t="s">
        <v>9848</v>
      </c>
      <c r="T301" s="480" t="s">
        <v>9849</v>
      </c>
      <c r="U301" s="504">
        <v>3708.9281077762435</v>
      </c>
      <c r="V301" s="89" t="s">
        <v>9337</v>
      </c>
      <c r="W301" s="90">
        <f t="shared" si="45"/>
        <v>2633.3389565211328</v>
      </c>
    </row>
    <row r="302" spans="19:23" x14ac:dyDescent="0.2">
      <c r="S302" s="480" t="s">
        <v>9850</v>
      </c>
      <c r="T302" s="480" t="s">
        <v>9851</v>
      </c>
      <c r="U302" s="504">
        <v>3929.8367698643692</v>
      </c>
      <c r="V302" s="89" t="s">
        <v>9337</v>
      </c>
      <c r="W302" s="90">
        <f t="shared" si="45"/>
        <v>2790.1841066037018</v>
      </c>
    </row>
    <row r="303" spans="19:23" x14ac:dyDescent="0.2">
      <c r="S303" s="480" t="s">
        <v>9852</v>
      </c>
      <c r="T303" s="480" t="s">
        <v>9853</v>
      </c>
      <c r="U303" s="504">
        <v>4975.7155393355324</v>
      </c>
      <c r="V303" s="89" t="s">
        <v>9337</v>
      </c>
      <c r="W303" s="90">
        <f t="shared" si="45"/>
        <v>3532.7580329282277</v>
      </c>
    </row>
    <row r="304" spans="19:23" x14ac:dyDescent="0.2">
      <c r="S304" s="480" t="s">
        <v>9854</v>
      </c>
      <c r="T304" s="480" t="s">
        <v>9855</v>
      </c>
      <c r="U304" s="504">
        <v>4712.870896788776</v>
      </c>
      <c r="V304" s="89" t="s">
        <v>9337</v>
      </c>
      <c r="W304" s="90">
        <f t="shared" si="45"/>
        <v>3346.138336720031</v>
      </c>
    </row>
    <row r="305" spans="19:23" x14ac:dyDescent="0.2">
      <c r="S305" s="480" t="s">
        <v>9856</v>
      </c>
      <c r="T305" s="480" t="s">
        <v>9857</v>
      </c>
      <c r="U305" s="504">
        <v>1829.0612503209979</v>
      </c>
      <c r="V305" s="89" t="s">
        <v>9337</v>
      </c>
      <c r="W305" s="90">
        <f t="shared" si="45"/>
        <v>1298.6334877279085</v>
      </c>
    </row>
    <row r="306" spans="19:23" x14ac:dyDescent="0.2">
      <c r="S306" s="480" t="s">
        <v>9858</v>
      </c>
      <c r="T306" s="480" t="s">
        <v>9859</v>
      </c>
      <c r="U306" s="504">
        <v>2583.3222780820897</v>
      </c>
      <c r="V306" s="89" t="s">
        <v>9337</v>
      </c>
      <c r="W306" s="90">
        <f t="shared" si="45"/>
        <v>1834.1588174382837</v>
      </c>
    </row>
    <row r="307" spans="19:23" x14ac:dyDescent="0.2">
      <c r="S307" s="480" t="s">
        <v>9860</v>
      </c>
      <c r="T307" s="480" t="s">
        <v>9861</v>
      </c>
      <c r="U307" s="504">
        <v>1037.6524631626805</v>
      </c>
      <c r="V307" s="89" t="s">
        <v>9337</v>
      </c>
      <c r="W307" s="90">
        <f t="shared" si="45"/>
        <v>736.73324884550311</v>
      </c>
    </row>
    <row r="308" spans="19:23" x14ac:dyDescent="0.2">
      <c r="S308" s="480" t="s">
        <v>9862</v>
      </c>
      <c r="T308" s="480" t="s">
        <v>9863</v>
      </c>
      <c r="U308" s="504">
        <v>1813.4070105750104</v>
      </c>
      <c r="V308" s="89" t="s">
        <v>9337</v>
      </c>
      <c r="W308" s="90">
        <f t="shared" si="45"/>
        <v>1287.5189775082574</v>
      </c>
    </row>
    <row r="309" spans="19:23" x14ac:dyDescent="0.2">
      <c r="S309" s="480" t="s">
        <v>9864</v>
      </c>
      <c r="T309" s="480" t="s">
        <v>9865</v>
      </c>
      <c r="U309" s="504">
        <v>2636.4969972192589</v>
      </c>
      <c r="V309" s="89" t="s">
        <v>9337</v>
      </c>
      <c r="W309" s="90">
        <f t="shared" si="45"/>
        <v>1871.9128680256738</v>
      </c>
    </row>
    <row r="310" spans="19:23" x14ac:dyDescent="0.2">
      <c r="S310" s="480" t="s">
        <v>9866</v>
      </c>
      <c r="T310" s="480" t="s">
        <v>9867</v>
      </c>
      <c r="U310" s="504">
        <v>1734.6388518531305</v>
      </c>
      <c r="V310" s="89" t="s">
        <v>9337</v>
      </c>
      <c r="W310" s="90">
        <f t="shared" si="45"/>
        <v>1231.5935848157226</v>
      </c>
    </row>
    <row r="311" spans="19:23" x14ac:dyDescent="0.2">
      <c r="S311" s="480" t="s">
        <v>9868</v>
      </c>
      <c r="T311" s="480" t="s">
        <v>9869</v>
      </c>
      <c r="U311" s="504">
        <v>2657.49355687856</v>
      </c>
      <c r="V311" s="89" t="s">
        <v>9337</v>
      </c>
      <c r="W311" s="90">
        <f t="shared" si="45"/>
        <v>1886.8204253837775</v>
      </c>
    </row>
    <row r="312" spans="19:23" x14ac:dyDescent="0.2">
      <c r="S312" s="480" t="s">
        <v>9870</v>
      </c>
      <c r="T312" s="480" t="s">
        <v>9871</v>
      </c>
      <c r="U312" s="504">
        <v>4925.9881745293915</v>
      </c>
      <c r="V312" s="89" t="s">
        <v>9337</v>
      </c>
      <c r="W312" s="90">
        <f t="shared" si="45"/>
        <v>3497.451603915868</v>
      </c>
    </row>
    <row r="313" spans="19:23" x14ac:dyDescent="0.2">
      <c r="S313" s="480" t="s">
        <v>9872</v>
      </c>
      <c r="T313" s="480" t="s">
        <v>9873</v>
      </c>
      <c r="U313" s="504">
        <v>4885.6669203870597</v>
      </c>
      <c r="V313" s="89" t="s">
        <v>9337</v>
      </c>
      <c r="W313" s="90">
        <f t="shared" si="45"/>
        <v>3468.823513474812</v>
      </c>
    </row>
    <row r="314" spans="19:23" x14ac:dyDescent="0.2">
      <c r="S314" s="480" t="s">
        <v>9874</v>
      </c>
      <c r="T314" s="480" t="s">
        <v>9875</v>
      </c>
      <c r="U314" s="504">
        <v>2530.7291422824496</v>
      </c>
      <c r="V314" s="89" t="s">
        <v>9337</v>
      </c>
      <c r="W314" s="90">
        <f t="shared" si="45"/>
        <v>1796.8176910205391</v>
      </c>
    </row>
    <row r="315" spans="19:23" x14ac:dyDescent="0.2">
      <c r="S315" s="480" t="s">
        <v>9876</v>
      </c>
      <c r="T315" s="480" t="s">
        <v>9877</v>
      </c>
      <c r="U315" s="504">
        <v>1262.093279794286</v>
      </c>
      <c r="V315" s="89" t="s">
        <v>9337</v>
      </c>
      <c r="W315" s="90">
        <f t="shared" si="45"/>
        <v>896.08622865394295</v>
      </c>
    </row>
    <row r="316" spans="19:23" x14ac:dyDescent="0.2">
      <c r="S316" s="480" t="s">
        <v>9878</v>
      </c>
      <c r="T316" s="480" t="s">
        <v>9879</v>
      </c>
      <c r="U316" s="504">
        <v>15797.522818204732</v>
      </c>
      <c r="V316" s="89" t="s">
        <v>9337</v>
      </c>
      <c r="W316" s="90">
        <f t="shared" si="45"/>
        <v>11216.241200925358</v>
      </c>
    </row>
    <row r="317" spans="19:23" x14ac:dyDescent="0.2">
      <c r="S317" s="480" t="s">
        <v>9880</v>
      </c>
      <c r="T317" s="480" t="s">
        <v>9881</v>
      </c>
      <c r="U317" s="504">
        <v>17194.615052006655</v>
      </c>
      <c r="V317" s="89" t="s">
        <v>9337</v>
      </c>
      <c r="W317" s="90">
        <f t="shared" si="45"/>
        <v>12208.176686924724</v>
      </c>
    </row>
    <row r="318" spans="19:23" x14ac:dyDescent="0.2">
      <c r="S318" s="480" t="s">
        <v>9882</v>
      </c>
      <c r="T318" s="480" t="s">
        <v>9883</v>
      </c>
      <c r="U318" s="504">
        <v>17194.615052006655</v>
      </c>
      <c r="V318" s="89" t="s">
        <v>9337</v>
      </c>
      <c r="W318" s="90">
        <f t="shared" si="45"/>
        <v>12208.176686924724</v>
      </c>
    </row>
    <row r="319" spans="19:23" x14ac:dyDescent="0.2">
      <c r="S319" s="480" t="s">
        <v>7945</v>
      </c>
      <c r="T319" s="480" t="s">
        <v>9884</v>
      </c>
      <c r="U319" s="504">
        <v>712.51638843845433</v>
      </c>
      <c r="V319" s="89" t="s">
        <v>9337</v>
      </c>
      <c r="W319" s="90">
        <f t="shared" si="45"/>
        <v>505.88663579130252</v>
      </c>
    </row>
    <row r="320" spans="19:23" x14ac:dyDescent="0.2">
      <c r="S320" s="480" t="s">
        <v>7966</v>
      </c>
      <c r="T320" s="480" t="s">
        <v>9885</v>
      </c>
      <c r="U320" s="504">
        <v>1055.2945428764142</v>
      </c>
      <c r="V320" s="89" t="s">
        <v>9337</v>
      </c>
      <c r="W320" s="90">
        <f t="shared" si="45"/>
        <v>749.259125442254</v>
      </c>
    </row>
    <row r="321" spans="19:23" x14ac:dyDescent="0.2">
      <c r="S321" s="480" t="s">
        <v>7948</v>
      </c>
      <c r="T321" s="480" t="s">
        <v>9886</v>
      </c>
      <c r="U321" s="504">
        <v>896.26734545684587</v>
      </c>
      <c r="V321" s="89" t="s">
        <v>9337</v>
      </c>
      <c r="W321" s="90">
        <f t="shared" si="45"/>
        <v>636.34981527436059</v>
      </c>
    </row>
    <row r="322" spans="19:23" x14ac:dyDescent="0.2">
      <c r="S322" s="480" t="s">
        <v>7968</v>
      </c>
      <c r="T322" s="480" t="s">
        <v>9887</v>
      </c>
      <c r="U322" s="504">
        <v>1094.5543822393697</v>
      </c>
      <c r="V322" s="89" t="s">
        <v>9337</v>
      </c>
      <c r="W322" s="90">
        <f t="shared" si="45"/>
        <v>777.13361138995242</v>
      </c>
    </row>
    <row r="323" spans="19:23" x14ac:dyDescent="0.2">
      <c r="S323" s="480" t="s">
        <v>7951</v>
      </c>
      <c r="T323" s="480" t="s">
        <v>9888</v>
      </c>
      <c r="U323" s="504">
        <v>1422.6722169152124</v>
      </c>
      <c r="V323" s="89" t="s">
        <v>9337</v>
      </c>
      <c r="W323" s="90">
        <f t="shared" si="45"/>
        <v>1010.0972740098008</v>
      </c>
    </row>
    <row r="324" spans="19:23" x14ac:dyDescent="0.2">
      <c r="S324" s="480" t="s">
        <v>7970</v>
      </c>
      <c r="T324" s="480" t="s">
        <v>9533</v>
      </c>
      <c r="U324" s="504">
        <v>1705.0697323329289</v>
      </c>
      <c r="V324" s="89" t="s">
        <v>9337</v>
      </c>
      <c r="W324" s="90">
        <f t="shared" si="45"/>
        <v>1210.5995099563795</v>
      </c>
    </row>
    <row r="325" spans="19:23" x14ac:dyDescent="0.2">
      <c r="S325" s="480" t="s">
        <v>7954</v>
      </c>
      <c r="T325" s="480" t="s">
        <v>9524</v>
      </c>
      <c r="U325" s="504">
        <v>1916.1534889078091</v>
      </c>
      <c r="V325" s="89" t="s">
        <v>9337</v>
      </c>
      <c r="W325" s="90">
        <f t="shared" si="45"/>
        <v>1360.4689771245444</v>
      </c>
    </row>
    <row r="326" spans="19:23" x14ac:dyDescent="0.2">
      <c r="S326" s="480" t="s">
        <v>9889</v>
      </c>
      <c r="T326" s="480" t="s">
        <v>9890</v>
      </c>
      <c r="U326" s="504">
        <v>2335.9604420958717</v>
      </c>
      <c r="V326" s="89" t="s">
        <v>9337</v>
      </c>
      <c r="W326" s="90">
        <f t="shared" si="45"/>
        <v>1658.5319138880689</v>
      </c>
    </row>
    <row r="327" spans="19:23" x14ac:dyDescent="0.2">
      <c r="S327" s="480" t="s">
        <v>9891</v>
      </c>
      <c r="T327" s="480" t="s">
        <v>9892</v>
      </c>
      <c r="U327" s="504">
        <v>1886.6408421139643</v>
      </c>
      <c r="V327" s="89" t="s">
        <v>9337</v>
      </c>
      <c r="W327" s="90">
        <f t="shared" si="45"/>
        <v>1339.5149979009145</v>
      </c>
    </row>
    <row r="328" spans="19:23" x14ac:dyDescent="0.2">
      <c r="S328" s="480" t="s">
        <v>9893</v>
      </c>
      <c r="T328" s="480" t="s">
        <v>9894</v>
      </c>
      <c r="U328" s="504">
        <v>1746.6033788634854</v>
      </c>
      <c r="V328" s="89" t="s">
        <v>9337</v>
      </c>
      <c r="W328" s="90">
        <f t="shared" si="45"/>
        <v>1240.0883989930746</v>
      </c>
    </row>
    <row r="329" spans="19:23" x14ac:dyDescent="0.2">
      <c r="S329" s="480" t="s">
        <v>9895</v>
      </c>
      <c r="T329" s="480" t="s">
        <v>9896</v>
      </c>
      <c r="U329" s="504">
        <v>1021.0043034328195</v>
      </c>
      <c r="V329" s="89" t="s">
        <v>9337</v>
      </c>
      <c r="W329" s="90">
        <f t="shared" si="45"/>
        <v>724.91305543730175</v>
      </c>
    </row>
    <row r="330" spans="19:23" x14ac:dyDescent="0.2">
      <c r="S330" s="480" t="s">
        <v>9897</v>
      </c>
      <c r="T330" s="480" t="s">
        <v>9898</v>
      </c>
      <c r="U330" s="504">
        <v>1026.2223833481489</v>
      </c>
      <c r="V330" s="89" t="s">
        <v>9337</v>
      </c>
      <c r="W330" s="90">
        <f t="shared" si="45"/>
        <v>728.61789217718569</v>
      </c>
    </row>
    <row r="331" spans="19:23" x14ac:dyDescent="0.2">
      <c r="S331" s="480" t="s">
        <v>9899</v>
      </c>
      <c r="T331" s="480" t="s">
        <v>9900</v>
      </c>
      <c r="U331" s="504">
        <v>1800.9830107766072</v>
      </c>
      <c r="V331" s="89" t="s">
        <v>9337</v>
      </c>
      <c r="W331" s="90">
        <f t="shared" si="45"/>
        <v>1278.6979376513912</v>
      </c>
    </row>
    <row r="332" spans="19:23" x14ac:dyDescent="0.2">
      <c r="S332" s="480" t="s">
        <v>9901</v>
      </c>
      <c r="T332" s="480" t="s">
        <v>9902</v>
      </c>
      <c r="U332" s="504">
        <v>2463.3064400295088</v>
      </c>
      <c r="V332" s="89" t="s">
        <v>9337</v>
      </c>
      <c r="W332" s="90">
        <f t="shared" si="45"/>
        <v>1748.9475724209512</v>
      </c>
    </row>
    <row r="333" spans="19:23" x14ac:dyDescent="0.2">
      <c r="S333" s="480" t="s">
        <v>9903</v>
      </c>
      <c r="T333" s="480" t="s">
        <v>9904</v>
      </c>
      <c r="U333" s="504">
        <v>1967.9615680671534</v>
      </c>
      <c r="V333" s="89" t="s">
        <v>9337</v>
      </c>
      <c r="W333" s="90">
        <f t="shared" si="45"/>
        <v>1397.2527133276787</v>
      </c>
    </row>
    <row r="334" spans="19:23" x14ac:dyDescent="0.2">
      <c r="S334" s="480" t="s">
        <v>9905</v>
      </c>
      <c r="T334" s="480" t="s">
        <v>9906</v>
      </c>
      <c r="U334" s="504">
        <v>2534.9929188663</v>
      </c>
      <c r="V334" s="89" t="s">
        <v>9337</v>
      </c>
      <c r="W334" s="90">
        <f t="shared" si="45"/>
        <v>1799.844972395073</v>
      </c>
    </row>
    <row r="335" spans="19:23" x14ac:dyDescent="0.2">
      <c r="S335" s="480" t="s">
        <v>9907</v>
      </c>
      <c r="T335" s="480" t="s">
        <v>9908</v>
      </c>
      <c r="U335" s="504">
        <v>2568.7861983179591</v>
      </c>
      <c r="V335" s="89" t="s">
        <v>9337</v>
      </c>
      <c r="W335" s="90">
        <f t="shared" si="45"/>
        <v>1823.8382008057508</v>
      </c>
    </row>
    <row r="336" spans="19:23" x14ac:dyDescent="0.2">
      <c r="S336" s="480" t="s">
        <v>9909</v>
      </c>
      <c r="T336" s="480" t="s">
        <v>9910</v>
      </c>
      <c r="U336" s="504">
        <v>6013.4725792863228</v>
      </c>
      <c r="V336" s="89" t="s">
        <v>9337</v>
      </c>
      <c r="W336" s="90">
        <f t="shared" si="45"/>
        <v>4269.5655312932886</v>
      </c>
    </row>
    <row r="337" spans="19:23" x14ac:dyDescent="0.2">
      <c r="S337" s="480" t="s">
        <v>9911</v>
      </c>
      <c r="T337" s="480" t="s">
        <v>9912</v>
      </c>
      <c r="U337" s="504">
        <v>6013.4725792863228</v>
      </c>
      <c r="V337" s="89" t="s">
        <v>9337</v>
      </c>
      <c r="W337" s="90">
        <f t="shared" si="45"/>
        <v>4269.5655312932886</v>
      </c>
    </row>
    <row r="338" spans="19:23" x14ac:dyDescent="0.2">
      <c r="S338" s="480" t="s">
        <v>9913</v>
      </c>
      <c r="T338" s="480" t="s">
        <v>9914</v>
      </c>
      <c r="U338" s="504">
        <v>4870.3592378511694</v>
      </c>
      <c r="V338" s="89" t="s">
        <v>9337</v>
      </c>
      <c r="W338" s="90">
        <f t="shared" si="45"/>
        <v>3457.95505887433</v>
      </c>
    </row>
    <row r="339" spans="19:23" x14ac:dyDescent="0.2">
      <c r="S339" s="480" t="s">
        <v>9915</v>
      </c>
      <c r="T339" s="480" t="s">
        <v>9916</v>
      </c>
      <c r="U339" s="504">
        <v>4870.3592378511694</v>
      </c>
      <c r="V339" s="89" t="s">
        <v>9337</v>
      </c>
      <c r="W339" s="90">
        <f t="shared" si="45"/>
        <v>3457.95505887433</v>
      </c>
    </row>
    <row r="340" spans="19:23" x14ac:dyDescent="0.2">
      <c r="S340" s="480" t="s">
        <v>9917</v>
      </c>
      <c r="T340" s="480" t="s">
        <v>9918</v>
      </c>
      <c r="U340" s="504">
        <v>3298.3923882129225</v>
      </c>
      <c r="V340" s="89" t="s">
        <v>9337</v>
      </c>
      <c r="W340" s="90">
        <f t="shared" si="45"/>
        <v>2341.8585956311749</v>
      </c>
    </row>
    <row r="341" spans="19:23" x14ac:dyDescent="0.2">
      <c r="S341" s="480" t="s">
        <v>9919</v>
      </c>
      <c r="T341" s="480" t="s">
        <v>9920</v>
      </c>
      <c r="U341" s="504">
        <v>3769.5062698822412</v>
      </c>
      <c r="V341" s="89" t="s">
        <v>9337</v>
      </c>
      <c r="W341" s="90">
        <f t="shared" si="45"/>
        <v>2676.349451616391</v>
      </c>
    </row>
    <row r="342" spans="19:23" x14ac:dyDescent="0.2">
      <c r="S342" s="480" t="s">
        <v>9921</v>
      </c>
      <c r="T342" s="480" t="s">
        <v>9922</v>
      </c>
      <c r="U342" s="504">
        <v>3652.2486139266439</v>
      </c>
      <c r="V342" s="89" t="s">
        <v>9337</v>
      </c>
      <c r="W342" s="90">
        <f t="shared" si="45"/>
        <v>2593.0965158879171</v>
      </c>
    </row>
    <row r="343" spans="19:23" x14ac:dyDescent="0.2">
      <c r="S343" s="480" t="s">
        <v>9923</v>
      </c>
      <c r="T343" s="480" t="s">
        <v>9924</v>
      </c>
      <c r="U343" s="504">
        <v>4427.2205329834369</v>
      </c>
      <c r="V343" s="89" t="s">
        <v>9337</v>
      </c>
      <c r="W343" s="90">
        <f t="shared" si="45"/>
        <v>3143.3265784182399</v>
      </c>
    </row>
    <row r="344" spans="19:23" x14ac:dyDescent="0.2">
      <c r="S344" s="480" t="s">
        <v>9925</v>
      </c>
      <c r="T344" s="480" t="s">
        <v>9926</v>
      </c>
      <c r="U344" s="504">
        <v>3089.7689952563901</v>
      </c>
      <c r="V344" s="89" t="s">
        <v>9337</v>
      </c>
      <c r="W344" s="90">
        <f t="shared" si="45"/>
        <v>2193.7359866320367</v>
      </c>
    </row>
    <row r="345" spans="19:23" x14ac:dyDescent="0.2">
      <c r="S345" s="87" t="s">
        <v>9927</v>
      </c>
      <c r="T345" s="87" t="s">
        <v>9928</v>
      </c>
      <c r="U345" s="90">
        <v>2355.6574283802065</v>
      </c>
      <c r="V345" s="89" t="s">
        <v>9344</v>
      </c>
      <c r="W345" s="90">
        <f t="shared" ref="W345:W408" si="46">+IF(V345="Nacional",(1-$AA$1)*U345,(1-$AA$2)*U345)</f>
        <v>1413.394457028124</v>
      </c>
    </row>
    <row r="346" spans="19:23" x14ac:dyDescent="0.2">
      <c r="S346" s="87" t="s">
        <v>4531</v>
      </c>
      <c r="T346" s="87" t="s">
        <v>4532</v>
      </c>
      <c r="U346" s="90">
        <v>4067.0566817126396</v>
      </c>
      <c r="V346" s="89" t="s">
        <v>9344</v>
      </c>
      <c r="W346" s="90">
        <f t="shared" si="46"/>
        <v>2440.2340090275839</v>
      </c>
    </row>
    <row r="347" spans="19:23" x14ac:dyDescent="0.2">
      <c r="S347" s="87" t="s">
        <v>4528</v>
      </c>
      <c r="T347" s="87" t="s">
        <v>4529</v>
      </c>
      <c r="U347" s="90">
        <v>4067.0566817126396</v>
      </c>
      <c r="V347" s="89" t="s">
        <v>9344</v>
      </c>
      <c r="W347" s="90">
        <f t="shared" si="46"/>
        <v>2440.2340090275839</v>
      </c>
    </row>
    <row r="348" spans="19:23" x14ac:dyDescent="0.2">
      <c r="S348" s="87" t="s">
        <v>9929</v>
      </c>
      <c r="T348" s="87" t="s">
        <v>9930</v>
      </c>
      <c r="U348" s="90">
        <v>3758.9463270374404</v>
      </c>
      <c r="V348" s="89" t="s">
        <v>9344</v>
      </c>
      <c r="W348" s="90">
        <f t="shared" si="46"/>
        <v>2255.3677962224642</v>
      </c>
    </row>
    <row r="349" spans="19:23" x14ac:dyDescent="0.2">
      <c r="S349" s="87" t="s">
        <v>9931</v>
      </c>
      <c r="T349" s="87" t="s">
        <v>9932</v>
      </c>
      <c r="U349" s="90">
        <v>697.65300000000002</v>
      </c>
      <c r="V349" s="89" t="s">
        <v>9344</v>
      </c>
      <c r="W349" s="90">
        <f t="shared" si="46"/>
        <v>418.59179999999998</v>
      </c>
    </row>
    <row r="350" spans="19:23" x14ac:dyDescent="0.2">
      <c r="S350" s="87" t="s">
        <v>9933</v>
      </c>
      <c r="T350" s="87" t="s">
        <v>9934</v>
      </c>
      <c r="U350" s="90">
        <v>4560.0332491929612</v>
      </c>
      <c r="V350" s="89" t="s">
        <v>9344</v>
      </c>
      <c r="W350" s="90">
        <f t="shared" si="46"/>
        <v>2736.0199495157767</v>
      </c>
    </row>
    <row r="351" spans="19:23" x14ac:dyDescent="0.2">
      <c r="S351" s="87" t="s">
        <v>9935</v>
      </c>
      <c r="T351" s="87" t="s">
        <v>9936</v>
      </c>
      <c r="U351" s="90">
        <v>3697.3242561024003</v>
      </c>
      <c r="V351" s="89" t="s">
        <v>9344</v>
      </c>
      <c r="W351" s="90">
        <f t="shared" si="46"/>
        <v>2218.3945536614401</v>
      </c>
    </row>
    <row r="352" spans="19:23" x14ac:dyDescent="0.2">
      <c r="S352" s="87" t="s">
        <v>9937</v>
      </c>
      <c r="T352" s="87" t="s">
        <v>9938</v>
      </c>
      <c r="U352" s="90">
        <v>4636.0338033461776</v>
      </c>
      <c r="V352" s="89" t="s">
        <v>9344</v>
      </c>
      <c r="W352" s="90">
        <f t="shared" si="46"/>
        <v>2781.6202820077065</v>
      </c>
    </row>
    <row r="353" spans="19:26" x14ac:dyDescent="0.2">
      <c r="S353" s="87" t="s">
        <v>9939</v>
      </c>
      <c r="T353" s="87" t="s">
        <v>9940</v>
      </c>
      <c r="U353" s="90">
        <v>4788.0349116526086</v>
      </c>
      <c r="V353" s="89" t="s">
        <v>9344</v>
      </c>
      <c r="W353" s="90">
        <f t="shared" si="46"/>
        <v>2872.8209469915651</v>
      </c>
      <c r="Z353" s="1"/>
    </row>
    <row r="354" spans="19:26" x14ac:dyDescent="0.2">
      <c r="S354" s="87" t="s">
        <v>9941</v>
      </c>
      <c r="T354" s="87" t="s">
        <v>9942</v>
      </c>
      <c r="U354" s="90">
        <v>2356.0171787496965</v>
      </c>
      <c r="V354" s="89" t="s">
        <v>9344</v>
      </c>
      <c r="W354" s="90">
        <f t="shared" si="46"/>
        <v>1413.6103072498179</v>
      </c>
    </row>
    <row r="355" spans="19:26" x14ac:dyDescent="0.2">
      <c r="S355" s="87" t="s">
        <v>4534</v>
      </c>
      <c r="T355" s="87" t="s">
        <v>4535</v>
      </c>
      <c r="U355" s="90">
        <v>5065.09</v>
      </c>
      <c r="V355" s="89" t="s">
        <v>9344</v>
      </c>
      <c r="W355" s="90">
        <f t="shared" si="46"/>
        <v>3039.0540000000001</v>
      </c>
    </row>
    <row r="356" spans="19:26" x14ac:dyDescent="0.2">
      <c r="S356" s="87" t="s">
        <v>9943</v>
      </c>
      <c r="T356" s="87" t="s">
        <v>9944</v>
      </c>
      <c r="U356" s="90">
        <v>0</v>
      </c>
      <c r="V356" s="89" t="s">
        <v>9344</v>
      </c>
      <c r="W356" s="90">
        <f t="shared" si="46"/>
        <v>0</v>
      </c>
      <c r="Z356" s="2"/>
    </row>
    <row r="357" spans="19:26" x14ac:dyDescent="0.2">
      <c r="S357" s="87" t="s">
        <v>9945</v>
      </c>
      <c r="T357" s="87" t="s">
        <v>9946</v>
      </c>
      <c r="U357" s="90">
        <v>856.41767308652561</v>
      </c>
      <c r="V357" s="89" t="s">
        <v>9344</v>
      </c>
      <c r="W357" s="90">
        <f t="shared" si="46"/>
        <v>513.85060385191537</v>
      </c>
    </row>
    <row r="358" spans="19:26" x14ac:dyDescent="0.2">
      <c r="S358" s="87" t="s">
        <v>9947</v>
      </c>
      <c r="T358" s="87" t="s">
        <v>9948</v>
      </c>
      <c r="U358" s="90">
        <v>661.20482113297919</v>
      </c>
      <c r="V358" s="89" t="s">
        <v>9344</v>
      </c>
      <c r="W358" s="90">
        <f t="shared" si="46"/>
        <v>396.72289267978749</v>
      </c>
    </row>
    <row r="359" spans="19:26" x14ac:dyDescent="0.2">
      <c r="S359" s="87" t="s">
        <v>9949</v>
      </c>
      <c r="T359" s="87" t="s">
        <v>9950</v>
      </c>
      <c r="U359" s="90">
        <v>1815.4057723084802</v>
      </c>
      <c r="V359" s="89" t="s">
        <v>9344</v>
      </c>
      <c r="W359" s="90">
        <f t="shared" si="46"/>
        <v>1089.243463385088</v>
      </c>
    </row>
    <row r="360" spans="19:26" x14ac:dyDescent="0.2">
      <c r="S360" s="87" t="s">
        <v>9951</v>
      </c>
      <c r="T360" s="87" t="s">
        <v>9952</v>
      </c>
      <c r="U360" s="90">
        <v>2836.5715192320008</v>
      </c>
      <c r="V360" s="89" t="s">
        <v>9344</v>
      </c>
      <c r="W360" s="90">
        <f t="shared" si="46"/>
        <v>1701.9429115392004</v>
      </c>
    </row>
    <row r="361" spans="19:26" x14ac:dyDescent="0.2">
      <c r="S361" s="87" t="s">
        <v>9953</v>
      </c>
      <c r="T361" s="87" t="s">
        <v>9954</v>
      </c>
      <c r="U361" s="90">
        <v>3853.8795288893652</v>
      </c>
      <c r="V361" s="89" t="s">
        <v>9344</v>
      </c>
      <c r="W361" s="90">
        <f t="shared" si="46"/>
        <v>2312.3277173336191</v>
      </c>
    </row>
    <row r="362" spans="19:26" x14ac:dyDescent="0.2">
      <c r="S362" s="87" t="s">
        <v>9955</v>
      </c>
      <c r="T362" s="87" t="s">
        <v>9956</v>
      </c>
      <c r="U362" s="90">
        <v>4137.2530236606417</v>
      </c>
      <c r="V362" s="89" t="s">
        <v>9344</v>
      </c>
      <c r="W362" s="90">
        <f t="shared" si="46"/>
        <v>2482.351814196385</v>
      </c>
    </row>
    <row r="363" spans="19:26" x14ac:dyDescent="0.2">
      <c r="S363" s="480" t="s">
        <v>9957</v>
      </c>
      <c r="T363" s="480" t="s">
        <v>9958</v>
      </c>
      <c r="U363" s="504">
        <v>1483.0056143320967</v>
      </c>
      <c r="V363" s="89" t="s">
        <v>9337</v>
      </c>
      <c r="W363" s="90">
        <f t="shared" si="46"/>
        <v>1052.9339861757885</v>
      </c>
    </row>
    <row r="364" spans="19:26" x14ac:dyDescent="0.2">
      <c r="S364" s="480" t="s">
        <v>9959</v>
      </c>
      <c r="T364" s="480" t="s">
        <v>9960</v>
      </c>
      <c r="U364" s="504">
        <v>1634.8873881155698</v>
      </c>
      <c r="V364" s="89" t="s">
        <v>9337</v>
      </c>
      <c r="W364" s="90">
        <f t="shared" si="46"/>
        <v>1160.7700455620545</v>
      </c>
    </row>
    <row r="365" spans="19:26" x14ac:dyDescent="0.2">
      <c r="S365" s="87" t="s">
        <v>9961</v>
      </c>
      <c r="T365" s="87" t="s">
        <v>9962</v>
      </c>
      <c r="U365" s="90">
        <v>6044.6033999999991</v>
      </c>
      <c r="V365" s="89" t="s">
        <v>9344</v>
      </c>
      <c r="W365" s="90">
        <f t="shared" si="46"/>
        <v>3626.7620399999992</v>
      </c>
    </row>
    <row r="366" spans="19:26" x14ac:dyDescent="0.2">
      <c r="S366" s="87" t="s">
        <v>9963</v>
      </c>
      <c r="T366" s="87" t="s">
        <v>9964</v>
      </c>
      <c r="U366" s="90">
        <v>6494.2020000000002</v>
      </c>
      <c r="V366" s="89" t="s">
        <v>9344</v>
      </c>
      <c r="W366" s="90">
        <f t="shared" si="46"/>
        <v>3896.5212000000001</v>
      </c>
    </row>
    <row r="367" spans="19:26" x14ac:dyDescent="0.2">
      <c r="S367" s="87" t="s">
        <v>9965</v>
      </c>
      <c r="T367" s="87" t="s">
        <v>9966</v>
      </c>
      <c r="U367" s="90">
        <v>15486.174000000001</v>
      </c>
      <c r="V367" s="89" t="s">
        <v>9344</v>
      </c>
      <c r="W367" s="90">
        <f t="shared" si="46"/>
        <v>9291.7044000000005</v>
      </c>
    </row>
    <row r="368" spans="19:26" x14ac:dyDescent="0.2">
      <c r="S368" s="480" t="s">
        <v>4474</v>
      </c>
      <c r="T368" s="480" t="s">
        <v>4475</v>
      </c>
      <c r="U368" s="504">
        <v>2129.6847360869519</v>
      </c>
      <c r="V368" s="89" t="s">
        <v>9337</v>
      </c>
      <c r="W368" s="90">
        <f t="shared" si="46"/>
        <v>1512.0761626217359</v>
      </c>
    </row>
    <row r="369" spans="19:23" x14ac:dyDescent="0.2">
      <c r="S369" s="480" t="s">
        <v>9967</v>
      </c>
      <c r="T369" s="480" t="s">
        <v>9968</v>
      </c>
      <c r="U369" s="504">
        <v>3246.5490286508289</v>
      </c>
      <c r="V369" s="89" t="s">
        <v>9337</v>
      </c>
      <c r="W369" s="90">
        <f t="shared" si="46"/>
        <v>2305.0498103420882</v>
      </c>
    </row>
    <row r="370" spans="19:23" x14ac:dyDescent="0.2">
      <c r="S370" s="480" t="s">
        <v>4477</v>
      </c>
      <c r="T370" s="480" t="s">
        <v>4478</v>
      </c>
      <c r="U370" s="504">
        <v>2129.6847360869519</v>
      </c>
      <c r="V370" s="89" t="s">
        <v>9337</v>
      </c>
      <c r="W370" s="90">
        <f t="shared" si="46"/>
        <v>1512.0761626217359</v>
      </c>
    </row>
    <row r="371" spans="19:23" x14ac:dyDescent="0.2">
      <c r="S371" s="480" t="s">
        <v>9969</v>
      </c>
      <c r="T371" s="480" t="s">
        <v>9970</v>
      </c>
      <c r="U371" s="504">
        <v>3376.0681450769089</v>
      </c>
      <c r="V371" s="89" t="s">
        <v>9337</v>
      </c>
      <c r="W371" s="90">
        <f t="shared" si="46"/>
        <v>2397.0083830046051</v>
      </c>
    </row>
    <row r="372" spans="19:23" x14ac:dyDescent="0.2">
      <c r="S372" s="480" t="s">
        <v>4480</v>
      </c>
      <c r="T372" s="480" t="s">
        <v>4481</v>
      </c>
      <c r="U372" s="504">
        <v>2604.9651334501214</v>
      </c>
      <c r="V372" s="89" t="s">
        <v>9337</v>
      </c>
      <c r="W372" s="90">
        <f t="shared" si="46"/>
        <v>1849.5252447495861</v>
      </c>
    </row>
    <row r="373" spans="19:23" x14ac:dyDescent="0.2">
      <c r="S373" s="480" t="s">
        <v>9971</v>
      </c>
      <c r="T373" s="480" t="s">
        <v>9972</v>
      </c>
      <c r="U373" s="504">
        <v>3895.7318548550866</v>
      </c>
      <c r="V373" s="89" t="s">
        <v>9337</v>
      </c>
      <c r="W373" s="90">
        <f t="shared" si="46"/>
        <v>2765.9696169471113</v>
      </c>
    </row>
    <row r="374" spans="19:23" x14ac:dyDescent="0.2">
      <c r="S374" s="480" t="s">
        <v>9973</v>
      </c>
      <c r="T374" s="480" t="s">
        <v>9974</v>
      </c>
      <c r="U374" s="504">
        <v>4049.2580378981338</v>
      </c>
      <c r="V374" s="89" t="s">
        <v>9337</v>
      </c>
      <c r="W374" s="90">
        <f t="shared" si="46"/>
        <v>2874.9732069076749</v>
      </c>
    </row>
    <row r="375" spans="19:23" x14ac:dyDescent="0.2">
      <c r="S375" s="480" t="s">
        <v>9975</v>
      </c>
      <c r="T375" s="480" t="s">
        <v>9976</v>
      </c>
      <c r="U375" s="504">
        <v>5194.097507263602</v>
      </c>
      <c r="V375" s="89" t="s">
        <v>9337</v>
      </c>
      <c r="W375" s="90">
        <f t="shared" si="46"/>
        <v>3687.8092301571573</v>
      </c>
    </row>
    <row r="376" spans="19:23" x14ac:dyDescent="0.2">
      <c r="S376" s="480" t="s">
        <v>9977</v>
      </c>
      <c r="T376" s="480" t="s">
        <v>9978</v>
      </c>
      <c r="U376" s="504">
        <v>5809.3133102874917</v>
      </c>
      <c r="V376" s="89" t="s">
        <v>9337</v>
      </c>
      <c r="W376" s="90">
        <f t="shared" si="46"/>
        <v>4124.6124503041192</v>
      </c>
    </row>
    <row r="377" spans="19:23" x14ac:dyDescent="0.2">
      <c r="S377" s="480" t="s">
        <v>9979</v>
      </c>
      <c r="T377" s="480" t="s">
        <v>9980</v>
      </c>
      <c r="U377" s="504">
        <v>9858.2737399217785</v>
      </c>
      <c r="V377" s="89" t="s">
        <v>9337</v>
      </c>
      <c r="W377" s="90">
        <f t="shared" si="46"/>
        <v>6999.3743553444629</v>
      </c>
    </row>
    <row r="378" spans="19:23" x14ac:dyDescent="0.2">
      <c r="S378" s="480" t="s">
        <v>9981</v>
      </c>
      <c r="T378" s="480" t="s">
        <v>9982</v>
      </c>
      <c r="U378" s="504">
        <v>28109.140201422211</v>
      </c>
      <c r="V378" s="89" t="s">
        <v>9337</v>
      </c>
      <c r="W378" s="90">
        <f t="shared" si="46"/>
        <v>19957.489543009768</v>
      </c>
    </row>
    <row r="379" spans="19:23" x14ac:dyDescent="0.2">
      <c r="S379" s="480" t="s">
        <v>9983</v>
      </c>
      <c r="T379" s="480" t="s">
        <v>9984</v>
      </c>
      <c r="U379" s="504">
        <v>5259.9941680000011</v>
      </c>
      <c r="V379" s="89" t="s">
        <v>9337</v>
      </c>
      <c r="W379" s="90">
        <f t="shared" si="46"/>
        <v>3734.5958592800007</v>
      </c>
    </row>
    <row r="380" spans="19:23" x14ac:dyDescent="0.2">
      <c r="S380" s="480" t="s">
        <v>9985</v>
      </c>
      <c r="T380" s="480" t="s">
        <v>9986</v>
      </c>
      <c r="U380" s="504">
        <v>7820.8214523078113</v>
      </c>
      <c r="V380" s="89" t="s">
        <v>9337</v>
      </c>
      <c r="W380" s="90">
        <f t="shared" si="46"/>
        <v>5552.7832311385455</v>
      </c>
    </row>
    <row r="381" spans="19:23" x14ac:dyDescent="0.2">
      <c r="S381" s="480" t="s">
        <v>9987</v>
      </c>
      <c r="T381" s="480" t="s">
        <v>9988</v>
      </c>
      <c r="U381" s="504">
        <v>9979.1145667199999</v>
      </c>
      <c r="V381" s="89" t="s">
        <v>9337</v>
      </c>
      <c r="W381" s="90">
        <f t="shared" si="46"/>
        <v>7085.1713423711999</v>
      </c>
    </row>
    <row r="382" spans="19:23" x14ac:dyDescent="0.2">
      <c r="S382" s="480" t="s">
        <v>9989</v>
      </c>
      <c r="T382" s="480" t="s">
        <v>9990</v>
      </c>
      <c r="U382" s="504">
        <v>1484.609371179175</v>
      </c>
      <c r="V382" s="89" t="s">
        <v>9337</v>
      </c>
      <c r="W382" s="90">
        <f t="shared" si="46"/>
        <v>1054.0726535372141</v>
      </c>
    </row>
    <row r="383" spans="19:23" x14ac:dyDescent="0.2">
      <c r="S383" s="480" t="s">
        <v>9991</v>
      </c>
      <c r="T383" s="480" t="s">
        <v>9992</v>
      </c>
      <c r="U383" s="504">
        <v>1794.3522520071842</v>
      </c>
      <c r="V383" s="89" t="s">
        <v>9337</v>
      </c>
      <c r="W383" s="90">
        <f t="shared" si="46"/>
        <v>1273.9900989251007</v>
      </c>
    </row>
    <row r="384" spans="19:23" x14ac:dyDescent="0.2">
      <c r="S384" s="480" t="s">
        <v>9993</v>
      </c>
      <c r="T384" s="480" t="s">
        <v>9994</v>
      </c>
      <c r="U384" s="504">
        <v>2776.7657915276195</v>
      </c>
      <c r="V384" s="89" t="s">
        <v>9337</v>
      </c>
      <c r="W384" s="90">
        <f t="shared" si="46"/>
        <v>1971.5037119846097</v>
      </c>
    </row>
    <row r="385" spans="19:23" x14ac:dyDescent="0.2">
      <c r="S385" s="480" t="s">
        <v>9995</v>
      </c>
      <c r="T385" s="480" t="s">
        <v>9996</v>
      </c>
      <c r="U385" s="504">
        <v>3617.2272567451432</v>
      </c>
      <c r="V385" s="89" t="s">
        <v>9337</v>
      </c>
      <c r="W385" s="90">
        <f t="shared" si="46"/>
        <v>2568.2313522890518</v>
      </c>
    </row>
    <row r="386" spans="19:23" x14ac:dyDescent="0.2">
      <c r="S386" s="480" t="s">
        <v>6359</v>
      </c>
      <c r="T386" s="480" t="s">
        <v>6360</v>
      </c>
      <c r="U386" s="504">
        <v>1838.1711561625807</v>
      </c>
      <c r="V386" s="89" t="s">
        <v>9337</v>
      </c>
      <c r="W386" s="90">
        <f t="shared" si="46"/>
        <v>1305.1015208754322</v>
      </c>
    </row>
    <row r="387" spans="19:23" x14ac:dyDescent="0.2">
      <c r="S387" s="480" t="s">
        <v>6362</v>
      </c>
      <c r="T387" s="480" t="s">
        <v>6363</v>
      </c>
      <c r="U387" s="504">
        <v>2099.2887739861312</v>
      </c>
      <c r="V387" s="89" t="s">
        <v>9337</v>
      </c>
      <c r="W387" s="90">
        <f t="shared" si="46"/>
        <v>1490.495029530153</v>
      </c>
    </row>
    <row r="388" spans="19:23" x14ac:dyDescent="0.2">
      <c r="S388" s="480" t="s">
        <v>9997</v>
      </c>
      <c r="T388" s="480" t="s">
        <v>9998</v>
      </c>
      <c r="U388" s="504">
        <v>1950.4561351592163</v>
      </c>
      <c r="V388" s="89" t="s">
        <v>9337</v>
      </c>
      <c r="W388" s="90">
        <f t="shared" si="46"/>
        <v>1384.8238559630436</v>
      </c>
    </row>
    <row r="389" spans="19:23" x14ac:dyDescent="0.2">
      <c r="S389" s="480" t="s">
        <v>6365</v>
      </c>
      <c r="T389" s="480" t="s">
        <v>6366</v>
      </c>
      <c r="U389" s="504">
        <v>2091.582942094205</v>
      </c>
      <c r="V389" s="89" t="s">
        <v>9337</v>
      </c>
      <c r="W389" s="90">
        <f t="shared" si="46"/>
        <v>1485.0238888868855</v>
      </c>
    </row>
    <row r="390" spans="19:23" x14ac:dyDescent="0.2">
      <c r="S390" s="480" t="s">
        <v>6368</v>
      </c>
      <c r="T390" s="480" t="s">
        <v>6369</v>
      </c>
      <c r="U390" s="504">
        <v>3382.6400339300376</v>
      </c>
      <c r="V390" s="89" t="s">
        <v>9337</v>
      </c>
      <c r="W390" s="90">
        <f t="shared" si="46"/>
        <v>2401.6744240903267</v>
      </c>
    </row>
    <row r="391" spans="19:23" x14ac:dyDescent="0.2">
      <c r="S391" s="480" t="s">
        <v>9999</v>
      </c>
      <c r="T391" s="480" t="s">
        <v>10000</v>
      </c>
      <c r="U391" s="504">
        <v>4887.0385858594773</v>
      </c>
      <c r="V391" s="89" t="s">
        <v>9337</v>
      </c>
      <c r="W391" s="90">
        <f t="shared" si="46"/>
        <v>3469.7973959602286</v>
      </c>
    </row>
    <row r="392" spans="19:23" x14ac:dyDescent="0.2">
      <c r="S392" s="480" t="s">
        <v>10001</v>
      </c>
      <c r="T392" s="480" t="s">
        <v>10002</v>
      </c>
      <c r="U392" s="504">
        <v>3402.8953634745294</v>
      </c>
      <c r="V392" s="89" t="s">
        <v>9337</v>
      </c>
      <c r="W392" s="90">
        <f t="shared" si="46"/>
        <v>2416.0557080669159</v>
      </c>
    </row>
    <row r="393" spans="19:23" x14ac:dyDescent="0.2">
      <c r="S393" s="480" t="s">
        <v>10003</v>
      </c>
      <c r="T393" s="480" t="s">
        <v>10004</v>
      </c>
      <c r="U393" s="504">
        <v>3864.1444438626722</v>
      </c>
      <c r="V393" s="89" t="s">
        <v>9337</v>
      </c>
      <c r="W393" s="90">
        <f t="shared" si="46"/>
        <v>2743.5425551424973</v>
      </c>
    </row>
    <row r="394" spans="19:23" x14ac:dyDescent="0.2">
      <c r="S394" s="480" t="s">
        <v>10005</v>
      </c>
      <c r="T394" s="480" t="s">
        <v>10006</v>
      </c>
      <c r="U394" s="504">
        <v>4860.1782575504785</v>
      </c>
      <c r="V394" s="89" t="s">
        <v>9337</v>
      </c>
      <c r="W394" s="90">
        <f t="shared" si="46"/>
        <v>3450.7265628608397</v>
      </c>
    </row>
    <row r="395" spans="19:23" x14ac:dyDescent="0.2">
      <c r="S395" s="480" t="s">
        <v>10007</v>
      </c>
      <c r="T395" s="480" t="s">
        <v>10008</v>
      </c>
      <c r="U395" s="504">
        <v>5052.1635549721823</v>
      </c>
      <c r="V395" s="89" t="s">
        <v>9337</v>
      </c>
      <c r="W395" s="90">
        <f t="shared" si="46"/>
        <v>3587.0361240302491</v>
      </c>
    </row>
    <row r="396" spans="19:23" x14ac:dyDescent="0.2">
      <c r="S396" s="480" t="s">
        <v>6392</v>
      </c>
      <c r="T396" s="480" t="s">
        <v>6393</v>
      </c>
      <c r="U396" s="504">
        <v>3191.0748482698032</v>
      </c>
      <c r="V396" s="89" t="s">
        <v>9337</v>
      </c>
      <c r="W396" s="90">
        <f t="shared" si="46"/>
        <v>2265.66314227156</v>
      </c>
    </row>
    <row r="397" spans="19:23" x14ac:dyDescent="0.2">
      <c r="S397" s="480" t="s">
        <v>6395</v>
      </c>
      <c r="T397" s="480" t="s">
        <v>6396</v>
      </c>
      <c r="U397" s="504">
        <v>3603.9646492001561</v>
      </c>
      <c r="V397" s="89" t="s">
        <v>9337</v>
      </c>
      <c r="W397" s="90">
        <f t="shared" si="46"/>
        <v>2558.814900932111</v>
      </c>
    </row>
    <row r="398" spans="19:23" x14ac:dyDescent="0.2">
      <c r="S398" s="480" t="s">
        <v>6398</v>
      </c>
      <c r="T398" s="480" t="s">
        <v>6399</v>
      </c>
      <c r="U398" s="504">
        <v>5051.6582240763919</v>
      </c>
      <c r="V398" s="89" t="s">
        <v>9337</v>
      </c>
      <c r="W398" s="90">
        <f t="shared" si="46"/>
        <v>3586.6773390942381</v>
      </c>
    </row>
    <row r="399" spans="19:23" x14ac:dyDescent="0.2">
      <c r="S399" s="480" t="s">
        <v>10009</v>
      </c>
      <c r="T399" s="480" t="s">
        <v>10010</v>
      </c>
      <c r="U399" s="504">
        <v>5968.6408704204578</v>
      </c>
      <c r="V399" s="89" t="s">
        <v>9337</v>
      </c>
      <c r="W399" s="90">
        <f t="shared" si="46"/>
        <v>4237.7350179985251</v>
      </c>
    </row>
    <row r="400" spans="19:23" x14ac:dyDescent="0.2">
      <c r="S400" s="87" t="s">
        <v>10011</v>
      </c>
      <c r="T400" s="87" t="s">
        <v>10012</v>
      </c>
      <c r="U400" s="90">
        <v>130.78668240000002</v>
      </c>
      <c r="V400" s="89" t="s">
        <v>9344</v>
      </c>
      <c r="W400" s="90">
        <f t="shared" si="46"/>
        <v>78.472009440000008</v>
      </c>
    </row>
    <row r="401" spans="19:24" x14ac:dyDescent="0.2">
      <c r="S401" s="87" t="s">
        <v>10013</v>
      </c>
      <c r="T401" s="87" t="s">
        <v>10014</v>
      </c>
      <c r="U401" s="90">
        <v>188.91409680000001</v>
      </c>
      <c r="V401" s="89" t="s">
        <v>9344</v>
      </c>
      <c r="W401" s="90">
        <f t="shared" si="46"/>
        <v>113.34845808</v>
      </c>
    </row>
    <row r="402" spans="19:24" x14ac:dyDescent="0.2">
      <c r="S402" s="87" t="s">
        <v>10015</v>
      </c>
      <c r="T402" s="87" t="s">
        <v>10016</v>
      </c>
      <c r="U402" s="90">
        <v>581.27414400000009</v>
      </c>
      <c r="V402" s="89" t="s">
        <v>9344</v>
      </c>
      <c r="W402" s="90">
        <f t="shared" si="46"/>
        <v>348.76448640000007</v>
      </c>
    </row>
    <row r="403" spans="19:24" x14ac:dyDescent="0.2">
      <c r="S403" s="87" t="s">
        <v>10017</v>
      </c>
      <c r="T403" s="87" t="s">
        <v>10018</v>
      </c>
      <c r="U403" s="90">
        <v>261.83519999999993</v>
      </c>
      <c r="V403" s="89" t="s">
        <v>9344</v>
      </c>
      <c r="W403" s="90">
        <f t="shared" si="46"/>
        <v>157.10111999999995</v>
      </c>
    </row>
    <row r="404" spans="19:24" x14ac:dyDescent="0.2">
      <c r="S404" s="87" t="s">
        <v>10019</v>
      </c>
      <c r="T404" s="87" t="s">
        <v>10020</v>
      </c>
      <c r="U404" s="90">
        <v>261.83519999999993</v>
      </c>
      <c r="V404" s="89" t="s">
        <v>9344</v>
      </c>
      <c r="W404" s="90">
        <f t="shared" si="46"/>
        <v>157.10111999999995</v>
      </c>
    </row>
    <row r="405" spans="19:24" x14ac:dyDescent="0.2">
      <c r="S405" s="87" t="s">
        <v>10021</v>
      </c>
      <c r="T405" s="87" t="s">
        <v>10022</v>
      </c>
      <c r="U405" s="90">
        <v>326.96670599999999</v>
      </c>
      <c r="V405" s="89" t="s">
        <v>9344</v>
      </c>
      <c r="W405" s="90">
        <f t="shared" si="46"/>
        <v>196.1800236</v>
      </c>
    </row>
    <row r="406" spans="19:24" x14ac:dyDescent="0.2">
      <c r="S406" s="87" t="s">
        <v>10023</v>
      </c>
      <c r="T406" s="87" t="s">
        <v>10024</v>
      </c>
      <c r="U406" s="90">
        <v>261.83519999999993</v>
      </c>
      <c r="V406" s="89" t="s">
        <v>9344</v>
      </c>
      <c r="W406" s="90">
        <f t="shared" si="46"/>
        <v>157.10111999999995</v>
      </c>
    </row>
    <row r="407" spans="19:24" x14ac:dyDescent="0.2">
      <c r="S407" s="87" t="s">
        <v>10025</v>
      </c>
      <c r="T407" s="87" t="s">
        <v>10026</v>
      </c>
      <c r="U407" s="90">
        <v>130.91759999999996</v>
      </c>
      <c r="V407" s="89" t="s">
        <v>9344</v>
      </c>
      <c r="W407" s="90">
        <f t="shared" si="46"/>
        <v>78.550559999999976</v>
      </c>
      <c r="X407" t="s">
        <v>8945</v>
      </c>
    </row>
    <row r="408" spans="19:24" x14ac:dyDescent="0.2">
      <c r="S408" s="87" t="s">
        <v>10027</v>
      </c>
      <c r="T408" s="87" t="s">
        <v>10028</v>
      </c>
      <c r="U408" s="90">
        <v>137.1569677193493</v>
      </c>
      <c r="V408" s="89" t="s">
        <v>9344</v>
      </c>
      <c r="W408" s="90">
        <f t="shared" si="46"/>
        <v>82.294180631609578</v>
      </c>
    </row>
    <row r="409" spans="19:24" x14ac:dyDescent="0.2">
      <c r="S409" s="87" t="s">
        <v>10029</v>
      </c>
      <c r="T409" s="87" t="s">
        <v>10030</v>
      </c>
      <c r="U409" s="90">
        <v>245.41357320679836</v>
      </c>
      <c r="V409" s="89" t="s">
        <v>9344</v>
      </c>
      <c r="W409" s="90">
        <f t="shared" ref="W409:W472" si="47">+IF(V409="Nacional",(1-$AA$1)*U409,(1-$AA$2)*U409)</f>
        <v>147.24814392407902</v>
      </c>
    </row>
    <row r="410" spans="19:24" x14ac:dyDescent="0.2">
      <c r="S410" s="87" t="s">
        <v>10031</v>
      </c>
      <c r="T410" s="87" t="s">
        <v>10032</v>
      </c>
      <c r="U410" s="90">
        <v>130.78668240000002</v>
      </c>
      <c r="V410" s="89" t="s">
        <v>9344</v>
      </c>
      <c r="W410" s="90">
        <f t="shared" si="47"/>
        <v>78.472009440000008</v>
      </c>
    </row>
    <row r="411" spans="19:24" x14ac:dyDescent="0.2">
      <c r="S411" s="87" t="s">
        <v>10033</v>
      </c>
      <c r="T411" s="87" t="s">
        <v>10034</v>
      </c>
      <c r="U411" s="90">
        <v>207.89100345819875</v>
      </c>
      <c r="V411" s="89" t="s">
        <v>9344</v>
      </c>
      <c r="W411" s="90">
        <f t="shared" si="47"/>
        <v>124.73460207491925</v>
      </c>
    </row>
    <row r="412" spans="19:24" x14ac:dyDescent="0.2">
      <c r="S412" s="87" t="s">
        <v>10035</v>
      </c>
      <c r="T412" s="87" t="s">
        <v>10036</v>
      </c>
      <c r="U412" s="90">
        <v>1600.5471135614773</v>
      </c>
      <c r="V412" s="89" t="s">
        <v>9344</v>
      </c>
      <c r="W412" s="90">
        <f t="shared" si="47"/>
        <v>960.32826813688632</v>
      </c>
    </row>
    <row r="413" spans="19:24" x14ac:dyDescent="0.2">
      <c r="S413" s="87" t="s">
        <v>10037</v>
      </c>
      <c r="T413" s="87" t="s">
        <v>10038</v>
      </c>
      <c r="U413" s="90">
        <v>332.59367143120414</v>
      </c>
      <c r="V413" s="89" t="s">
        <v>9344</v>
      </c>
      <c r="W413" s="90">
        <f t="shared" si="47"/>
        <v>199.55620285872249</v>
      </c>
    </row>
    <row r="414" spans="19:24" x14ac:dyDescent="0.2">
      <c r="S414" s="87" t="s">
        <v>10039</v>
      </c>
      <c r="T414" s="87" t="s">
        <v>10040</v>
      </c>
      <c r="U414" s="90">
        <v>1162.5482880000002</v>
      </c>
      <c r="V414" s="89" t="s">
        <v>9344</v>
      </c>
      <c r="W414" s="90">
        <f t="shared" si="47"/>
        <v>697.52897280000013</v>
      </c>
    </row>
    <row r="415" spans="19:24" x14ac:dyDescent="0.2">
      <c r="S415" s="87" t="s">
        <v>10041</v>
      </c>
      <c r="T415" s="87" t="s">
        <v>10042</v>
      </c>
      <c r="U415" s="90">
        <v>374.26767442858522</v>
      </c>
      <c r="V415" s="89" t="s">
        <v>9344</v>
      </c>
      <c r="W415" s="90">
        <f t="shared" si="47"/>
        <v>224.56060465715112</v>
      </c>
    </row>
    <row r="416" spans="19:24" x14ac:dyDescent="0.2">
      <c r="S416" s="87" t="s">
        <v>10043</v>
      </c>
      <c r="T416" s="87" t="s">
        <v>10044</v>
      </c>
      <c r="U416" s="90">
        <v>1162.5482880000002</v>
      </c>
      <c r="V416" s="89" t="s">
        <v>9344</v>
      </c>
      <c r="W416" s="90">
        <f t="shared" si="47"/>
        <v>697.52897280000013</v>
      </c>
    </row>
    <row r="417" spans="19:23" x14ac:dyDescent="0.2">
      <c r="S417" s="87" t="s">
        <v>10045</v>
      </c>
      <c r="T417" s="87" t="s">
        <v>10046</v>
      </c>
      <c r="U417" s="90">
        <v>799.25194800000008</v>
      </c>
      <c r="V417" s="89" t="s">
        <v>9344</v>
      </c>
      <c r="W417" s="90">
        <f t="shared" si="47"/>
        <v>479.55116880000003</v>
      </c>
    </row>
    <row r="418" spans="19:23" x14ac:dyDescent="0.2">
      <c r="S418" s="87" t="s">
        <v>10047</v>
      </c>
      <c r="T418" s="87" t="s">
        <v>10048</v>
      </c>
      <c r="U418" s="90">
        <v>1816.4816999999998</v>
      </c>
      <c r="V418" s="89" t="s">
        <v>9344</v>
      </c>
      <c r="W418" s="90">
        <f t="shared" si="47"/>
        <v>1089.8890199999998</v>
      </c>
    </row>
    <row r="419" spans="19:23" x14ac:dyDescent="0.2">
      <c r="S419" s="87" t="s">
        <v>10049</v>
      </c>
      <c r="T419" s="87" t="s">
        <v>10050</v>
      </c>
      <c r="U419" s="90">
        <v>799.25194800000008</v>
      </c>
      <c r="V419" s="89" t="s">
        <v>9344</v>
      </c>
      <c r="W419" s="90">
        <f t="shared" si="47"/>
        <v>479.55116880000003</v>
      </c>
    </row>
    <row r="420" spans="19:23" x14ac:dyDescent="0.2">
      <c r="S420" s="87" t="s">
        <v>10051</v>
      </c>
      <c r="T420" s="87" t="s">
        <v>10052</v>
      </c>
      <c r="U420" s="90">
        <v>799.25194800000008</v>
      </c>
      <c r="V420" s="89" t="s">
        <v>9344</v>
      </c>
      <c r="W420" s="90">
        <f t="shared" si="47"/>
        <v>479.55116880000003</v>
      </c>
    </row>
    <row r="421" spans="19:23" x14ac:dyDescent="0.2">
      <c r="S421" s="87" t="s">
        <v>10053</v>
      </c>
      <c r="T421" s="87" t="s">
        <v>10054</v>
      </c>
      <c r="U421" s="90">
        <v>332.59462893538483</v>
      </c>
      <c r="V421" s="89" t="s">
        <v>9344</v>
      </c>
      <c r="W421" s="90">
        <f t="shared" si="47"/>
        <v>199.5567773612309</v>
      </c>
    </row>
    <row r="422" spans="19:23" x14ac:dyDescent="0.2">
      <c r="S422" s="87" t="s">
        <v>10055</v>
      </c>
      <c r="T422" s="87" t="s">
        <v>10056</v>
      </c>
      <c r="U422" s="90">
        <v>332.59406569299898</v>
      </c>
      <c r="V422" s="89" t="s">
        <v>9344</v>
      </c>
      <c r="W422" s="90">
        <f t="shared" si="47"/>
        <v>199.55643941579939</v>
      </c>
    </row>
    <row r="423" spans="19:23" x14ac:dyDescent="0.2">
      <c r="S423" s="87" t="s">
        <v>10057</v>
      </c>
      <c r="T423" s="87" t="s">
        <v>10058</v>
      </c>
      <c r="U423" s="90">
        <v>332.59406569299898</v>
      </c>
      <c r="V423" s="89" t="s">
        <v>9344</v>
      </c>
      <c r="W423" s="90">
        <f t="shared" si="47"/>
        <v>199.55643941579939</v>
      </c>
    </row>
    <row r="424" spans="19:23" x14ac:dyDescent="0.2">
      <c r="S424" s="87" t="s">
        <v>10059</v>
      </c>
      <c r="T424" s="87" t="s">
        <v>10060</v>
      </c>
      <c r="U424" s="90">
        <v>332.59406569299898</v>
      </c>
      <c r="V424" s="89" t="s">
        <v>9344</v>
      </c>
      <c r="W424" s="90">
        <f t="shared" si="47"/>
        <v>199.55643941579939</v>
      </c>
    </row>
    <row r="425" spans="19:23" x14ac:dyDescent="0.2">
      <c r="S425" s="87" t="s">
        <v>10061</v>
      </c>
      <c r="T425" s="87" t="s">
        <v>10062</v>
      </c>
      <c r="U425" s="90">
        <v>332.59406569299898</v>
      </c>
      <c r="V425" s="89" t="s">
        <v>9344</v>
      </c>
      <c r="W425" s="90">
        <f t="shared" si="47"/>
        <v>199.55643941579939</v>
      </c>
    </row>
    <row r="426" spans="19:23" x14ac:dyDescent="0.2">
      <c r="S426" s="87" t="s">
        <v>10063</v>
      </c>
      <c r="T426" s="87" t="s">
        <v>10064</v>
      </c>
      <c r="U426" s="90">
        <v>332.59406569299898</v>
      </c>
      <c r="V426" s="89" t="s">
        <v>9344</v>
      </c>
      <c r="W426" s="90">
        <f t="shared" si="47"/>
        <v>199.55643941579939</v>
      </c>
    </row>
    <row r="427" spans="19:23" x14ac:dyDescent="0.2">
      <c r="S427" s="87" t="s">
        <v>10065</v>
      </c>
      <c r="T427" s="87" t="s">
        <v>10066</v>
      </c>
      <c r="U427" s="90">
        <v>498.93888026857792</v>
      </c>
      <c r="V427" s="89" t="s">
        <v>9344</v>
      </c>
      <c r="W427" s="90">
        <f t="shared" si="47"/>
        <v>299.36332816114674</v>
      </c>
    </row>
    <row r="428" spans="19:23" x14ac:dyDescent="0.2">
      <c r="S428" s="87" t="s">
        <v>10067</v>
      </c>
      <c r="T428" s="87" t="s">
        <v>10068</v>
      </c>
      <c r="U428" s="90">
        <v>374.27456549968389</v>
      </c>
      <c r="V428" s="89" t="s">
        <v>9344</v>
      </c>
      <c r="W428" s="90">
        <f t="shared" si="47"/>
        <v>224.56473929981033</v>
      </c>
    </row>
    <row r="429" spans="19:23" x14ac:dyDescent="0.2">
      <c r="S429" s="87" t="s">
        <v>10069</v>
      </c>
      <c r="T429" s="87" t="s">
        <v>10070</v>
      </c>
      <c r="U429" s="90">
        <v>498.93888026857792</v>
      </c>
      <c r="V429" s="89" t="s">
        <v>9344</v>
      </c>
      <c r="W429" s="90">
        <f t="shared" si="47"/>
        <v>299.36332816114674</v>
      </c>
    </row>
    <row r="430" spans="19:23" x14ac:dyDescent="0.2">
      <c r="S430" s="87" t="s">
        <v>10071</v>
      </c>
      <c r="T430" s="87" t="s">
        <v>10072</v>
      </c>
      <c r="U430" s="90">
        <v>374.26767442858522</v>
      </c>
      <c r="V430" s="89" t="s">
        <v>9344</v>
      </c>
      <c r="W430" s="90">
        <f t="shared" si="47"/>
        <v>224.56060465715112</v>
      </c>
    </row>
    <row r="431" spans="19:23" x14ac:dyDescent="0.2">
      <c r="S431" s="87" t="s">
        <v>10073</v>
      </c>
      <c r="T431" s="87" t="s">
        <v>10074</v>
      </c>
      <c r="U431" s="90">
        <v>374.26767442858522</v>
      </c>
      <c r="V431" s="89" t="s">
        <v>9344</v>
      </c>
      <c r="W431" s="90">
        <f t="shared" si="47"/>
        <v>224.56060465715112</v>
      </c>
    </row>
    <row r="432" spans="19:23" x14ac:dyDescent="0.2">
      <c r="S432" s="87" t="s">
        <v>10075</v>
      </c>
      <c r="T432" s="87" t="s">
        <v>10076</v>
      </c>
      <c r="U432" s="90">
        <v>241.02828</v>
      </c>
      <c r="V432" s="89" t="s">
        <v>9344</v>
      </c>
      <c r="W432" s="90">
        <f t="shared" si="47"/>
        <v>144.61696799999999</v>
      </c>
    </row>
    <row r="433" spans="19:23" x14ac:dyDescent="0.2">
      <c r="S433" s="87" t="s">
        <v>10077</v>
      </c>
      <c r="T433" s="87" t="s">
        <v>10078</v>
      </c>
      <c r="U433" s="90">
        <v>1278.9141118876312</v>
      </c>
      <c r="V433" s="89" t="s">
        <v>9344</v>
      </c>
      <c r="W433" s="90">
        <f t="shared" si="47"/>
        <v>767.34846713257866</v>
      </c>
    </row>
    <row r="434" spans="19:23" x14ac:dyDescent="0.2">
      <c r="S434" s="87" t="s">
        <v>10079</v>
      </c>
      <c r="T434" s="87" t="s">
        <v>10080</v>
      </c>
      <c r="U434" s="90">
        <v>216.37894995655162</v>
      </c>
      <c r="V434" s="89" t="s">
        <v>9344</v>
      </c>
      <c r="W434" s="90">
        <f t="shared" si="47"/>
        <v>129.82736997393096</v>
      </c>
    </row>
    <row r="435" spans="19:23" x14ac:dyDescent="0.2">
      <c r="S435" s="87" t="s">
        <v>10081</v>
      </c>
      <c r="T435" s="87" t="s">
        <v>10082</v>
      </c>
      <c r="U435" s="90">
        <v>1946.5656860299589</v>
      </c>
      <c r="V435" s="89" t="s">
        <v>9344</v>
      </c>
      <c r="W435" s="90">
        <f t="shared" si="47"/>
        <v>1167.9394116179753</v>
      </c>
    </row>
    <row r="436" spans="19:23" x14ac:dyDescent="0.2">
      <c r="S436" s="87" t="s">
        <v>10083</v>
      </c>
      <c r="T436" s="87" t="s">
        <v>10084</v>
      </c>
      <c r="U436" s="90">
        <v>216.37894995655162</v>
      </c>
      <c r="V436" s="89" t="s">
        <v>9344</v>
      </c>
      <c r="W436" s="90">
        <f t="shared" si="47"/>
        <v>129.82736997393096</v>
      </c>
    </row>
    <row r="437" spans="19:23" x14ac:dyDescent="0.2">
      <c r="S437" s="87" t="s">
        <v>10085</v>
      </c>
      <c r="T437" s="87" t="s">
        <v>10086</v>
      </c>
      <c r="U437" s="90">
        <v>374.27456549968389</v>
      </c>
      <c r="V437" s="89" t="s">
        <v>9344</v>
      </c>
      <c r="W437" s="90">
        <f t="shared" si="47"/>
        <v>224.56473929981033</v>
      </c>
    </row>
    <row r="438" spans="19:23" x14ac:dyDescent="0.2">
      <c r="S438" s="87" t="s">
        <v>10087</v>
      </c>
      <c r="T438" s="87" t="s">
        <v>10088</v>
      </c>
      <c r="U438" s="90">
        <v>498.93888026857792</v>
      </c>
      <c r="V438" s="89" t="s">
        <v>9344</v>
      </c>
      <c r="W438" s="90">
        <f t="shared" si="47"/>
        <v>299.36332816114674</v>
      </c>
    </row>
    <row r="439" spans="19:23" x14ac:dyDescent="0.2">
      <c r="S439" s="87" t="s">
        <v>10089</v>
      </c>
      <c r="T439" s="87" t="s">
        <v>10090</v>
      </c>
      <c r="U439" s="90">
        <v>623.7909424994732</v>
      </c>
      <c r="V439" s="89" t="s">
        <v>9344</v>
      </c>
      <c r="W439" s="90">
        <f t="shared" si="47"/>
        <v>374.27456549968389</v>
      </c>
    </row>
    <row r="440" spans="19:23" x14ac:dyDescent="0.2">
      <c r="S440" s="87" t="s">
        <v>10091</v>
      </c>
      <c r="T440" s="87" t="s">
        <v>10092</v>
      </c>
      <c r="U440" s="90">
        <v>790.22906756366638</v>
      </c>
      <c r="V440" s="89" t="s">
        <v>9344</v>
      </c>
      <c r="W440" s="90">
        <f t="shared" si="47"/>
        <v>474.13744053819983</v>
      </c>
    </row>
    <row r="441" spans="19:23" x14ac:dyDescent="0.2">
      <c r="S441" s="480" t="s">
        <v>6371</v>
      </c>
      <c r="T441" s="480" t="s">
        <v>6372</v>
      </c>
      <c r="U441" s="504">
        <v>5274.4120574003637</v>
      </c>
      <c r="V441" s="89" t="s">
        <v>9337</v>
      </c>
      <c r="W441" s="90">
        <f t="shared" si="47"/>
        <v>3744.8325607542579</v>
      </c>
    </row>
    <row r="442" spans="19:23" x14ac:dyDescent="0.2">
      <c r="S442" s="480" t="s">
        <v>6374</v>
      </c>
      <c r="T442" s="480" t="s">
        <v>6375</v>
      </c>
      <c r="U442" s="504">
        <v>6153.4278254979617</v>
      </c>
      <c r="V442" s="89" t="s">
        <v>9337</v>
      </c>
      <c r="W442" s="90">
        <f t="shared" si="47"/>
        <v>4368.9337561035527</v>
      </c>
    </row>
    <row r="443" spans="19:23" x14ac:dyDescent="0.2">
      <c r="S443" s="480" t="s">
        <v>10093</v>
      </c>
      <c r="T443" s="480" t="s">
        <v>10094</v>
      </c>
      <c r="U443" s="504">
        <v>5684.5559260829523</v>
      </c>
      <c r="V443" s="89" t="s">
        <v>9337</v>
      </c>
      <c r="W443" s="90">
        <f t="shared" si="47"/>
        <v>4036.0347075188961</v>
      </c>
    </row>
    <row r="444" spans="19:23" x14ac:dyDescent="0.2">
      <c r="S444" s="480" t="s">
        <v>6377</v>
      </c>
      <c r="T444" s="480" t="s">
        <v>6378</v>
      </c>
      <c r="U444" s="504">
        <v>7090.8541755132046</v>
      </c>
      <c r="V444" s="89" t="s">
        <v>9337</v>
      </c>
      <c r="W444" s="90">
        <f t="shared" si="47"/>
        <v>5034.5064646143746</v>
      </c>
    </row>
    <row r="445" spans="19:23" x14ac:dyDescent="0.2">
      <c r="S445" s="480" t="s">
        <v>10095</v>
      </c>
      <c r="T445" s="480" t="s">
        <v>10096</v>
      </c>
      <c r="U445" s="504">
        <v>15516.58061713345</v>
      </c>
      <c r="V445" s="89" t="s">
        <v>9337</v>
      </c>
      <c r="W445" s="90">
        <f t="shared" si="47"/>
        <v>11016.772238164749</v>
      </c>
    </row>
    <row r="446" spans="19:23" x14ac:dyDescent="0.2">
      <c r="S446" s="480" t="s">
        <v>10097</v>
      </c>
      <c r="T446" s="480" t="s">
        <v>10098</v>
      </c>
      <c r="U446" s="504">
        <v>19531.355777527213</v>
      </c>
      <c r="V446" s="89" t="s">
        <v>9337</v>
      </c>
      <c r="W446" s="90">
        <f t="shared" si="47"/>
        <v>13867.26260204432</v>
      </c>
    </row>
    <row r="447" spans="19:23" x14ac:dyDescent="0.2">
      <c r="S447" s="480" t="s">
        <v>10099</v>
      </c>
      <c r="T447" s="480" t="s">
        <v>10100</v>
      </c>
      <c r="U447" s="504">
        <v>17159.060784752437</v>
      </c>
      <c r="V447" s="89" t="s">
        <v>9337</v>
      </c>
      <c r="W447" s="90">
        <f t="shared" si="47"/>
        <v>12182.93315717423</v>
      </c>
    </row>
    <row r="448" spans="19:23" x14ac:dyDescent="0.2">
      <c r="S448" s="480" t="s">
        <v>10101</v>
      </c>
      <c r="T448" s="480" t="s">
        <v>10102</v>
      </c>
      <c r="U448" s="504">
        <v>19898.009158586348</v>
      </c>
      <c r="V448" s="89" t="s">
        <v>9337</v>
      </c>
      <c r="W448" s="90">
        <f t="shared" si="47"/>
        <v>14127.586502596307</v>
      </c>
    </row>
    <row r="449" spans="19:23" x14ac:dyDescent="0.2">
      <c r="S449" s="480" t="s">
        <v>10103</v>
      </c>
      <c r="T449" s="480" t="s">
        <v>10104</v>
      </c>
      <c r="U449" s="504">
        <v>25283.845749970915</v>
      </c>
      <c r="V449" s="89" t="s">
        <v>9337</v>
      </c>
      <c r="W449" s="90">
        <f t="shared" si="47"/>
        <v>17951.530482479349</v>
      </c>
    </row>
    <row r="450" spans="19:23" x14ac:dyDescent="0.2">
      <c r="S450" s="480" t="s">
        <v>10105</v>
      </c>
      <c r="T450" s="480" t="s">
        <v>10106</v>
      </c>
      <c r="U450" s="504">
        <v>30893.801204582967</v>
      </c>
      <c r="V450" s="89" t="s">
        <v>9337</v>
      </c>
      <c r="W450" s="90">
        <f t="shared" si="47"/>
        <v>21934.598855253906</v>
      </c>
    </row>
    <row r="451" spans="19:23" x14ac:dyDescent="0.2">
      <c r="S451" s="480" t="s">
        <v>6380</v>
      </c>
      <c r="T451" s="480" t="s">
        <v>6381</v>
      </c>
      <c r="U451" s="504">
        <v>5509.6416291447913</v>
      </c>
      <c r="V451" s="89" t="s">
        <v>9337</v>
      </c>
      <c r="W451" s="90">
        <f t="shared" si="47"/>
        <v>3911.8455566928014</v>
      </c>
    </row>
    <row r="452" spans="19:23" x14ac:dyDescent="0.2">
      <c r="S452" s="480" t="s">
        <v>6383</v>
      </c>
      <c r="T452" s="480" t="s">
        <v>6384</v>
      </c>
      <c r="U452" s="504">
        <v>7207.9927881632639</v>
      </c>
      <c r="V452" s="89" t="s">
        <v>9337</v>
      </c>
      <c r="W452" s="90">
        <f t="shared" si="47"/>
        <v>5117.6748795959174</v>
      </c>
    </row>
    <row r="453" spans="19:23" x14ac:dyDescent="0.2">
      <c r="S453" s="480" t="s">
        <v>10107</v>
      </c>
      <c r="T453" s="480" t="s">
        <v>10108</v>
      </c>
      <c r="U453" s="504">
        <v>18831.063692145013</v>
      </c>
      <c r="V453" s="89" t="s">
        <v>9337</v>
      </c>
      <c r="W453" s="90">
        <f t="shared" si="47"/>
        <v>13370.055221422959</v>
      </c>
    </row>
    <row r="454" spans="19:23" x14ac:dyDescent="0.2">
      <c r="S454" s="480" t="s">
        <v>10109</v>
      </c>
      <c r="T454" s="480" t="s">
        <v>10110</v>
      </c>
      <c r="U454" s="504">
        <v>22600.768367536497</v>
      </c>
      <c r="V454" s="89" t="s">
        <v>9337</v>
      </c>
      <c r="W454" s="90">
        <f t="shared" si="47"/>
        <v>16046.545540950912</v>
      </c>
    </row>
    <row r="455" spans="19:23" x14ac:dyDescent="0.2">
      <c r="S455" s="480" t="s">
        <v>6386</v>
      </c>
      <c r="T455" s="480" t="s">
        <v>6387</v>
      </c>
      <c r="U455" s="504">
        <v>5098.2279652031184</v>
      </c>
      <c r="V455" s="89" t="s">
        <v>9337</v>
      </c>
      <c r="W455" s="90">
        <f t="shared" si="47"/>
        <v>3619.741855294214</v>
      </c>
    </row>
    <row r="456" spans="19:23" x14ac:dyDescent="0.2">
      <c r="S456" s="480" t="s">
        <v>6389</v>
      </c>
      <c r="T456" s="480" t="s">
        <v>6390</v>
      </c>
      <c r="U456" s="504">
        <v>6445.163286271415</v>
      </c>
      <c r="V456" s="89" t="s">
        <v>9337</v>
      </c>
      <c r="W456" s="90">
        <f t="shared" si="47"/>
        <v>4576.0659332527048</v>
      </c>
    </row>
    <row r="457" spans="19:23" x14ac:dyDescent="0.2">
      <c r="S457" s="480" t="s">
        <v>10111</v>
      </c>
      <c r="T457" s="480" t="s">
        <v>10112</v>
      </c>
      <c r="U457" s="504">
        <v>15058.501977420625</v>
      </c>
      <c r="V457" s="89" t="s">
        <v>9337</v>
      </c>
      <c r="W457" s="90">
        <f t="shared" si="47"/>
        <v>10691.536403968643</v>
      </c>
    </row>
    <row r="458" spans="19:23" x14ac:dyDescent="0.2">
      <c r="S458" s="480" t="s">
        <v>10113</v>
      </c>
      <c r="T458" s="480" t="s">
        <v>10114</v>
      </c>
      <c r="U458" s="504">
        <v>18255.211542152596</v>
      </c>
      <c r="V458" s="89" t="s">
        <v>9337</v>
      </c>
      <c r="W458" s="90">
        <f t="shared" si="47"/>
        <v>12961.200194928342</v>
      </c>
    </row>
    <row r="459" spans="19:23" x14ac:dyDescent="0.2">
      <c r="S459" s="87" t="s">
        <v>6103</v>
      </c>
      <c r="T459" s="87" t="s">
        <v>6104</v>
      </c>
      <c r="U459" s="90">
        <v>1164.1314127952735</v>
      </c>
      <c r="V459" s="89" t="s">
        <v>9344</v>
      </c>
      <c r="W459" s="90">
        <f t="shared" si="47"/>
        <v>698.47884767716403</v>
      </c>
    </row>
    <row r="460" spans="19:23" x14ac:dyDescent="0.2">
      <c r="S460" s="87" t="s">
        <v>6106</v>
      </c>
      <c r="T460" s="87" t="s">
        <v>6107</v>
      </c>
      <c r="U460" s="90">
        <v>1235.9151857382853</v>
      </c>
      <c r="V460" s="89" t="s">
        <v>9344</v>
      </c>
      <c r="W460" s="90">
        <f t="shared" si="47"/>
        <v>741.54911144297114</v>
      </c>
    </row>
    <row r="461" spans="19:23" x14ac:dyDescent="0.2">
      <c r="S461" s="87" t="s">
        <v>6112</v>
      </c>
      <c r="T461" s="87" t="s">
        <v>6113</v>
      </c>
      <c r="U461" s="90">
        <v>1120.4012897279999</v>
      </c>
      <c r="V461" s="89" t="s">
        <v>9344</v>
      </c>
      <c r="W461" s="90">
        <f t="shared" si="47"/>
        <v>672.24077383679992</v>
      </c>
    </row>
    <row r="462" spans="19:23" x14ac:dyDescent="0.2">
      <c r="S462" s="87" t="s">
        <v>6115</v>
      </c>
      <c r="T462" s="87" t="s">
        <v>6116</v>
      </c>
      <c r="U462" s="90">
        <v>1195.0947090432003</v>
      </c>
      <c r="V462" s="89" t="s">
        <v>9344</v>
      </c>
      <c r="W462" s="90">
        <f t="shared" si="47"/>
        <v>717.05682542592012</v>
      </c>
    </row>
    <row r="463" spans="19:23" x14ac:dyDescent="0.2">
      <c r="S463" s="87" t="s">
        <v>6118</v>
      </c>
      <c r="T463" s="87" t="s">
        <v>6119</v>
      </c>
      <c r="U463" s="90">
        <v>1419.1749669888006</v>
      </c>
      <c r="V463" s="89" t="s">
        <v>9344</v>
      </c>
      <c r="W463" s="90">
        <f t="shared" si="47"/>
        <v>851.5049801932804</v>
      </c>
    </row>
    <row r="464" spans="19:23" x14ac:dyDescent="0.2">
      <c r="S464" s="87" t="s">
        <v>6121</v>
      </c>
      <c r="T464" s="87" t="s">
        <v>6122</v>
      </c>
      <c r="U464" s="90">
        <v>1979.3756118528004</v>
      </c>
      <c r="V464" s="89" t="s">
        <v>9344</v>
      </c>
      <c r="W464" s="90">
        <f t="shared" si="47"/>
        <v>1187.6253671116801</v>
      </c>
    </row>
    <row r="465" spans="19:23" x14ac:dyDescent="0.2">
      <c r="S465" s="87" t="s">
        <v>10115</v>
      </c>
      <c r="T465" s="87" t="s">
        <v>10116</v>
      </c>
      <c r="U465" s="90">
        <v>1829.9887732224001</v>
      </c>
      <c r="V465" s="89" t="s">
        <v>9344</v>
      </c>
      <c r="W465" s="90">
        <f t="shared" si="47"/>
        <v>1097.9932639334399</v>
      </c>
    </row>
    <row r="466" spans="19:23" x14ac:dyDescent="0.2">
      <c r="S466" s="87" t="s">
        <v>6338</v>
      </c>
      <c r="T466" s="87" t="s">
        <v>6339</v>
      </c>
      <c r="U466" s="90">
        <v>1829.9887732224001</v>
      </c>
      <c r="V466" s="89" t="s">
        <v>9344</v>
      </c>
      <c r="W466" s="90">
        <f t="shared" si="47"/>
        <v>1097.9932639334399</v>
      </c>
    </row>
    <row r="467" spans="19:23" x14ac:dyDescent="0.2">
      <c r="S467" s="87" t="s">
        <v>6341</v>
      </c>
      <c r="T467" s="87" t="s">
        <v>6342</v>
      </c>
      <c r="U467" s="90">
        <v>1867.3354828800002</v>
      </c>
      <c r="V467" s="89" t="s">
        <v>9344</v>
      </c>
      <c r="W467" s="90">
        <f t="shared" si="47"/>
        <v>1120.4012897280002</v>
      </c>
    </row>
    <row r="468" spans="19:23" x14ac:dyDescent="0.2">
      <c r="S468" s="87" t="s">
        <v>6344</v>
      </c>
      <c r="T468" s="87" t="s">
        <v>6345</v>
      </c>
      <c r="U468" s="90">
        <v>2783.4602188815547</v>
      </c>
      <c r="V468" s="89" t="s">
        <v>9344</v>
      </c>
      <c r="W468" s="90">
        <f t="shared" si="47"/>
        <v>1670.0761313289329</v>
      </c>
    </row>
    <row r="469" spans="19:23" x14ac:dyDescent="0.2">
      <c r="S469" s="87" t="s">
        <v>10117</v>
      </c>
      <c r="T469" s="87" t="s">
        <v>10118</v>
      </c>
      <c r="U469" s="90">
        <v>8790.9755515756042</v>
      </c>
      <c r="V469" s="89" t="s">
        <v>9344</v>
      </c>
      <c r="W469" s="90">
        <f t="shared" si="47"/>
        <v>5274.5853309453623</v>
      </c>
    </row>
    <row r="470" spans="19:23" x14ac:dyDescent="0.2">
      <c r="S470" s="87" t="s">
        <v>10119</v>
      </c>
      <c r="T470" s="87" t="s">
        <v>10120</v>
      </c>
      <c r="U470" s="90">
        <v>2763.6565146624002</v>
      </c>
      <c r="V470" s="89" t="s">
        <v>9344</v>
      </c>
      <c r="W470" s="90">
        <f t="shared" si="47"/>
        <v>1658.1939087974401</v>
      </c>
    </row>
    <row r="471" spans="19:23" x14ac:dyDescent="0.2">
      <c r="S471" s="87" t="s">
        <v>10121</v>
      </c>
      <c r="T471" s="87" t="s">
        <v>10122</v>
      </c>
      <c r="U471" s="90">
        <v>2950.3900629504014</v>
      </c>
      <c r="V471" s="89" t="s">
        <v>9344</v>
      </c>
      <c r="W471" s="90">
        <f t="shared" si="47"/>
        <v>1770.2340377702408</v>
      </c>
    </row>
    <row r="472" spans="19:23" x14ac:dyDescent="0.2">
      <c r="S472" s="87" t="s">
        <v>10123</v>
      </c>
      <c r="T472" s="87" t="s">
        <v>10124</v>
      </c>
      <c r="U472" s="90">
        <v>3150.5684267151373</v>
      </c>
      <c r="V472" s="89" t="s">
        <v>9344</v>
      </c>
      <c r="W472" s="90">
        <f t="shared" si="47"/>
        <v>1890.3410560290822</v>
      </c>
    </row>
    <row r="473" spans="19:23" x14ac:dyDescent="0.2">
      <c r="S473" s="87" t="s">
        <v>10125</v>
      </c>
      <c r="T473" s="87" t="s">
        <v>10126</v>
      </c>
      <c r="U473" s="90">
        <v>6822.0733582663443</v>
      </c>
      <c r="V473" s="89" t="s">
        <v>9344</v>
      </c>
      <c r="W473" s="90">
        <f t="shared" ref="W473:W536" si="48">+IF(V473="Nacional",(1-$AA$1)*U473,(1-$AA$2)*U473)</f>
        <v>4093.2440149598065</v>
      </c>
    </row>
    <row r="474" spans="19:23" x14ac:dyDescent="0.2">
      <c r="S474" s="87" t="s">
        <v>10127</v>
      </c>
      <c r="T474" s="87" t="s">
        <v>10128</v>
      </c>
      <c r="U474" s="90">
        <v>8968.3566290690178</v>
      </c>
      <c r="V474" s="89" t="s">
        <v>9344</v>
      </c>
      <c r="W474" s="90">
        <f t="shared" si="48"/>
        <v>5381.0139774414101</v>
      </c>
    </row>
    <row r="475" spans="19:23" x14ac:dyDescent="0.2">
      <c r="S475" s="87" t="s">
        <v>6109</v>
      </c>
      <c r="T475" s="87" t="s">
        <v>6110</v>
      </c>
      <c r="U475" s="90">
        <v>1195.0947090432003</v>
      </c>
      <c r="V475" s="89" t="s">
        <v>9344</v>
      </c>
      <c r="W475" s="90">
        <f t="shared" si="48"/>
        <v>717.05682542592012</v>
      </c>
    </row>
    <row r="476" spans="19:23" x14ac:dyDescent="0.2">
      <c r="S476" s="87" t="s">
        <v>6317</v>
      </c>
      <c r="T476" s="87" t="s">
        <v>6318</v>
      </c>
      <c r="U476" s="90">
        <v>1337.9281426566995</v>
      </c>
      <c r="V476" s="89" t="s">
        <v>9344</v>
      </c>
      <c r="W476" s="90">
        <f t="shared" si="48"/>
        <v>802.75688559401965</v>
      </c>
    </row>
    <row r="477" spans="19:23" x14ac:dyDescent="0.2">
      <c r="S477" s="87" t="s">
        <v>10129</v>
      </c>
      <c r="T477" s="87" t="s">
        <v>10130</v>
      </c>
      <c r="U477" s="90">
        <v>994.91634527846429</v>
      </c>
      <c r="V477" s="89" t="s">
        <v>9344</v>
      </c>
      <c r="W477" s="90">
        <f t="shared" si="48"/>
        <v>596.94980716707857</v>
      </c>
    </row>
    <row r="478" spans="19:23" x14ac:dyDescent="0.2">
      <c r="S478" s="87" t="s">
        <v>10131</v>
      </c>
      <c r="T478" s="87" t="s">
        <v>10132</v>
      </c>
      <c r="U478" s="90">
        <v>1676.5331105000894</v>
      </c>
      <c r="V478" s="89" t="s">
        <v>9344</v>
      </c>
      <c r="W478" s="90">
        <f t="shared" si="48"/>
        <v>1005.9198663000536</v>
      </c>
    </row>
    <row r="479" spans="19:23" x14ac:dyDescent="0.2">
      <c r="S479" s="87" t="s">
        <v>6320</v>
      </c>
      <c r="T479" s="87" t="s">
        <v>6321</v>
      </c>
      <c r="U479" s="90">
        <v>1799.5746596887409</v>
      </c>
      <c r="V479" s="89" t="s">
        <v>9344</v>
      </c>
      <c r="W479" s="90">
        <f t="shared" si="48"/>
        <v>1079.7447958132445</v>
      </c>
    </row>
    <row r="480" spans="19:23" x14ac:dyDescent="0.2">
      <c r="S480" s="87" t="s">
        <v>6323</v>
      </c>
      <c r="T480" s="87" t="s">
        <v>6324</v>
      </c>
      <c r="U480" s="90">
        <v>1042.3433519186347</v>
      </c>
      <c r="V480" s="89" t="s">
        <v>9344</v>
      </c>
      <c r="W480" s="90">
        <f t="shared" si="48"/>
        <v>625.40601115118079</v>
      </c>
    </row>
    <row r="481" spans="19:23" x14ac:dyDescent="0.2">
      <c r="S481" s="87" t="s">
        <v>6187</v>
      </c>
      <c r="T481" s="87" t="s">
        <v>6188</v>
      </c>
      <c r="U481" s="90">
        <v>1008.3611607552002</v>
      </c>
      <c r="V481" s="89" t="s">
        <v>9344</v>
      </c>
      <c r="W481" s="90">
        <f t="shared" si="48"/>
        <v>605.01669645312006</v>
      </c>
    </row>
    <row r="482" spans="19:23" x14ac:dyDescent="0.2">
      <c r="S482" s="87" t="s">
        <v>6190</v>
      </c>
      <c r="T482" s="87" t="s">
        <v>6191</v>
      </c>
      <c r="U482" s="90">
        <v>1064.3812252416003</v>
      </c>
      <c r="V482" s="89" t="s">
        <v>9344</v>
      </c>
      <c r="W482" s="90">
        <f t="shared" si="48"/>
        <v>638.62873514496016</v>
      </c>
    </row>
    <row r="483" spans="19:23" x14ac:dyDescent="0.2">
      <c r="S483" s="87" t="s">
        <v>6193</v>
      </c>
      <c r="T483" s="87" t="s">
        <v>6194</v>
      </c>
      <c r="U483" s="90">
        <v>1288.4614831872002</v>
      </c>
      <c r="V483" s="89" t="s">
        <v>9344</v>
      </c>
      <c r="W483" s="90">
        <f t="shared" si="48"/>
        <v>773.0768899123201</v>
      </c>
    </row>
    <row r="484" spans="19:23" x14ac:dyDescent="0.2">
      <c r="S484" s="87" t="s">
        <v>6196</v>
      </c>
      <c r="T484" s="87" t="s">
        <v>6197</v>
      </c>
      <c r="U484" s="90">
        <v>1600.1264170890217</v>
      </c>
      <c r="V484" s="89" t="s">
        <v>9344</v>
      </c>
      <c r="W484" s="90">
        <f t="shared" si="48"/>
        <v>960.07585025341302</v>
      </c>
    </row>
    <row r="485" spans="19:23" x14ac:dyDescent="0.2">
      <c r="S485" s="87" t="s">
        <v>10133</v>
      </c>
      <c r="T485" s="87" t="s">
        <v>10134</v>
      </c>
      <c r="U485" s="90">
        <v>2911.194</v>
      </c>
      <c r="V485" s="89" t="s">
        <v>9344</v>
      </c>
      <c r="W485" s="90">
        <f t="shared" si="48"/>
        <v>1746.7164</v>
      </c>
    </row>
    <row r="486" spans="19:23" x14ac:dyDescent="0.2">
      <c r="S486" s="87" t="s">
        <v>10135</v>
      </c>
      <c r="T486" s="87" t="s">
        <v>10136</v>
      </c>
      <c r="U486" s="90">
        <v>8080.8511862240466</v>
      </c>
      <c r="V486" s="89" t="s">
        <v>9344</v>
      </c>
      <c r="W486" s="90">
        <f t="shared" si="48"/>
        <v>4848.5107117344278</v>
      </c>
    </row>
    <row r="487" spans="19:23" x14ac:dyDescent="0.2">
      <c r="S487" s="87" t="s">
        <v>6326</v>
      </c>
      <c r="T487" s="87" t="s">
        <v>6327</v>
      </c>
      <c r="U487" s="90">
        <v>1302.8666426265602</v>
      </c>
      <c r="V487" s="89" t="s">
        <v>9344</v>
      </c>
      <c r="W487" s="90">
        <f t="shared" si="48"/>
        <v>781.71998557593611</v>
      </c>
    </row>
    <row r="488" spans="19:23" x14ac:dyDescent="0.2">
      <c r="S488" s="87" t="s">
        <v>6201</v>
      </c>
      <c r="T488" s="87" t="s">
        <v>6202</v>
      </c>
      <c r="U488" s="90">
        <v>1134.6286076928</v>
      </c>
      <c r="V488" s="89" t="s">
        <v>9344</v>
      </c>
      <c r="W488" s="90">
        <f t="shared" si="48"/>
        <v>680.77716461567991</v>
      </c>
    </row>
    <row r="489" spans="19:23" x14ac:dyDescent="0.2">
      <c r="S489" s="87" t="s">
        <v>6204</v>
      </c>
      <c r="T489" s="87" t="s">
        <v>6205</v>
      </c>
      <c r="U489" s="90">
        <v>1330.2542297088003</v>
      </c>
      <c r="V489" s="89" t="s">
        <v>9344</v>
      </c>
      <c r="W489" s="90">
        <f t="shared" si="48"/>
        <v>798.15253782528009</v>
      </c>
    </row>
    <row r="490" spans="19:23" x14ac:dyDescent="0.2">
      <c r="S490" s="87" t="s">
        <v>6207</v>
      </c>
      <c r="T490" s="87" t="s">
        <v>6208</v>
      </c>
      <c r="U490" s="90">
        <v>1516.0985706240003</v>
      </c>
      <c r="V490" s="89" t="s">
        <v>9344</v>
      </c>
      <c r="W490" s="90">
        <f t="shared" si="48"/>
        <v>909.65914237440018</v>
      </c>
    </row>
    <row r="491" spans="19:23" x14ac:dyDescent="0.2">
      <c r="S491" s="87" t="s">
        <v>6210</v>
      </c>
      <c r="T491" s="87" t="s">
        <v>6211</v>
      </c>
      <c r="U491" s="90">
        <v>1613.9113816320005</v>
      </c>
      <c r="V491" s="89" t="s">
        <v>9344</v>
      </c>
      <c r="W491" s="90">
        <f t="shared" si="48"/>
        <v>968.34682897920027</v>
      </c>
    </row>
    <row r="492" spans="19:23" x14ac:dyDescent="0.2">
      <c r="S492" s="87" t="s">
        <v>10137</v>
      </c>
      <c r="T492" s="87" t="s">
        <v>10138</v>
      </c>
      <c r="U492" s="90">
        <v>3800.0277076608008</v>
      </c>
      <c r="V492" s="89" t="s">
        <v>9344</v>
      </c>
      <c r="W492" s="90">
        <f t="shared" si="48"/>
        <v>2280.0166245964806</v>
      </c>
    </row>
    <row r="493" spans="19:23" x14ac:dyDescent="0.2">
      <c r="S493" s="87" t="s">
        <v>10139</v>
      </c>
      <c r="T493" s="87" t="s">
        <v>10140</v>
      </c>
      <c r="U493" s="90">
        <v>4288.6026986457609</v>
      </c>
      <c r="V493" s="89" t="s">
        <v>9344</v>
      </c>
      <c r="W493" s="90">
        <f t="shared" si="48"/>
        <v>2573.1616191874564</v>
      </c>
    </row>
    <row r="494" spans="19:23" x14ac:dyDescent="0.2">
      <c r="S494" s="87" t="s">
        <v>6329</v>
      </c>
      <c r="T494" s="87" t="s">
        <v>6330</v>
      </c>
      <c r="U494" s="90">
        <v>1042.2933141012481</v>
      </c>
      <c r="V494" s="89" t="s">
        <v>9344</v>
      </c>
      <c r="W494" s="90">
        <f t="shared" si="48"/>
        <v>625.37598846074889</v>
      </c>
    </row>
    <row r="495" spans="19:23" x14ac:dyDescent="0.2">
      <c r="S495" s="87" t="s">
        <v>6213</v>
      </c>
      <c r="T495" s="87" t="s">
        <v>6214</v>
      </c>
      <c r="U495" s="90">
        <v>821.62761246720015</v>
      </c>
      <c r="V495" s="89" t="s">
        <v>9344</v>
      </c>
      <c r="W495" s="90">
        <f t="shared" si="48"/>
        <v>492.97656748032006</v>
      </c>
    </row>
    <row r="496" spans="19:23" x14ac:dyDescent="0.2">
      <c r="S496" s="87" t="s">
        <v>6216</v>
      </c>
      <c r="T496" s="87" t="s">
        <v>6217</v>
      </c>
      <c r="U496" s="90">
        <v>1134.6286076928</v>
      </c>
      <c r="V496" s="89" t="s">
        <v>9344</v>
      </c>
      <c r="W496" s="90">
        <f t="shared" si="48"/>
        <v>680.77716461567991</v>
      </c>
    </row>
    <row r="497" spans="19:23" x14ac:dyDescent="0.2">
      <c r="S497" s="87" t="s">
        <v>6219</v>
      </c>
      <c r="T497" s="87" t="s">
        <v>6220</v>
      </c>
      <c r="U497" s="90">
        <v>1212.8788564992001</v>
      </c>
      <c r="V497" s="89" t="s">
        <v>9344</v>
      </c>
      <c r="W497" s="90">
        <f t="shared" si="48"/>
        <v>727.72731389952003</v>
      </c>
    </row>
    <row r="498" spans="19:23" x14ac:dyDescent="0.2">
      <c r="S498" s="87" t="s">
        <v>6222</v>
      </c>
      <c r="T498" s="87" t="s">
        <v>6223</v>
      </c>
      <c r="U498" s="90">
        <v>1433.1533068892168</v>
      </c>
      <c r="V498" s="89" t="s">
        <v>9344</v>
      </c>
      <c r="W498" s="90">
        <f t="shared" si="48"/>
        <v>859.89198413353006</v>
      </c>
    </row>
    <row r="499" spans="19:23" x14ac:dyDescent="0.2">
      <c r="S499" s="87" t="s">
        <v>10141</v>
      </c>
      <c r="T499" s="87" t="s">
        <v>10142</v>
      </c>
      <c r="U499" s="90">
        <v>4169.1732564049926</v>
      </c>
      <c r="V499" s="89" t="s">
        <v>9344</v>
      </c>
      <c r="W499" s="90">
        <f t="shared" si="48"/>
        <v>2501.5039538429955</v>
      </c>
    </row>
    <row r="500" spans="19:23" x14ac:dyDescent="0.2">
      <c r="S500" s="87" t="s">
        <v>10143</v>
      </c>
      <c r="T500" s="87" t="s">
        <v>10144</v>
      </c>
      <c r="U500" s="90">
        <v>4038.8865921423371</v>
      </c>
      <c r="V500" s="89" t="s">
        <v>9344</v>
      </c>
      <c r="W500" s="90">
        <f t="shared" si="48"/>
        <v>2423.3319552854023</v>
      </c>
    </row>
    <row r="501" spans="19:23" x14ac:dyDescent="0.2">
      <c r="S501" s="87" t="s">
        <v>6225</v>
      </c>
      <c r="T501" s="87" t="s">
        <v>6226</v>
      </c>
      <c r="U501" s="90">
        <v>1288.978615896468</v>
      </c>
      <c r="V501" s="89" t="s">
        <v>9344</v>
      </c>
      <c r="W501" s="90">
        <f t="shared" si="48"/>
        <v>773.38716953788082</v>
      </c>
    </row>
    <row r="502" spans="19:23" x14ac:dyDescent="0.2">
      <c r="S502" s="87" t="s">
        <v>10145</v>
      </c>
      <c r="T502" s="87" t="s">
        <v>10146</v>
      </c>
      <c r="U502" s="90">
        <v>2488.3186665787543</v>
      </c>
      <c r="V502" s="89" t="s">
        <v>9344</v>
      </c>
      <c r="W502" s="90">
        <f t="shared" si="48"/>
        <v>1492.9911999472527</v>
      </c>
    </row>
    <row r="503" spans="19:23" x14ac:dyDescent="0.2">
      <c r="S503" s="87" t="s">
        <v>6228</v>
      </c>
      <c r="T503" s="87" t="s">
        <v>6229</v>
      </c>
      <c r="U503" s="90">
        <v>1545.8059861659531</v>
      </c>
      <c r="V503" s="89" t="s">
        <v>9344</v>
      </c>
      <c r="W503" s="90">
        <f t="shared" si="48"/>
        <v>927.48359169957178</v>
      </c>
    </row>
    <row r="504" spans="19:23" x14ac:dyDescent="0.2">
      <c r="S504" s="87" t="s">
        <v>6231</v>
      </c>
      <c r="T504" s="87" t="s">
        <v>6232</v>
      </c>
      <c r="U504" s="90">
        <v>2236.6956290976932</v>
      </c>
      <c r="V504" s="89" t="s">
        <v>9344</v>
      </c>
      <c r="W504" s="90">
        <f t="shared" si="48"/>
        <v>1342.0173774586158</v>
      </c>
    </row>
    <row r="505" spans="19:23" x14ac:dyDescent="0.2">
      <c r="S505" s="87" t="s">
        <v>10147</v>
      </c>
      <c r="T505" s="87" t="s">
        <v>10148</v>
      </c>
      <c r="U505" s="90">
        <v>3113.2600883450586</v>
      </c>
      <c r="V505" s="89" t="s">
        <v>9344</v>
      </c>
      <c r="W505" s="90">
        <f t="shared" si="48"/>
        <v>1867.9560530070351</v>
      </c>
    </row>
    <row r="506" spans="19:23" x14ac:dyDescent="0.2">
      <c r="S506" s="87" t="s">
        <v>6234</v>
      </c>
      <c r="T506" s="87" t="s">
        <v>6235</v>
      </c>
      <c r="U506" s="90">
        <v>1585.0475614273214</v>
      </c>
      <c r="V506" s="89" t="s">
        <v>9344</v>
      </c>
      <c r="W506" s="90">
        <f t="shared" si="48"/>
        <v>951.02853685639275</v>
      </c>
    </row>
    <row r="507" spans="19:23" x14ac:dyDescent="0.2">
      <c r="S507" s="87" t="s">
        <v>10149</v>
      </c>
      <c r="T507" s="87" t="s">
        <v>10150</v>
      </c>
      <c r="U507" s="90">
        <v>3222.6521639434231</v>
      </c>
      <c r="V507" s="89" t="s">
        <v>9344</v>
      </c>
      <c r="W507" s="90">
        <f t="shared" si="48"/>
        <v>1933.5912983660537</v>
      </c>
    </row>
    <row r="508" spans="19:23" x14ac:dyDescent="0.2">
      <c r="S508" s="87" t="s">
        <v>6237</v>
      </c>
      <c r="T508" s="87" t="s">
        <v>6238</v>
      </c>
      <c r="U508" s="90">
        <v>1604.9741266638709</v>
      </c>
      <c r="V508" s="89" t="s">
        <v>9344</v>
      </c>
      <c r="W508" s="90">
        <f t="shared" si="48"/>
        <v>962.98447599832252</v>
      </c>
    </row>
    <row r="509" spans="19:23" x14ac:dyDescent="0.2">
      <c r="S509" s="87" t="s">
        <v>10151</v>
      </c>
      <c r="T509" s="87" t="s">
        <v>10152</v>
      </c>
      <c r="U509" s="90">
        <v>3440.9827187282331</v>
      </c>
      <c r="V509" s="89" t="s">
        <v>9344</v>
      </c>
      <c r="W509" s="90">
        <f t="shared" si="48"/>
        <v>2064.5896312369396</v>
      </c>
    </row>
    <row r="510" spans="19:23" x14ac:dyDescent="0.2">
      <c r="S510" s="87" t="s">
        <v>6240</v>
      </c>
      <c r="T510" s="87" t="s">
        <v>6241</v>
      </c>
      <c r="U510" s="90">
        <v>1942.0289021952005</v>
      </c>
      <c r="V510" s="89" t="s">
        <v>9344</v>
      </c>
      <c r="W510" s="90">
        <f t="shared" si="48"/>
        <v>1165.2173413171204</v>
      </c>
    </row>
    <row r="511" spans="19:23" x14ac:dyDescent="0.2">
      <c r="S511" s="87" t="s">
        <v>6243</v>
      </c>
      <c r="T511" s="87" t="s">
        <v>6244</v>
      </c>
      <c r="U511" s="90">
        <v>3133.0329766934051</v>
      </c>
      <c r="V511" s="89" t="s">
        <v>9344</v>
      </c>
      <c r="W511" s="90">
        <f t="shared" si="48"/>
        <v>1879.8197860160431</v>
      </c>
    </row>
    <row r="512" spans="19:23" x14ac:dyDescent="0.2">
      <c r="S512" s="87" t="s">
        <v>10153</v>
      </c>
      <c r="T512" s="87" t="s">
        <v>10154</v>
      </c>
      <c r="U512" s="90">
        <v>2315.5354762176526</v>
      </c>
      <c r="V512" s="89" t="s">
        <v>9344</v>
      </c>
      <c r="W512" s="90">
        <f t="shared" si="48"/>
        <v>1389.3212857305914</v>
      </c>
    </row>
    <row r="513" spans="19:23" x14ac:dyDescent="0.2">
      <c r="S513" s="87" t="s">
        <v>6353</v>
      </c>
      <c r="T513" s="87" t="s">
        <v>6354</v>
      </c>
      <c r="U513" s="90">
        <v>2528.745710916096</v>
      </c>
      <c r="V513" s="89" t="s">
        <v>9344</v>
      </c>
      <c r="W513" s="90">
        <f t="shared" si="48"/>
        <v>1517.2474265496576</v>
      </c>
    </row>
    <row r="514" spans="19:23" x14ac:dyDescent="0.2">
      <c r="S514" s="87" t="s">
        <v>6356</v>
      </c>
      <c r="T514" s="87" t="s">
        <v>6357</v>
      </c>
      <c r="U514" s="90">
        <v>3299.4391450546127</v>
      </c>
      <c r="V514" s="89" t="s">
        <v>9344</v>
      </c>
      <c r="W514" s="90">
        <f t="shared" si="48"/>
        <v>1979.6634870327675</v>
      </c>
    </row>
    <row r="515" spans="19:23" x14ac:dyDescent="0.2">
      <c r="S515" s="87" t="s">
        <v>10155</v>
      </c>
      <c r="T515" s="87" t="s">
        <v>10156</v>
      </c>
      <c r="U515" s="90">
        <v>5808.6137817100816</v>
      </c>
      <c r="V515" s="89" t="s">
        <v>9344</v>
      </c>
      <c r="W515" s="90">
        <f t="shared" si="48"/>
        <v>3485.1682690260491</v>
      </c>
    </row>
    <row r="516" spans="19:23" x14ac:dyDescent="0.2">
      <c r="S516" s="87" t="s">
        <v>6332</v>
      </c>
      <c r="T516" s="87" t="s">
        <v>6333</v>
      </c>
      <c r="U516" s="90">
        <v>1462.5872031062981</v>
      </c>
      <c r="V516" s="89" t="s">
        <v>9344</v>
      </c>
      <c r="W516" s="96">
        <f t="shared" si="48"/>
        <v>877.55232186377884</v>
      </c>
    </row>
    <row r="517" spans="19:23" x14ac:dyDescent="0.2">
      <c r="S517" s="87" t="s">
        <v>10157</v>
      </c>
      <c r="T517" s="87" t="s">
        <v>10158</v>
      </c>
      <c r="U517" s="90">
        <v>6568.6193232422411</v>
      </c>
      <c r="V517" s="89" t="s">
        <v>9344</v>
      </c>
      <c r="W517" s="90">
        <f t="shared" si="48"/>
        <v>3941.1715939453443</v>
      </c>
    </row>
    <row r="518" spans="19:23" x14ac:dyDescent="0.2">
      <c r="S518" s="87" t="s">
        <v>10159</v>
      </c>
      <c r="T518" s="87" t="s">
        <v>10160</v>
      </c>
      <c r="U518" s="90">
        <v>1532.2371868075247</v>
      </c>
      <c r="V518" s="89" t="s">
        <v>9344</v>
      </c>
      <c r="W518" s="90">
        <f t="shared" si="48"/>
        <v>919.34231208451479</v>
      </c>
    </row>
    <row r="519" spans="19:23" x14ac:dyDescent="0.2">
      <c r="S519" s="87" t="s">
        <v>6335</v>
      </c>
      <c r="T519" s="87" t="s">
        <v>6336</v>
      </c>
      <c r="U519" s="90">
        <v>1621.6115233750115</v>
      </c>
      <c r="V519" s="89" t="s">
        <v>9344</v>
      </c>
      <c r="W519" s="90">
        <f t="shared" si="48"/>
        <v>972.96691402500687</v>
      </c>
    </row>
    <row r="520" spans="19:23" x14ac:dyDescent="0.2">
      <c r="S520" s="87" t="s">
        <v>10161</v>
      </c>
      <c r="T520" s="87" t="s">
        <v>10162</v>
      </c>
      <c r="U520" s="90">
        <v>1520.0110830643207</v>
      </c>
      <c r="V520" s="89" t="s">
        <v>9344</v>
      </c>
      <c r="W520" s="90">
        <f t="shared" si="48"/>
        <v>912.00664983859235</v>
      </c>
    </row>
    <row r="521" spans="19:23" x14ac:dyDescent="0.2">
      <c r="S521" s="87" t="s">
        <v>6350</v>
      </c>
      <c r="T521" s="87" t="s">
        <v>6351</v>
      </c>
      <c r="U521" s="90">
        <v>2551.4471751436813</v>
      </c>
      <c r="V521" s="89" t="s">
        <v>9344</v>
      </c>
      <c r="W521" s="90">
        <f t="shared" si="48"/>
        <v>1530.8683050862087</v>
      </c>
    </row>
    <row r="522" spans="19:23" x14ac:dyDescent="0.2">
      <c r="S522" s="87" t="s">
        <v>10163</v>
      </c>
      <c r="T522" s="87" t="s">
        <v>10164</v>
      </c>
      <c r="U522" s="90">
        <v>3745.7415975513613</v>
      </c>
      <c r="V522" s="89" t="s">
        <v>9344</v>
      </c>
      <c r="W522" s="90">
        <f t="shared" si="48"/>
        <v>2247.4449585308166</v>
      </c>
    </row>
    <row r="523" spans="19:23" x14ac:dyDescent="0.2">
      <c r="S523" s="87" t="s">
        <v>10165</v>
      </c>
      <c r="T523" s="87" t="s">
        <v>10166</v>
      </c>
      <c r="U523" s="90">
        <v>3742.1750188843757</v>
      </c>
      <c r="V523" s="89" t="s">
        <v>9344</v>
      </c>
      <c r="W523" s="90">
        <f t="shared" si="48"/>
        <v>2245.3050113306253</v>
      </c>
    </row>
    <row r="524" spans="19:23" x14ac:dyDescent="0.2">
      <c r="S524" s="87" t="s">
        <v>10167</v>
      </c>
      <c r="T524" s="87" t="s">
        <v>10168</v>
      </c>
      <c r="U524" s="90">
        <v>6894.3359838988808</v>
      </c>
      <c r="V524" s="89" t="s">
        <v>9344</v>
      </c>
      <c r="W524" s="90">
        <f t="shared" si="48"/>
        <v>4136.6015903393281</v>
      </c>
    </row>
    <row r="525" spans="19:23" x14ac:dyDescent="0.2">
      <c r="S525" s="87" t="s">
        <v>10169</v>
      </c>
      <c r="T525" s="87" t="s">
        <v>10170</v>
      </c>
      <c r="U525" s="90">
        <v>6894.3359838988808</v>
      </c>
      <c r="V525" s="89" t="s">
        <v>9344</v>
      </c>
      <c r="W525" s="90">
        <f t="shared" si="48"/>
        <v>4136.6015903393281</v>
      </c>
    </row>
    <row r="526" spans="19:23" x14ac:dyDescent="0.2">
      <c r="S526" s="87" t="s">
        <v>6136</v>
      </c>
      <c r="T526" s="87" t="s">
        <v>6137</v>
      </c>
      <c r="U526" s="90">
        <v>1408.5044785151999</v>
      </c>
      <c r="V526" s="89" t="s">
        <v>9344</v>
      </c>
      <c r="W526" s="90">
        <f t="shared" si="48"/>
        <v>845.10268710911998</v>
      </c>
    </row>
    <row r="527" spans="19:23" x14ac:dyDescent="0.2">
      <c r="S527" s="87" t="s">
        <v>6139</v>
      </c>
      <c r="T527" s="87" t="s">
        <v>6140</v>
      </c>
      <c r="U527" s="90">
        <v>1565.0049761280002</v>
      </c>
      <c r="V527" s="89" t="s">
        <v>9344</v>
      </c>
      <c r="W527" s="90">
        <f t="shared" si="48"/>
        <v>939.00298567680011</v>
      </c>
    </row>
    <row r="528" spans="19:23" x14ac:dyDescent="0.2">
      <c r="S528" s="87" t="s">
        <v>6142</v>
      </c>
      <c r="T528" s="87" t="s">
        <v>6143</v>
      </c>
      <c r="U528" s="90">
        <v>1525.8798517248003</v>
      </c>
      <c r="V528" s="89" t="s">
        <v>9344</v>
      </c>
      <c r="W528" s="90">
        <f t="shared" si="48"/>
        <v>915.52791103488016</v>
      </c>
    </row>
    <row r="529" spans="19:23" x14ac:dyDescent="0.2">
      <c r="S529" s="87" t="s">
        <v>6145</v>
      </c>
      <c r="T529" s="87" t="s">
        <v>6146</v>
      </c>
      <c r="U529" s="90">
        <v>1643.2552249344003</v>
      </c>
      <c r="V529" s="89" t="s">
        <v>9344</v>
      </c>
      <c r="W529" s="90">
        <f t="shared" si="48"/>
        <v>985.95313496064011</v>
      </c>
    </row>
    <row r="530" spans="19:23" x14ac:dyDescent="0.2">
      <c r="S530" s="87" t="s">
        <v>6148</v>
      </c>
      <c r="T530" s="87" t="s">
        <v>6149</v>
      </c>
      <c r="U530" s="90">
        <v>2592.0394917120002</v>
      </c>
      <c r="V530" s="89" t="s">
        <v>9344</v>
      </c>
      <c r="W530" s="90">
        <f t="shared" si="48"/>
        <v>1555.2236950272002</v>
      </c>
    </row>
    <row r="531" spans="19:23" x14ac:dyDescent="0.2">
      <c r="S531" s="87" t="s">
        <v>6151</v>
      </c>
      <c r="T531" s="87" t="s">
        <v>6152</v>
      </c>
      <c r="U531" s="90">
        <v>3032.1971412480007</v>
      </c>
      <c r="V531" s="89" t="s">
        <v>9344</v>
      </c>
      <c r="W531" s="90">
        <f t="shared" si="48"/>
        <v>1819.3182847488004</v>
      </c>
    </row>
    <row r="532" spans="19:23" x14ac:dyDescent="0.2">
      <c r="S532" s="87" t="s">
        <v>10171</v>
      </c>
      <c r="T532" s="87" t="s">
        <v>10172</v>
      </c>
      <c r="U532" s="90">
        <v>3311.4527166758407</v>
      </c>
      <c r="V532" s="89" t="s">
        <v>9344</v>
      </c>
      <c r="W532" s="90">
        <f t="shared" si="48"/>
        <v>1986.8716300055044</v>
      </c>
    </row>
    <row r="533" spans="19:23" x14ac:dyDescent="0.2">
      <c r="S533" s="87" t="s">
        <v>10173</v>
      </c>
      <c r="T533" s="87" t="s">
        <v>10174</v>
      </c>
      <c r="U533" s="90">
        <v>3276.7291687680004</v>
      </c>
      <c r="V533" s="89" t="s">
        <v>9344</v>
      </c>
      <c r="W533" s="90">
        <f t="shared" si="48"/>
        <v>1966.0375012608001</v>
      </c>
    </row>
    <row r="534" spans="19:23" x14ac:dyDescent="0.2">
      <c r="S534" s="87" t="s">
        <v>10175</v>
      </c>
      <c r="T534" s="87" t="s">
        <v>10174</v>
      </c>
      <c r="U534" s="90">
        <v>3227.822763264001</v>
      </c>
      <c r="V534" s="89" t="s">
        <v>9344</v>
      </c>
      <c r="W534" s="90">
        <f t="shared" si="48"/>
        <v>1936.6936579584005</v>
      </c>
    </row>
    <row r="535" spans="19:23" x14ac:dyDescent="0.2">
      <c r="S535" s="87" t="s">
        <v>10176</v>
      </c>
      <c r="T535" s="87" t="s">
        <v>10177</v>
      </c>
      <c r="U535" s="90">
        <v>7871.4859658688038</v>
      </c>
      <c r="V535" s="89" t="s">
        <v>9344</v>
      </c>
      <c r="W535" s="90">
        <f t="shared" si="48"/>
        <v>4722.8915795212824</v>
      </c>
    </row>
    <row r="536" spans="19:23" x14ac:dyDescent="0.2">
      <c r="S536" s="87" t="s">
        <v>10178</v>
      </c>
      <c r="T536" s="87" t="s">
        <v>10179</v>
      </c>
      <c r="U536" s="90">
        <v>5428.6110109440024</v>
      </c>
      <c r="V536" s="89" t="s">
        <v>9344</v>
      </c>
      <c r="W536" s="90">
        <f t="shared" si="48"/>
        <v>3257.1666065664012</v>
      </c>
    </row>
    <row r="537" spans="19:23" x14ac:dyDescent="0.2">
      <c r="S537" s="87" t="s">
        <v>10180</v>
      </c>
      <c r="T537" s="87" t="s">
        <v>10181</v>
      </c>
      <c r="U537" s="90">
        <v>9445.7831590425631</v>
      </c>
      <c r="V537" s="89" t="s">
        <v>9344</v>
      </c>
      <c r="W537" s="90">
        <f t="shared" ref="W537:W600" si="49">+IF(V537="Nacional",(1-$AA$1)*U537,(1-$AA$2)*U537)</f>
        <v>5667.4698954255373</v>
      </c>
    </row>
    <row r="538" spans="19:23" x14ac:dyDescent="0.2">
      <c r="S538" s="87" t="s">
        <v>10182</v>
      </c>
      <c r="T538" s="87" t="s">
        <v>10183</v>
      </c>
      <c r="U538" s="90">
        <v>9966.9298160931867</v>
      </c>
      <c r="V538" s="89" t="s">
        <v>9344</v>
      </c>
      <c r="W538" s="90">
        <f t="shared" si="49"/>
        <v>5980.1578896559122</v>
      </c>
    </row>
    <row r="539" spans="19:23" x14ac:dyDescent="0.2">
      <c r="S539" s="87" t="s">
        <v>10184</v>
      </c>
      <c r="T539" s="87" t="s">
        <v>10185</v>
      </c>
      <c r="U539" s="90">
        <v>2225.7305144870402</v>
      </c>
      <c r="V539" s="89" t="s">
        <v>9344</v>
      </c>
      <c r="W539" s="90">
        <f t="shared" si="49"/>
        <v>1335.4383086922242</v>
      </c>
    </row>
    <row r="540" spans="19:23" x14ac:dyDescent="0.2">
      <c r="S540" s="87" t="s">
        <v>10186</v>
      </c>
      <c r="T540" s="87" t="s">
        <v>10187</v>
      </c>
      <c r="U540" s="90">
        <v>860.75273687040021</v>
      </c>
      <c r="V540" s="89" t="s">
        <v>9344</v>
      </c>
      <c r="W540" s="90">
        <f t="shared" si="49"/>
        <v>516.45164212224006</v>
      </c>
    </row>
    <row r="541" spans="19:23" x14ac:dyDescent="0.2">
      <c r="S541" s="87" t="s">
        <v>6246</v>
      </c>
      <c r="T541" s="87" t="s">
        <v>6247</v>
      </c>
      <c r="U541" s="90">
        <v>899.87786127360027</v>
      </c>
      <c r="V541" s="89" t="s">
        <v>9344</v>
      </c>
      <c r="W541" s="90">
        <f t="shared" si="49"/>
        <v>539.92671676416012</v>
      </c>
    </row>
    <row r="542" spans="19:23" x14ac:dyDescent="0.2">
      <c r="S542" s="87" t="s">
        <v>6249</v>
      </c>
      <c r="T542" s="87" t="s">
        <v>6250</v>
      </c>
      <c r="U542" s="90">
        <v>1095.5034832896001</v>
      </c>
      <c r="V542" s="89" t="s">
        <v>9344</v>
      </c>
      <c r="W542" s="90">
        <f t="shared" si="49"/>
        <v>657.30208997376008</v>
      </c>
    </row>
    <row r="543" spans="19:23" x14ac:dyDescent="0.2">
      <c r="S543" s="87" t="s">
        <v>6252</v>
      </c>
      <c r="T543" s="87" t="s">
        <v>6253</v>
      </c>
      <c r="U543" s="90">
        <v>1408.5044785151999</v>
      </c>
      <c r="V543" s="89" t="s">
        <v>9344</v>
      </c>
      <c r="W543" s="90">
        <f t="shared" si="49"/>
        <v>845.10268710911998</v>
      </c>
    </row>
    <row r="544" spans="19:23" x14ac:dyDescent="0.2">
      <c r="S544" s="87" t="s">
        <v>6255</v>
      </c>
      <c r="T544" s="87" t="s">
        <v>6256</v>
      </c>
      <c r="U544" s="90">
        <v>1565.0049761280002</v>
      </c>
      <c r="V544" s="89" t="s">
        <v>9344</v>
      </c>
      <c r="W544" s="90">
        <f t="shared" si="49"/>
        <v>939.00298567680011</v>
      </c>
    </row>
    <row r="545" spans="19:23" x14ac:dyDescent="0.2">
      <c r="S545" s="87" t="s">
        <v>6258</v>
      </c>
      <c r="T545" s="87" t="s">
        <v>6259</v>
      </c>
      <c r="U545" s="90">
        <v>3474.3110470041615</v>
      </c>
      <c r="V545" s="89" t="s">
        <v>9344</v>
      </c>
      <c r="W545" s="90">
        <f t="shared" si="49"/>
        <v>2084.5866282024967</v>
      </c>
    </row>
    <row r="546" spans="19:23" x14ac:dyDescent="0.2">
      <c r="S546" s="87" t="s">
        <v>6261</v>
      </c>
      <c r="T546" s="87" t="s">
        <v>6262</v>
      </c>
      <c r="U546" s="90">
        <v>4082.3154802298895</v>
      </c>
      <c r="V546" s="89" t="s">
        <v>9344</v>
      </c>
      <c r="W546" s="90">
        <f t="shared" si="49"/>
        <v>2449.3892881379338</v>
      </c>
    </row>
    <row r="547" spans="19:23" x14ac:dyDescent="0.2">
      <c r="S547" s="87" t="s">
        <v>6264</v>
      </c>
      <c r="T547" s="87" t="s">
        <v>6265</v>
      </c>
      <c r="U547" s="90">
        <v>4342.8888087552023</v>
      </c>
      <c r="V547" s="89" t="s">
        <v>9344</v>
      </c>
      <c r="W547" s="90">
        <f t="shared" si="49"/>
        <v>2605.7332852531213</v>
      </c>
    </row>
    <row r="548" spans="19:23" x14ac:dyDescent="0.2">
      <c r="S548" s="87" t="s">
        <v>10188</v>
      </c>
      <c r="T548" s="87" t="s">
        <v>10189</v>
      </c>
      <c r="U548" s="90">
        <v>4562.4020976341008</v>
      </c>
      <c r="V548" s="89" t="s">
        <v>9344</v>
      </c>
      <c r="W548" s="90">
        <f t="shared" si="49"/>
        <v>2737.4412585804603</v>
      </c>
    </row>
    <row r="549" spans="19:23" x14ac:dyDescent="0.2">
      <c r="S549" s="87" t="s">
        <v>10190</v>
      </c>
      <c r="T549" s="87" t="s">
        <v>10191</v>
      </c>
      <c r="U549" s="90">
        <v>4966.5788600371197</v>
      </c>
      <c r="V549" s="89" t="s">
        <v>9344</v>
      </c>
      <c r="W549" s="90">
        <f t="shared" si="49"/>
        <v>2979.9473160222719</v>
      </c>
    </row>
    <row r="550" spans="19:23" x14ac:dyDescent="0.2">
      <c r="S550" s="87" t="s">
        <v>10192</v>
      </c>
      <c r="T550" s="87" t="s">
        <v>10193</v>
      </c>
      <c r="U550" s="90">
        <v>5309.1015400396818</v>
      </c>
      <c r="V550" s="89" t="s">
        <v>9344</v>
      </c>
      <c r="W550" s="90">
        <f t="shared" si="49"/>
        <v>3185.4609240238092</v>
      </c>
    </row>
    <row r="551" spans="19:23" x14ac:dyDescent="0.2">
      <c r="S551" s="87" t="s">
        <v>10194</v>
      </c>
      <c r="T551" s="87" t="s">
        <v>10195</v>
      </c>
      <c r="U551" s="90">
        <v>5994.1469000448005</v>
      </c>
      <c r="V551" s="89" t="s">
        <v>9344</v>
      </c>
      <c r="W551" s="90">
        <f t="shared" si="49"/>
        <v>3596.48814002688</v>
      </c>
    </row>
    <row r="552" spans="19:23" x14ac:dyDescent="0.2">
      <c r="S552" s="87" t="s">
        <v>10196</v>
      </c>
      <c r="T552" s="87" t="s">
        <v>10197</v>
      </c>
      <c r="U552" s="90">
        <v>2084.5866282024963</v>
      </c>
      <c r="V552" s="89" t="s">
        <v>9344</v>
      </c>
      <c r="W552" s="90">
        <f t="shared" si="49"/>
        <v>1250.7519769214978</v>
      </c>
    </row>
    <row r="553" spans="19:23" x14ac:dyDescent="0.2">
      <c r="S553" s="87" t="s">
        <v>10198</v>
      </c>
      <c r="T553" s="87" t="s">
        <v>10199</v>
      </c>
      <c r="U553" s="90">
        <v>2171.4444043776011</v>
      </c>
      <c r="V553" s="89" t="s">
        <v>9344</v>
      </c>
      <c r="W553" s="90">
        <f t="shared" si="49"/>
        <v>1302.8666426265606</v>
      </c>
    </row>
    <row r="554" spans="19:23" x14ac:dyDescent="0.2">
      <c r="S554" s="87" t="s">
        <v>10200</v>
      </c>
      <c r="T554" s="87" t="s">
        <v>10201</v>
      </c>
      <c r="U554" s="90">
        <v>3169.1350766592013</v>
      </c>
      <c r="V554" s="89" t="s">
        <v>9344</v>
      </c>
      <c r="W554" s="90">
        <f t="shared" si="49"/>
        <v>1901.4810459955206</v>
      </c>
    </row>
    <row r="555" spans="19:23" x14ac:dyDescent="0.2">
      <c r="S555" s="87" t="s">
        <v>10202</v>
      </c>
      <c r="T555" s="87" t="s">
        <v>10203</v>
      </c>
      <c r="U555" s="90">
        <v>4864.0354658058259</v>
      </c>
      <c r="V555" s="89" t="s">
        <v>9344</v>
      </c>
      <c r="W555" s="90">
        <f t="shared" si="49"/>
        <v>2918.4212794834953</v>
      </c>
    </row>
    <row r="556" spans="19:23" x14ac:dyDescent="0.2">
      <c r="S556" s="87" t="s">
        <v>10204</v>
      </c>
      <c r="T556" s="87" t="s">
        <v>10205</v>
      </c>
      <c r="U556" s="90">
        <v>7042.5223925760001</v>
      </c>
      <c r="V556" s="89" t="s">
        <v>9344</v>
      </c>
      <c r="W556" s="90">
        <f t="shared" si="49"/>
        <v>4225.5134355456003</v>
      </c>
    </row>
    <row r="557" spans="19:23" x14ac:dyDescent="0.2">
      <c r="S557" s="87" t="s">
        <v>10206</v>
      </c>
      <c r="T557" s="87" t="s">
        <v>10207</v>
      </c>
      <c r="U557" s="90">
        <v>8902.9220579481607</v>
      </c>
      <c r="V557" s="89" t="s">
        <v>9344</v>
      </c>
      <c r="W557" s="90">
        <f t="shared" si="49"/>
        <v>5341.7532347688966</v>
      </c>
    </row>
    <row r="558" spans="19:23" x14ac:dyDescent="0.2">
      <c r="S558" s="87" t="s">
        <v>10208</v>
      </c>
      <c r="T558" s="87" t="s">
        <v>10209</v>
      </c>
      <c r="U558" s="90">
        <v>9880.0720399180827</v>
      </c>
      <c r="V558" s="89" t="s">
        <v>9344</v>
      </c>
      <c r="W558" s="90">
        <f t="shared" si="49"/>
        <v>5928.0432239508491</v>
      </c>
    </row>
    <row r="559" spans="19:23" x14ac:dyDescent="0.2">
      <c r="S559" s="87" t="s">
        <v>6154</v>
      </c>
      <c r="T559" s="87" t="s">
        <v>6155</v>
      </c>
      <c r="U559" s="90">
        <v>868.57776175104038</v>
      </c>
      <c r="V559" s="89" t="s">
        <v>9344</v>
      </c>
      <c r="W559" s="90">
        <f t="shared" si="49"/>
        <v>521.14665705062419</v>
      </c>
    </row>
    <row r="560" spans="19:23" x14ac:dyDescent="0.2">
      <c r="S560" s="87" t="s">
        <v>6157</v>
      </c>
      <c r="T560" s="87" t="s">
        <v>6158</v>
      </c>
      <c r="U560" s="90">
        <v>1134.6286076928</v>
      </c>
      <c r="V560" s="89" t="s">
        <v>9344</v>
      </c>
      <c r="W560" s="90">
        <f t="shared" si="49"/>
        <v>680.77716461567991</v>
      </c>
    </row>
    <row r="561" spans="19:23" x14ac:dyDescent="0.2">
      <c r="S561" s="87" t="s">
        <v>6160</v>
      </c>
      <c r="T561" s="87" t="s">
        <v>6161</v>
      </c>
      <c r="U561" s="90">
        <v>1085.7222021888006</v>
      </c>
      <c r="V561" s="89" t="s">
        <v>9344</v>
      </c>
      <c r="W561" s="90">
        <f t="shared" si="49"/>
        <v>651.43332131328032</v>
      </c>
    </row>
    <row r="562" spans="19:23" x14ac:dyDescent="0.2">
      <c r="S562" s="87" t="s">
        <v>6163</v>
      </c>
      <c r="T562" s="87" t="s">
        <v>6164</v>
      </c>
      <c r="U562" s="90">
        <v>1216.0088664514565</v>
      </c>
      <c r="V562" s="89" t="s">
        <v>9344</v>
      </c>
      <c r="W562" s="90">
        <f t="shared" si="49"/>
        <v>729.60531987087381</v>
      </c>
    </row>
    <row r="563" spans="19:23" x14ac:dyDescent="0.2">
      <c r="S563" s="87" t="s">
        <v>6166</v>
      </c>
      <c r="T563" s="87" t="s">
        <v>6167</v>
      </c>
      <c r="U563" s="90">
        <v>1330.2542297088003</v>
      </c>
      <c r="V563" s="89" t="s">
        <v>9344</v>
      </c>
      <c r="W563" s="90">
        <f t="shared" si="49"/>
        <v>798.15253782528009</v>
      </c>
    </row>
    <row r="564" spans="19:23" x14ac:dyDescent="0.2">
      <c r="S564" s="87" t="s">
        <v>10210</v>
      </c>
      <c r="T564" s="87" t="s">
        <v>10211</v>
      </c>
      <c r="U564" s="90">
        <v>3797.4643849705276</v>
      </c>
      <c r="V564" s="89" t="s">
        <v>9344</v>
      </c>
      <c r="W564" s="90">
        <f t="shared" si="49"/>
        <v>2278.4786309823166</v>
      </c>
    </row>
    <row r="565" spans="19:23" x14ac:dyDescent="0.2">
      <c r="S565" s="480" t="s">
        <v>10212</v>
      </c>
      <c r="T565" s="480" t="s">
        <v>10213</v>
      </c>
      <c r="U565" s="504">
        <v>19322.322081977585</v>
      </c>
      <c r="V565" s="89" t="s">
        <v>9337</v>
      </c>
      <c r="W565" s="90">
        <f t="shared" si="49"/>
        <v>13718.848678204085</v>
      </c>
    </row>
    <row r="566" spans="19:23" x14ac:dyDescent="0.2">
      <c r="S566" s="480" t="s">
        <v>10214</v>
      </c>
      <c r="T566" s="480" t="s">
        <v>10215</v>
      </c>
      <c r="U566" s="504">
        <v>25014.953905908296</v>
      </c>
      <c r="V566" s="89" t="s">
        <v>9337</v>
      </c>
      <c r="W566" s="90">
        <f t="shared" si="49"/>
        <v>17760.61727319489</v>
      </c>
    </row>
    <row r="567" spans="19:23" x14ac:dyDescent="0.2">
      <c r="S567" s="480" t="s">
        <v>10216</v>
      </c>
      <c r="T567" s="480" t="s">
        <v>10217</v>
      </c>
      <c r="U567" s="504">
        <v>25014.953905908296</v>
      </c>
      <c r="V567" s="89" t="s">
        <v>9337</v>
      </c>
      <c r="W567" s="90">
        <f t="shared" si="49"/>
        <v>17760.61727319489</v>
      </c>
    </row>
    <row r="568" spans="19:23" x14ac:dyDescent="0.2">
      <c r="S568" s="480" t="s">
        <v>10218</v>
      </c>
      <c r="T568" s="480" t="s">
        <v>10219</v>
      </c>
      <c r="U568" s="504">
        <v>3776.3076107386828</v>
      </c>
      <c r="V568" s="89" t="s">
        <v>9337</v>
      </c>
      <c r="W568" s="90">
        <f t="shared" si="49"/>
        <v>2681.1784036244649</v>
      </c>
    </row>
    <row r="569" spans="19:23" x14ac:dyDescent="0.2">
      <c r="S569" s="480" t="s">
        <v>10220</v>
      </c>
      <c r="T569" s="480" t="s">
        <v>10221</v>
      </c>
      <c r="U569" s="504">
        <v>4274.1689359184684</v>
      </c>
      <c r="V569" s="89" t="s">
        <v>9337</v>
      </c>
      <c r="W569" s="90">
        <f t="shared" si="49"/>
        <v>3034.6599445021125</v>
      </c>
    </row>
    <row r="570" spans="19:23" x14ac:dyDescent="0.2">
      <c r="S570" s="480" t="s">
        <v>10222</v>
      </c>
      <c r="T570" s="480" t="s">
        <v>10223</v>
      </c>
      <c r="U570" s="504">
        <v>4274.1689359184684</v>
      </c>
      <c r="V570" s="89" t="s">
        <v>9337</v>
      </c>
      <c r="W570" s="90">
        <f t="shared" si="49"/>
        <v>3034.6599445021125</v>
      </c>
    </row>
    <row r="571" spans="19:23" x14ac:dyDescent="0.2">
      <c r="S571" s="480" t="s">
        <v>10224</v>
      </c>
      <c r="T571" s="480" t="s">
        <v>10225</v>
      </c>
      <c r="U571" s="504">
        <v>9126.1074126705807</v>
      </c>
      <c r="V571" s="89" t="s">
        <v>9337</v>
      </c>
      <c r="W571" s="90">
        <f t="shared" si="49"/>
        <v>6479.5362629961119</v>
      </c>
    </row>
    <row r="572" spans="19:23" x14ac:dyDescent="0.2">
      <c r="S572" s="87" t="s">
        <v>6459</v>
      </c>
      <c r="T572" s="87" t="s">
        <v>6460</v>
      </c>
      <c r="U572" s="90">
        <v>107594.09210880002</v>
      </c>
      <c r="V572" s="89" t="s">
        <v>9344</v>
      </c>
      <c r="W572" s="90">
        <f t="shared" si="49"/>
        <v>64556.455265280005</v>
      </c>
    </row>
    <row r="573" spans="19:23" x14ac:dyDescent="0.2">
      <c r="S573" s="87" t="s">
        <v>6300</v>
      </c>
      <c r="T573" s="87" t="s">
        <v>6301</v>
      </c>
      <c r="U573" s="90">
        <v>124367.84</v>
      </c>
      <c r="V573" s="89" t="s">
        <v>9344</v>
      </c>
      <c r="W573" s="90">
        <f t="shared" si="49"/>
        <v>74620.703999999998</v>
      </c>
    </row>
    <row r="574" spans="19:23" x14ac:dyDescent="0.2">
      <c r="S574" s="87" t="s">
        <v>6303</v>
      </c>
      <c r="T574" s="87" t="s">
        <v>6304</v>
      </c>
      <c r="U574" s="90">
        <v>116201.61947750402</v>
      </c>
      <c r="V574" s="89" t="s">
        <v>9344</v>
      </c>
      <c r="W574" s="90">
        <f t="shared" si="49"/>
        <v>69720.971686502409</v>
      </c>
    </row>
    <row r="575" spans="19:23" x14ac:dyDescent="0.2">
      <c r="S575" s="87" t="s">
        <v>6306</v>
      </c>
      <c r="T575" s="87" t="s">
        <v>6307</v>
      </c>
      <c r="U575" s="90">
        <v>182714.33096294405</v>
      </c>
      <c r="V575" s="89" t="s">
        <v>9344</v>
      </c>
      <c r="W575" s="90">
        <f t="shared" si="49"/>
        <v>109628.59857776643</v>
      </c>
    </row>
    <row r="576" spans="19:23" x14ac:dyDescent="0.2">
      <c r="S576" s="87" t="s">
        <v>6309</v>
      </c>
      <c r="T576" s="87" t="s">
        <v>6310</v>
      </c>
      <c r="U576" s="90">
        <v>241402.01756774407</v>
      </c>
      <c r="V576" s="89" t="s">
        <v>9344</v>
      </c>
      <c r="W576" s="90">
        <f t="shared" si="49"/>
        <v>144841.21054064643</v>
      </c>
    </row>
    <row r="577" spans="19:23" x14ac:dyDescent="0.2">
      <c r="S577" s="87" t="s">
        <v>6267</v>
      </c>
      <c r="T577" s="87" t="s">
        <v>6268</v>
      </c>
      <c r="U577" s="90">
        <v>1511.0291993916678</v>
      </c>
      <c r="V577" s="89" t="s">
        <v>9344</v>
      </c>
      <c r="W577" s="90">
        <f t="shared" si="49"/>
        <v>906.61751963500069</v>
      </c>
    </row>
    <row r="578" spans="19:23" x14ac:dyDescent="0.2">
      <c r="S578" s="87" t="s">
        <v>6270</v>
      </c>
      <c r="T578" s="87" t="s">
        <v>6271</v>
      </c>
      <c r="U578" s="90">
        <v>1632.2846289724805</v>
      </c>
      <c r="V578" s="89" t="s">
        <v>9344</v>
      </c>
      <c r="W578" s="90">
        <f t="shared" si="49"/>
        <v>979.3707773834883</v>
      </c>
    </row>
    <row r="579" spans="19:23" x14ac:dyDescent="0.2">
      <c r="S579" s="87" t="s">
        <v>6273</v>
      </c>
      <c r="T579" s="87" t="s">
        <v>6274</v>
      </c>
      <c r="U579" s="90">
        <v>1865.4681473971207</v>
      </c>
      <c r="V579" s="89" t="s">
        <v>9344</v>
      </c>
      <c r="W579" s="90">
        <f t="shared" si="49"/>
        <v>1119.2808884382723</v>
      </c>
    </row>
    <row r="580" spans="19:23" x14ac:dyDescent="0.2">
      <c r="S580" s="87" t="s">
        <v>10226</v>
      </c>
      <c r="T580" s="87" t="s">
        <v>10227</v>
      </c>
      <c r="U580" s="90">
        <v>2052.0149621368328</v>
      </c>
      <c r="V580" s="89" t="s">
        <v>9344</v>
      </c>
      <c r="W580" s="90">
        <f t="shared" si="49"/>
        <v>1231.2089772820996</v>
      </c>
    </row>
    <row r="581" spans="19:23" x14ac:dyDescent="0.2">
      <c r="S581" s="87" t="s">
        <v>6124</v>
      </c>
      <c r="T581" s="87" t="s">
        <v>6125</v>
      </c>
      <c r="U581" s="90">
        <v>1430.4390013837442</v>
      </c>
      <c r="V581" s="89" t="s">
        <v>9344</v>
      </c>
      <c r="W581" s="90">
        <f t="shared" si="49"/>
        <v>858.2634008302465</v>
      </c>
    </row>
    <row r="582" spans="19:23" x14ac:dyDescent="0.2">
      <c r="S582" s="87" t="s">
        <v>6127</v>
      </c>
      <c r="T582" s="87" t="s">
        <v>6128</v>
      </c>
      <c r="U582" s="90">
        <v>1476.5821949767685</v>
      </c>
      <c r="V582" s="89" t="s">
        <v>9344</v>
      </c>
      <c r="W582" s="90">
        <f t="shared" si="49"/>
        <v>885.94931698606104</v>
      </c>
    </row>
    <row r="583" spans="19:23" x14ac:dyDescent="0.2">
      <c r="S583" s="87" t="s">
        <v>6130</v>
      </c>
      <c r="T583" s="87" t="s">
        <v>6131</v>
      </c>
      <c r="U583" s="90">
        <v>1799.5845501279366</v>
      </c>
      <c r="V583" s="89" t="s">
        <v>9344</v>
      </c>
      <c r="W583" s="90">
        <f t="shared" si="49"/>
        <v>1079.750730076762</v>
      </c>
    </row>
    <row r="584" spans="19:23" x14ac:dyDescent="0.2">
      <c r="S584" s="87" t="s">
        <v>6133</v>
      </c>
      <c r="T584" s="87" t="s">
        <v>6134</v>
      </c>
      <c r="U584" s="90">
        <v>1799.5845501279366</v>
      </c>
      <c r="V584" s="89" t="s">
        <v>9344</v>
      </c>
      <c r="W584" s="90">
        <f t="shared" si="49"/>
        <v>1079.750730076762</v>
      </c>
    </row>
    <row r="585" spans="19:23" x14ac:dyDescent="0.2">
      <c r="S585" s="87" t="s">
        <v>6347</v>
      </c>
      <c r="T585" s="87" t="s">
        <v>6348</v>
      </c>
      <c r="U585" s="90">
        <v>2621.6270501100489</v>
      </c>
      <c r="V585" s="89" t="s">
        <v>9344</v>
      </c>
      <c r="W585" s="90">
        <f t="shared" si="49"/>
        <v>1572.9762300660293</v>
      </c>
    </row>
    <row r="586" spans="19:23" x14ac:dyDescent="0.2">
      <c r="S586" s="87" t="s">
        <v>6288</v>
      </c>
      <c r="T586" s="87" t="s">
        <v>6289</v>
      </c>
      <c r="U586" s="90">
        <v>4256.0310325800974</v>
      </c>
      <c r="V586" s="89" t="s">
        <v>9344</v>
      </c>
      <c r="W586" s="90">
        <f t="shared" si="49"/>
        <v>2553.6186195480582</v>
      </c>
    </row>
    <row r="587" spans="19:23" x14ac:dyDescent="0.2">
      <c r="S587" s="87" t="s">
        <v>6291</v>
      </c>
      <c r="T587" s="87" t="s">
        <v>6292</v>
      </c>
      <c r="U587" s="90">
        <v>5037.7510181560338</v>
      </c>
      <c r="V587" s="89" t="s">
        <v>9344</v>
      </c>
      <c r="W587" s="90">
        <f t="shared" si="49"/>
        <v>3022.6506108936201</v>
      </c>
    </row>
    <row r="588" spans="19:23" x14ac:dyDescent="0.2">
      <c r="S588" s="87" t="s">
        <v>6294</v>
      </c>
      <c r="T588" s="87" t="s">
        <v>6295</v>
      </c>
      <c r="U588" s="90">
        <v>5037.7510181560338</v>
      </c>
      <c r="V588" s="89" t="s">
        <v>9344</v>
      </c>
      <c r="W588" s="90">
        <f t="shared" si="49"/>
        <v>3022.6506108936201</v>
      </c>
    </row>
    <row r="589" spans="19:23" x14ac:dyDescent="0.2">
      <c r="S589" s="87" t="s">
        <v>6297</v>
      </c>
      <c r="T589" s="87" t="s">
        <v>6298</v>
      </c>
      <c r="U589" s="90">
        <v>4538.5144307711998</v>
      </c>
      <c r="V589" s="89" t="s">
        <v>9344</v>
      </c>
      <c r="W589" s="90">
        <f t="shared" si="49"/>
        <v>2723.1086584627196</v>
      </c>
    </row>
    <row r="590" spans="19:23" x14ac:dyDescent="0.2">
      <c r="S590" s="87" t="s">
        <v>10228</v>
      </c>
      <c r="T590" s="87" t="s">
        <v>10229</v>
      </c>
      <c r="U590" s="90">
        <v>3364.7606986752007</v>
      </c>
      <c r="V590" s="89" t="s">
        <v>9344</v>
      </c>
      <c r="W590" s="90">
        <f t="shared" si="49"/>
        <v>2018.8564192051203</v>
      </c>
    </row>
    <row r="591" spans="19:23" x14ac:dyDescent="0.2">
      <c r="S591" s="87" t="s">
        <v>10230</v>
      </c>
      <c r="T591" s="87" t="s">
        <v>10231</v>
      </c>
      <c r="U591" s="90">
        <v>3364.7606986752007</v>
      </c>
      <c r="V591" s="89" t="s">
        <v>9344</v>
      </c>
      <c r="W591" s="90">
        <f t="shared" si="49"/>
        <v>2018.8564192051203</v>
      </c>
    </row>
    <row r="592" spans="19:23" x14ac:dyDescent="0.2">
      <c r="S592" s="87" t="s">
        <v>10232</v>
      </c>
      <c r="T592" s="87" t="s">
        <v>10233</v>
      </c>
      <c r="U592" s="90">
        <v>8083.6953053875222</v>
      </c>
      <c r="V592" s="89" t="s">
        <v>9344</v>
      </c>
      <c r="W592" s="90">
        <f t="shared" si="49"/>
        <v>4850.217183232513</v>
      </c>
    </row>
    <row r="593" spans="19:23" x14ac:dyDescent="0.2">
      <c r="S593" s="87" t="s">
        <v>10234</v>
      </c>
      <c r="T593" s="87" t="s">
        <v>10235</v>
      </c>
      <c r="U593" s="90">
        <v>8601.8809018867196</v>
      </c>
      <c r="V593" s="89" t="s">
        <v>9344</v>
      </c>
      <c r="W593" s="90">
        <f t="shared" si="49"/>
        <v>5161.1285411320314</v>
      </c>
    </row>
    <row r="594" spans="19:23" x14ac:dyDescent="0.2">
      <c r="S594" s="87" t="s">
        <v>10236</v>
      </c>
      <c r="T594" s="87" t="s">
        <v>10237</v>
      </c>
      <c r="U594" s="90">
        <v>11187.580072876654</v>
      </c>
      <c r="V594" s="89" t="s">
        <v>9344</v>
      </c>
      <c r="W594" s="90">
        <f t="shared" si="49"/>
        <v>6712.5480437259921</v>
      </c>
    </row>
    <row r="595" spans="19:23" x14ac:dyDescent="0.2">
      <c r="S595" s="87" t="s">
        <v>10238</v>
      </c>
      <c r="T595" s="87" t="s">
        <v>10239</v>
      </c>
      <c r="U595" s="90">
        <v>12403.706943529889</v>
      </c>
      <c r="V595" s="89" t="s">
        <v>9344</v>
      </c>
      <c r="W595" s="90">
        <f t="shared" si="49"/>
        <v>7442.2241661179332</v>
      </c>
    </row>
    <row r="596" spans="19:23" x14ac:dyDescent="0.2">
      <c r="S596" s="87" t="s">
        <v>6169</v>
      </c>
      <c r="T596" s="87" t="s">
        <v>6170</v>
      </c>
      <c r="U596" s="90">
        <v>1753.5400585532936</v>
      </c>
      <c r="V596" s="89" t="s">
        <v>9344</v>
      </c>
      <c r="W596" s="90">
        <f t="shared" si="49"/>
        <v>1052.1240351319761</v>
      </c>
    </row>
    <row r="597" spans="19:23" x14ac:dyDescent="0.2">
      <c r="S597" s="87" t="s">
        <v>6172</v>
      </c>
      <c r="T597" s="87" t="s">
        <v>6173</v>
      </c>
      <c r="U597" s="90">
        <v>2052.0149621368328</v>
      </c>
      <c r="V597" s="89" t="s">
        <v>9344</v>
      </c>
      <c r="W597" s="90">
        <f t="shared" si="49"/>
        <v>1231.2089772820996</v>
      </c>
    </row>
    <row r="598" spans="19:23" x14ac:dyDescent="0.2">
      <c r="S598" s="87" t="s">
        <v>10240</v>
      </c>
      <c r="T598" s="87" t="s">
        <v>10241</v>
      </c>
      <c r="U598" s="90">
        <v>1912.1048510820485</v>
      </c>
      <c r="V598" s="89" t="s">
        <v>9344</v>
      </c>
      <c r="W598" s="90">
        <f t="shared" si="49"/>
        <v>1147.2629106492291</v>
      </c>
    </row>
    <row r="599" spans="19:23" x14ac:dyDescent="0.2">
      <c r="S599" s="87" t="s">
        <v>6175</v>
      </c>
      <c r="T599" s="87" t="s">
        <v>6176</v>
      </c>
      <c r="U599" s="90">
        <v>2098.6516658217606</v>
      </c>
      <c r="V599" s="89" t="s">
        <v>9344</v>
      </c>
      <c r="W599" s="90">
        <f t="shared" si="49"/>
        <v>1259.1909994930563</v>
      </c>
    </row>
    <row r="600" spans="19:23" x14ac:dyDescent="0.2">
      <c r="S600" s="87" t="s">
        <v>6178</v>
      </c>
      <c r="T600" s="87" t="s">
        <v>6179</v>
      </c>
      <c r="U600" s="90">
        <v>2219.9070954025733</v>
      </c>
      <c r="V600" s="89" t="s">
        <v>9344</v>
      </c>
      <c r="W600" s="90">
        <f t="shared" si="49"/>
        <v>1331.9442572415439</v>
      </c>
    </row>
    <row r="601" spans="19:23" x14ac:dyDescent="0.2">
      <c r="S601" s="87" t="s">
        <v>6181</v>
      </c>
      <c r="T601" s="87" t="s">
        <v>6182</v>
      </c>
      <c r="U601" s="90">
        <v>2872.820946991566</v>
      </c>
      <c r="V601" s="89" t="s">
        <v>9344</v>
      </c>
      <c r="W601" s="90">
        <f t="shared" ref="W601:W664" si="50">+IF(V601="Nacional",(1-$AA$1)*U601,(1-$AA$2)*U601)</f>
        <v>1723.6925681949394</v>
      </c>
    </row>
    <row r="602" spans="19:23" x14ac:dyDescent="0.2">
      <c r="S602" s="87" t="s">
        <v>6184</v>
      </c>
      <c r="T602" s="87" t="s">
        <v>6185</v>
      </c>
      <c r="U602" s="90">
        <v>2658.2921100408967</v>
      </c>
      <c r="V602" s="89" t="s">
        <v>9344</v>
      </c>
      <c r="W602" s="90">
        <f t="shared" si="50"/>
        <v>1594.9752660245379</v>
      </c>
    </row>
    <row r="603" spans="19:23" x14ac:dyDescent="0.2">
      <c r="S603" s="87" t="s">
        <v>10242</v>
      </c>
      <c r="T603" s="87" t="s">
        <v>10243</v>
      </c>
      <c r="U603" s="90">
        <v>3264.569257944961</v>
      </c>
      <c r="V603" s="89" t="s">
        <v>9344</v>
      </c>
      <c r="W603" s="90">
        <f t="shared" si="50"/>
        <v>1958.7415547669766</v>
      </c>
    </row>
    <row r="604" spans="19:23" x14ac:dyDescent="0.2">
      <c r="S604" s="87" t="s">
        <v>10244</v>
      </c>
      <c r="T604" s="87" t="s">
        <v>10245</v>
      </c>
      <c r="U604" s="90">
        <v>4430.4868500681614</v>
      </c>
      <c r="V604" s="89" t="s">
        <v>9344</v>
      </c>
      <c r="W604" s="90">
        <f t="shared" si="50"/>
        <v>2658.2921100408967</v>
      </c>
    </row>
    <row r="605" spans="19:23" x14ac:dyDescent="0.2">
      <c r="S605" s="87" t="s">
        <v>10246</v>
      </c>
      <c r="T605" s="87" t="s">
        <v>10247</v>
      </c>
      <c r="U605" s="90">
        <v>1140.0083122982405</v>
      </c>
      <c r="V605" s="89" t="s">
        <v>9344</v>
      </c>
      <c r="W605" s="90">
        <f t="shared" si="50"/>
        <v>684.00498737894429</v>
      </c>
    </row>
    <row r="606" spans="19:23" x14ac:dyDescent="0.2">
      <c r="S606" s="87" t="s">
        <v>10248</v>
      </c>
      <c r="T606" s="87" t="s">
        <v>10249</v>
      </c>
      <c r="U606" s="90">
        <v>1347.2825508979201</v>
      </c>
      <c r="V606" s="89" t="s">
        <v>9344</v>
      </c>
      <c r="W606" s="90">
        <f t="shared" si="50"/>
        <v>808.36953053875209</v>
      </c>
    </row>
    <row r="607" spans="19:23" x14ac:dyDescent="0.2">
      <c r="S607" s="87" t="s">
        <v>10250</v>
      </c>
      <c r="T607" s="87" t="s">
        <v>10251</v>
      </c>
      <c r="U607" s="90">
        <v>1554.5567894976002</v>
      </c>
      <c r="V607" s="89" t="s">
        <v>9344</v>
      </c>
      <c r="W607" s="90">
        <f t="shared" si="50"/>
        <v>932.73407369856011</v>
      </c>
    </row>
    <row r="608" spans="19:23" x14ac:dyDescent="0.2">
      <c r="S608" s="87" t="s">
        <v>10252</v>
      </c>
      <c r="T608" s="87" t="s">
        <v>10253</v>
      </c>
      <c r="U608" s="90">
        <v>1741.1036042373123</v>
      </c>
      <c r="V608" s="89" t="s">
        <v>9344</v>
      </c>
      <c r="W608" s="90">
        <f t="shared" si="50"/>
        <v>1044.6621625423873</v>
      </c>
    </row>
    <row r="609" spans="19:23" x14ac:dyDescent="0.2">
      <c r="S609" s="87" t="s">
        <v>6276</v>
      </c>
      <c r="T609" s="87" t="s">
        <v>6277</v>
      </c>
      <c r="U609" s="90">
        <v>777.27839474880011</v>
      </c>
      <c r="V609" s="89" t="s">
        <v>9344</v>
      </c>
      <c r="W609" s="90">
        <f t="shared" si="50"/>
        <v>466.36703684928005</v>
      </c>
    </row>
    <row r="610" spans="19:23" x14ac:dyDescent="0.2">
      <c r="S610" s="87" t="s">
        <v>6279</v>
      </c>
      <c r="T610" s="87" t="s">
        <v>6280</v>
      </c>
      <c r="U610" s="90">
        <v>932.73407369856011</v>
      </c>
      <c r="V610" s="89" t="s">
        <v>9344</v>
      </c>
      <c r="W610" s="90">
        <f t="shared" si="50"/>
        <v>559.64044421913604</v>
      </c>
    </row>
    <row r="611" spans="19:23" x14ac:dyDescent="0.2">
      <c r="S611" s="87" t="s">
        <v>6282</v>
      </c>
      <c r="T611" s="87" t="s">
        <v>6283</v>
      </c>
      <c r="U611" s="90">
        <v>1120.4012897279999</v>
      </c>
      <c r="V611" s="89" t="s">
        <v>9344</v>
      </c>
      <c r="W611" s="90">
        <f t="shared" si="50"/>
        <v>672.24077383679992</v>
      </c>
    </row>
    <row r="612" spans="19:23" x14ac:dyDescent="0.2">
      <c r="S612" s="87" t="s">
        <v>6285</v>
      </c>
      <c r="T612" s="87" t="s">
        <v>6286</v>
      </c>
      <c r="U612" s="90">
        <v>1295.4639912480002</v>
      </c>
      <c r="V612" s="89" t="s">
        <v>9344</v>
      </c>
      <c r="W612" s="90">
        <f t="shared" si="50"/>
        <v>777.27839474880011</v>
      </c>
    </row>
    <row r="613" spans="19:23" x14ac:dyDescent="0.2">
      <c r="S613" s="87" t="s">
        <v>10254</v>
      </c>
      <c r="T613" s="87" t="s">
        <v>10255</v>
      </c>
      <c r="U613" s="90">
        <v>32311.306146908173</v>
      </c>
      <c r="V613" s="89" t="s">
        <v>9344</v>
      </c>
      <c r="W613" s="90">
        <f t="shared" si="50"/>
        <v>19386.783688144904</v>
      </c>
    </row>
    <row r="614" spans="19:23" x14ac:dyDescent="0.2">
      <c r="S614" s="87" t="s">
        <v>10256</v>
      </c>
      <c r="T614" s="87" t="s">
        <v>10257</v>
      </c>
      <c r="U614" s="90">
        <v>10738.086018080259</v>
      </c>
      <c r="V614" s="89" t="s">
        <v>9344</v>
      </c>
      <c r="W614" s="90">
        <f t="shared" si="50"/>
        <v>6442.8516108481554</v>
      </c>
    </row>
    <row r="615" spans="19:23" x14ac:dyDescent="0.2">
      <c r="S615" s="87" t="s">
        <v>10258</v>
      </c>
      <c r="T615" s="87" t="s">
        <v>10259</v>
      </c>
      <c r="U615" s="90">
        <v>15293.637662114306</v>
      </c>
      <c r="V615" s="89" t="s">
        <v>9344</v>
      </c>
      <c r="W615" s="90">
        <f t="shared" si="50"/>
        <v>9176.1825972685838</v>
      </c>
    </row>
    <row r="616" spans="19:23" x14ac:dyDescent="0.2">
      <c r="S616" s="87" t="s">
        <v>10260</v>
      </c>
      <c r="T616" s="87" t="s">
        <v>10261</v>
      </c>
      <c r="U616" s="90">
        <v>15931.11042767463</v>
      </c>
      <c r="V616" s="89" t="s">
        <v>9344</v>
      </c>
      <c r="W616" s="90">
        <f t="shared" si="50"/>
        <v>9558.666256604778</v>
      </c>
    </row>
    <row r="617" spans="19:23" x14ac:dyDescent="0.2">
      <c r="S617" s="87" t="s">
        <v>10262</v>
      </c>
      <c r="T617" s="87" t="s">
        <v>10263</v>
      </c>
      <c r="U617" s="90">
        <v>4749.6478293688315</v>
      </c>
      <c r="V617" s="89" t="s">
        <v>9344</v>
      </c>
      <c r="W617" s="90">
        <f t="shared" si="50"/>
        <v>2849.788697621299</v>
      </c>
    </row>
    <row r="618" spans="19:23" x14ac:dyDescent="0.2">
      <c r="S618" s="87" t="s">
        <v>10264</v>
      </c>
      <c r="T618" s="87" t="s">
        <v>10263</v>
      </c>
      <c r="U618" s="90">
        <v>6036.0107831562245</v>
      </c>
      <c r="V618" s="89" t="s">
        <v>9344</v>
      </c>
      <c r="W618" s="90">
        <f t="shared" si="50"/>
        <v>3621.6064698937348</v>
      </c>
    </row>
    <row r="619" spans="19:23" x14ac:dyDescent="0.2">
      <c r="S619" s="87" t="s">
        <v>10265</v>
      </c>
      <c r="T619" s="87" t="s">
        <v>10266</v>
      </c>
      <c r="U619" s="90">
        <v>3067.4808898007045</v>
      </c>
      <c r="V619" s="89" t="s">
        <v>9344</v>
      </c>
      <c r="W619" s="90">
        <f t="shared" si="50"/>
        <v>1840.4885338804227</v>
      </c>
    </row>
    <row r="620" spans="19:23" x14ac:dyDescent="0.2">
      <c r="S620" s="87" t="s">
        <v>10267</v>
      </c>
      <c r="T620" s="87" t="s">
        <v>10268</v>
      </c>
      <c r="U620" s="90">
        <v>3859.0888613621769</v>
      </c>
      <c r="V620" s="89" t="s">
        <v>9344</v>
      </c>
      <c r="W620" s="90">
        <f t="shared" si="50"/>
        <v>2315.4533168173061</v>
      </c>
    </row>
    <row r="621" spans="19:23" x14ac:dyDescent="0.2">
      <c r="S621" s="480" t="s">
        <v>10269</v>
      </c>
      <c r="T621" s="480" t="s">
        <v>10270</v>
      </c>
      <c r="U621" s="504">
        <v>1252.4587209828574</v>
      </c>
      <c r="V621" s="89" t="s">
        <v>9337</v>
      </c>
      <c r="W621" s="90">
        <f t="shared" si="50"/>
        <v>889.24569189782869</v>
      </c>
    </row>
    <row r="622" spans="19:23" x14ac:dyDescent="0.2">
      <c r="S622" s="480" t="s">
        <v>10271</v>
      </c>
      <c r="T622" s="480" t="s">
        <v>10272</v>
      </c>
      <c r="U622" s="504">
        <v>1650.9020070400002</v>
      </c>
      <c r="V622" s="89" t="s">
        <v>9337</v>
      </c>
      <c r="W622" s="90">
        <f t="shared" si="50"/>
        <v>1172.1404249984</v>
      </c>
    </row>
    <row r="623" spans="19:23" x14ac:dyDescent="0.2">
      <c r="S623" s="480" t="s">
        <v>10273</v>
      </c>
      <c r="T623" s="480" t="s">
        <v>10274</v>
      </c>
      <c r="U623" s="504">
        <v>2498.2633930481643</v>
      </c>
      <c r="V623" s="89" t="s">
        <v>9337</v>
      </c>
      <c r="W623" s="90">
        <f t="shared" si="50"/>
        <v>1773.7670090641966</v>
      </c>
    </row>
    <row r="624" spans="19:23" x14ac:dyDescent="0.2">
      <c r="S624" s="480" t="s">
        <v>10275</v>
      </c>
      <c r="T624" s="480" t="s">
        <v>10276</v>
      </c>
      <c r="U624" s="504">
        <v>2607.4663677453068</v>
      </c>
      <c r="V624" s="89" t="s">
        <v>9337</v>
      </c>
      <c r="W624" s="90">
        <f t="shared" si="50"/>
        <v>1851.3011210991676</v>
      </c>
    </row>
    <row r="625" spans="19:23" x14ac:dyDescent="0.2">
      <c r="S625" s="480" t="s">
        <v>10277</v>
      </c>
      <c r="T625" s="480" t="s">
        <v>10278</v>
      </c>
      <c r="U625" s="504">
        <v>3206.6070127053072</v>
      </c>
      <c r="V625" s="89" t="s">
        <v>9337</v>
      </c>
      <c r="W625" s="90">
        <f t="shared" si="50"/>
        <v>2276.6909790207678</v>
      </c>
    </row>
    <row r="626" spans="19:23" x14ac:dyDescent="0.2">
      <c r="S626" s="480" t="s">
        <v>10279</v>
      </c>
      <c r="T626" s="480" t="s">
        <v>10280</v>
      </c>
      <c r="U626" s="504">
        <v>1547.6018958400005</v>
      </c>
      <c r="V626" s="89" t="s">
        <v>9337</v>
      </c>
      <c r="W626" s="90">
        <f t="shared" si="50"/>
        <v>1098.7973460464002</v>
      </c>
    </row>
    <row r="627" spans="19:23" x14ac:dyDescent="0.2">
      <c r="S627" s="480" t="s">
        <v>10281</v>
      </c>
      <c r="T627" s="480" t="s">
        <v>10282</v>
      </c>
      <c r="U627" s="504">
        <v>1370.5159909257143</v>
      </c>
      <c r="V627" s="89" t="s">
        <v>9337</v>
      </c>
      <c r="W627" s="90">
        <f t="shared" si="50"/>
        <v>973.06635355725712</v>
      </c>
    </row>
    <row r="628" spans="19:23" x14ac:dyDescent="0.2">
      <c r="S628" s="480" t="s">
        <v>10283</v>
      </c>
      <c r="T628" s="480" t="s">
        <v>10284</v>
      </c>
      <c r="U628" s="504">
        <v>1550.5533275885716</v>
      </c>
      <c r="V628" s="89" t="s">
        <v>9337</v>
      </c>
      <c r="W628" s="90">
        <f t="shared" si="50"/>
        <v>1100.8928625878857</v>
      </c>
    </row>
    <row r="629" spans="19:23" x14ac:dyDescent="0.2">
      <c r="S629" s="480" t="s">
        <v>10285</v>
      </c>
      <c r="T629" s="480" t="s">
        <v>10286</v>
      </c>
      <c r="U629" s="504">
        <v>1252.4587209828574</v>
      </c>
      <c r="V629" s="89" t="s">
        <v>9337</v>
      </c>
      <c r="W629" s="90">
        <f t="shared" si="50"/>
        <v>889.24569189782869</v>
      </c>
    </row>
    <row r="630" spans="19:23" x14ac:dyDescent="0.2">
      <c r="S630" s="480" t="s">
        <v>10287</v>
      </c>
      <c r="T630" s="480" t="s">
        <v>10288</v>
      </c>
      <c r="U630" s="504">
        <v>1650.9020070400002</v>
      </c>
      <c r="V630" s="89" t="s">
        <v>9337</v>
      </c>
      <c r="W630" s="90">
        <f t="shared" si="50"/>
        <v>1172.1404249984</v>
      </c>
    </row>
    <row r="631" spans="19:23" x14ac:dyDescent="0.2">
      <c r="S631" s="480" t="s">
        <v>10289</v>
      </c>
      <c r="T631" s="480" t="s">
        <v>10290</v>
      </c>
      <c r="U631" s="504">
        <v>2498.2633930481643</v>
      </c>
      <c r="V631" s="89" t="s">
        <v>9337</v>
      </c>
      <c r="W631" s="90">
        <f t="shared" si="50"/>
        <v>1773.7670090641966</v>
      </c>
    </row>
    <row r="632" spans="19:23" x14ac:dyDescent="0.2">
      <c r="S632" s="480" t="s">
        <v>10291</v>
      </c>
      <c r="T632" s="480" t="s">
        <v>10292</v>
      </c>
      <c r="U632" s="504">
        <v>2607.4663677453068</v>
      </c>
      <c r="V632" s="89" t="s">
        <v>9337</v>
      </c>
      <c r="W632" s="90">
        <f t="shared" si="50"/>
        <v>1851.3011210991676</v>
      </c>
    </row>
    <row r="633" spans="19:23" x14ac:dyDescent="0.2">
      <c r="S633" s="480" t="s">
        <v>10293</v>
      </c>
      <c r="T633" s="480" t="s">
        <v>10294</v>
      </c>
      <c r="U633" s="504">
        <v>3206.6070127053072</v>
      </c>
      <c r="V633" s="89" t="s">
        <v>9337</v>
      </c>
      <c r="W633" s="90">
        <f t="shared" si="50"/>
        <v>2276.6909790207678</v>
      </c>
    </row>
    <row r="634" spans="19:23" x14ac:dyDescent="0.2">
      <c r="S634" s="480" t="s">
        <v>10295</v>
      </c>
      <c r="T634" s="480" t="s">
        <v>10296</v>
      </c>
      <c r="U634" s="504">
        <v>1547.6018958400005</v>
      </c>
      <c r="V634" s="89" t="s">
        <v>9337</v>
      </c>
      <c r="W634" s="90">
        <f t="shared" si="50"/>
        <v>1098.7973460464002</v>
      </c>
    </row>
    <row r="635" spans="19:23" x14ac:dyDescent="0.2">
      <c r="S635" s="480" t="s">
        <v>10297</v>
      </c>
      <c r="T635" s="480" t="s">
        <v>10298</v>
      </c>
      <c r="U635" s="504">
        <v>1370.5159909257143</v>
      </c>
      <c r="V635" s="89" t="s">
        <v>9337</v>
      </c>
      <c r="W635" s="90">
        <f t="shared" si="50"/>
        <v>973.06635355725712</v>
      </c>
    </row>
    <row r="636" spans="19:23" x14ac:dyDescent="0.2">
      <c r="S636" s="480" t="s">
        <v>10299</v>
      </c>
      <c r="T636" s="480" t="s">
        <v>10300</v>
      </c>
      <c r="U636" s="504">
        <v>1550.5533275885716</v>
      </c>
      <c r="V636" s="89" t="s">
        <v>9337</v>
      </c>
      <c r="W636" s="90">
        <f t="shared" si="50"/>
        <v>1100.8928625878857</v>
      </c>
    </row>
    <row r="637" spans="19:23" x14ac:dyDescent="0.2">
      <c r="S637" s="480" t="s">
        <v>10301</v>
      </c>
      <c r="T637" s="480" t="s">
        <v>10302</v>
      </c>
      <c r="U637" s="504">
        <v>796.70651129142868</v>
      </c>
      <c r="V637" s="89" t="s">
        <v>9337</v>
      </c>
      <c r="W637" s="90">
        <f t="shared" si="50"/>
        <v>565.66162301691429</v>
      </c>
    </row>
    <row r="638" spans="19:23" x14ac:dyDescent="0.2">
      <c r="S638" s="480" t="s">
        <v>10303</v>
      </c>
      <c r="T638" s="480" t="s">
        <v>10304</v>
      </c>
      <c r="U638" s="504">
        <v>891.15232724571456</v>
      </c>
      <c r="V638" s="89" t="s">
        <v>9337</v>
      </c>
      <c r="W638" s="90">
        <f t="shared" si="50"/>
        <v>632.71815234445728</v>
      </c>
    </row>
    <row r="639" spans="19:23" x14ac:dyDescent="0.2">
      <c r="S639" s="480" t="s">
        <v>10305</v>
      </c>
      <c r="T639" s="480" t="s">
        <v>10306</v>
      </c>
      <c r="U639" s="504">
        <v>1027.1368122539684</v>
      </c>
      <c r="V639" s="89" t="s">
        <v>9337</v>
      </c>
      <c r="W639" s="90">
        <f t="shared" si="50"/>
        <v>729.26713670031756</v>
      </c>
    </row>
    <row r="640" spans="19:23" x14ac:dyDescent="0.2">
      <c r="S640" s="480" t="s">
        <v>10307</v>
      </c>
      <c r="T640" s="480" t="s">
        <v>10308</v>
      </c>
      <c r="U640" s="504">
        <v>1265.9841593142858</v>
      </c>
      <c r="V640" s="89" t="s">
        <v>9337</v>
      </c>
      <c r="W640" s="90">
        <f t="shared" si="50"/>
        <v>898.84875311314283</v>
      </c>
    </row>
    <row r="641" spans="19:23" x14ac:dyDescent="0.2">
      <c r="S641" s="480" t="s">
        <v>10309</v>
      </c>
      <c r="T641" s="480" t="s">
        <v>10310</v>
      </c>
      <c r="U641" s="504">
        <v>796.70651129142868</v>
      </c>
      <c r="V641" s="89" t="s">
        <v>9337</v>
      </c>
      <c r="W641" s="90">
        <f t="shared" si="50"/>
        <v>565.66162301691429</v>
      </c>
    </row>
    <row r="642" spans="19:23" x14ac:dyDescent="0.2">
      <c r="S642" s="480" t="s">
        <v>10311</v>
      </c>
      <c r="T642" s="480" t="s">
        <v>10312</v>
      </c>
      <c r="U642" s="504">
        <v>891.15232724571456</v>
      </c>
      <c r="V642" s="89" t="s">
        <v>9337</v>
      </c>
      <c r="W642" s="90">
        <f t="shared" si="50"/>
        <v>632.71815234445728</v>
      </c>
    </row>
    <row r="643" spans="19:23" x14ac:dyDescent="0.2">
      <c r="S643" s="480" t="s">
        <v>10313</v>
      </c>
      <c r="T643" s="480" t="s">
        <v>10314</v>
      </c>
      <c r="U643" s="504">
        <v>1027.1368122539684</v>
      </c>
      <c r="V643" s="89" t="s">
        <v>9337</v>
      </c>
      <c r="W643" s="90">
        <f t="shared" si="50"/>
        <v>729.26713670031756</v>
      </c>
    </row>
    <row r="644" spans="19:23" x14ac:dyDescent="0.2">
      <c r="S644" s="480" t="s">
        <v>10315</v>
      </c>
      <c r="T644" s="480" t="s">
        <v>10316</v>
      </c>
      <c r="U644" s="504">
        <v>1265.9841593142858</v>
      </c>
      <c r="V644" s="89" t="s">
        <v>9337</v>
      </c>
      <c r="W644" s="90">
        <f t="shared" si="50"/>
        <v>898.84875311314283</v>
      </c>
    </row>
    <row r="645" spans="19:23" x14ac:dyDescent="0.2">
      <c r="S645" s="480" t="s">
        <v>10317</v>
      </c>
      <c r="T645" s="480" t="s">
        <v>10318</v>
      </c>
      <c r="U645" s="504">
        <v>2375.2596468995125</v>
      </c>
      <c r="V645" s="89" t="s">
        <v>9337</v>
      </c>
      <c r="W645" s="90">
        <f t="shared" si="50"/>
        <v>1686.4343492986538</v>
      </c>
    </row>
    <row r="646" spans="19:23" x14ac:dyDescent="0.2">
      <c r="S646" s="480" t="s">
        <v>10319</v>
      </c>
      <c r="T646" s="480" t="s">
        <v>10320</v>
      </c>
      <c r="U646" s="504">
        <v>2437.0345117485722</v>
      </c>
      <c r="V646" s="89" t="s">
        <v>9337</v>
      </c>
      <c r="W646" s="90">
        <f t="shared" si="50"/>
        <v>1730.2945033414862</v>
      </c>
    </row>
    <row r="647" spans="19:23" x14ac:dyDescent="0.2">
      <c r="S647" s="480" t="s">
        <v>10321</v>
      </c>
      <c r="T647" s="480" t="s">
        <v>10322</v>
      </c>
      <c r="U647" s="504">
        <v>2680.0357257142859</v>
      </c>
      <c r="V647" s="89" t="s">
        <v>9337</v>
      </c>
      <c r="W647" s="90">
        <f t="shared" si="50"/>
        <v>1902.8253652571429</v>
      </c>
    </row>
    <row r="648" spans="19:23" x14ac:dyDescent="0.2">
      <c r="S648" s="480" t="s">
        <v>10323</v>
      </c>
      <c r="T648" s="480" t="s">
        <v>10324</v>
      </c>
      <c r="U648" s="504">
        <v>3497.4363419047627</v>
      </c>
      <c r="V648" s="89" t="s">
        <v>9337</v>
      </c>
      <c r="W648" s="90">
        <f t="shared" si="50"/>
        <v>2483.1798027523814</v>
      </c>
    </row>
    <row r="649" spans="19:23" x14ac:dyDescent="0.2">
      <c r="S649" s="480" t="s">
        <v>10325</v>
      </c>
      <c r="T649" s="480" t="s">
        <v>10326</v>
      </c>
      <c r="U649" s="504">
        <v>2375.2596468995125</v>
      </c>
      <c r="V649" s="89" t="s">
        <v>9337</v>
      </c>
      <c r="W649" s="90">
        <f t="shared" si="50"/>
        <v>1686.4343492986538</v>
      </c>
    </row>
    <row r="650" spans="19:23" x14ac:dyDescent="0.2">
      <c r="S650" s="480" t="s">
        <v>10327</v>
      </c>
      <c r="T650" s="480" t="s">
        <v>10328</v>
      </c>
      <c r="U650" s="504">
        <v>2437.0345117485722</v>
      </c>
      <c r="V650" s="89" t="s">
        <v>9337</v>
      </c>
      <c r="W650" s="90">
        <f t="shared" si="50"/>
        <v>1730.2945033414862</v>
      </c>
    </row>
    <row r="651" spans="19:23" x14ac:dyDescent="0.2">
      <c r="S651" s="480" t="s">
        <v>10329</v>
      </c>
      <c r="T651" s="480" t="s">
        <v>10330</v>
      </c>
      <c r="U651" s="504">
        <v>2680.0357257142859</v>
      </c>
      <c r="V651" s="89" t="s">
        <v>9337</v>
      </c>
      <c r="W651" s="90">
        <f t="shared" si="50"/>
        <v>1902.8253652571429</v>
      </c>
    </row>
    <row r="652" spans="19:23" x14ac:dyDescent="0.2">
      <c r="S652" s="480" t="s">
        <v>10331</v>
      </c>
      <c r="T652" s="480" t="s">
        <v>10332</v>
      </c>
      <c r="U652" s="504">
        <v>3497.4363419047627</v>
      </c>
      <c r="V652" s="89" t="s">
        <v>9337</v>
      </c>
      <c r="W652" s="90">
        <f t="shared" si="50"/>
        <v>2483.1798027523814</v>
      </c>
    </row>
    <row r="653" spans="19:23" x14ac:dyDescent="0.2">
      <c r="S653" s="87" t="s">
        <v>10333</v>
      </c>
      <c r="T653" s="87" t="s">
        <v>10334</v>
      </c>
      <c r="U653" s="90">
        <v>12105.313490350081</v>
      </c>
      <c r="V653" s="89" t="s">
        <v>9344</v>
      </c>
      <c r="W653" s="90">
        <f t="shared" si="50"/>
        <v>7263.1880942100488</v>
      </c>
    </row>
    <row r="654" spans="19:23" x14ac:dyDescent="0.2">
      <c r="S654" s="87" t="s">
        <v>10335</v>
      </c>
      <c r="T654" s="87" t="s">
        <v>10336</v>
      </c>
      <c r="U654" s="90">
        <v>15117.94806939648</v>
      </c>
      <c r="V654" s="89" t="s">
        <v>9344</v>
      </c>
      <c r="W654" s="90">
        <f t="shared" si="50"/>
        <v>9070.7688416378878</v>
      </c>
    </row>
    <row r="655" spans="19:23" x14ac:dyDescent="0.2">
      <c r="S655" s="87" t="s">
        <v>10337</v>
      </c>
      <c r="T655" s="87" t="s">
        <v>10338</v>
      </c>
      <c r="U655" s="90">
        <v>14641.404054165505</v>
      </c>
      <c r="V655" s="89" t="s">
        <v>9344</v>
      </c>
      <c r="W655" s="90">
        <f t="shared" si="50"/>
        <v>8784.842432499303</v>
      </c>
    </row>
    <row r="656" spans="19:23" x14ac:dyDescent="0.2">
      <c r="S656" s="87" t="s">
        <v>10339</v>
      </c>
      <c r="T656" s="87" t="s">
        <v>10340</v>
      </c>
      <c r="U656" s="90">
        <v>14641.404054165505</v>
      </c>
      <c r="V656" s="89" t="s">
        <v>9344</v>
      </c>
      <c r="W656" s="90">
        <f t="shared" si="50"/>
        <v>8784.842432499303</v>
      </c>
    </row>
    <row r="657" spans="19:23" x14ac:dyDescent="0.2">
      <c r="S657" s="87" t="s">
        <v>10341</v>
      </c>
      <c r="T657" s="87" t="s">
        <v>10342</v>
      </c>
      <c r="U657" s="90">
        <v>153644.36353136643</v>
      </c>
      <c r="V657" s="89" t="s">
        <v>9344</v>
      </c>
      <c r="W657" s="90">
        <f t="shared" si="50"/>
        <v>92186.618118819853</v>
      </c>
    </row>
    <row r="658" spans="19:23" x14ac:dyDescent="0.2">
      <c r="S658" s="87" t="s">
        <v>10343</v>
      </c>
      <c r="T658" s="87" t="s">
        <v>10344</v>
      </c>
      <c r="U658" s="90">
        <v>24262.023166848008</v>
      </c>
      <c r="V658" s="89" t="s">
        <v>9344</v>
      </c>
      <c r="W658" s="90">
        <f t="shared" si="50"/>
        <v>14557.213900108805</v>
      </c>
    </row>
    <row r="659" spans="19:23" x14ac:dyDescent="0.2">
      <c r="S659" s="87" t="s">
        <v>10345</v>
      </c>
      <c r="T659" s="87" t="s">
        <v>10346</v>
      </c>
      <c r="U659" s="90">
        <v>6877.0942529402882</v>
      </c>
      <c r="V659" s="89" t="s">
        <v>9344</v>
      </c>
      <c r="W659" s="90">
        <f t="shared" si="50"/>
        <v>4126.2565517641724</v>
      </c>
    </row>
    <row r="660" spans="19:23" x14ac:dyDescent="0.2">
      <c r="S660" s="87" t="s">
        <v>10347</v>
      </c>
      <c r="T660" s="87" t="s">
        <v>10348</v>
      </c>
      <c r="U660" s="90">
        <v>8410.8346978406444</v>
      </c>
      <c r="V660" s="89" t="s">
        <v>9344</v>
      </c>
      <c r="W660" s="90">
        <f t="shared" si="50"/>
        <v>5046.5008187043868</v>
      </c>
    </row>
    <row r="661" spans="19:23" x14ac:dyDescent="0.2">
      <c r="S661" s="87" t="s">
        <v>10349</v>
      </c>
      <c r="T661" s="87" t="s">
        <v>10350</v>
      </c>
      <c r="U661" s="90">
        <v>4056.990854252545</v>
      </c>
      <c r="V661" s="89" t="s">
        <v>9344</v>
      </c>
      <c r="W661" s="90">
        <f t="shared" si="50"/>
        <v>2434.1945125515267</v>
      </c>
    </row>
    <row r="662" spans="19:23" x14ac:dyDescent="0.2">
      <c r="S662" s="87" t="s">
        <v>10351</v>
      </c>
      <c r="T662" s="87" t="s">
        <v>10352</v>
      </c>
      <c r="U662" s="90">
        <v>5095.9763169269772</v>
      </c>
      <c r="V662" s="89" t="s">
        <v>9344</v>
      </c>
      <c r="W662" s="90">
        <f t="shared" si="50"/>
        <v>3057.5857901561862</v>
      </c>
    </row>
    <row r="663" spans="19:23" x14ac:dyDescent="0.2">
      <c r="S663" s="87" t="s">
        <v>10353</v>
      </c>
      <c r="T663" s="87" t="s">
        <v>10354</v>
      </c>
      <c r="U663" s="90">
        <v>13797.866372032513</v>
      </c>
      <c r="V663" s="89" t="s">
        <v>9344</v>
      </c>
      <c r="W663" s="90">
        <f t="shared" si="50"/>
        <v>8278.7198232195078</v>
      </c>
    </row>
    <row r="664" spans="19:23" x14ac:dyDescent="0.2">
      <c r="S664" s="87" t="s">
        <v>10355</v>
      </c>
      <c r="T664" s="87" t="s">
        <v>10356</v>
      </c>
      <c r="U664" s="90">
        <v>18377.070932183044</v>
      </c>
      <c r="V664" s="89" t="s">
        <v>9344</v>
      </c>
      <c r="W664" s="90">
        <f t="shared" si="50"/>
        <v>11026.242559309825</v>
      </c>
    </row>
    <row r="665" spans="19:23" x14ac:dyDescent="0.2">
      <c r="S665" s="87" t="s">
        <v>10357</v>
      </c>
      <c r="T665" s="87" t="s">
        <v>10358</v>
      </c>
      <c r="U665" s="90">
        <v>16087.468652107777</v>
      </c>
      <c r="V665" s="89" t="s">
        <v>9344</v>
      </c>
      <c r="W665" s="90">
        <f t="shared" ref="W665:W728" si="51">+IF(V665="Nacional",(1-$AA$1)*U665,(1-$AA$2)*U665)</f>
        <v>9652.4811912646655</v>
      </c>
    </row>
    <row r="666" spans="19:23" x14ac:dyDescent="0.2">
      <c r="S666" s="87" t="s">
        <v>10359</v>
      </c>
      <c r="T666" s="87" t="s">
        <v>10360</v>
      </c>
      <c r="U666" s="90">
        <v>18497.576315344901</v>
      </c>
      <c r="V666" s="89" t="s">
        <v>9344</v>
      </c>
      <c r="W666" s="90">
        <f t="shared" si="51"/>
        <v>11098.545789206941</v>
      </c>
    </row>
    <row r="667" spans="19:23" x14ac:dyDescent="0.2">
      <c r="S667" s="87" t="s">
        <v>10361</v>
      </c>
      <c r="T667" s="87" t="s">
        <v>10362</v>
      </c>
      <c r="U667" s="90">
        <v>18497.576315344901</v>
      </c>
      <c r="V667" s="89" t="s">
        <v>9344</v>
      </c>
      <c r="W667" s="90">
        <f t="shared" si="51"/>
        <v>11098.545789206941</v>
      </c>
    </row>
    <row r="668" spans="19:23" x14ac:dyDescent="0.2">
      <c r="S668" s="87" t="s">
        <v>10363</v>
      </c>
      <c r="T668" s="87" t="s">
        <v>10364</v>
      </c>
      <c r="U668" s="90">
        <v>18497.576315344901</v>
      </c>
      <c r="V668" s="89" t="s">
        <v>9344</v>
      </c>
      <c r="W668" s="90">
        <f t="shared" si="51"/>
        <v>11098.545789206941</v>
      </c>
    </row>
    <row r="669" spans="19:23" x14ac:dyDescent="0.2">
      <c r="S669" s="87" t="s">
        <v>10365</v>
      </c>
      <c r="T669" s="87" t="s">
        <v>10366</v>
      </c>
      <c r="U669" s="90">
        <v>18497.576315344901</v>
      </c>
      <c r="V669" s="89" t="s">
        <v>9344</v>
      </c>
      <c r="W669" s="90">
        <f t="shared" si="51"/>
        <v>11098.545789206941</v>
      </c>
    </row>
    <row r="670" spans="19:23" x14ac:dyDescent="0.2">
      <c r="S670" s="87" t="s">
        <v>10367</v>
      </c>
      <c r="T670" s="87" t="s">
        <v>10368</v>
      </c>
      <c r="U670" s="90">
        <v>18497.576315344901</v>
      </c>
      <c r="V670" s="89" t="s">
        <v>9344</v>
      </c>
      <c r="W670" s="90">
        <f t="shared" si="51"/>
        <v>11098.545789206941</v>
      </c>
    </row>
    <row r="671" spans="19:23" x14ac:dyDescent="0.2">
      <c r="S671" s="87" t="s">
        <v>10369</v>
      </c>
      <c r="T671" s="87" t="s">
        <v>10370</v>
      </c>
      <c r="U671" s="90">
        <v>14159.382521518086</v>
      </c>
      <c r="V671" s="89" t="s">
        <v>9344</v>
      </c>
      <c r="W671" s="90">
        <f t="shared" si="51"/>
        <v>8495.6295129108512</v>
      </c>
    </row>
    <row r="672" spans="19:23" x14ac:dyDescent="0.2">
      <c r="S672" s="87" t="s">
        <v>10371</v>
      </c>
      <c r="T672" s="87" t="s">
        <v>10372</v>
      </c>
      <c r="U672" s="90">
        <v>37838.6903128228</v>
      </c>
      <c r="V672" s="89" t="s">
        <v>9344</v>
      </c>
      <c r="W672" s="90">
        <f t="shared" si="51"/>
        <v>22703.21418769368</v>
      </c>
    </row>
    <row r="673" spans="19:23" x14ac:dyDescent="0.2">
      <c r="S673" s="87" t="s">
        <v>10373</v>
      </c>
      <c r="T673" s="87" t="s">
        <v>10374</v>
      </c>
      <c r="U673" s="90">
        <v>37838.6903128228</v>
      </c>
      <c r="V673" s="89" t="s">
        <v>9344</v>
      </c>
      <c r="W673" s="90">
        <f t="shared" si="51"/>
        <v>22703.21418769368</v>
      </c>
    </row>
    <row r="674" spans="19:23" x14ac:dyDescent="0.2">
      <c r="S674" s="87" t="s">
        <v>10375</v>
      </c>
      <c r="T674" s="87" t="s">
        <v>10376</v>
      </c>
      <c r="U674" s="90">
        <v>37838.6903128228</v>
      </c>
      <c r="V674" s="89" t="s">
        <v>9344</v>
      </c>
      <c r="W674" s="90">
        <f t="shared" si="51"/>
        <v>22703.21418769368</v>
      </c>
    </row>
    <row r="675" spans="19:23" x14ac:dyDescent="0.2">
      <c r="S675" s="87" t="s">
        <v>10377</v>
      </c>
      <c r="T675" s="87" t="s">
        <v>10378</v>
      </c>
      <c r="U675" s="90">
        <v>16087.468652107777</v>
      </c>
      <c r="V675" s="89" t="s">
        <v>9344</v>
      </c>
      <c r="W675" s="90">
        <f t="shared" si="51"/>
        <v>9652.4811912646655</v>
      </c>
    </row>
    <row r="676" spans="19:23" x14ac:dyDescent="0.2">
      <c r="S676" s="87" t="s">
        <v>10379</v>
      </c>
      <c r="T676" s="87" t="s">
        <v>10380</v>
      </c>
      <c r="U676" s="90">
        <v>16087.468652107777</v>
      </c>
      <c r="V676" s="89" t="s">
        <v>9344</v>
      </c>
      <c r="W676" s="90">
        <f t="shared" si="51"/>
        <v>9652.4811912646655</v>
      </c>
    </row>
    <row r="677" spans="19:23" x14ac:dyDescent="0.2">
      <c r="S677" s="87" t="s">
        <v>10381</v>
      </c>
      <c r="T677" s="87" t="s">
        <v>10382</v>
      </c>
      <c r="U677" s="90">
        <v>19642.377455382531</v>
      </c>
      <c r="V677" s="89" t="s">
        <v>9344</v>
      </c>
      <c r="W677" s="90">
        <f t="shared" si="51"/>
        <v>11785.426473229518</v>
      </c>
    </row>
    <row r="678" spans="19:23" x14ac:dyDescent="0.2">
      <c r="S678" s="87" t="s">
        <v>10383</v>
      </c>
      <c r="T678" s="87" t="s">
        <v>10384</v>
      </c>
      <c r="U678" s="90">
        <v>33801.759976900619</v>
      </c>
      <c r="V678" s="89" t="s">
        <v>9344</v>
      </c>
      <c r="W678" s="90">
        <f t="shared" si="51"/>
        <v>20281.055986140371</v>
      </c>
    </row>
    <row r="679" spans="19:23" x14ac:dyDescent="0.2">
      <c r="S679" s="87" t="s">
        <v>10385</v>
      </c>
      <c r="T679" s="87" t="s">
        <v>10386</v>
      </c>
      <c r="U679" s="90">
        <v>33801.759976900619</v>
      </c>
      <c r="V679" s="89" t="s">
        <v>9344</v>
      </c>
      <c r="W679" s="90">
        <f t="shared" si="51"/>
        <v>20281.055986140371</v>
      </c>
    </row>
    <row r="680" spans="19:23" x14ac:dyDescent="0.2">
      <c r="S680" s="87" t="s">
        <v>10387</v>
      </c>
      <c r="T680" s="87" t="s">
        <v>10388</v>
      </c>
      <c r="U680" s="90">
        <v>18557.829006925829</v>
      </c>
      <c r="V680" s="89" t="s">
        <v>9344</v>
      </c>
      <c r="W680" s="90">
        <f t="shared" si="51"/>
        <v>11134.697404155497</v>
      </c>
    </row>
    <row r="681" spans="19:23" x14ac:dyDescent="0.2">
      <c r="S681" s="87" t="s">
        <v>10389</v>
      </c>
      <c r="T681" s="87" t="s">
        <v>10390</v>
      </c>
      <c r="U681" s="90">
        <v>18557.829006925829</v>
      </c>
      <c r="V681" s="89" t="s">
        <v>9344</v>
      </c>
      <c r="W681" s="90">
        <f t="shared" si="51"/>
        <v>11134.697404155497</v>
      </c>
    </row>
    <row r="682" spans="19:23" x14ac:dyDescent="0.2">
      <c r="S682" s="87" t="s">
        <v>10391</v>
      </c>
      <c r="T682" s="87" t="s">
        <v>10392</v>
      </c>
      <c r="U682" s="90">
        <v>18557.829006925829</v>
      </c>
      <c r="V682" s="89" t="s">
        <v>9344</v>
      </c>
      <c r="W682" s="90">
        <f t="shared" si="51"/>
        <v>11134.697404155497</v>
      </c>
    </row>
    <row r="683" spans="19:23" x14ac:dyDescent="0.2">
      <c r="S683" s="87" t="s">
        <v>10393</v>
      </c>
      <c r="T683" s="87" t="s">
        <v>10394</v>
      </c>
      <c r="U683" s="90">
        <v>18557.829006925829</v>
      </c>
      <c r="V683" s="89" t="s">
        <v>9344</v>
      </c>
      <c r="W683" s="90">
        <f t="shared" si="51"/>
        <v>11134.697404155497</v>
      </c>
    </row>
    <row r="684" spans="19:23" x14ac:dyDescent="0.2">
      <c r="S684" s="87" t="s">
        <v>10395</v>
      </c>
      <c r="T684" s="87" t="s">
        <v>10396</v>
      </c>
      <c r="U684" s="90">
        <v>18557.829006925829</v>
      </c>
      <c r="V684" s="89" t="s">
        <v>9344</v>
      </c>
      <c r="W684" s="90">
        <f t="shared" si="51"/>
        <v>11134.697404155497</v>
      </c>
    </row>
    <row r="685" spans="19:23" x14ac:dyDescent="0.2">
      <c r="S685" s="87" t="s">
        <v>10397</v>
      </c>
      <c r="T685" s="87" t="s">
        <v>10398</v>
      </c>
      <c r="U685" s="90">
        <v>38404.680175630536</v>
      </c>
      <c r="V685" s="89" t="s">
        <v>9344</v>
      </c>
      <c r="W685" s="90">
        <f t="shared" si="51"/>
        <v>23042.808105378321</v>
      </c>
    </row>
    <row r="686" spans="19:23" x14ac:dyDescent="0.2">
      <c r="S686" s="87" t="s">
        <v>10399</v>
      </c>
      <c r="T686" s="87" t="s">
        <v>10400</v>
      </c>
      <c r="U686" s="90">
        <v>3512.760373804032</v>
      </c>
      <c r="V686" s="89" t="s">
        <v>9344</v>
      </c>
      <c r="W686" s="90">
        <f t="shared" si="51"/>
        <v>2107.6562242824193</v>
      </c>
    </row>
    <row r="687" spans="19:23" x14ac:dyDescent="0.2">
      <c r="S687" s="87" t="s">
        <v>10401</v>
      </c>
      <c r="T687" s="87" t="s">
        <v>10402</v>
      </c>
      <c r="U687" s="90">
        <v>4304.3683453655049</v>
      </c>
      <c r="V687" s="89" t="s">
        <v>9344</v>
      </c>
      <c r="W687" s="90">
        <f t="shared" si="51"/>
        <v>2582.621007219303</v>
      </c>
    </row>
    <row r="688" spans="19:23" x14ac:dyDescent="0.2">
      <c r="S688" s="87" t="s">
        <v>10403</v>
      </c>
      <c r="T688" s="87" t="s">
        <v>10404</v>
      </c>
      <c r="U688" s="90">
        <v>19097.542313920512</v>
      </c>
      <c r="V688" s="89" t="s">
        <v>9344</v>
      </c>
      <c r="W688" s="90">
        <f t="shared" si="51"/>
        <v>11458.525388352307</v>
      </c>
    </row>
    <row r="689" spans="19:23" x14ac:dyDescent="0.2">
      <c r="S689" s="87" t="s">
        <v>10405</v>
      </c>
      <c r="T689" s="87" t="s">
        <v>10406</v>
      </c>
      <c r="U689" s="90">
        <v>5640.2067973754883</v>
      </c>
      <c r="V689" s="89" t="s">
        <v>9344</v>
      </c>
      <c r="W689" s="90">
        <f t="shared" si="51"/>
        <v>3384.1240784252927</v>
      </c>
    </row>
    <row r="690" spans="19:23" x14ac:dyDescent="0.2">
      <c r="S690" s="87" t="s">
        <v>10407</v>
      </c>
      <c r="T690" s="87" t="s">
        <v>10408</v>
      </c>
      <c r="U690" s="90">
        <v>7223.422740498434</v>
      </c>
      <c r="V690" s="89" t="s">
        <v>9344</v>
      </c>
      <c r="W690" s="90">
        <f t="shared" si="51"/>
        <v>4334.0536442990606</v>
      </c>
    </row>
    <row r="691" spans="19:23" x14ac:dyDescent="0.2">
      <c r="S691" s="87" t="s">
        <v>10409</v>
      </c>
      <c r="T691" s="87" t="s">
        <v>10410</v>
      </c>
      <c r="U691" s="90">
        <v>4658.1316423090047</v>
      </c>
      <c r="V691" s="89" t="s">
        <v>9344</v>
      </c>
      <c r="W691" s="90">
        <f t="shared" si="51"/>
        <v>2794.8789853854028</v>
      </c>
    </row>
    <row r="692" spans="19:23" x14ac:dyDescent="0.2">
      <c r="S692" s="87" t="s">
        <v>10411</v>
      </c>
      <c r="T692" s="87" t="s">
        <v>10412</v>
      </c>
      <c r="U692" s="90">
        <v>4243.9633480565944</v>
      </c>
      <c r="V692" s="89" t="s">
        <v>9344</v>
      </c>
      <c r="W692" s="90">
        <f t="shared" si="51"/>
        <v>2546.3780088339568</v>
      </c>
    </row>
    <row r="693" spans="19:23" x14ac:dyDescent="0.2">
      <c r="S693" s="87" t="s">
        <v>10413</v>
      </c>
      <c r="T693" s="87" t="s">
        <v>10414</v>
      </c>
      <c r="U693" s="90">
        <v>4876.16203135467</v>
      </c>
      <c r="V693" s="89" t="s">
        <v>9344</v>
      </c>
      <c r="W693" s="90">
        <f t="shared" si="51"/>
        <v>2925.697218812802</v>
      </c>
    </row>
    <row r="694" spans="19:23" x14ac:dyDescent="0.2">
      <c r="S694" s="87" t="s">
        <v>10415</v>
      </c>
      <c r="T694" s="87" t="s">
        <v>10416</v>
      </c>
      <c r="U694" s="90">
        <v>6140.2397020300596</v>
      </c>
      <c r="V694" s="89" t="s">
        <v>9344</v>
      </c>
      <c r="W694" s="90">
        <f t="shared" si="51"/>
        <v>3684.1438212180356</v>
      </c>
    </row>
    <row r="695" spans="19:23" x14ac:dyDescent="0.2">
      <c r="S695" s="87" t="s">
        <v>10417</v>
      </c>
      <c r="T695" s="87" t="s">
        <v>10418</v>
      </c>
      <c r="U695" s="90">
        <v>8126.8301536175277</v>
      </c>
      <c r="V695" s="89" t="s">
        <v>9344</v>
      </c>
      <c r="W695" s="90">
        <f t="shared" si="51"/>
        <v>4876.0980921705168</v>
      </c>
    </row>
    <row r="696" spans="19:23" x14ac:dyDescent="0.2">
      <c r="S696" s="87" t="s">
        <v>10419</v>
      </c>
      <c r="T696" s="87" t="s">
        <v>10420</v>
      </c>
      <c r="U696" s="90">
        <v>12641.73579451616</v>
      </c>
      <c r="V696" s="89" t="s">
        <v>9344</v>
      </c>
      <c r="W696" s="90">
        <f t="shared" si="51"/>
        <v>7585.0414767096954</v>
      </c>
    </row>
    <row r="697" spans="19:23" x14ac:dyDescent="0.2">
      <c r="S697" s="87" t="s">
        <v>10421</v>
      </c>
      <c r="T697" s="87" t="s">
        <v>10422</v>
      </c>
      <c r="U697" s="90">
        <v>13093.306282586207</v>
      </c>
      <c r="V697" s="89" t="s">
        <v>9344</v>
      </c>
      <c r="W697" s="90">
        <f t="shared" si="51"/>
        <v>7855.9837695517235</v>
      </c>
    </row>
    <row r="698" spans="19:23" x14ac:dyDescent="0.2">
      <c r="S698" s="87" t="s">
        <v>10423</v>
      </c>
      <c r="T698" s="87" t="s">
        <v>10424</v>
      </c>
      <c r="U698" s="90">
        <v>21581.392826659787</v>
      </c>
      <c r="V698" s="89" t="s">
        <v>9344</v>
      </c>
      <c r="W698" s="90">
        <f t="shared" si="51"/>
        <v>12948.835695995871</v>
      </c>
    </row>
    <row r="699" spans="19:23" x14ac:dyDescent="0.2">
      <c r="S699" s="87" t="s">
        <v>10425</v>
      </c>
      <c r="T699" s="87" t="s">
        <v>10426</v>
      </c>
      <c r="U699" s="90">
        <v>46052.197385126361</v>
      </c>
      <c r="V699" s="89" t="s">
        <v>9344</v>
      </c>
      <c r="W699" s="90">
        <f t="shared" si="51"/>
        <v>27631.318431075815</v>
      </c>
    </row>
    <row r="700" spans="19:23" x14ac:dyDescent="0.2">
      <c r="S700" s="87" t="s">
        <v>10427</v>
      </c>
      <c r="T700" s="87" t="s">
        <v>10428</v>
      </c>
      <c r="U700" s="90">
        <v>9120.2852273716435</v>
      </c>
      <c r="V700" s="89" t="s">
        <v>9344</v>
      </c>
      <c r="W700" s="90">
        <f t="shared" si="51"/>
        <v>5472.1711364229859</v>
      </c>
    </row>
    <row r="701" spans="19:23" x14ac:dyDescent="0.2">
      <c r="S701" s="87" t="s">
        <v>10429</v>
      </c>
      <c r="T701" s="87" t="s">
        <v>10430</v>
      </c>
      <c r="U701" s="90">
        <v>10113.420605204996</v>
      </c>
      <c r="V701" s="89" t="s">
        <v>9344</v>
      </c>
      <c r="W701" s="90">
        <f t="shared" si="51"/>
        <v>6068.0523631229971</v>
      </c>
    </row>
    <row r="702" spans="19:23" x14ac:dyDescent="0.2">
      <c r="S702" s="87" t="s">
        <v>10431</v>
      </c>
      <c r="T702" s="87" t="s">
        <v>10432</v>
      </c>
      <c r="U702" s="90">
        <v>14628.326246103632</v>
      </c>
      <c r="V702" s="89" t="s">
        <v>9344</v>
      </c>
      <c r="W702" s="90">
        <f t="shared" si="51"/>
        <v>8776.9957476621785</v>
      </c>
    </row>
    <row r="703" spans="19:23" x14ac:dyDescent="0.2">
      <c r="S703" s="87" t="s">
        <v>10433</v>
      </c>
      <c r="T703" s="87" t="s">
        <v>10434</v>
      </c>
      <c r="U703" s="90">
        <v>15802.249667125379</v>
      </c>
      <c r="V703" s="89" t="s">
        <v>9344</v>
      </c>
      <c r="W703" s="90">
        <f t="shared" si="51"/>
        <v>9481.3498002752276</v>
      </c>
    </row>
    <row r="704" spans="19:23" x14ac:dyDescent="0.2">
      <c r="S704" s="87" t="s">
        <v>10435</v>
      </c>
      <c r="T704" s="87" t="s">
        <v>10436</v>
      </c>
      <c r="U704" s="90">
        <v>17427.743576217195</v>
      </c>
      <c r="V704" s="89" t="s">
        <v>9344</v>
      </c>
      <c r="W704" s="90">
        <f t="shared" si="51"/>
        <v>10456.646145730318</v>
      </c>
    </row>
    <row r="705" spans="19:23" x14ac:dyDescent="0.2">
      <c r="S705" s="87" t="s">
        <v>10437</v>
      </c>
      <c r="T705" s="87" t="s">
        <v>10438</v>
      </c>
      <c r="U705" s="90">
        <v>22032.803466769459</v>
      </c>
      <c r="V705" s="89" t="s">
        <v>9344</v>
      </c>
      <c r="W705" s="90">
        <f t="shared" si="51"/>
        <v>13219.682080061675</v>
      </c>
    </row>
    <row r="706" spans="19:23" x14ac:dyDescent="0.2">
      <c r="S706" s="87" t="s">
        <v>10439</v>
      </c>
      <c r="T706" s="87" t="s">
        <v>10440</v>
      </c>
      <c r="U706" s="90">
        <v>26186.452717212058</v>
      </c>
      <c r="V706" s="89" t="s">
        <v>9344</v>
      </c>
      <c r="W706" s="90">
        <f t="shared" si="51"/>
        <v>15711.871630327234</v>
      </c>
    </row>
    <row r="707" spans="19:23" x14ac:dyDescent="0.2">
      <c r="S707" s="87" t="s">
        <v>10441</v>
      </c>
      <c r="T707" s="87" t="s">
        <v>10442</v>
      </c>
      <c r="U707" s="90">
        <v>34764.853358899614</v>
      </c>
      <c r="V707" s="89" t="s">
        <v>9344</v>
      </c>
      <c r="W707" s="90">
        <f t="shared" si="51"/>
        <v>20858.912015339767</v>
      </c>
    </row>
    <row r="708" spans="19:23" x14ac:dyDescent="0.2">
      <c r="S708" s="87" t="s">
        <v>10443</v>
      </c>
      <c r="T708" s="87" t="s">
        <v>10444</v>
      </c>
      <c r="U708" s="90">
        <v>85241.802135271006</v>
      </c>
      <c r="V708" s="89" t="s">
        <v>9344</v>
      </c>
      <c r="W708" s="90">
        <f t="shared" si="51"/>
        <v>51145.081281162602</v>
      </c>
    </row>
    <row r="709" spans="19:23" x14ac:dyDescent="0.2">
      <c r="S709" s="87" t="s">
        <v>10445</v>
      </c>
      <c r="T709" s="87" t="s">
        <v>10446</v>
      </c>
      <c r="U709" s="90">
        <v>9029.9711297576341</v>
      </c>
      <c r="V709" s="89" t="s">
        <v>9344</v>
      </c>
      <c r="W709" s="90">
        <f t="shared" si="51"/>
        <v>5417.9826778545803</v>
      </c>
    </row>
    <row r="710" spans="19:23" x14ac:dyDescent="0.2">
      <c r="S710" s="87" t="s">
        <v>10447</v>
      </c>
      <c r="T710" s="87" t="s">
        <v>10448</v>
      </c>
      <c r="U710" s="90">
        <v>10113.420605204996</v>
      </c>
      <c r="V710" s="89" t="s">
        <v>9344</v>
      </c>
      <c r="W710" s="90">
        <f t="shared" si="51"/>
        <v>6068.0523631229971</v>
      </c>
    </row>
    <row r="711" spans="19:23" x14ac:dyDescent="0.2">
      <c r="S711" s="87" t="s">
        <v>10449</v>
      </c>
      <c r="T711" s="87" t="s">
        <v>10450</v>
      </c>
      <c r="U711" s="90">
        <v>13544.716922695876</v>
      </c>
      <c r="V711" s="89" t="s">
        <v>9344</v>
      </c>
      <c r="W711" s="90">
        <f t="shared" si="51"/>
        <v>8126.830153617525</v>
      </c>
    </row>
    <row r="712" spans="19:23" x14ac:dyDescent="0.2">
      <c r="S712" s="87" t="s">
        <v>10451</v>
      </c>
      <c r="T712" s="87" t="s">
        <v>10452</v>
      </c>
      <c r="U712" s="90">
        <v>15170.210831787686</v>
      </c>
      <c r="V712" s="89" t="s">
        <v>9344</v>
      </c>
      <c r="W712" s="90">
        <f t="shared" si="51"/>
        <v>9102.1264990726122</v>
      </c>
    </row>
    <row r="713" spans="19:23" x14ac:dyDescent="0.2">
      <c r="S713" s="87" t="s">
        <v>10453</v>
      </c>
      <c r="T713" s="87" t="s">
        <v>10454</v>
      </c>
      <c r="U713" s="90">
        <v>19233.545984616267</v>
      </c>
      <c r="V713" s="89" t="s">
        <v>9344</v>
      </c>
      <c r="W713" s="90">
        <f t="shared" si="51"/>
        <v>11540.12759076976</v>
      </c>
    </row>
    <row r="714" spans="19:23" x14ac:dyDescent="0.2">
      <c r="S714" s="87" t="s">
        <v>10455</v>
      </c>
      <c r="T714" s="87" t="s">
        <v>10456</v>
      </c>
      <c r="U714" s="90">
        <v>22032.803466769459</v>
      </c>
      <c r="V714" s="89" t="s">
        <v>9344</v>
      </c>
      <c r="W714" s="90">
        <f t="shared" si="51"/>
        <v>13219.682080061675</v>
      </c>
    </row>
    <row r="715" spans="19:23" x14ac:dyDescent="0.2">
      <c r="S715" s="87" t="s">
        <v>10457</v>
      </c>
      <c r="T715" s="87" t="s">
        <v>10458</v>
      </c>
      <c r="U715" s="90">
        <v>29617.908882663309</v>
      </c>
      <c r="V715" s="89" t="s">
        <v>9344</v>
      </c>
      <c r="W715" s="90">
        <f t="shared" si="51"/>
        <v>17770.745329597983</v>
      </c>
    </row>
    <row r="716" spans="19:23" x14ac:dyDescent="0.2">
      <c r="S716" s="87" t="s">
        <v>10459</v>
      </c>
      <c r="T716" s="87" t="s">
        <v>10460</v>
      </c>
      <c r="U716" s="90">
        <v>40002.271780710325</v>
      </c>
      <c r="V716" s="89" t="s">
        <v>9344</v>
      </c>
      <c r="W716" s="90">
        <f t="shared" si="51"/>
        <v>24001.363068426195</v>
      </c>
    </row>
    <row r="717" spans="19:23" x14ac:dyDescent="0.2">
      <c r="S717" s="87" t="s">
        <v>10461</v>
      </c>
      <c r="T717" s="87" t="s">
        <v>10462</v>
      </c>
      <c r="U717" s="90">
        <v>115491.74985327209</v>
      </c>
      <c r="V717" s="89" t="s">
        <v>9344</v>
      </c>
      <c r="W717" s="90">
        <f t="shared" si="51"/>
        <v>69295.049911963259</v>
      </c>
    </row>
    <row r="718" spans="19:23" x14ac:dyDescent="0.2">
      <c r="S718" s="87" t="s">
        <v>10463</v>
      </c>
      <c r="T718" s="87" t="s">
        <v>10464</v>
      </c>
      <c r="U718" s="90">
        <v>9029.9711297576341</v>
      </c>
      <c r="V718" s="89" t="s">
        <v>9344</v>
      </c>
      <c r="W718" s="90">
        <f t="shared" si="51"/>
        <v>5417.9826778545803</v>
      </c>
    </row>
    <row r="719" spans="19:23" x14ac:dyDescent="0.2">
      <c r="S719" s="87" t="s">
        <v>10465</v>
      </c>
      <c r="T719" s="87" t="s">
        <v>10466</v>
      </c>
      <c r="U719" s="90">
        <v>9210.4394770252784</v>
      </c>
      <c r="V719" s="89" t="s">
        <v>9344</v>
      </c>
      <c r="W719" s="90">
        <f t="shared" si="51"/>
        <v>5526.2636862151667</v>
      </c>
    </row>
    <row r="720" spans="19:23" x14ac:dyDescent="0.2">
      <c r="S720" s="87" t="s">
        <v>10467</v>
      </c>
      <c r="T720" s="87" t="s">
        <v>10468</v>
      </c>
      <c r="U720" s="90">
        <v>13454.40282508187</v>
      </c>
      <c r="V720" s="89" t="s">
        <v>9344</v>
      </c>
      <c r="W720" s="90">
        <f t="shared" si="51"/>
        <v>8072.6416950491221</v>
      </c>
    </row>
    <row r="721" spans="19:23" x14ac:dyDescent="0.2">
      <c r="S721" s="87" t="s">
        <v>10469</v>
      </c>
      <c r="T721" s="87" t="s">
        <v>10470</v>
      </c>
      <c r="U721" s="90">
        <v>15260.524929401714</v>
      </c>
      <c r="V721" s="89" t="s">
        <v>9344</v>
      </c>
      <c r="W721" s="90">
        <f t="shared" si="51"/>
        <v>9156.3149576410287</v>
      </c>
    </row>
    <row r="722" spans="19:23" x14ac:dyDescent="0.2">
      <c r="S722" s="87" t="s">
        <v>10471</v>
      </c>
      <c r="T722" s="87" t="s">
        <v>10472</v>
      </c>
      <c r="U722" s="90">
        <v>17788.680270752484</v>
      </c>
      <c r="V722" s="89" t="s">
        <v>9344</v>
      </c>
      <c r="W722" s="90">
        <f t="shared" si="51"/>
        <v>10673.20816245149</v>
      </c>
    </row>
    <row r="723" spans="19:23" x14ac:dyDescent="0.2">
      <c r="S723" s="87" t="s">
        <v>10473</v>
      </c>
      <c r="T723" s="87" t="s">
        <v>10474</v>
      </c>
      <c r="U723" s="90">
        <v>22755.156399721152</v>
      </c>
      <c r="V723" s="89" t="s">
        <v>9344</v>
      </c>
      <c r="W723" s="90">
        <f t="shared" si="51"/>
        <v>13653.093839832691</v>
      </c>
    </row>
    <row r="724" spans="19:23" x14ac:dyDescent="0.2">
      <c r="S724" s="87" t="s">
        <v>10475</v>
      </c>
      <c r="T724" s="87" t="s">
        <v>10476</v>
      </c>
      <c r="U724" s="90">
        <v>27721.632528689846</v>
      </c>
      <c r="V724" s="89" t="s">
        <v>9344</v>
      </c>
      <c r="W724" s="90">
        <f t="shared" si="51"/>
        <v>16632.979517213906</v>
      </c>
    </row>
    <row r="725" spans="19:23" x14ac:dyDescent="0.2">
      <c r="S725" s="87" t="s">
        <v>10477</v>
      </c>
      <c r="T725" s="87" t="s">
        <v>10478</v>
      </c>
      <c r="U725" s="90">
        <v>37744.739036280822</v>
      </c>
      <c r="V725" s="89" t="s">
        <v>9344</v>
      </c>
      <c r="W725" s="90">
        <f t="shared" si="51"/>
        <v>22646.843421768492</v>
      </c>
    </row>
    <row r="726" spans="19:23" x14ac:dyDescent="0.2">
      <c r="S726" s="87" t="s">
        <v>10479</v>
      </c>
      <c r="T726" s="87" t="s">
        <v>10480</v>
      </c>
      <c r="U726" s="90">
        <v>92194.708867866793</v>
      </c>
      <c r="V726" s="89" t="s">
        <v>9344</v>
      </c>
      <c r="W726" s="90">
        <f t="shared" si="51"/>
        <v>55316.825320720076</v>
      </c>
    </row>
    <row r="727" spans="19:23" x14ac:dyDescent="0.2">
      <c r="S727" s="87" t="s">
        <v>10481</v>
      </c>
      <c r="T727" s="87" t="s">
        <v>10482</v>
      </c>
      <c r="U727" s="90">
        <v>8578.4006416875854</v>
      </c>
      <c r="V727" s="89" t="s">
        <v>9344</v>
      </c>
      <c r="W727" s="90">
        <f t="shared" si="51"/>
        <v>5147.0403850125513</v>
      </c>
    </row>
    <row r="728" spans="19:23" x14ac:dyDescent="0.2">
      <c r="S728" s="87" t="s">
        <v>10483</v>
      </c>
      <c r="T728" s="87" t="s">
        <v>10484</v>
      </c>
      <c r="U728" s="90">
        <v>9842.4783123629713</v>
      </c>
      <c r="V728" s="89" t="s">
        <v>9344</v>
      </c>
      <c r="W728" s="90">
        <f t="shared" si="51"/>
        <v>5905.486987417783</v>
      </c>
    </row>
    <row r="729" spans="19:23" x14ac:dyDescent="0.2">
      <c r="S729" s="87" t="s">
        <v>10485</v>
      </c>
      <c r="T729" s="87" t="s">
        <v>10486</v>
      </c>
      <c r="U729" s="90">
        <v>13454.40282508187</v>
      </c>
      <c r="V729" s="89" t="s">
        <v>9344</v>
      </c>
      <c r="W729" s="90">
        <f t="shared" ref="W729:W792" si="52">+IF(V729="Nacional",(1-$AA$1)*U729,(1-$AA$2)*U729)</f>
        <v>8072.6416950491221</v>
      </c>
    </row>
    <row r="730" spans="19:23" x14ac:dyDescent="0.2">
      <c r="S730" s="87" t="s">
        <v>10487</v>
      </c>
      <c r="T730" s="87" t="s">
        <v>10488</v>
      </c>
      <c r="U730" s="90">
        <v>15350.839027015711</v>
      </c>
      <c r="V730" s="89" t="s">
        <v>9344</v>
      </c>
      <c r="W730" s="90">
        <f t="shared" si="52"/>
        <v>9210.5034162094253</v>
      </c>
    </row>
    <row r="731" spans="19:23" x14ac:dyDescent="0.2">
      <c r="S731" s="87" t="s">
        <v>10489</v>
      </c>
      <c r="T731" s="87" t="s">
        <v>10490</v>
      </c>
      <c r="U731" s="90">
        <v>17066.487185761151</v>
      </c>
      <c r="V731" s="89" t="s">
        <v>9344</v>
      </c>
      <c r="W731" s="90">
        <f t="shared" si="52"/>
        <v>10239.89231145669</v>
      </c>
    </row>
    <row r="732" spans="19:23" x14ac:dyDescent="0.2">
      <c r="S732" s="87" t="s">
        <v>10491</v>
      </c>
      <c r="T732" s="87" t="s">
        <v>10492</v>
      </c>
      <c r="U732" s="90">
        <v>20858.880045747697</v>
      </c>
      <c r="V732" s="89" t="s">
        <v>9344</v>
      </c>
      <c r="W732" s="90">
        <f t="shared" si="52"/>
        <v>12515.328027448619</v>
      </c>
    </row>
    <row r="733" spans="19:23" x14ac:dyDescent="0.2">
      <c r="S733" s="87" t="s">
        <v>10493</v>
      </c>
      <c r="T733" s="87" t="s">
        <v>10494</v>
      </c>
      <c r="U733" s="90">
        <v>25373.945534606712</v>
      </c>
      <c r="V733" s="89" t="s">
        <v>9344</v>
      </c>
      <c r="W733" s="90">
        <f t="shared" si="52"/>
        <v>15224.367320764026</v>
      </c>
    </row>
    <row r="734" spans="19:23" x14ac:dyDescent="0.2">
      <c r="S734" s="87" t="s">
        <v>10495</v>
      </c>
      <c r="T734" s="87" t="s">
        <v>10496</v>
      </c>
      <c r="U734" s="90">
        <v>32597.634712084138</v>
      </c>
      <c r="V734" s="89" t="s">
        <v>9344</v>
      </c>
      <c r="W734" s="90">
        <f t="shared" si="52"/>
        <v>19558.580827250484</v>
      </c>
    </row>
    <row r="735" spans="19:23" x14ac:dyDescent="0.2">
      <c r="S735" s="87" t="s">
        <v>10497</v>
      </c>
      <c r="T735" s="87" t="s">
        <v>10498</v>
      </c>
      <c r="U735" s="90">
        <v>4334.2774456706056</v>
      </c>
      <c r="V735" s="89" t="s">
        <v>9344</v>
      </c>
      <c r="W735" s="90">
        <f t="shared" si="52"/>
        <v>2600.5664674023633</v>
      </c>
    </row>
    <row r="736" spans="19:23" x14ac:dyDescent="0.2">
      <c r="S736" s="87" t="s">
        <v>10499</v>
      </c>
      <c r="T736" s="87" t="s">
        <v>10500</v>
      </c>
      <c r="U736" s="90">
        <v>5237.2585738503331</v>
      </c>
      <c r="V736" s="89" t="s">
        <v>9344</v>
      </c>
      <c r="W736" s="90">
        <f t="shared" si="52"/>
        <v>3142.3551443101996</v>
      </c>
    </row>
    <row r="737" spans="19:23" x14ac:dyDescent="0.2">
      <c r="S737" s="87" t="s">
        <v>10501</v>
      </c>
      <c r="T737" s="87" t="s">
        <v>10502</v>
      </c>
      <c r="U737" s="90">
        <v>8217.1442512315407</v>
      </c>
      <c r="V737" s="89" t="s">
        <v>9344</v>
      </c>
      <c r="W737" s="90">
        <f t="shared" si="52"/>
        <v>4930.2865507389242</v>
      </c>
    </row>
    <row r="738" spans="19:23" x14ac:dyDescent="0.2">
      <c r="S738" s="87" t="s">
        <v>10503</v>
      </c>
      <c r="T738" s="87" t="s">
        <v>10504</v>
      </c>
      <c r="U738" s="90">
        <v>13183.620380200222</v>
      </c>
      <c r="V738" s="89" t="s">
        <v>9344</v>
      </c>
      <c r="W738" s="90">
        <f t="shared" si="52"/>
        <v>7910.1722281201328</v>
      </c>
    </row>
    <row r="739" spans="19:23" x14ac:dyDescent="0.2">
      <c r="S739" s="87" t="s">
        <v>10505</v>
      </c>
      <c r="T739" s="87" t="s">
        <v>10506</v>
      </c>
      <c r="U739" s="90">
        <v>20497.783503252031</v>
      </c>
      <c r="V739" s="89" t="s">
        <v>9344</v>
      </c>
      <c r="W739" s="90">
        <f t="shared" si="52"/>
        <v>12298.670101951218</v>
      </c>
    </row>
    <row r="740" spans="19:23" x14ac:dyDescent="0.2">
      <c r="S740" s="87" t="s">
        <v>10507</v>
      </c>
      <c r="T740" s="87" t="s">
        <v>10508</v>
      </c>
      <c r="U740" s="90">
        <v>5508.2008666923648</v>
      </c>
      <c r="V740" s="89" t="s">
        <v>9344</v>
      </c>
      <c r="W740" s="90">
        <f t="shared" si="52"/>
        <v>3304.9205200154188</v>
      </c>
    </row>
    <row r="741" spans="19:23" x14ac:dyDescent="0.2">
      <c r="S741" s="87" t="s">
        <v>10509</v>
      </c>
      <c r="T741" s="87" t="s">
        <v>10510</v>
      </c>
      <c r="U741" s="90">
        <v>5959.6115068020363</v>
      </c>
      <c r="V741" s="89" t="s">
        <v>9344</v>
      </c>
      <c r="W741" s="90">
        <f t="shared" si="52"/>
        <v>3575.7669040812216</v>
      </c>
    </row>
    <row r="742" spans="19:23" x14ac:dyDescent="0.2">
      <c r="S742" s="87" t="s">
        <v>10511</v>
      </c>
      <c r="T742" s="87" t="s">
        <v>10512</v>
      </c>
      <c r="U742" s="90">
        <v>7404.4772206658272</v>
      </c>
      <c r="V742" s="89" t="s">
        <v>9344</v>
      </c>
      <c r="W742" s="90">
        <f t="shared" si="52"/>
        <v>4442.6863323994958</v>
      </c>
    </row>
    <row r="743" spans="19:23" x14ac:dyDescent="0.2">
      <c r="S743" s="87" t="s">
        <v>10513</v>
      </c>
      <c r="T743" s="87" t="s">
        <v>10514</v>
      </c>
      <c r="U743" s="90">
        <v>8668.7147393015894</v>
      </c>
      <c r="V743" s="89" t="s">
        <v>9344</v>
      </c>
      <c r="W743" s="90">
        <f t="shared" si="52"/>
        <v>5201.2288435809533</v>
      </c>
    </row>
    <row r="744" spans="19:23" x14ac:dyDescent="0.2">
      <c r="S744" s="87" t="s">
        <v>10515</v>
      </c>
      <c r="T744" s="87" t="s">
        <v>10516</v>
      </c>
      <c r="U744" s="90">
        <v>12551.421696902147</v>
      </c>
      <c r="V744" s="89" t="s">
        <v>9344</v>
      </c>
      <c r="W744" s="90">
        <f t="shared" si="52"/>
        <v>7530.853018141288</v>
      </c>
    </row>
    <row r="745" spans="19:23" x14ac:dyDescent="0.2">
      <c r="S745" s="87" t="s">
        <v>10517</v>
      </c>
      <c r="T745" s="87" t="s">
        <v>10518</v>
      </c>
      <c r="U745" s="90">
        <v>17698.366173138464</v>
      </c>
      <c r="V745" s="89" t="s">
        <v>9344</v>
      </c>
      <c r="W745" s="90">
        <f t="shared" si="52"/>
        <v>10619.019703883077</v>
      </c>
    </row>
    <row r="746" spans="19:23" x14ac:dyDescent="0.2">
      <c r="S746" s="87" t="s">
        <v>10519</v>
      </c>
      <c r="T746" s="87" t="s">
        <v>10520</v>
      </c>
      <c r="U746" s="90">
        <v>20949.194143361703</v>
      </c>
      <c r="V746" s="89" t="s">
        <v>9344</v>
      </c>
      <c r="W746" s="90">
        <f t="shared" si="52"/>
        <v>12569.516486017021</v>
      </c>
    </row>
    <row r="747" spans="19:23" x14ac:dyDescent="0.2">
      <c r="S747" s="87" t="s">
        <v>10521</v>
      </c>
      <c r="T747" s="87" t="s">
        <v>10522</v>
      </c>
      <c r="U747" s="90">
        <v>32958.891102540176</v>
      </c>
      <c r="V747" s="89" t="s">
        <v>9344</v>
      </c>
      <c r="W747" s="90">
        <f t="shared" si="52"/>
        <v>19775.334661524106</v>
      </c>
    </row>
    <row r="748" spans="19:23" x14ac:dyDescent="0.2">
      <c r="S748" s="87" t="s">
        <v>10523</v>
      </c>
      <c r="T748" s="87" t="s">
        <v>10524</v>
      </c>
      <c r="U748" s="90">
        <v>90569.374806735344</v>
      </c>
      <c r="V748" s="89" t="s">
        <v>9344</v>
      </c>
      <c r="W748" s="90">
        <f t="shared" si="52"/>
        <v>54341.624884041208</v>
      </c>
    </row>
    <row r="749" spans="19:23" x14ac:dyDescent="0.2">
      <c r="S749" s="87" t="s">
        <v>10525</v>
      </c>
      <c r="T749" s="87" t="s">
        <v>10526</v>
      </c>
      <c r="U749" s="90">
        <v>5147.1043241967009</v>
      </c>
      <c r="V749" s="89" t="s">
        <v>9344</v>
      </c>
      <c r="W749" s="90">
        <f t="shared" si="52"/>
        <v>3088.2625945180203</v>
      </c>
    </row>
    <row r="750" spans="19:23" x14ac:dyDescent="0.2">
      <c r="S750" s="87" t="s">
        <v>10527</v>
      </c>
      <c r="T750" s="87" t="s">
        <v>10528</v>
      </c>
      <c r="U750" s="90">
        <v>5688.8290619203835</v>
      </c>
      <c r="V750" s="89" t="s">
        <v>9344</v>
      </c>
      <c r="W750" s="90">
        <f t="shared" si="52"/>
        <v>3413.29743715223</v>
      </c>
    </row>
    <row r="751" spans="19:23" x14ac:dyDescent="0.2">
      <c r="S751" s="87" t="s">
        <v>10529</v>
      </c>
      <c r="T751" s="87" t="s">
        <v>10530</v>
      </c>
      <c r="U751" s="90">
        <v>6862.7524829421418</v>
      </c>
      <c r="V751" s="89" t="s">
        <v>9344</v>
      </c>
      <c r="W751" s="90">
        <f t="shared" si="52"/>
        <v>4117.6514897652851</v>
      </c>
    </row>
    <row r="752" spans="19:23" x14ac:dyDescent="0.2">
      <c r="S752" s="87" t="s">
        <v>10531</v>
      </c>
      <c r="T752" s="87" t="s">
        <v>10532</v>
      </c>
      <c r="U752" s="90">
        <v>9481.2219219069284</v>
      </c>
      <c r="V752" s="89" t="s">
        <v>9344</v>
      </c>
      <c r="W752" s="90">
        <f t="shared" si="52"/>
        <v>5688.7331531441569</v>
      </c>
    </row>
    <row r="753" spans="19:23" x14ac:dyDescent="0.2">
      <c r="S753" s="87" t="s">
        <v>10533</v>
      </c>
      <c r="T753" s="87" t="s">
        <v>10534</v>
      </c>
      <c r="U753" s="90">
        <v>12100.011056792477</v>
      </c>
      <c r="V753" s="89" t="s">
        <v>9344</v>
      </c>
      <c r="W753" s="90">
        <f t="shared" si="52"/>
        <v>7260.0066340754856</v>
      </c>
    </row>
    <row r="754" spans="19:23" x14ac:dyDescent="0.2">
      <c r="S754" s="87" t="s">
        <v>10535</v>
      </c>
      <c r="T754" s="87" t="s">
        <v>10536</v>
      </c>
      <c r="U754" s="90">
        <v>15711.935569511381</v>
      </c>
      <c r="V754" s="89" t="s">
        <v>9344</v>
      </c>
      <c r="W754" s="90">
        <f t="shared" si="52"/>
        <v>9427.1613417068274</v>
      </c>
    </row>
    <row r="755" spans="19:23" x14ac:dyDescent="0.2">
      <c r="S755" s="87" t="s">
        <v>10537</v>
      </c>
      <c r="T755" s="87" t="s">
        <v>10538</v>
      </c>
      <c r="U755" s="90">
        <v>20588.09760086604</v>
      </c>
      <c r="V755" s="89" t="s">
        <v>9344</v>
      </c>
      <c r="W755" s="90">
        <f t="shared" si="52"/>
        <v>12352.858560519624</v>
      </c>
    </row>
    <row r="756" spans="19:23" x14ac:dyDescent="0.2">
      <c r="S756" s="87" t="s">
        <v>10539</v>
      </c>
      <c r="T756" s="87" t="s">
        <v>10540</v>
      </c>
      <c r="U756" s="90">
        <v>33139.519297768187</v>
      </c>
      <c r="V756" s="89" t="s">
        <v>9344</v>
      </c>
      <c r="W756" s="90">
        <f t="shared" si="52"/>
        <v>19883.71157866091</v>
      </c>
    </row>
    <row r="757" spans="19:23" x14ac:dyDescent="0.2">
      <c r="S757" s="87" t="s">
        <v>10541</v>
      </c>
      <c r="T757" s="87" t="s">
        <v>10542</v>
      </c>
      <c r="U757" s="90">
        <v>63389.467015769194</v>
      </c>
      <c r="V757" s="89" t="s">
        <v>9344</v>
      </c>
      <c r="W757" s="90">
        <f t="shared" si="52"/>
        <v>38033.680209461512</v>
      </c>
    </row>
    <row r="758" spans="19:23" x14ac:dyDescent="0.2">
      <c r="S758" s="87" t="s">
        <v>10543</v>
      </c>
      <c r="T758" s="87" t="s">
        <v>10544</v>
      </c>
      <c r="U758" s="90">
        <v>2447.1583059120635</v>
      </c>
      <c r="V758" s="89" t="s">
        <v>9344</v>
      </c>
      <c r="W758" s="90">
        <f t="shared" si="52"/>
        <v>1468.294983547238</v>
      </c>
    </row>
    <row r="759" spans="19:23" x14ac:dyDescent="0.2">
      <c r="S759" s="87" t="s">
        <v>10545</v>
      </c>
      <c r="T759" s="87" t="s">
        <v>10546</v>
      </c>
      <c r="U759" s="90">
        <v>3166.9197801648875</v>
      </c>
      <c r="V759" s="89" t="s">
        <v>9344</v>
      </c>
      <c r="W759" s="90">
        <f t="shared" si="52"/>
        <v>1900.1518680989325</v>
      </c>
    </row>
    <row r="760" spans="19:23" x14ac:dyDescent="0.2">
      <c r="S760" s="87" t="s">
        <v>10547</v>
      </c>
      <c r="T760" s="87" t="s">
        <v>10548</v>
      </c>
      <c r="U760" s="90">
        <v>3886.681254417711</v>
      </c>
      <c r="V760" s="89" t="s">
        <v>9344</v>
      </c>
      <c r="W760" s="90">
        <f t="shared" si="52"/>
        <v>2332.0087526506263</v>
      </c>
    </row>
    <row r="761" spans="19:23" x14ac:dyDescent="0.2">
      <c r="S761" s="87" t="s">
        <v>10549</v>
      </c>
      <c r="T761" s="87" t="s">
        <v>10550</v>
      </c>
      <c r="U761" s="90">
        <v>5470.2179108689961</v>
      </c>
      <c r="V761" s="89" t="s">
        <v>9344</v>
      </c>
      <c r="W761" s="90">
        <f t="shared" si="52"/>
        <v>3282.1307465213977</v>
      </c>
    </row>
    <row r="762" spans="19:23" x14ac:dyDescent="0.2">
      <c r="S762" s="87" t="s">
        <v>10551</v>
      </c>
      <c r="T762" s="87" t="s">
        <v>10552</v>
      </c>
      <c r="U762" s="90">
        <v>1190.3393152478973</v>
      </c>
      <c r="V762" s="89" t="s">
        <v>9344</v>
      </c>
      <c r="W762" s="90">
        <f t="shared" si="52"/>
        <v>714.20358914873839</v>
      </c>
    </row>
    <row r="763" spans="19:23" x14ac:dyDescent="0.2">
      <c r="S763" s="87" t="s">
        <v>10553</v>
      </c>
      <c r="T763" s="87" t="s">
        <v>10554</v>
      </c>
      <c r="U763" s="90">
        <v>1190.3393152478973</v>
      </c>
      <c r="V763" s="89" t="s">
        <v>9344</v>
      </c>
      <c r="W763" s="90">
        <f t="shared" si="52"/>
        <v>714.20358914873839</v>
      </c>
    </row>
    <row r="764" spans="19:23" x14ac:dyDescent="0.2">
      <c r="S764" s="87" t="s">
        <v>10555</v>
      </c>
      <c r="T764" s="87" t="s">
        <v>10556</v>
      </c>
      <c r="U764" s="90">
        <v>1496.6371269233198</v>
      </c>
      <c r="V764" s="89" t="s">
        <v>9344</v>
      </c>
      <c r="W764" s="90">
        <f t="shared" si="52"/>
        <v>897.98227615399185</v>
      </c>
    </row>
    <row r="765" spans="19:23" x14ac:dyDescent="0.2">
      <c r="S765" s="87" t="s">
        <v>10557</v>
      </c>
      <c r="T765" s="87" t="s">
        <v>10558</v>
      </c>
      <c r="U765" s="90">
        <v>1020.3785746340154</v>
      </c>
      <c r="V765" s="89" t="s">
        <v>9344</v>
      </c>
      <c r="W765" s="90">
        <f t="shared" si="52"/>
        <v>612.22714478040928</v>
      </c>
    </row>
    <row r="766" spans="19:23" x14ac:dyDescent="0.2">
      <c r="S766" s="87" t="s">
        <v>10559</v>
      </c>
      <c r="T766" s="87" t="s">
        <v>10560</v>
      </c>
      <c r="U766" s="90">
        <v>1190.3393152478973</v>
      </c>
      <c r="V766" s="89" t="s">
        <v>9344</v>
      </c>
      <c r="W766" s="90">
        <f t="shared" si="52"/>
        <v>714.20358914873839</v>
      </c>
    </row>
    <row r="767" spans="19:23" x14ac:dyDescent="0.2">
      <c r="S767" s="87" t="s">
        <v>10561</v>
      </c>
      <c r="T767" s="87" t="s">
        <v>10562</v>
      </c>
      <c r="U767" s="90">
        <v>1530.5678619510236</v>
      </c>
      <c r="V767" s="89" t="s">
        <v>9344</v>
      </c>
      <c r="W767" s="90">
        <f t="shared" si="52"/>
        <v>918.34071717061408</v>
      </c>
    </row>
    <row r="768" spans="19:23" x14ac:dyDescent="0.2">
      <c r="S768" s="87" t="s">
        <v>10563</v>
      </c>
      <c r="T768" s="87" t="s">
        <v>10564</v>
      </c>
      <c r="U768" s="90">
        <v>1870.642875916468</v>
      </c>
      <c r="V768" s="89" t="s">
        <v>9344</v>
      </c>
      <c r="W768" s="90">
        <f t="shared" si="52"/>
        <v>1122.3857255498808</v>
      </c>
    </row>
    <row r="769" spans="19:23" x14ac:dyDescent="0.2">
      <c r="S769" s="87" t="s">
        <v>10565</v>
      </c>
      <c r="T769" s="87" t="s">
        <v>10566</v>
      </c>
      <c r="U769" s="90">
        <v>2210.7178898819125</v>
      </c>
      <c r="V769" s="89" t="s">
        <v>9344</v>
      </c>
      <c r="W769" s="90">
        <f t="shared" si="52"/>
        <v>1326.4307339291474</v>
      </c>
    </row>
    <row r="770" spans="19:23" x14ac:dyDescent="0.2">
      <c r="S770" s="87" t="s">
        <v>10567</v>
      </c>
      <c r="T770" s="87" t="s">
        <v>10568</v>
      </c>
      <c r="U770" s="90">
        <v>3401.2107378674909</v>
      </c>
      <c r="V770" s="89" t="s">
        <v>9344</v>
      </c>
      <c r="W770" s="90">
        <f t="shared" si="52"/>
        <v>2040.7264427204946</v>
      </c>
    </row>
    <row r="771" spans="19:23" x14ac:dyDescent="0.2">
      <c r="S771" s="87" t="s">
        <v>10569</v>
      </c>
      <c r="T771" s="87" t="s">
        <v>10570</v>
      </c>
      <c r="U771" s="90">
        <v>13033.568015007462</v>
      </c>
      <c r="V771" s="89" t="s">
        <v>9344</v>
      </c>
      <c r="W771" s="90">
        <f t="shared" si="52"/>
        <v>7820.140809004477</v>
      </c>
    </row>
    <row r="772" spans="19:23" x14ac:dyDescent="0.2">
      <c r="S772" s="87" t="s">
        <v>10571</v>
      </c>
      <c r="T772" s="87" t="s">
        <v>10572</v>
      </c>
      <c r="U772" s="90">
        <v>18869.420743923962</v>
      </c>
      <c r="V772" s="89" t="s">
        <v>9344</v>
      </c>
      <c r="W772" s="90">
        <f t="shared" si="52"/>
        <v>11321.652446354377</v>
      </c>
    </row>
    <row r="773" spans="19:23" x14ac:dyDescent="0.2">
      <c r="S773" s="87" t="s">
        <v>10573</v>
      </c>
      <c r="T773" s="87" t="s">
        <v>10574</v>
      </c>
      <c r="U773" s="90">
        <v>46492.620581222669</v>
      </c>
      <c r="V773" s="89" t="s">
        <v>9344</v>
      </c>
      <c r="W773" s="90">
        <f t="shared" si="52"/>
        <v>27895.5723487336</v>
      </c>
    </row>
    <row r="774" spans="19:23" x14ac:dyDescent="0.2">
      <c r="S774" s="87" t="s">
        <v>10575</v>
      </c>
      <c r="T774" s="87" t="s">
        <v>10576</v>
      </c>
      <c r="U774" s="90">
        <v>84814.942178830432</v>
      </c>
      <c r="V774" s="89" t="s">
        <v>9344</v>
      </c>
      <c r="W774" s="90">
        <f t="shared" si="52"/>
        <v>50888.965307298255</v>
      </c>
    </row>
    <row r="775" spans="19:23" x14ac:dyDescent="0.2">
      <c r="S775" s="87" t="s">
        <v>10577</v>
      </c>
      <c r="T775" s="87" t="s">
        <v>10578</v>
      </c>
      <c r="U775" s="90">
        <v>29471.266607291967</v>
      </c>
      <c r="V775" s="89" t="s">
        <v>9344</v>
      </c>
      <c r="W775" s="90">
        <f t="shared" si="52"/>
        <v>17682.759964375178</v>
      </c>
    </row>
    <row r="776" spans="19:23" x14ac:dyDescent="0.2">
      <c r="S776" s="87" t="s">
        <v>10579</v>
      </c>
      <c r="T776" s="87" t="s">
        <v>10580</v>
      </c>
      <c r="U776" s="90">
        <v>32486.64414057761</v>
      </c>
      <c r="V776" s="89" t="s">
        <v>9344</v>
      </c>
      <c r="W776" s="90">
        <f t="shared" si="52"/>
        <v>19491.986484346566</v>
      </c>
    </row>
    <row r="777" spans="19:23" x14ac:dyDescent="0.2">
      <c r="S777" s="87" t="s">
        <v>10581</v>
      </c>
      <c r="T777" s="87" t="s">
        <v>10582</v>
      </c>
      <c r="U777" s="90">
        <v>71489.897016772593</v>
      </c>
      <c r="V777" s="89" t="s">
        <v>9344</v>
      </c>
      <c r="W777" s="90">
        <f t="shared" si="52"/>
        <v>42893.938210063556</v>
      </c>
    </row>
    <row r="778" spans="19:23" x14ac:dyDescent="0.2">
      <c r="S778" s="87" t="s">
        <v>10583</v>
      </c>
      <c r="T778" s="87" t="s">
        <v>10584</v>
      </c>
      <c r="U778" s="90">
        <v>132085.76993558131</v>
      </c>
      <c r="V778" s="89" t="s">
        <v>9344</v>
      </c>
      <c r="W778" s="90">
        <f t="shared" si="52"/>
        <v>79251.461961348788</v>
      </c>
    </row>
    <row r="779" spans="19:23" x14ac:dyDescent="0.2">
      <c r="S779" s="87" t="s">
        <v>10585</v>
      </c>
      <c r="T779" s="87" t="s">
        <v>10586</v>
      </c>
      <c r="U779" s="90">
        <v>13909.051087476764</v>
      </c>
      <c r="V779" s="89" t="s">
        <v>9344</v>
      </c>
      <c r="W779" s="90">
        <f t="shared" si="52"/>
        <v>8345.4306524860585</v>
      </c>
    </row>
    <row r="780" spans="19:23" x14ac:dyDescent="0.2">
      <c r="S780" s="87" t="s">
        <v>10587</v>
      </c>
      <c r="T780" s="87" t="s">
        <v>10588</v>
      </c>
      <c r="U780" s="90">
        <v>18577.593053100856</v>
      </c>
      <c r="V780" s="89" t="s">
        <v>9344</v>
      </c>
      <c r="W780" s="90">
        <f t="shared" si="52"/>
        <v>11146.555831860513</v>
      </c>
    </row>
    <row r="781" spans="19:23" x14ac:dyDescent="0.2">
      <c r="S781" s="87" t="s">
        <v>10589</v>
      </c>
      <c r="T781" s="87" t="s">
        <v>10590</v>
      </c>
      <c r="U781" s="90">
        <v>60888.051153404558</v>
      </c>
      <c r="V781" s="89" t="s">
        <v>9344</v>
      </c>
      <c r="W781" s="90">
        <f t="shared" si="52"/>
        <v>36532.830692042735</v>
      </c>
    </row>
    <row r="782" spans="19:23" x14ac:dyDescent="0.2">
      <c r="S782" s="87" t="s">
        <v>10591</v>
      </c>
      <c r="T782" s="87" t="s">
        <v>10592</v>
      </c>
      <c r="U782" s="90">
        <v>116912.65800353026</v>
      </c>
      <c r="V782" s="89" t="s">
        <v>9344</v>
      </c>
      <c r="W782" s="90">
        <f t="shared" si="52"/>
        <v>70147.594802118154</v>
      </c>
    </row>
    <row r="783" spans="19:23" x14ac:dyDescent="0.2">
      <c r="S783" s="87" t="s">
        <v>10593</v>
      </c>
      <c r="T783" s="87" t="s">
        <v>10594</v>
      </c>
      <c r="U783" s="90">
        <v>13714.324021708313</v>
      </c>
      <c r="V783" s="89" t="s">
        <v>9344</v>
      </c>
      <c r="W783" s="90">
        <f t="shared" si="52"/>
        <v>8228.5944130249882</v>
      </c>
    </row>
    <row r="784" spans="19:23" x14ac:dyDescent="0.2">
      <c r="S784" s="87" t="s">
        <v>10595</v>
      </c>
      <c r="T784" s="87" t="s">
        <v>10596</v>
      </c>
      <c r="U784" s="90">
        <v>19647.452647565857</v>
      </c>
      <c r="V784" s="89" t="s">
        <v>9344</v>
      </c>
      <c r="W784" s="90">
        <f t="shared" si="52"/>
        <v>11788.471588539514</v>
      </c>
    </row>
    <row r="785" spans="19:23" x14ac:dyDescent="0.2">
      <c r="S785" s="87" t="s">
        <v>10597</v>
      </c>
      <c r="T785" s="87" t="s">
        <v>10598</v>
      </c>
      <c r="U785" s="90">
        <v>51550.441406497252</v>
      </c>
      <c r="V785" s="89" t="s">
        <v>9344</v>
      </c>
      <c r="W785" s="90">
        <f t="shared" si="52"/>
        <v>30930.264843898349</v>
      </c>
    </row>
    <row r="786" spans="19:23" x14ac:dyDescent="0.2">
      <c r="S786" s="87" t="s">
        <v>10599</v>
      </c>
      <c r="T786" s="87" t="s">
        <v>10600</v>
      </c>
      <c r="U786" s="90">
        <v>106602.464559099</v>
      </c>
      <c r="V786" s="89" t="s">
        <v>9344</v>
      </c>
      <c r="W786" s="90">
        <f t="shared" si="52"/>
        <v>63961.478735459394</v>
      </c>
    </row>
    <row r="787" spans="19:23" x14ac:dyDescent="0.2">
      <c r="S787" s="87" t="s">
        <v>10601</v>
      </c>
      <c r="T787" s="87" t="s">
        <v>10602</v>
      </c>
      <c r="U787" s="90">
        <v>954.11060156951498</v>
      </c>
      <c r="V787" s="89" t="s">
        <v>9344</v>
      </c>
      <c r="W787" s="90">
        <f t="shared" si="52"/>
        <v>572.46636094170901</v>
      </c>
    </row>
    <row r="788" spans="19:23" x14ac:dyDescent="0.2">
      <c r="S788" s="87" t="s">
        <v>10603</v>
      </c>
      <c r="T788" s="87" t="s">
        <v>10604</v>
      </c>
      <c r="U788" s="90">
        <v>858.66911999999991</v>
      </c>
      <c r="V788" s="89" t="s">
        <v>9344</v>
      </c>
      <c r="W788" s="90">
        <f t="shared" si="52"/>
        <v>515.20147199999997</v>
      </c>
    </row>
    <row r="789" spans="19:23" x14ac:dyDescent="0.2">
      <c r="S789" s="87" t="s">
        <v>10605</v>
      </c>
      <c r="T789" s="87" t="s">
        <v>10606</v>
      </c>
      <c r="U789" s="90">
        <v>1081.5723086529274</v>
      </c>
      <c r="V789" s="89" t="s">
        <v>9344</v>
      </c>
      <c r="W789" s="90">
        <f t="shared" si="52"/>
        <v>648.94338519175642</v>
      </c>
    </row>
    <row r="790" spans="19:23" x14ac:dyDescent="0.2">
      <c r="S790" s="87" t="s">
        <v>10607</v>
      </c>
      <c r="T790" s="87" t="s">
        <v>10608</v>
      </c>
      <c r="U790" s="90">
        <v>1586.3633827391236</v>
      </c>
      <c r="V790" s="89" t="s">
        <v>9344</v>
      </c>
      <c r="W790" s="90">
        <f t="shared" si="52"/>
        <v>951.81802964347412</v>
      </c>
    </row>
    <row r="791" spans="19:23" x14ac:dyDescent="0.2">
      <c r="S791" s="87" t="s">
        <v>10609</v>
      </c>
      <c r="T791" s="87" t="s">
        <v>10610</v>
      </c>
      <c r="U791" s="90">
        <v>1802.7024144903512</v>
      </c>
      <c r="V791" s="89" t="s">
        <v>9344</v>
      </c>
      <c r="W791" s="90">
        <f t="shared" si="52"/>
        <v>1081.6214486942106</v>
      </c>
    </row>
    <row r="792" spans="19:23" x14ac:dyDescent="0.2">
      <c r="S792" s="87" t="s">
        <v>10611</v>
      </c>
      <c r="T792" s="87" t="s">
        <v>10612</v>
      </c>
      <c r="U792" s="90">
        <v>2740.0487019757925</v>
      </c>
      <c r="V792" s="89" t="s">
        <v>9344</v>
      </c>
      <c r="W792" s="90">
        <f t="shared" si="52"/>
        <v>1644.0292211854755</v>
      </c>
    </row>
    <row r="793" spans="19:23" x14ac:dyDescent="0.2">
      <c r="S793" s="87" t="s">
        <v>10613</v>
      </c>
      <c r="T793" s="87" t="s">
        <v>10614</v>
      </c>
      <c r="U793" s="90">
        <v>3605.4048289807024</v>
      </c>
      <c r="V793" s="89" t="s">
        <v>9344</v>
      </c>
      <c r="W793" s="90">
        <f t="shared" ref="W793:W856" si="53">+IF(V793="Nacional",(1-$AA$1)*U793,(1-$AA$2)*U793)</f>
        <v>2163.2428973884212</v>
      </c>
    </row>
    <row r="794" spans="19:23" x14ac:dyDescent="0.2">
      <c r="S794" s="87" t="s">
        <v>10615</v>
      </c>
      <c r="T794" s="87" t="s">
        <v>10616</v>
      </c>
      <c r="U794" s="90">
        <v>4326.5349348181244</v>
      </c>
      <c r="V794" s="89" t="s">
        <v>9344</v>
      </c>
      <c r="W794" s="90">
        <f t="shared" si="53"/>
        <v>2595.9209608908745</v>
      </c>
    </row>
    <row r="795" spans="19:23" x14ac:dyDescent="0.2">
      <c r="S795" s="87" t="s">
        <v>10617</v>
      </c>
      <c r="T795" s="87" t="s">
        <v>10618</v>
      </c>
      <c r="U795" s="90">
        <v>10599.875455190881</v>
      </c>
      <c r="V795" s="89" t="s">
        <v>9344</v>
      </c>
      <c r="W795" s="90">
        <f t="shared" si="53"/>
        <v>6359.925273114528</v>
      </c>
    </row>
    <row r="796" spans="19:23" x14ac:dyDescent="0.2">
      <c r="S796" s="87" t="s">
        <v>10619</v>
      </c>
      <c r="T796" s="87" t="s">
        <v>10620</v>
      </c>
      <c r="U796" s="90">
        <v>5335.9942328873103</v>
      </c>
      <c r="V796" s="89" t="s">
        <v>9344</v>
      </c>
      <c r="W796" s="90">
        <f t="shared" si="53"/>
        <v>3201.5965397323862</v>
      </c>
    </row>
    <row r="797" spans="19:23" x14ac:dyDescent="0.2">
      <c r="S797" s="87" t="s">
        <v>10621</v>
      </c>
      <c r="T797" s="87" t="s">
        <v>10622</v>
      </c>
      <c r="U797" s="90">
        <v>5408.1072434710532</v>
      </c>
      <c r="V797" s="89" t="s">
        <v>9344</v>
      </c>
      <c r="W797" s="90">
        <f t="shared" si="53"/>
        <v>3244.864346082632</v>
      </c>
    </row>
    <row r="798" spans="19:23" x14ac:dyDescent="0.2">
      <c r="S798" s="87" t="s">
        <v>10623</v>
      </c>
      <c r="T798" s="87" t="s">
        <v>10624</v>
      </c>
      <c r="U798" s="90">
        <v>6633.905573291464</v>
      </c>
      <c r="V798" s="89" t="s">
        <v>9344</v>
      </c>
      <c r="W798" s="90">
        <f t="shared" si="53"/>
        <v>3980.3433439748783</v>
      </c>
    </row>
    <row r="799" spans="19:23" x14ac:dyDescent="0.2">
      <c r="S799" s="87" t="s">
        <v>10625</v>
      </c>
      <c r="T799" s="87" t="s">
        <v>10626</v>
      </c>
      <c r="U799" s="90">
        <v>9229.8511042029768</v>
      </c>
      <c r="V799" s="89" t="s">
        <v>9344</v>
      </c>
      <c r="W799" s="90">
        <f t="shared" si="53"/>
        <v>5537.9106625217855</v>
      </c>
    </row>
    <row r="800" spans="19:23" x14ac:dyDescent="0.2">
      <c r="S800" s="87" t="s">
        <v>10627</v>
      </c>
      <c r="T800" s="87" t="s">
        <v>10628</v>
      </c>
      <c r="U800" s="90">
        <v>9734.6421782891794</v>
      </c>
      <c r="V800" s="89" t="s">
        <v>9344</v>
      </c>
      <c r="W800" s="90">
        <f t="shared" si="53"/>
        <v>5840.7853069735074</v>
      </c>
    </row>
    <row r="801" spans="19:23" x14ac:dyDescent="0.2">
      <c r="S801" s="87" t="s">
        <v>10629</v>
      </c>
      <c r="T801" s="87" t="s">
        <v>10630</v>
      </c>
      <c r="U801" s="90">
        <v>10455.649434023395</v>
      </c>
      <c r="V801" s="89" t="s">
        <v>9344</v>
      </c>
      <c r="W801" s="90">
        <f t="shared" si="53"/>
        <v>6273.3896604140364</v>
      </c>
    </row>
    <row r="802" spans="19:23" x14ac:dyDescent="0.2">
      <c r="S802" s="87" t="s">
        <v>10631</v>
      </c>
      <c r="T802" s="87" t="s">
        <v>10632</v>
      </c>
      <c r="U802" s="90">
        <v>12330.464859097487</v>
      </c>
      <c r="V802" s="89" t="s">
        <v>9344</v>
      </c>
      <c r="W802" s="90">
        <f t="shared" si="53"/>
        <v>7398.2789154584916</v>
      </c>
    </row>
    <row r="803" spans="19:23" x14ac:dyDescent="0.2">
      <c r="S803" s="87" t="s">
        <v>10633</v>
      </c>
      <c r="T803" s="87" t="s">
        <v>10634</v>
      </c>
      <c r="U803" s="90">
        <v>14854.174529322052</v>
      </c>
      <c r="V803" s="89" t="s">
        <v>9344</v>
      </c>
      <c r="W803" s="90">
        <f t="shared" si="53"/>
        <v>8912.5047175932305</v>
      </c>
    </row>
    <row r="804" spans="19:23" x14ac:dyDescent="0.2">
      <c r="S804" s="87" t="s">
        <v>10635</v>
      </c>
      <c r="T804" s="87" t="s">
        <v>10636</v>
      </c>
      <c r="U804" s="90">
        <v>28699.012610678114</v>
      </c>
      <c r="V804" s="89" t="s">
        <v>9344</v>
      </c>
      <c r="W804" s="90">
        <f t="shared" si="53"/>
        <v>17219.407566406866</v>
      </c>
    </row>
    <row r="805" spans="19:23" x14ac:dyDescent="0.2">
      <c r="S805" s="87" t="s">
        <v>10637</v>
      </c>
      <c r="T805" s="87" t="s">
        <v>10638</v>
      </c>
      <c r="U805" s="90">
        <v>5335.9942328873103</v>
      </c>
      <c r="V805" s="89" t="s">
        <v>9344</v>
      </c>
      <c r="W805" s="90">
        <f t="shared" si="53"/>
        <v>3201.5965397323862</v>
      </c>
    </row>
    <row r="806" spans="19:23" x14ac:dyDescent="0.2">
      <c r="S806" s="87" t="s">
        <v>10639</v>
      </c>
      <c r="T806" s="87" t="s">
        <v>10640</v>
      </c>
      <c r="U806" s="90">
        <v>5480.220254054796</v>
      </c>
      <c r="V806" s="89" t="s">
        <v>9344</v>
      </c>
      <c r="W806" s="90">
        <f t="shared" si="53"/>
        <v>3288.1321524328773</v>
      </c>
    </row>
    <row r="807" spans="19:23" x14ac:dyDescent="0.2">
      <c r="S807" s="87" t="s">
        <v>10641</v>
      </c>
      <c r="T807" s="87" t="s">
        <v>10642</v>
      </c>
      <c r="U807" s="90">
        <v>6706.0185838752059</v>
      </c>
      <c r="V807" s="89" t="s">
        <v>9344</v>
      </c>
      <c r="W807" s="90">
        <f t="shared" si="53"/>
        <v>4023.6111503251232</v>
      </c>
    </row>
    <row r="808" spans="19:23" x14ac:dyDescent="0.2">
      <c r="S808" s="87" t="s">
        <v>10643</v>
      </c>
      <c r="T808" s="87" t="s">
        <v>10644</v>
      </c>
      <c r="U808" s="90">
        <v>9590.2933070184863</v>
      </c>
      <c r="V808" s="89" t="s">
        <v>9344</v>
      </c>
      <c r="W808" s="90">
        <f t="shared" si="53"/>
        <v>5754.1759842110914</v>
      </c>
    </row>
    <row r="809" spans="19:23" x14ac:dyDescent="0.2">
      <c r="S809" s="87" t="s">
        <v>10645</v>
      </c>
      <c r="T809" s="87" t="s">
        <v>10646</v>
      </c>
      <c r="U809" s="90">
        <v>9950.8583599371959</v>
      </c>
      <c r="V809" s="89" t="s">
        <v>9344</v>
      </c>
      <c r="W809" s="90">
        <f t="shared" si="53"/>
        <v>5970.5150159623172</v>
      </c>
    </row>
    <row r="810" spans="19:23" x14ac:dyDescent="0.2">
      <c r="S810" s="87" t="s">
        <v>10647</v>
      </c>
      <c r="T810" s="87" t="s">
        <v>10648</v>
      </c>
      <c r="U810" s="90">
        <v>10960.440508109592</v>
      </c>
      <c r="V810" s="89" t="s">
        <v>9344</v>
      </c>
      <c r="W810" s="90">
        <f t="shared" si="53"/>
        <v>6576.2643048657546</v>
      </c>
    </row>
    <row r="811" spans="19:23" x14ac:dyDescent="0.2">
      <c r="S811" s="87" t="s">
        <v>10649</v>
      </c>
      <c r="T811" s="87" t="s">
        <v>10650</v>
      </c>
      <c r="U811" s="90">
        <v>13267.811146582928</v>
      </c>
      <c r="V811" s="89" t="s">
        <v>9344</v>
      </c>
      <c r="W811" s="90">
        <f t="shared" si="53"/>
        <v>7960.6866879497566</v>
      </c>
    </row>
    <row r="812" spans="19:23" x14ac:dyDescent="0.2">
      <c r="S812" s="87" t="s">
        <v>10651</v>
      </c>
      <c r="T812" s="87" t="s">
        <v>10652</v>
      </c>
      <c r="U812" s="90">
        <v>15647.417645743224</v>
      </c>
      <c r="V812" s="89" t="s">
        <v>9344</v>
      </c>
      <c r="W812" s="90">
        <f t="shared" si="53"/>
        <v>9388.4505874459337</v>
      </c>
    </row>
    <row r="813" spans="19:23" x14ac:dyDescent="0.2">
      <c r="S813" s="87" t="s">
        <v>10653</v>
      </c>
      <c r="T813" s="87" t="s">
        <v>10654</v>
      </c>
      <c r="U813" s="90">
        <v>30429.479164481538</v>
      </c>
      <c r="V813" s="89" t="s">
        <v>9344</v>
      </c>
      <c r="W813" s="90">
        <f t="shared" si="53"/>
        <v>18257.687498688923</v>
      </c>
    </row>
    <row r="814" spans="19:23" x14ac:dyDescent="0.2">
      <c r="S814" s="87" t="s">
        <v>10655</v>
      </c>
      <c r="T814" s="87" t="s">
        <v>10656</v>
      </c>
      <c r="U814" s="90">
        <v>5263.8812223035684</v>
      </c>
      <c r="V814" s="89" t="s">
        <v>9344</v>
      </c>
      <c r="W814" s="90">
        <f t="shared" si="53"/>
        <v>3158.3287333821409</v>
      </c>
    </row>
    <row r="815" spans="19:23" x14ac:dyDescent="0.2">
      <c r="S815" s="87" t="s">
        <v>10657</v>
      </c>
      <c r="T815" s="87" t="s">
        <v>10658</v>
      </c>
      <c r="U815" s="90">
        <v>5408.1072434710532</v>
      </c>
      <c r="V815" s="89" t="s">
        <v>9344</v>
      </c>
      <c r="W815" s="90">
        <f t="shared" si="53"/>
        <v>3244.864346082632</v>
      </c>
    </row>
    <row r="816" spans="19:23" x14ac:dyDescent="0.2">
      <c r="S816" s="87" t="s">
        <v>10659</v>
      </c>
      <c r="T816" s="87" t="s">
        <v>10660</v>
      </c>
      <c r="U816" s="90">
        <v>6706.0185838752059</v>
      </c>
      <c r="V816" s="89" t="s">
        <v>9344</v>
      </c>
      <c r="W816" s="90">
        <f t="shared" si="53"/>
        <v>4023.6111503251232</v>
      </c>
    </row>
    <row r="817" spans="19:23" x14ac:dyDescent="0.2">
      <c r="S817" s="87" t="s">
        <v>10661</v>
      </c>
      <c r="T817" s="87" t="s">
        <v>10662</v>
      </c>
      <c r="U817" s="90">
        <v>9374.0771253704643</v>
      </c>
      <c r="V817" s="89" t="s">
        <v>9344</v>
      </c>
      <c r="W817" s="90">
        <f t="shared" si="53"/>
        <v>5624.446275222278</v>
      </c>
    </row>
    <row r="818" spans="19:23" x14ac:dyDescent="0.2">
      <c r="S818" s="87" t="s">
        <v>10663</v>
      </c>
      <c r="T818" s="87" t="s">
        <v>10664</v>
      </c>
      <c r="U818" s="90">
        <v>9950.8583599371959</v>
      </c>
      <c r="V818" s="89" t="s">
        <v>9344</v>
      </c>
      <c r="W818" s="90">
        <f t="shared" si="53"/>
        <v>5970.5150159623172</v>
      </c>
    </row>
    <row r="819" spans="19:23" x14ac:dyDescent="0.2">
      <c r="S819" s="87" t="s">
        <v>10665</v>
      </c>
      <c r="T819" s="87" t="s">
        <v>10666</v>
      </c>
      <c r="U819" s="90">
        <v>10671.988465774621</v>
      </c>
      <c r="V819" s="89" t="s">
        <v>9344</v>
      </c>
      <c r="W819" s="90">
        <f t="shared" si="53"/>
        <v>6403.1930794647724</v>
      </c>
    </row>
    <row r="820" spans="19:23" x14ac:dyDescent="0.2">
      <c r="S820" s="87" t="s">
        <v>10667</v>
      </c>
      <c r="T820" s="87" t="s">
        <v>10668</v>
      </c>
      <c r="U820" s="90">
        <v>12618.916901432453</v>
      </c>
      <c r="V820" s="89" t="s">
        <v>9344</v>
      </c>
      <c r="W820" s="90">
        <f t="shared" si="53"/>
        <v>7571.3501408594711</v>
      </c>
    </row>
    <row r="821" spans="19:23" x14ac:dyDescent="0.2">
      <c r="S821" s="87" t="s">
        <v>10669</v>
      </c>
      <c r="T821" s="87" t="s">
        <v>10670</v>
      </c>
      <c r="U821" s="90">
        <v>15142.749421760233</v>
      </c>
      <c r="V821" s="89" t="s">
        <v>9344</v>
      </c>
      <c r="W821" s="90">
        <f t="shared" si="53"/>
        <v>9085.6496530561399</v>
      </c>
    </row>
    <row r="822" spans="19:23" x14ac:dyDescent="0.2">
      <c r="S822" s="87" t="s">
        <v>10671</v>
      </c>
      <c r="T822" s="87" t="s">
        <v>10672</v>
      </c>
      <c r="U822" s="90">
        <v>29708.471908747313</v>
      </c>
      <c r="V822" s="89" t="s">
        <v>9344</v>
      </c>
      <c r="W822" s="90">
        <f t="shared" si="53"/>
        <v>17825.083145248387</v>
      </c>
    </row>
    <row r="823" spans="19:23" x14ac:dyDescent="0.2">
      <c r="S823" s="87" t="s">
        <v>10673</v>
      </c>
      <c r="T823" s="87" t="s">
        <v>10674</v>
      </c>
      <c r="U823" s="90">
        <v>4614.9869771530939</v>
      </c>
      <c r="V823" s="89" t="s">
        <v>9344</v>
      </c>
      <c r="W823" s="90">
        <f t="shared" si="53"/>
        <v>2768.9921862918563</v>
      </c>
    </row>
    <row r="824" spans="19:23" x14ac:dyDescent="0.2">
      <c r="S824" s="87" t="s">
        <v>10675</v>
      </c>
      <c r="T824" s="87" t="s">
        <v>10676</v>
      </c>
      <c r="U824" s="90">
        <v>4686.9771376336284</v>
      </c>
      <c r="V824" s="89" t="s">
        <v>9344</v>
      </c>
      <c r="W824" s="90">
        <f t="shared" si="53"/>
        <v>2812.1862825801768</v>
      </c>
    </row>
    <row r="825" spans="19:23" x14ac:dyDescent="0.2">
      <c r="S825" s="87" t="s">
        <v>10677</v>
      </c>
      <c r="T825" s="87" t="s">
        <v>10678</v>
      </c>
      <c r="U825" s="90">
        <v>6273.4633704759626</v>
      </c>
      <c r="V825" s="89" t="s">
        <v>9344</v>
      </c>
      <c r="W825" s="90">
        <f t="shared" si="53"/>
        <v>3764.0780222855774</v>
      </c>
    </row>
    <row r="826" spans="19:23" x14ac:dyDescent="0.2">
      <c r="S826" s="87" t="s">
        <v>10679</v>
      </c>
      <c r="T826" s="87" t="s">
        <v>10680</v>
      </c>
      <c r="U826" s="90">
        <v>9590.2933070184863</v>
      </c>
      <c r="V826" s="89" t="s">
        <v>9344</v>
      </c>
      <c r="W826" s="90">
        <f t="shared" si="53"/>
        <v>5754.1759842110914</v>
      </c>
    </row>
    <row r="827" spans="19:23" x14ac:dyDescent="0.2">
      <c r="S827" s="87" t="s">
        <v>10681</v>
      </c>
      <c r="T827" s="87" t="s">
        <v>10682</v>
      </c>
      <c r="U827" s="90">
        <v>10311.423412855913</v>
      </c>
      <c r="V827" s="89" t="s">
        <v>9344</v>
      </c>
      <c r="W827" s="90">
        <f t="shared" si="53"/>
        <v>6186.8540477135475</v>
      </c>
    </row>
    <row r="828" spans="19:23" x14ac:dyDescent="0.2">
      <c r="S828" s="87" t="s">
        <v>10683</v>
      </c>
      <c r="T828" s="87" t="s">
        <v>10684</v>
      </c>
      <c r="U828" s="90">
        <v>14493.60947640335</v>
      </c>
      <c r="V828" s="89" t="s">
        <v>9344</v>
      </c>
      <c r="W828" s="90">
        <f t="shared" si="53"/>
        <v>8696.1656858420101</v>
      </c>
    </row>
    <row r="829" spans="19:23" x14ac:dyDescent="0.2">
      <c r="S829" s="87" t="s">
        <v>10685</v>
      </c>
      <c r="T829" s="87" t="s">
        <v>10686</v>
      </c>
      <c r="U829" s="90">
        <v>28122.1085260082</v>
      </c>
      <c r="V829" s="89" t="s">
        <v>9344</v>
      </c>
      <c r="W829" s="90">
        <f t="shared" si="53"/>
        <v>16873.265115604918</v>
      </c>
    </row>
    <row r="830" spans="19:23" x14ac:dyDescent="0.2">
      <c r="S830" s="87" t="s">
        <v>10687</v>
      </c>
      <c r="T830" s="87" t="s">
        <v>10688</v>
      </c>
      <c r="U830" s="90">
        <v>721.13010583742368</v>
      </c>
      <c r="V830" s="89" t="s">
        <v>9344</v>
      </c>
      <c r="W830" s="90">
        <f t="shared" si="53"/>
        <v>432.67806350245422</v>
      </c>
    </row>
    <row r="831" spans="19:23" x14ac:dyDescent="0.2">
      <c r="S831" s="87" t="s">
        <v>10689</v>
      </c>
      <c r="T831" s="87" t="s">
        <v>10690</v>
      </c>
      <c r="U831" s="90">
        <v>793.12026631795732</v>
      </c>
      <c r="V831" s="89" t="s">
        <v>9344</v>
      </c>
      <c r="W831" s="90">
        <f t="shared" si="53"/>
        <v>475.87215979077439</v>
      </c>
    </row>
    <row r="832" spans="19:23" x14ac:dyDescent="0.2">
      <c r="S832" s="87" t="s">
        <v>10691</v>
      </c>
      <c r="T832" s="87" t="s">
        <v>10692</v>
      </c>
      <c r="U832" s="90">
        <v>1370.1472010911061</v>
      </c>
      <c r="V832" s="89" t="s">
        <v>9344</v>
      </c>
      <c r="W832" s="90">
        <f t="shared" si="53"/>
        <v>822.08832065466368</v>
      </c>
    </row>
    <row r="833" spans="19:23" x14ac:dyDescent="0.2">
      <c r="S833" s="87" t="s">
        <v>10693</v>
      </c>
      <c r="T833" s="87" t="s">
        <v>10694</v>
      </c>
      <c r="U833" s="90">
        <v>1658.476393322866</v>
      </c>
      <c r="V833" s="89" t="s">
        <v>9344</v>
      </c>
      <c r="W833" s="90">
        <f t="shared" si="53"/>
        <v>995.08583599371957</v>
      </c>
    </row>
    <row r="834" spans="19:23" x14ac:dyDescent="0.2">
      <c r="S834" s="87" t="s">
        <v>10695</v>
      </c>
      <c r="T834" s="87" t="s">
        <v>10696</v>
      </c>
      <c r="U834" s="90">
        <v>3893.8568713156733</v>
      </c>
      <c r="V834" s="89" t="s">
        <v>9344</v>
      </c>
      <c r="W834" s="90">
        <f t="shared" si="53"/>
        <v>2336.3141227894039</v>
      </c>
    </row>
    <row r="835" spans="19:23" x14ac:dyDescent="0.2">
      <c r="S835" s="87" t="s">
        <v>10697</v>
      </c>
      <c r="T835" s="87" t="s">
        <v>10698</v>
      </c>
      <c r="U835" s="90">
        <v>8292.3819666143336</v>
      </c>
      <c r="V835" s="89" t="s">
        <v>9344</v>
      </c>
      <c r="W835" s="90">
        <f t="shared" si="53"/>
        <v>4975.4291799685998</v>
      </c>
    </row>
    <row r="836" spans="19:23" x14ac:dyDescent="0.2">
      <c r="S836" s="87" t="s">
        <v>10699</v>
      </c>
      <c r="T836" s="87" t="s">
        <v>10700</v>
      </c>
      <c r="U836" s="90">
        <v>793.12026631795732</v>
      </c>
      <c r="V836" s="89" t="s">
        <v>9344</v>
      </c>
      <c r="W836" s="90">
        <f t="shared" si="53"/>
        <v>475.87215979077439</v>
      </c>
    </row>
    <row r="837" spans="19:23" x14ac:dyDescent="0.2">
      <c r="S837" s="87" t="s">
        <v>10701</v>
      </c>
      <c r="T837" s="87" t="s">
        <v>10702</v>
      </c>
      <c r="U837" s="90">
        <v>937.34628748544242</v>
      </c>
      <c r="V837" s="89" t="s">
        <v>9344</v>
      </c>
      <c r="W837" s="90">
        <f t="shared" si="53"/>
        <v>562.4077724912654</v>
      </c>
    </row>
    <row r="838" spans="19:23" x14ac:dyDescent="0.2">
      <c r="S838" s="87" t="s">
        <v>10703</v>
      </c>
      <c r="T838" s="87" t="s">
        <v>10704</v>
      </c>
      <c r="U838" s="90">
        <v>1081.5723086529274</v>
      </c>
      <c r="V838" s="89" t="s">
        <v>9344</v>
      </c>
      <c r="W838" s="90">
        <f t="shared" si="53"/>
        <v>648.94338519175642</v>
      </c>
    </row>
    <row r="839" spans="19:23" x14ac:dyDescent="0.2">
      <c r="S839" s="87" t="s">
        <v>10705</v>
      </c>
      <c r="T839" s="87" t="s">
        <v>10706</v>
      </c>
      <c r="U839" s="90">
        <v>1442.1373615716391</v>
      </c>
      <c r="V839" s="89" t="s">
        <v>9344</v>
      </c>
      <c r="W839" s="90">
        <f t="shared" si="53"/>
        <v>865.28241694298345</v>
      </c>
    </row>
    <row r="840" spans="19:23" x14ac:dyDescent="0.2">
      <c r="S840" s="87" t="s">
        <v>10707</v>
      </c>
      <c r="T840" s="87" t="s">
        <v>10708</v>
      </c>
      <c r="U840" s="90">
        <v>1802.7024144903512</v>
      </c>
      <c r="V840" s="89" t="s">
        <v>9344</v>
      </c>
      <c r="W840" s="90">
        <f t="shared" si="53"/>
        <v>1081.6214486942106</v>
      </c>
    </row>
    <row r="841" spans="19:23" x14ac:dyDescent="0.2">
      <c r="S841" s="87" t="s">
        <v>10709</v>
      </c>
      <c r="T841" s="87" t="s">
        <v>10710</v>
      </c>
      <c r="U841" s="90">
        <v>3100.6137548945053</v>
      </c>
      <c r="V841" s="89" t="s">
        <v>9344</v>
      </c>
      <c r="W841" s="90">
        <f t="shared" si="53"/>
        <v>1860.3682529367031</v>
      </c>
    </row>
    <row r="842" spans="19:23" x14ac:dyDescent="0.2">
      <c r="S842" s="87" t="s">
        <v>10711</v>
      </c>
      <c r="T842" s="87" t="s">
        <v>10712</v>
      </c>
      <c r="U842" s="90">
        <v>4759.0901482173695</v>
      </c>
      <c r="V842" s="89" t="s">
        <v>9344</v>
      </c>
      <c r="W842" s="90">
        <f t="shared" si="53"/>
        <v>2855.4540889304217</v>
      </c>
    </row>
    <row r="843" spans="19:23" x14ac:dyDescent="0.2">
      <c r="S843" s="87" t="s">
        <v>10713</v>
      </c>
      <c r="T843" s="87" t="s">
        <v>10714</v>
      </c>
      <c r="U843" s="90">
        <v>5840.6624568703</v>
      </c>
      <c r="V843" s="89" t="s">
        <v>9344</v>
      </c>
      <c r="W843" s="90">
        <f t="shared" si="53"/>
        <v>3504.39747412218</v>
      </c>
    </row>
    <row r="844" spans="19:23" x14ac:dyDescent="0.2">
      <c r="S844" s="87" t="s">
        <v>10715</v>
      </c>
      <c r="T844" s="87" t="s">
        <v>10716</v>
      </c>
      <c r="U844" s="90">
        <v>13123.707975518653</v>
      </c>
      <c r="V844" s="89" t="s">
        <v>9344</v>
      </c>
      <c r="W844" s="90">
        <f t="shared" si="53"/>
        <v>7874.2247853111912</v>
      </c>
    </row>
    <row r="845" spans="19:23" x14ac:dyDescent="0.2">
      <c r="S845" s="87" t="s">
        <v>10717</v>
      </c>
      <c r="T845" s="87" t="s">
        <v>10718</v>
      </c>
      <c r="U845" s="90">
        <v>865.3561270049089</v>
      </c>
      <c r="V845" s="89" t="s">
        <v>9344</v>
      </c>
      <c r="W845" s="90">
        <f t="shared" si="53"/>
        <v>519.21367620294529</v>
      </c>
    </row>
    <row r="846" spans="19:23" x14ac:dyDescent="0.2">
      <c r="S846" s="87" t="s">
        <v>10719</v>
      </c>
      <c r="T846" s="87" t="s">
        <v>10720</v>
      </c>
      <c r="U846" s="90">
        <v>865.3561270049089</v>
      </c>
      <c r="V846" s="89" t="s">
        <v>9344</v>
      </c>
      <c r="W846" s="90">
        <f t="shared" si="53"/>
        <v>519.21367620294529</v>
      </c>
    </row>
    <row r="847" spans="19:23" x14ac:dyDescent="0.2">
      <c r="S847" s="87" t="s">
        <v>10721</v>
      </c>
      <c r="T847" s="87" t="s">
        <v>10722</v>
      </c>
      <c r="U847" s="90">
        <v>1009.5821481723939</v>
      </c>
      <c r="V847" s="89" t="s">
        <v>9344</v>
      </c>
      <c r="W847" s="90">
        <f t="shared" si="53"/>
        <v>605.74928890343631</v>
      </c>
    </row>
    <row r="848" spans="19:23" x14ac:dyDescent="0.2">
      <c r="S848" s="87" t="s">
        <v>10723</v>
      </c>
      <c r="T848" s="87" t="s">
        <v>10724</v>
      </c>
      <c r="U848" s="90">
        <v>1586.3633827391236</v>
      </c>
      <c r="V848" s="89" t="s">
        <v>9344</v>
      </c>
      <c r="W848" s="90">
        <f t="shared" si="53"/>
        <v>951.81802964347412</v>
      </c>
    </row>
    <row r="849" spans="19:23" x14ac:dyDescent="0.2">
      <c r="S849" s="87" t="s">
        <v>10725</v>
      </c>
      <c r="T849" s="87" t="s">
        <v>10726</v>
      </c>
      <c r="U849" s="90">
        <v>1874.815425074094</v>
      </c>
      <c r="V849" s="89" t="s">
        <v>9344</v>
      </c>
      <c r="W849" s="90">
        <f t="shared" si="53"/>
        <v>1124.8892550444564</v>
      </c>
    </row>
    <row r="850" spans="19:23" x14ac:dyDescent="0.2">
      <c r="S850" s="87" t="s">
        <v>10727</v>
      </c>
      <c r="T850" s="87" t="s">
        <v>10728</v>
      </c>
      <c r="U850" s="90">
        <v>3028.6235944139707</v>
      </c>
      <c r="V850" s="89" t="s">
        <v>9344</v>
      </c>
      <c r="W850" s="90">
        <f t="shared" si="53"/>
        <v>1817.1741566483824</v>
      </c>
    </row>
    <row r="851" spans="19:23" x14ac:dyDescent="0.2">
      <c r="S851" s="87" t="s">
        <v>10729</v>
      </c>
      <c r="T851" s="87" t="s">
        <v>10730</v>
      </c>
      <c r="U851" s="90">
        <v>4037.9600423799488</v>
      </c>
      <c r="V851" s="89" t="s">
        <v>9344</v>
      </c>
      <c r="W851" s="90">
        <f t="shared" si="53"/>
        <v>2422.7760254279692</v>
      </c>
    </row>
    <row r="852" spans="19:23" x14ac:dyDescent="0.2">
      <c r="S852" s="87" t="s">
        <v>10731</v>
      </c>
      <c r="T852" s="87" t="s">
        <v>10732</v>
      </c>
      <c r="U852" s="90">
        <v>4903.3161693848569</v>
      </c>
      <c r="V852" s="89" t="s">
        <v>9344</v>
      </c>
      <c r="W852" s="90">
        <f t="shared" si="53"/>
        <v>2941.9897016309142</v>
      </c>
    </row>
    <row r="853" spans="19:23" x14ac:dyDescent="0.2">
      <c r="S853" s="87" t="s">
        <v>10733</v>
      </c>
      <c r="T853" s="87" t="s">
        <v>10734</v>
      </c>
      <c r="U853" s="90">
        <v>12042.012816762521</v>
      </c>
      <c r="V853" s="89" t="s">
        <v>9344</v>
      </c>
      <c r="W853" s="90">
        <f t="shared" si="53"/>
        <v>7225.2076900575121</v>
      </c>
    </row>
    <row r="854" spans="19:23" x14ac:dyDescent="0.2">
      <c r="S854" s="480" t="s">
        <v>10735</v>
      </c>
      <c r="T854" s="480" t="s">
        <v>10736</v>
      </c>
      <c r="U854" s="504">
        <v>36236.889063269999</v>
      </c>
      <c r="V854" s="89" t="s">
        <v>9337</v>
      </c>
      <c r="W854" s="90">
        <f t="shared" si="53"/>
        <v>25728.191234921698</v>
      </c>
    </row>
    <row r="855" spans="19:23" x14ac:dyDescent="0.2">
      <c r="S855" s="87" t="s">
        <v>7909</v>
      </c>
      <c r="T855" s="87" t="s">
        <v>10737</v>
      </c>
      <c r="U855" s="90">
        <v>164.59443000000002</v>
      </c>
      <c r="V855" s="89" t="s">
        <v>9344</v>
      </c>
      <c r="W855" s="90">
        <f t="shared" si="53"/>
        <v>98.756658000000002</v>
      </c>
    </row>
    <row r="856" spans="19:23" x14ac:dyDescent="0.2">
      <c r="S856" s="87" t="s">
        <v>7912</v>
      </c>
      <c r="T856" s="87" t="s">
        <v>10738</v>
      </c>
      <c r="U856" s="90">
        <v>169.29712800000001</v>
      </c>
      <c r="V856" s="89" t="s">
        <v>9344</v>
      </c>
      <c r="W856" s="90">
        <f t="shared" si="53"/>
        <v>101.57827680000001</v>
      </c>
    </row>
    <row r="857" spans="19:23" x14ac:dyDescent="0.2">
      <c r="S857" s="87" t="s">
        <v>7915</v>
      </c>
      <c r="T857" s="87" t="s">
        <v>10739</v>
      </c>
      <c r="U857" s="90">
        <v>216.324108</v>
      </c>
      <c r="V857" s="89" t="s">
        <v>9344</v>
      </c>
      <c r="W857" s="90">
        <f t="shared" ref="W857:W920" si="54">+IF(V857="Nacional",(1-$AA$1)*U857,(1-$AA$2)*U857)</f>
        <v>129.79446479999999</v>
      </c>
    </row>
    <row r="858" spans="19:23" x14ac:dyDescent="0.2">
      <c r="S858" s="87" t="s">
        <v>7930</v>
      </c>
      <c r="T858" s="87" t="s">
        <v>10740</v>
      </c>
      <c r="U858" s="90">
        <v>329.18886000000003</v>
      </c>
      <c r="V858" s="89" t="s">
        <v>9344</v>
      </c>
      <c r="W858" s="90">
        <f t="shared" si="54"/>
        <v>197.513316</v>
      </c>
    </row>
    <row r="859" spans="19:23" x14ac:dyDescent="0.2">
      <c r="S859" s="87" t="s">
        <v>7924</v>
      </c>
      <c r="T859" s="87" t="s">
        <v>10741</v>
      </c>
      <c r="U859" s="90">
        <v>169.29712800000001</v>
      </c>
      <c r="V859" s="89" t="s">
        <v>9344</v>
      </c>
      <c r="W859" s="90">
        <f t="shared" si="54"/>
        <v>101.57827680000001</v>
      </c>
    </row>
    <row r="860" spans="19:23" x14ac:dyDescent="0.2">
      <c r="S860" s="87" t="s">
        <v>7918</v>
      </c>
      <c r="T860" s="87" t="s">
        <v>9517</v>
      </c>
      <c r="U860" s="90">
        <v>329.18886000000003</v>
      </c>
      <c r="V860" s="89" t="s">
        <v>9344</v>
      </c>
      <c r="W860" s="90">
        <f t="shared" si="54"/>
        <v>197.513316</v>
      </c>
    </row>
    <row r="861" spans="19:23" x14ac:dyDescent="0.2">
      <c r="S861" s="87" t="s">
        <v>7921</v>
      </c>
      <c r="T861" s="87" t="s">
        <v>10742</v>
      </c>
      <c r="U861" s="90">
        <v>329.18886000000003</v>
      </c>
      <c r="V861" s="89" t="s">
        <v>9344</v>
      </c>
      <c r="W861" s="90">
        <f t="shared" si="54"/>
        <v>197.513316</v>
      </c>
    </row>
    <row r="862" spans="19:23" x14ac:dyDescent="0.2">
      <c r="S862" s="87" t="s">
        <v>7927</v>
      </c>
      <c r="T862" s="87" t="s">
        <v>9521</v>
      </c>
      <c r="U862" s="90">
        <v>329.18886000000003</v>
      </c>
      <c r="V862" s="89" t="s">
        <v>9344</v>
      </c>
      <c r="W862" s="90">
        <f t="shared" si="54"/>
        <v>197.513316</v>
      </c>
    </row>
    <row r="863" spans="19:23" x14ac:dyDescent="0.2">
      <c r="S863" s="87" t="s">
        <v>10743</v>
      </c>
      <c r="T863" s="87" t="s">
        <v>10744</v>
      </c>
      <c r="U863" s="90">
        <v>2942.8559551256312</v>
      </c>
      <c r="V863" s="89" t="s">
        <v>9344</v>
      </c>
      <c r="W863" s="90">
        <f t="shared" si="54"/>
        <v>1765.7135730753787</v>
      </c>
    </row>
    <row r="864" spans="19:23" x14ac:dyDescent="0.2">
      <c r="S864" s="87" t="s">
        <v>10745</v>
      </c>
      <c r="T864" s="87" t="s">
        <v>10746</v>
      </c>
      <c r="U864" s="90">
        <v>3260.4929458464362</v>
      </c>
      <c r="V864" s="89" t="s">
        <v>9344</v>
      </c>
      <c r="W864" s="90">
        <f t="shared" si="54"/>
        <v>1956.2957675078617</v>
      </c>
    </row>
    <row r="865" spans="19:23" x14ac:dyDescent="0.2">
      <c r="S865" s="87" t="s">
        <v>10747</v>
      </c>
      <c r="T865" s="87" t="s">
        <v>10748</v>
      </c>
      <c r="U865" s="90">
        <v>3513.4836605692676</v>
      </c>
      <c r="V865" s="89" t="s">
        <v>9344</v>
      </c>
      <c r="W865" s="90">
        <f t="shared" si="54"/>
        <v>2108.0901963415604</v>
      </c>
    </row>
    <row r="866" spans="19:23" x14ac:dyDescent="0.2">
      <c r="S866" s="87" t="s">
        <v>10749</v>
      </c>
      <c r="T866" s="87" t="s">
        <v>10750</v>
      </c>
      <c r="U866" s="90">
        <v>3838.7870365847057</v>
      </c>
      <c r="V866" s="89" t="s">
        <v>9344</v>
      </c>
      <c r="W866" s="90">
        <f t="shared" si="54"/>
        <v>2303.2722219508232</v>
      </c>
    </row>
    <row r="867" spans="19:23" x14ac:dyDescent="0.2">
      <c r="S867" s="87" t="s">
        <v>10751</v>
      </c>
      <c r="T867" s="87" t="s">
        <v>10752</v>
      </c>
      <c r="U867" s="90">
        <v>5145.5949299155063</v>
      </c>
      <c r="V867" s="89" t="s">
        <v>9344</v>
      </c>
      <c r="W867" s="90">
        <f t="shared" si="54"/>
        <v>3087.3569579493037</v>
      </c>
    </row>
    <row r="868" spans="19:23" x14ac:dyDescent="0.2">
      <c r="S868" s="87" t="s">
        <v>10753</v>
      </c>
      <c r="T868" s="87" t="s">
        <v>10754</v>
      </c>
      <c r="U868" s="90">
        <v>2722.6027776069009</v>
      </c>
      <c r="V868" s="89" t="s">
        <v>9344</v>
      </c>
      <c r="W868" s="90">
        <f t="shared" si="54"/>
        <v>1633.5616665641405</v>
      </c>
    </row>
    <row r="869" spans="19:23" x14ac:dyDescent="0.2">
      <c r="S869" s="480" t="s">
        <v>10755</v>
      </c>
      <c r="T869" s="480" t="s">
        <v>10756</v>
      </c>
      <c r="U869" s="504">
        <v>16421.447361690003</v>
      </c>
      <c r="V869" s="89" t="s">
        <v>9337</v>
      </c>
      <c r="W869" s="90">
        <f t="shared" si="54"/>
        <v>11659.227626799902</v>
      </c>
    </row>
    <row r="870" spans="19:23" x14ac:dyDescent="0.2">
      <c r="S870" s="87" t="s">
        <v>7879</v>
      </c>
      <c r="T870" s="87" t="s">
        <v>10757</v>
      </c>
      <c r="U870" s="90">
        <v>172.27043999999998</v>
      </c>
      <c r="V870" s="89" t="s">
        <v>9344</v>
      </c>
      <c r="W870" s="90">
        <f t="shared" si="54"/>
        <v>103.36226399999998</v>
      </c>
    </row>
    <row r="871" spans="19:23" x14ac:dyDescent="0.2">
      <c r="S871" s="87" t="s">
        <v>7882</v>
      </c>
      <c r="T871" s="87" t="s">
        <v>10758</v>
      </c>
      <c r="U871" s="90">
        <v>206.73288000000002</v>
      </c>
      <c r="V871" s="89" t="s">
        <v>9344</v>
      </c>
      <c r="W871" s="90">
        <f t="shared" si="54"/>
        <v>124.03972800000001</v>
      </c>
    </row>
    <row r="872" spans="19:23" x14ac:dyDescent="0.2">
      <c r="S872" s="87" t="s">
        <v>7885</v>
      </c>
      <c r="T872" s="87" t="s">
        <v>10759</v>
      </c>
      <c r="U872" s="90">
        <v>223.95887999999999</v>
      </c>
      <c r="V872" s="89" t="s">
        <v>9344</v>
      </c>
      <c r="W872" s="90">
        <f t="shared" si="54"/>
        <v>134.375328</v>
      </c>
    </row>
    <row r="873" spans="19:23" x14ac:dyDescent="0.2">
      <c r="S873" s="87" t="s">
        <v>7906</v>
      </c>
      <c r="T873" s="87" t="s">
        <v>10760</v>
      </c>
      <c r="U873" s="90">
        <v>235.13490000000002</v>
      </c>
      <c r="V873" s="89" t="s">
        <v>9344</v>
      </c>
      <c r="W873" s="90">
        <f t="shared" si="54"/>
        <v>141.08094</v>
      </c>
    </row>
    <row r="874" spans="19:23" x14ac:dyDescent="0.2">
      <c r="S874" s="87" t="s">
        <v>7900</v>
      </c>
      <c r="T874" s="87" t="s">
        <v>10761</v>
      </c>
      <c r="U874" s="90">
        <v>112.864752</v>
      </c>
      <c r="V874" s="89" t="s">
        <v>9344</v>
      </c>
      <c r="W874" s="90">
        <f t="shared" si="54"/>
        <v>67.718851199999989</v>
      </c>
    </row>
    <row r="875" spans="19:23" x14ac:dyDescent="0.2">
      <c r="S875" s="87" t="s">
        <v>7888</v>
      </c>
      <c r="T875" s="87" t="s">
        <v>10762</v>
      </c>
      <c r="U875" s="90">
        <v>169.29712800000001</v>
      </c>
      <c r="V875" s="89" t="s">
        <v>9344</v>
      </c>
      <c r="W875" s="90">
        <f t="shared" si="54"/>
        <v>101.57827680000001</v>
      </c>
    </row>
    <row r="876" spans="19:23" x14ac:dyDescent="0.2">
      <c r="S876" s="87" t="s">
        <v>7891</v>
      </c>
      <c r="T876" s="87" t="s">
        <v>10763</v>
      </c>
      <c r="U876" s="90">
        <v>235.13490000000002</v>
      </c>
      <c r="V876" s="89" t="s">
        <v>9344</v>
      </c>
      <c r="W876" s="90">
        <f t="shared" si="54"/>
        <v>141.08094</v>
      </c>
    </row>
    <row r="877" spans="19:23" x14ac:dyDescent="0.2">
      <c r="S877" s="87" t="s">
        <v>7894</v>
      </c>
      <c r="T877" s="87" t="s">
        <v>10764</v>
      </c>
      <c r="U877" s="90">
        <v>329.18886000000003</v>
      </c>
      <c r="V877" s="89" t="s">
        <v>9344</v>
      </c>
      <c r="W877" s="90">
        <f t="shared" si="54"/>
        <v>197.513316</v>
      </c>
    </row>
    <row r="878" spans="19:23" x14ac:dyDescent="0.2">
      <c r="S878" s="87" t="s">
        <v>7897</v>
      </c>
      <c r="T878" s="87" t="s">
        <v>10765</v>
      </c>
      <c r="U878" s="90">
        <v>432.64821599999999</v>
      </c>
      <c r="V878" s="89" t="s">
        <v>9344</v>
      </c>
      <c r="W878" s="90">
        <f t="shared" si="54"/>
        <v>259.58892959999997</v>
      </c>
    </row>
    <row r="879" spans="19:23" x14ac:dyDescent="0.2">
      <c r="S879" s="87" t="s">
        <v>7903</v>
      </c>
      <c r="T879" s="87" t="s">
        <v>10766</v>
      </c>
      <c r="U879" s="90">
        <v>130.22855999999996</v>
      </c>
      <c r="V879" s="89" t="s">
        <v>9344</v>
      </c>
      <c r="W879" s="90">
        <f t="shared" si="54"/>
        <v>78.13713599999997</v>
      </c>
    </row>
    <row r="880" spans="19:23" x14ac:dyDescent="0.2">
      <c r="S880" s="87" t="s">
        <v>10767</v>
      </c>
      <c r="T880" s="87" t="s">
        <v>10768</v>
      </c>
      <c r="U880" s="90">
        <v>76416.496264413727</v>
      </c>
      <c r="V880" s="89" t="s">
        <v>9344</v>
      </c>
      <c r="W880" s="90">
        <f t="shared" si="54"/>
        <v>45849.897758648236</v>
      </c>
    </row>
    <row r="881" spans="19:23" x14ac:dyDescent="0.2">
      <c r="S881" s="87" t="s">
        <v>10769</v>
      </c>
      <c r="T881" s="87" t="s">
        <v>10770</v>
      </c>
      <c r="U881" s="90">
        <v>80930.698290590837</v>
      </c>
      <c r="V881" s="89" t="s">
        <v>9344</v>
      </c>
      <c r="W881" s="90">
        <f t="shared" si="54"/>
        <v>48558.418974354499</v>
      </c>
    </row>
    <row r="882" spans="19:23" x14ac:dyDescent="0.2">
      <c r="S882" s="87" t="s">
        <v>10771</v>
      </c>
      <c r="T882" s="87" t="s">
        <v>10772</v>
      </c>
      <c r="U882" s="90">
        <v>85444.900316767846</v>
      </c>
      <c r="V882" s="89" t="s">
        <v>9344</v>
      </c>
      <c r="W882" s="90">
        <f t="shared" si="54"/>
        <v>51266.940190060704</v>
      </c>
    </row>
    <row r="883" spans="19:23" x14ac:dyDescent="0.2">
      <c r="S883" s="87" t="s">
        <v>10773</v>
      </c>
      <c r="T883" s="87" t="s">
        <v>10774</v>
      </c>
      <c r="U883" s="90">
        <v>89381.331939068943</v>
      </c>
      <c r="V883" s="89" t="s">
        <v>9344</v>
      </c>
      <c r="W883" s="90">
        <f t="shared" si="54"/>
        <v>53628.799163441363</v>
      </c>
    </row>
    <row r="884" spans="19:23" x14ac:dyDescent="0.2">
      <c r="S884" s="87" t="s">
        <v>10775</v>
      </c>
      <c r="T884" s="87" t="s">
        <v>10776</v>
      </c>
      <c r="U884" s="90">
        <v>93317.631740607088</v>
      </c>
      <c r="V884" s="89" t="s">
        <v>9344</v>
      </c>
      <c r="W884" s="90">
        <f t="shared" si="54"/>
        <v>55990.579044364255</v>
      </c>
    </row>
    <row r="885" spans="19:23" x14ac:dyDescent="0.2">
      <c r="S885" s="87" t="s">
        <v>10777</v>
      </c>
      <c r="T885" s="87" t="s">
        <v>10778</v>
      </c>
      <c r="U885" s="90">
        <v>63215.833244895643</v>
      </c>
      <c r="V885" s="89" t="s">
        <v>9344</v>
      </c>
      <c r="W885" s="90">
        <f t="shared" si="54"/>
        <v>37929.499946937387</v>
      </c>
    </row>
    <row r="886" spans="19:23" x14ac:dyDescent="0.2">
      <c r="S886" s="87" t="s">
        <v>10779</v>
      </c>
      <c r="T886" s="87" t="s">
        <v>10780</v>
      </c>
      <c r="U886" s="90">
        <v>102649.48718920189</v>
      </c>
      <c r="V886" s="89" t="s">
        <v>9344</v>
      </c>
      <c r="W886" s="90">
        <f t="shared" si="54"/>
        <v>61589.692313521125</v>
      </c>
    </row>
    <row r="887" spans="19:23" x14ac:dyDescent="0.2">
      <c r="S887" s="87" t="s">
        <v>10781</v>
      </c>
      <c r="T887" s="87" t="s">
        <v>10782</v>
      </c>
      <c r="U887" s="90">
        <v>114967.47838021113</v>
      </c>
      <c r="V887" s="89" t="s">
        <v>9344</v>
      </c>
      <c r="W887" s="90">
        <f t="shared" si="54"/>
        <v>68980.487028126678</v>
      </c>
    </row>
    <row r="888" spans="19:23" x14ac:dyDescent="0.2">
      <c r="S888" s="87" t="s">
        <v>10783</v>
      </c>
      <c r="T888" s="87" t="s">
        <v>10784</v>
      </c>
      <c r="U888" s="90">
        <v>128763.44396507359</v>
      </c>
      <c r="V888" s="89" t="s">
        <v>9344</v>
      </c>
      <c r="W888" s="90">
        <f t="shared" si="54"/>
        <v>77258.066379044147</v>
      </c>
    </row>
    <row r="889" spans="19:23" x14ac:dyDescent="0.2">
      <c r="S889" s="87" t="s">
        <v>10785</v>
      </c>
      <c r="T889" s="87" t="s">
        <v>10786</v>
      </c>
      <c r="U889" s="90">
        <v>144215.07833220458</v>
      </c>
      <c r="V889" s="89" t="s">
        <v>9344</v>
      </c>
      <c r="W889" s="90">
        <f t="shared" si="54"/>
        <v>86529.046999322745</v>
      </c>
    </row>
    <row r="890" spans="19:23" x14ac:dyDescent="0.2">
      <c r="S890" s="87" t="s">
        <v>10787</v>
      </c>
      <c r="T890" s="87" t="s">
        <v>10788</v>
      </c>
      <c r="U890" s="90">
        <v>68615.870797891475</v>
      </c>
      <c r="V890" s="89" t="s">
        <v>9344</v>
      </c>
      <c r="W890" s="90">
        <f t="shared" si="54"/>
        <v>41169.522478734885</v>
      </c>
    </row>
    <row r="891" spans="19:23" x14ac:dyDescent="0.2">
      <c r="S891" s="87" t="s">
        <v>10789</v>
      </c>
      <c r="T891" s="87" t="s">
        <v>10790</v>
      </c>
      <c r="U891" s="90">
        <v>72516.183531152637</v>
      </c>
      <c r="V891" s="89" t="s">
        <v>9344</v>
      </c>
      <c r="W891" s="90">
        <f t="shared" si="54"/>
        <v>43509.710118691582</v>
      </c>
    </row>
    <row r="892" spans="19:23" x14ac:dyDescent="0.2">
      <c r="S892" s="87" t="s">
        <v>10791</v>
      </c>
      <c r="T892" s="87" t="s">
        <v>10792</v>
      </c>
      <c r="U892" s="90">
        <v>89056.261937709554</v>
      </c>
      <c r="V892" s="89" t="s">
        <v>9344</v>
      </c>
      <c r="W892" s="90">
        <f t="shared" si="54"/>
        <v>53433.757162625734</v>
      </c>
    </row>
    <row r="893" spans="19:23" x14ac:dyDescent="0.2">
      <c r="S893" s="87" t="s">
        <v>10793</v>
      </c>
      <c r="T893" s="87" t="s">
        <v>10794</v>
      </c>
      <c r="U893" s="90">
        <v>88408.099246434547</v>
      </c>
      <c r="V893" s="89" t="s">
        <v>9344</v>
      </c>
      <c r="W893" s="90">
        <f t="shared" si="54"/>
        <v>53044.859547860724</v>
      </c>
    </row>
    <row r="894" spans="19:23" x14ac:dyDescent="0.2">
      <c r="S894" s="87" t="s">
        <v>10795</v>
      </c>
      <c r="T894" s="87" t="s">
        <v>10796</v>
      </c>
      <c r="U894" s="90">
        <v>97494.108972184447</v>
      </c>
      <c r="V894" s="89" t="s">
        <v>9344</v>
      </c>
      <c r="W894" s="90">
        <f t="shared" si="54"/>
        <v>58496.465383310664</v>
      </c>
    </row>
    <row r="895" spans="19:23" x14ac:dyDescent="0.2">
      <c r="S895" s="87" t="s">
        <v>10797</v>
      </c>
      <c r="T895" s="87" t="s">
        <v>10798</v>
      </c>
      <c r="U895" s="90">
        <v>102784.73529195716</v>
      </c>
      <c r="V895" s="89" t="s">
        <v>9344</v>
      </c>
      <c r="W895" s="90">
        <f t="shared" si="54"/>
        <v>61670.84117517429</v>
      </c>
    </row>
    <row r="896" spans="19:23" x14ac:dyDescent="0.2">
      <c r="S896" s="87" t="s">
        <v>10799</v>
      </c>
      <c r="T896" s="87" t="s">
        <v>10800</v>
      </c>
      <c r="U896" s="90">
        <v>106468.07104945283</v>
      </c>
      <c r="V896" s="89" t="s">
        <v>9344</v>
      </c>
      <c r="W896" s="90">
        <f t="shared" si="54"/>
        <v>63880.842629671693</v>
      </c>
    </row>
    <row r="897" spans="19:23" x14ac:dyDescent="0.2">
      <c r="S897" s="87" t="s">
        <v>10801</v>
      </c>
      <c r="T897" s="87" t="s">
        <v>10802</v>
      </c>
      <c r="U897" s="90">
        <v>65943.600291988085</v>
      </c>
      <c r="V897" s="89" t="s">
        <v>9344</v>
      </c>
      <c r="W897" s="90">
        <f t="shared" si="54"/>
        <v>39566.160175192847</v>
      </c>
    </row>
    <row r="898" spans="19:23" x14ac:dyDescent="0.2">
      <c r="S898" s="87" t="s">
        <v>10803</v>
      </c>
      <c r="T898" s="87" t="s">
        <v>10804</v>
      </c>
      <c r="U898" s="90">
        <v>79450.087481479364</v>
      </c>
      <c r="V898" s="89" t="s">
        <v>9344</v>
      </c>
      <c r="W898" s="90">
        <f t="shared" si="54"/>
        <v>47670.052488887617</v>
      </c>
    </row>
    <row r="899" spans="19:23" x14ac:dyDescent="0.2">
      <c r="S899" s="87" t="s">
        <v>10805</v>
      </c>
      <c r="T899" s="87" t="s">
        <v>10806</v>
      </c>
      <c r="U899" s="90">
        <v>84253.240619975928</v>
      </c>
      <c r="V899" s="89" t="s">
        <v>9344</v>
      </c>
      <c r="W899" s="90">
        <f t="shared" si="54"/>
        <v>50551.944371985555</v>
      </c>
    </row>
    <row r="900" spans="19:23" x14ac:dyDescent="0.2">
      <c r="S900" s="87" t="s">
        <v>10807</v>
      </c>
      <c r="T900" s="87" t="s">
        <v>10808</v>
      </c>
      <c r="U900" s="90">
        <v>118457.56489926694</v>
      </c>
      <c r="V900" s="89" t="s">
        <v>9344</v>
      </c>
      <c r="W900" s="90">
        <f t="shared" si="54"/>
        <v>71074.538939560167</v>
      </c>
    </row>
    <row r="901" spans="19:23" x14ac:dyDescent="0.2">
      <c r="S901" s="87" t="s">
        <v>10809</v>
      </c>
      <c r="T901" s="87" t="s">
        <v>10810</v>
      </c>
      <c r="U901" s="90">
        <v>131487.78367233023</v>
      </c>
      <c r="V901" s="89" t="s">
        <v>9344</v>
      </c>
      <c r="W901" s="90">
        <f t="shared" si="54"/>
        <v>78892.670203398142</v>
      </c>
    </row>
    <row r="902" spans="19:23" x14ac:dyDescent="0.2">
      <c r="S902" s="87" t="s">
        <v>10811</v>
      </c>
      <c r="T902" s="87" t="s">
        <v>10812</v>
      </c>
      <c r="U902" s="90">
        <v>136405.6208745667</v>
      </c>
      <c r="V902" s="89" t="s">
        <v>9344</v>
      </c>
      <c r="W902" s="90">
        <f t="shared" si="54"/>
        <v>81843.372524740014</v>
      </c>
    </row>
    <row r="903" spans="19:23" x14ac:dyDescent="0.2">
      <c r="S903" s="87" t="s">
        <v>10813</v>
      </c>
      <c r="T903" s="87" t="s">
        <v>10814</v>
      </c>
      <c r="U903" s="90">
        <v>146901.05819745146</v>
      </c>
      <c r="V903" s="89" t="s">
        <v>9344</v>
      </c>
      <c r="W903" s="90">
        <f t="shared" si="54"/>
        <v>88140.634918470882</v>
      </c>
    </row>
    <row r="904" spans="19:23" x14ac:dyDescent="0.2">
      <c r="S904" s="87" t="s">
        <v>10815</v>
      </c>
      <c r="T904" s="87" t="s">
        <v>10816</v>
      </c>
      <c r="U904" s="90">
        <v>154928.01991390655</v>
      </c>
      <c r="V904" s="89" t="s">
        <v>9344</v>
      </c>
      <c r="W904" s="90">
        <f t="shared" si="54"/>
        <v>92956.811948343922</v>
      </c>
    </row>
    <row r="905" spans="19:23" x14ac:dyDescent="0.2">
      <c r="S905" s="87" t="s">
        <v>10817</v>
      </c>
      <c r="T905" s="87" t="s">
        <v>10818</v>
      </c>
      <c r="U905" s="90">
        <v>81798.34255212672</v>
      </c>
      <c r="V905" s="89" t="s">
        <v>9344</v>
      </c>
      <c r="W905" s="90">
        <f t="shared" si="54"/>
        <v>49079.005531276031</v>
      </c>
    </row>
    <row r="906" spans="19:23" x14ac:dyDescent="0.2">
      <c r="S906" s="87" t="s">
        <v>10819</v>
      </c>
      <c r="T906" s="87" t="s">
        <v>10820</v>
      </c>
      <c r="U906" s="90">
        <v>153405.49010218671</v>
      </c>
      <c r="V906" s="89" t="s">
        <v>9344</v>
      </c>
      <c r="W906" s="90">
        <f t="shared" si="54"/>
        <v>92043.29406131203</v>
      </c>
    </row>
    <row r="907" spans="19:23" x14ac:dyDescent="0.2">
      <c r="S907" s="87" t="s">
        <v>10821</v>
      </c>
      <c r="T907" s="87" t="s">
        <v>10822</v>
      </c>
      <c r="U907" s="90">
        <v>171814.12782312703</v>
      </c>
      <c r="V907" s="89" t="s">
        <v>9344</v>
      </c>
      <c r="W907" s="90">
        <f t="shared" si="54"/>
        <v>103088.47669387622</v>
      </c>
    </row>
    <row r="908" spans="19:23" x14ac:dyDescent="0.2">
      <c r="S908" s="87" t="s">
        <v>10823</v>
      </c>
      <c r="T908" s="87" t="s">
        <v>10824</v>
      </c>
      <c r="U908" s="90">
        <v>192431.81788907177</v>
      </c>
      <c r="V908" s="89" t="s">
        <v>9344</v>
      </c>
      <c r="W908" s="90">
        <f t="shared" si="54"/>
        <v>115459.09073344305</v>
      </c>
    </row>
    <row r="909" spans="19:23" x14ac:dyDescent="0.2">
      <c r="S909" s="87" t="s">
        <v>10825</v>
      </c>
      <c r="T909" s="87" t="s">
        <v>10826</v>
      </c>
      <c r="U909" s="90">
        <v>215523.65185425183</v>
      </c>
      <c r="V909" s="89" t="s">
        <v>9344</v>
      </c>
      <c r="W909" s="90">
        <f t="shared" si="54"/>
        <v>129314.1911125511</v>
      </c>
    </row>
    <row r="910" spans="19:23" x14ac:dyDescent="0.2">
      <c r="S910" s="87" t="s">
        <v>10827</v>
      </c>
      <c r="T910" s="87" t="s">
        <v>10828</v>
      </c>
      <c r="U910" s="90">
        <v>109483.47100123561</v>
      </c>
      <c r="V910" s="89" t="s">
        <v>9344</v>
      </c>
      <c r="W910" s="90">
        <f t="shared" si="54"/>
        <v>65690.082600741356</v>
      </c>
    </row>
    <row r="911" spans="19:23" x14ac:dyDescent="0.2">
      <c r="S911" s="87" t="s">
        <v>10829</v>
      </c>
      <c r="T911" s="87" t="s">
        <v>10830</v>
      </c>
      <c r="U911" s="90">
        <v>115277.25717307196</v>
      </c>
      <c r="V911" s="89" t="s">
        <v>9344</v>
      </c>
      <c r="W911" s="90">
        <f t="shared" si="54"/>
        <v>69166.354303843182</v>
      </c>
    </row>
    <row r="912" spans="19:23" x14ac:dyDescent="0.2">
      <c r="S912" s="480" t="s">
        <v>10831</v>
      </c>
      <c r="T912" s="480" t="s">
        <v>10832</v>
      </c>
      <c r="U912" s="504">
        <v>3215.417088771791</v>
      </c>
      <c r="V912" s="89" t="s">
        <v>9337</v>
      </c>
      <c r="W912" s="90">
        <f t="shared" si="54"/>
        <v>2282.9461330279714</v>
      </c>
    </row>
    <row r="913" spans="19:23" x14ac:dyDescent="0.2">
      <c r="S913" s="480" t="s">
        <v>10833</v>
      </c>
      <c r="T913" s="480" t="s">
        <v>10834</v>
      </c>
      <c r="U913" s="504">
        <v>3215.417088771791</v>
      </c>
      <c r="V913" s="89" t="s">
        <v>9337</v>
      </c>
      <c r="W913" s="90">
        <f t="shared" si="54"/>
        <v>2282.9461330279714</v>
      </c>
    </row>
    <row r="914" spans="19:23" x14ac:dyDescent="0.2">
      <c r="S914" s="87" t="s">
        <v>10835</v>
      </c>
      <c r="T914" s="87" t="s">
        <v>10836</v>
      </c>
      <c r="U914" s="90">
        <v>331.60050000000001</v>
      </c>
      <c r="V914" s="89" t="s">
        <v>9344</v>
      </c>
      <c r="W914" s="90">
        <f t="shared" si="54"/>
        <v>198.96029999999999</v>
      </c>
    </row>
    <row r="915" spans="19:23" x14ac:dyDescent="0.2">
      <c r="S915" s="87" t="s">
        <v>10837</v>
      </c>
      <c r="T915" s="87" t="s">
        <v>10838</v>
      </c>
      <c r="U915" s="90">
        <v>295.54648199999997</v>
      </c>
      <c r="V915" s="89" t="s">
        <v>9344</v>
      </c>
      <c r="W915" s="90">
        <f t="shared" si="54"/>
        <v>177.32788919999999</v>
      </c>
    </row>
    <row r="916" spans="19:23" x14ac:dyDescent="0.2">
      <c r="S916" s="87" t="s">
        <v>10839</v>
      </c>
      <c r="T916" s="87" t="s">
        <v>10840</v>
      </c>
      <c r="U916" s="90">
        <v>339.56735274000005</v>
      </c>
      <c r="V916" s="89" t="s">
        <v>9344</v>
      </c>
      <c r="W916" s="90">
        <f t="shared" si="54"/>
        <v>203.74041164400003</v>
      </c>
    </row>
    <row r="917" spans="19:23" x14ac:dyDescent="0.2">
      <c r="S917" s="87" t="s">
        <v>10841</v>
      </c>
      <c r="T917" s="87" t="s">
        <v>10842</v>
      </c>
      <c r="U917" s="90">
        <v>361.74599999999998</v>
      </c>
      <c r="V917" s="89" t="s">
        <v>9344</v>
      </c>
      <c r="W917" s="90">
        <f t="shared" si="54"/>
        <v>217.04759999999999</v>
      </c>
    </row>
    <row r="918" spans="19:23" x14ac:dyDescent="0.2">
      <c r="S918" s="87" t="s">
        <v>10843</v>
      </c>
      <c r="T918" s="87" t="s">
        <v>10844</v>
      </c>
      <c r="U918" s="90">
        <v>409.97879999999998</v>
      </c>
      <c r="V918" s="89" t="s">
        <v>9344</v>
      </c>
      <c r="W918" s="90">
        <f t="shared" si="54"/>
        <v>245.98727999999997</v>
      </c>
    </row>
    <row r="919" spans="19:23" x14ac:dyDescent="0.2">
      <c r="S919" s="87" t="s">
        <v>10845</v>
      </c>
      <c r="T919" s="87" t="s">
        <v>10846</v>
      </c>
      <c r="U919" s="90">
        <v>434.09519999999992</v>
      </c>
      <c r="V919" s="89" t="s">
        <v>9344</v>
      </c>
      <c r="W919" s="90">
        <f t="shared" si="54"/>
        <v>260.45711999999992</v>
      </c>
    </row>
    <row r="920" spans="19:23" x14ac:dyDescent="0.2">
      <c r="S920" s="87" t="s">
        <v>10847</v>
      </c>
      <c r="T920" s="87" t="s">
        <v>10848</v>
      </c>
      <c r="U920" s="90">
        <v>494.38620000000009</v>
      </c>
      <c r="V920" s="89" t="s">
        <v>9344</v>
      </c>
      <c r="W920" s="90">
        <f t="shared" si="54"/>
        <v>296.63172000000003</v>
      </c>
    </row>
    <row r="921" spans="19:23" x14ac:dyDescent="0.2">
      <c r="S921" s="87" t="s">
        <v>10849</v>
      </c>
      <c r="T921" s="87" t="s">
        <v>10850</v>
      </c>
      <c r="U921" s="90">
        <v>633.05550000000005</v>
      </c>
      <c r="V921" s="89" t="s">
        <v>9344</v>
      </c>
      <c r="W921" s="90">
        <f t="shared" ref="W921:W984" si="55">+IF(V921="Nacional",(1-$AA$1)*U921,(1-$AA$2)*U921)</f>
        <v>379.83330000000001</v>
      </c>
    </row>
    <row r="922" spans="19:23" x14ac:dyDescent="0.2">
      <c r="S922" s="87" t="s">
        <v>10851</v>
      </c>
      <c r="T922" s="87" t="s">
        <v>10852</v>
      </c>
      <c r="U922" s="90">
        <v>651.14279999999997</v>
      </c>
      <c r="V922" s="89" t="s">
        <v>9344</v>
      </c>
      <c r="W922" s="90">
        <f t="shared" si="55"/>
        <v>390.68567999999999</v>
      </c>
    </row>
    <row r="923" spans="19:23" x14ac:dyDescent="0.2">
      <c r="S923" s="87" t="s">
        <v>10853</v>
      </c>
      <c r="T923" s="87" t="s">
        <v>10854</v>
      </c>
      <c r="U923" s="90">
        <v>663.20100000000002</v>
      </c>
      <c r="V923" s="89" t="s">
        <v>9344</v>
      </c>
      <c r="W923" s="90">
        <f t="shared" si="55"/>
        <v>397.92059999999998</v>
      </c>
    </row>
    <row r="924" spans="19:23" x14ac:dyDescent="0.2">
      <c r="S924" s="87" t="s">
        <v>10855</v>
      </c>
      <c r="T924" s="87" t="s">
        <v>10856</v>
      </c>
      <c r="U924" s="90">
        <v>307.48409999999996</v>
      </c>
      <c r="V924" s="89" t="s">
        <v>9344</v>
      </c>
      <c r="W924" s="90">
        <f t="shared" si="55"/>
        <v>184.49045999999996</v>
      </c>
    </row>
    <row r="925" spans="19:23" x14ac:dyDescent="0.2">
      <c r="S925" s="87" t="s">
        <v>10857</v>
      </c>
      <c r="T925" s="87" t="s">
        <v>10858</v>
      </c>
      <c r="U925" s="90">
        <v>8509.7145576960011</v>
      </c>
      <c r="V925" s="89" t="s">
        <v>9344</v>
      </c>
      <c r="W925" s="90">
        <f t="shared" si="55"/>
        <v>5105.8287346176003</v>
      </c>
    </row>
    <row r="926" spans="19:23" x14ac:dyDescent="0.2">
      <c r="S926" s="87" t="s">
        <v>10859</v>
      </c>
      <c r="T926" s="87" t="s">
        <v>10860</v>
      </c>
      <c r="U926" s="90">
        <v>8794.3498377292799</v>
      </c>
      <c r="V926" s="89" t="s">
        <v>9344</v>
      </c>
      <c r="W926" s="90">
        <f t="shared" si="55"/>
        <v>5276.6099026375678</v>
      </c>
    </row>
    <row r="927" spans="19:23" x14ac:dyDescent="0.2">
      <c r="S927" s="87" t="s">
        <v>10861</v>
      </c>
      <c r="T927" s="87" t="s">
        <v>10862</v>
      </c>
      <c r="U927" s="90">
        <v>16315.176876134403</v>
      </c>
      <c r="V927" s="89" t="s">
        <v>9344</v>
      </c>
      <c r="W927" s="90">
        <f t="shared" si="55"/>
        <v>9789.1061256806406</v>
      </c>
    </row>
    <row r="928" spans="19:23" x14ac:dyDescent="0.2">
      <c r="S928" s="87" t="s">
        <v>10863</v>
      </c>
      <c r="T928" s="87" t="s">
        <v>10864</v>
      </c>
      <c r="U928" s="90">
        <v>16611.54969348864</v>
      </c>
      <c r="V928" s="89" t="s">
        <v>9344</v>
      </c>
      <c r="W928" s="90">
        <f t="shared" si="55"/>
        <v>9966.929816093183</v>
      </c>
    </row>
    <row r="929" spans="19:23" x14ac:dyDescent="0.2">
      <c r="S929" s="87" t="s">
        <v>10865</v>
      </c>
      <c r="T929" s="87" t="s">
        <v>10866</v>
      </c>
      <c r="U929" s="90">
        <v>8468.6331770726447</v>
      </c>
      <c r="V929" s="89" t="s">
        <v>9344</v>
      </c>
      <c r="W929" s="90">
        <f t="shared" si="55"/>
        <v>5081.1799062435866</v>
      </c>
    </row>
    <row r="930" spans="19:23" x14ac:dyDescent="0.2">
      <c r="S930" s="87" t="s">
        <v>10867</v>
      </c>
      <c r="T930" s="87" t="s">
        <v>10868</v>
      </c>
      <c r="U930" s="90">
        <v>9738.9281536335402</v>
      </c>
      <c r="V930" s="89" t="s">
        <v>9344</v>
      </c>
      <c r="W930" s="90">
        <f t="shared" si="55"/>
        <v>5843.3568921801243</v>
      </c>
    </row>
    <row r="931" spans="19:23" x14ac:dyDescent="0.2">
      <c r="S931" s="87" t="s">
        <v>10869</v>
      </c>
      <c r="T931" s="87" t="s">
        <v>10870</v>
      </c>
      <c r="U931" s="90">
        <v>5712.9987534215315</v>
      </c>
      <c r="V931" s="89" t="s">
        <v>9344</v>
      </c>
      <c r="W931" s="90">
        <f t="shared" si="55"/>
        <v>3427.7992520529187</v>
      </c>
    </row>
    <row r="932" spans="19:23" x14ac:dyDescent="0.2">
      <c r="S932" s="87" t="s">
        <v>10871</v>
      </c>
      <c r="T932" s="87" t="s">
        <v>10872</v>
      </c>
      <c r="U932" s="90">
        <v>5712.9987534215315</v>
      </c>
      <c r="V932" s="89" t="s">
        <v>9344</v>
      </c>
      <c r="W932" s="90">
        <f t="shared" si="55"/>
        <v>3427.7992520529187</v>
      </c>
    </row>
    <row r="933" spans="19:23" x14ac:dyDescent="0.2">
      <c r="S933" s="87" t="s">
        <v>10873</v>
      </c>
      <c r="T933" s="87" t="s">
        <v>10874</v>
      </c>
      <c r="U933" s="90">
        <v>8161.4267906021896</v>
      </c>
      <c r="V933" s="89" t="s">
        <v>9344</v>
      </c>
      <c r="W933" s="90">
        <f t="shared" si="55"/>
        <v>4896.8560743613134</v>
      </c>
    </row>
    <row r="934" spans="19:23" x14ac:dyDescent="0.2">
      <c r="S934" s="87" t="s">
        <v>10875</v>
      </c>
      <c r="T934" s="87" t="s">
        <v>10876</v>
      </c>
      <c r="U934" s="90">
        <v>28134.330048</v>
      </c>
      <c r="V934" s="89" t="s">
        <v>9344</v>
      </c>
      <c r="W934" s="90">
        <f t="shared" si="55"/>
        <v>16880.598028799999</v>
      </c>
    </row>
    <row r="935" spans="19:23" x14ac:dyDescent="0.2">
      <c r="S935" s="87" t="s">
        <v>10877</v>
      </c>
      <c r="T935" s="87" t="s">
        <v>10878</v>
      </c>
      <c r="U935" s="90">
        <v>31223.847599999997</v>
      </c>
      <c r="V935" s="89" t="s">
        <v>9344</v>
      </c>
      <c r="W935" s="90">
        <f t="shared" si="55"/>
        <v>18734.308559999998</v>
      </c>
    </row>
    <row r="936" spans="19:23" x14ac:dyDescent="0.2">
      <c r="S936" s="87" t="s">
        <v>10879</v>
      </c>
      <c r="T936" s="87" t="s">
        <v>10880</v>
      </c>
      <c r="U936" s="90">
        <v>23401.452095999994</v>
      </c>
      <c r="V936" s="89" t="s">
        <v>9344</v>
      </c>
      <c r="W936" s="90">
        <f t="shared" si="55"/>
        <v>14040.871257599996</v>
      </c>
    </row>
    <row r="937" spans="19:23" x14ac:dyDescent="0.2">
      <c r="S937" s="87" t="s">
        <v>10881</v>
      </c>
      <c r="T937" s="87" t="s">
        <v>10882</v>
      </c>
      <c r="U937" s="90">
        <v>25245.959808959997</v>
      </c>
      <c r="V937" s="89" t="s">
        <v>9344</v>
      </c>
      <c r="W937" s="90">
        <f t="shared" si="55"/>
        <v>15147.575885375998</v>
      </c>
    </row>
    <row r="938" spans="19:23" x14ac:dyDescent="0.2">
      <c r="S938" s="87" t="s">
        <v>10883</v>
      </c>
      <c r="T938" s="87" t="s">
        <v>10884</v>
      </c>
      <c r="U938" s="90">
        <v>29186.080704000004</v>
      </c>
      <c r="V938" s="89" t="s">
        <v>9344</v>
      </c>
      <c r="W938" s="90">
        <f t="shared" si="55"/>
        <v>17511.648422400001</v>
      </c>
    </row>
    <row r="939" spans="19:23" x14ac:dyDescent="0.2">
      <c r="S939" s="87" t="s">
        <v>10885</v>
      </c>
      <c r="T939" s="87" t="s">
        <v>10886</v>
      </c>
      <c r="U939" s="90">
        <v>0</v>
      </c>
      <c r="V939" s="89" t="s">
        <v>9344</v>
      </c>
      <c r="W939" s="90">
        <f t="shared" si="55"/>
        <v>0</v>
      </c>
    </row>
    <row r="940" spans="19:23" x14ac:dyDescent="0.2">
      <c r="S940" s="87" t="s">
        <v>10887</v>
      </c>
      <c r="T940" s="87" t="s">
        <v>10888</v>
      </c>
      <c r="U940" s="90">
        <v>0</v>
      </c>
      <c r="V940" s="89" t="s">
        <v>9344</v>
      </c>
      <c r="W940" s="90">
        <f t="shared" si="55"/>
        <v>0</v>
      </c>
    </row>
    <row r="941" spans="19:23" x14ac:dyDescent="0.2">
      <c r="S941" s="87" t="s">
        <v>10889</v>
      </c>
      <c r="T941" s="87" t="s">
        <v>10890</v>
      </c>
      <c r="U941" s="90">
        <v>0</v>
      </c>
      <c r="V941" s="89" t="s">
        <v>9344</v>
      </c>
      <c r="W941" s="90">
        <f t="shared" si="55"/>
        <v>0</v>
      </c>
    </row>
    <row r="942" spans="19:23" x14ac:dyDescent="0.2">
      <c r="S942" s="87" t="s">
        <v>10891</v>
      </c>
      <c r="T942" s="87" t="s">
        <v>10892</v>
      </c>
      <c r="U942" s="90">
        <v>0</v>
      </c>
      <c r="V942" s="89" t="s">
        <v>9344</v>
      </c>
      <c r="W942" s="90">
        <f t="shared" si="55"/>
        <v>0</v>
      </c>
    </row>
    <row r="943" spans="19:23" x14ac:dyDescent="0.2">
      <c r="S943" s="87" t="s">
        <v>10893</v>
      </c>
      <c r="T943" s="87" t="s">
        <v>10894</v>
      </c>
      <c r="U943" s="90">
        <v>0</v>
      </c>
      <c r="V943" s="89" t="s">
        <v>9344</v>
      </c>
      <c r="W943" s="90">
        <f t="shared" si="55"/>
        <v>0</v>
      </c>
    </row>
    <row r="944" spans="19:23" x14ac:dyDescent="0.2">
      <c r="S944" s="87" t="s">
        <v>10895</v>
      </c>
      <c r="T944" s="87" t="s">
        <v>10896</v>
      </c>
      <c r="U944" s="90">
        <v>0</v>
      </c>
      <c r="V944" s="89" t="s">
        <v>9344</v>
      </c>
      <c r="W944" s="90">
        <f t="shared" si="55"/>
        <v>0</v>
      </c>
    </row>
    <row r="945" spans="19:23" x14ac:dyDescent="0.2">
      <c r="S945" s="87" t="s">
        <v>10897</v>
      </c>
      <c r="T945" s="87" t="s">
        <v>10898</v>
      </c>
      <c r="U945" s="90">
        <v>0</v>
      </c>
      <c r="V945" s="89" t="s">
        <v>9344</v>
      </c>
      <c r="W945" s="90">
        <f t="shared" si="55"/>
        <v>0</v>
      </c>
    </row>
    <row r="946" spans="19:23" x14ac:dyDescent="0.2">
      <c r="S946" s="87" t="s">
        <v>10899</v>
      </c>
      <c r="T946" s="87" t="s">
        <v>10900</v>
      </c>
      <c r="U946" s="90">
        <v>0</v>
      </c>
      <c r="V946" s="89" t="s">
        <v>9344</v>
      </c>
      <c r="W946" s="90">
        <f t="shared" si="55"/>
        <v>0</v>
      </c>
    </row>
    <row r="947" spans="19:23" x14ac:dyDescent="0.2">
      <c r="S947" s="87" t="s">
        <v>10901</v>
      </c>
      <c r="T947" s="87" t="s">
        <v>10902</v>
      </c>
      <c r="U947" s="90">
        <v>0</v>
      </c>
      <c r="V947" s="89" t="s">
        <v>9344</v>
      </c>
      <c r="W947" s="90">
        <f t="shared" si="55"/>
        <v>0</v>
      </c>
    </row>
    <row r="948" spans="19:23" x14ac:dyDescent="0.2">
      <c r="S948" s="87" t="s">
        <v>10903</v>
      </c>
      <c r="T948" s="87" t="s">
        <v>10904</v>
      </c>
      <c r="U948" s="90">
        <v>0</v>
      </c>
      <c r="V948" s="89" t="s">
        <v>9344</v>
      </c>
      <c r="W948" s="90">
        <f t="shared" si="55"/>
        <v>0</v>
      </c>
    </row>
    <row r="949" spans="19:23" x14ac:dyDescent="0.2">
      <c r="S949" s="87" t="s">
        <v>10905</v>
      </c>
      <c r="T949" s="87" t="s">
        <v>10906</v>
      </c>
      <c r="U949" s="90">
        <v>0</v>
      </c>
      <c r="V949" s="89" t="s">
        <v>9344</v>
      </c>
      <c r="W949" s="90">
        <f t="shared" si="55"/>
        <v>0</v>
      </c>
    </row>
    <row r="950" spans="19:23" x14ac:dyDescent="0.2">
      <c r="S950" s="87" t="s">
        <v>10907</v>
      </c>
      <c r="T950" s="87" t="s">
        <v>10908</v>
      </c>
      <c r="U950" s="90">
        <v>0</v>
      </c>
      <c r="V950" s="89" t="s">
        <v>9344</v>
      </c>
      <c r="W950" s="90">
        <f t="shared" si="55"/>
        <v>0</v>
      </c>
    </row>
    <row r="951" spans="19:23" x14ac:dyDescent="0.2">
      <c r="S951" s="87" t="s">
        <v>10909</v>
      </c>
      <c r="T951" s="87" t="s">
        <v>10910</v>
      </c>
      <c r="U951" s="90">
        <v>54756.768527999986</v>
      </c>
      <c r="V951" s="89" t="s">
        <v>9344</v>
      </c>
      <c r="W951" s="90">
        <f t="shared" si="55"/>
        <v>32854.061116799989</v>
      </c>
    </row>
    <row r="952" spans="19:23" x14ac:dyDescent="0.2">
      <c r="S952" s="87" t="s">
        <v>10911</v>
      </c>
      <c r="T952" s="87" t="s">
        <v>10912</v>
      </c>
      <c r="U952" s="90">
        <v>54723.901320000004</v>
      </c>
      <c r="V952" s="89" t="s">
        <v>9344</v>
      </c>
      <c r="W952" s="90">
        <f t="shared" si="55"/>
        <v>32834.340792000003</v>
      </c>
    </row>
    <row r="953" spans="19:23" x14ac:dyDescent="0.2">
      <c r="S953" s="87" t="s">
        <v>10913</v>
      </c>
      <c r="T953" s="87" t="s">
        <v>10914</v>
      </c>
      <c r="U953" s="90">
        <v>59358.177647999983</v>
      </c>
      <c r="V953" s="89" t="s">
        <v>9344</v>
      </c>
      <c r="W953" s="90">
        <f t="shared" si="55"/>
        <v>35614.90658879999</v>
      </c>
    </row>
    <row r="954" spans="19:23" x14ac:dyDescent="0.2">
      <c r="S954" s="87" t="s">
        <v>10915</v>
      </c>
      <c r="T954" s="87" t="s">
        <v>10916</v>
      </c>
      <c r="U954" s="90">
        <v>62020.421496000003</v>
      </c>
      <c r="V954" s="89" t="s">
        <v>9344</v>
      </c>
      <c r="W954" s="90">
        <f t="shared" si="55"/>
        <v>37212.252897600003</v>
      </c>
    </row>
    <row r="955" spans="19:23" x14ac:dyDescent="0.2">
      <c r="S955" s="87" t="s">
        <v>10917</v>
      </c>
      <c r="T955" s="87" t="s">
        <v>10918</v>
      </c>
      <c r="U955" s="90">
        <v>64091.0556</v>
      </c>
      <c r="V955" s="89" t="s">
        <v>9344</v>
      </c>
      <c r="W955" s="90">
        <f t="shared" si="55"/>
        <v>38454.63336</v>
      </c>
    </row>
    <row r="956" spans="19:23" x14ac:dyDescent="0.2">
      <c r="S956" s="87" t="s">
        <v>10919</v>
      </c>
      <c r="T956" s="87" t="s">
        <v>10920</v>
      </c>
      <c r="U956" s="90">
        <v>40860.512985600006</v>
      </c>
      <c r="V956" s="89" t="s">
        <v>9344</v>
      </c>
      <c r="W956" s="90">
        <f t="shared" si="55"/>
        <v>24516.307791360003</v>
      </c>
    </row>
    <row r="957" spans="19:23" x14ac:dyDescent="0.2">
      <c r="S957" s="87" t="s">
        <v>10921</v>
      </c>
      <c r="T957" s="87" t="s">
        <v>10922</v>
      </c>
      <c r="U957" s="90">
        <v>50023.890575999998</v>
      </c>
      <c r="V957" s="89" t="s">
        <v>9344</v>
      </c>
      <c r="W957" s="90">
        <f t="shared" si="55"/>
        <v>30014.334345599997</v>
      </c>
    </row>
    <row r="958" spans="19:23" x14ac:dyDescent="0.2">
      <c r="S958" s="87" t="s">
        <v>10923</v>
      </c>
      <c r="T958" s="87" t="s">
        <v>10790</v>
      </c>
      <c r="U958" s="90">
        <v>47427.381143999992</v>
      </c>
      <c r="V958" s="89" t="s">
        <v>9344</v>
      </c>
      <c r="W958" s="90">
        <f t="shared" si="55"/>
        <v>28456.428686399995</v>
      </c>
    </row>
    <row r="959" spans="19:23" x14ac:dyDescent="0.2">
      <c r="S959" s="87" t="s">
        <v>10924</v>
      </c>
      <c r="T959" s="87" t="s">
        <v>10925</v>
      </c>
      <c r="U959" s="90">
        <v>9791.0623819008015</v>
      </c>
      <c r="V959" s="89" t="s">
        <v>9344</v>
      </c>
      <c r="W959" s="90">
        <f t="shared" si="55"/>
        <v>5874.6374291404809</v>
      </c>
    </row>
    <row r="960" spans="19:23" x14ac:dyDescent="0.2">
      <c r="S960" s="87" t="s">
        <v>10926</v>
      </c>
      <c r="T960" s="87" t="s">
        <v>10927</v>
      </c>
      <c r="U960" s="90">
        <v>8019.9157051006741</v>
      </c>
      <c r="V960" s="89" t="s">
        <v>9344</v>
      </c>
      <c r="W960" s="90">
        <f t="shared" si="55"/>
        <v>4811.9494230604041</v>
      </c>
    </row>
    <row r="961" spans="19:23" x14ac:dyDescent="0.2">
      <c r="S961" s="87" t="s">
        <v>10928</v>
      </c>
      <c r="T961" s="87" t="s">
        <v>10929</v>
      </c>
      <c r="U961" s="90">
        <v>25049.858001464003</v>
      </c>
      <c r="V961" s="89" t="s">
        <v>9344</v>
      </c>
      <c r="W961" s="90">
        <f t="shared" si="55"/>
        <v>15029.914800878401</v>
      </c>
    </row>
    <row r="962" spans="19:23" x14ac:dyDescent="0.2">
      <c r="S962" s="87" t="s">
        <v>10930</v>
      </c>
      <c r="T962" s="87" t="s">
        <v>10931</v>
      </c>
      <c r="U962" s="90">
        <v>38515.47121639875</v>
      </c>
      <c r="V962" s="89" t="s">
        <v>9344</v>
      </c>
      <c r="W962" s="90">
        <f t="shared" si="55"/>
        <v>23109.282729839248</v>
      </c>
    </row>
    <row r="963" spans="19:23" x14ac:dyDescent="0.2">
      <c r="S963" s="87" t="s">
        <v>10932</v>
      </c>
      <c r="T963" s="87" t="s">
        <v>10933</v>
      </c>
      <c r="U963" s="90">
        <v>46139.447730166474</v>
      </c>
      <c r="V963" s="89" t="s">
        <v>9344</v>
      </c>
      <c r="W963" s="90">
        <f t="shared" si="55"/>
        <v>27683.668638099884</v>
      </c>
    </row>
    <row r="964" spans="19:23" x14ac:dyDescent="0.2">
      <c r="S964" s="87" t="s">
        <v>10934</v>
      </c>
      <c r="T964" s="87" t="s">
        <v>10935</v>
      </c>
      <c r="U964" s="90">
        <v>67822.858609925228</v>
      </c>
      <c r="V964" s="89" t="s">
        <v>9344</v>
      </c>
      <c r="W964" s="90">
        <f t="shared" si="55"/>
        <v>40693.715165955138</v>
      </c>
    </row>
    <row r="965" spans="19:23" x14ac:dyDescent="0.2">
      <c r="S965" s="87" t="s">
        <v>10936</v>
      </c>
      <c r="T965" s="87" t="s">
        <v>10937</v>
      </c>
      <c r="U965" s="90">
        <v>69406.965919029797</v>
      </c>
      <c r="V965" s="89" t="s">
        <v>9344</v>
      </c>
      <c r="W965" s="90">
        <f t="shared" si="55"/>
        <v>41644.179551417874</v>
      </c>
    </row>
    <row r="966" spans="19:23" x14ac:dyDescent="0.2">
      <c r="S966" s="87" t="s">
        <v>10938</v>
      </c>
      <c r="T966" s="87" t="s">
        <v>10939</v>
      </c>
      <c r="U966" s="90">
        <v>47030.35472863722</v>
      </c>
      <c r="V966" s="89" t="s">
        <v>9344</v>
      </c>
      <c r="W966" s="90">
        <f t="shared" si="55"/>
        <v>28218.212837182331</v>
      </c>
    </row>
    <row r="967" spans="19:23" x14ac:dyDescent="0.2">
      <c r="S967" s="87" t="s">
        <v>10940</v>
      </c>
      <c r="T967" s="87" t="s">
        <v>10941</v>
      </c>
      <c r="U967" s="90">
        <v>78317.96389448765</v>
      </c>
      <c r="V967" s="89" t="s">
        <v>9344</v>
      </c>
      <c r="W967" s="90">
        <f t="shared" si="55"/>
        <v>46990.778336692587</v>
      </c>
    </row>
    <row r="968" spans="19:23" x14ac:dyDescent="0.2">
      <c r="S968" s="87" t="s">
        <v>10942</v>
      </c>
      <c r="T968" s="87" t="s">
        <v>10943</v>
      </c>
      <c r="U968" s="90">
        <v>6668.3941892226385</v>
      </c>
      <c r="V968" s="89" t="s">
        <v>9344</v>
      </c>
      <c r="W968" s="90">
        <f t="shared" si="55"/>
        <v>4001.0365135335828</v>
      </c>
    </row>
    <row r="969" spans="19:23" x14ac:dyDescent="0.2">
      <c r="S969" s="481" t="s">
        <v>10944</v>
      </c>
      <c r="T969" s="481" t="s">
        <v>10945</v>
      </c>
      <c r="U969" s="504">
        <v>94500.458564715023</v>
      </c>
      <c r="V969" s="89" t="s">
        <v>9337</v>
      </c>
      <c r="W969" s="90">
        <f t="shared" si="55"/>
        <v>67095.325580947669</v>
      </c>
    </row>
    <row r="970" spans="19:23" x14ac:dyDescent="0.2">
      <c r="S970" s="87" t="s">
        <v>10946</v>
      </c>
      <c r="T970" s="87" t="s">
        <v>10947</v>
      </c>
      <c r="U970" s="90">
        <v>3973.2802560000009</v>
      </c>
      <c r="V970" s="89" t="s">
        <v>9344</v>
      </c>
      <c r="W970" s="90">
        <f t="shared" si="55"/>
        <v>2383.9681536000003</v>
      </c>
    </row>
    <row r="971" spans="19:23" x14ac:dyDescent="0.2">
      <c r="S971" s="87" t="s">
        <v>10948</v>
      </c>
      <c r="T971" s="87" t="s">
        <v>10949</v>
      </c>
      <c r="U971" s="90">
        <v>4440.7249919999995</v>
      </c>
      <c r="V971" s="89" t="s">
        <v>9344</v>
      </c>
      <c r="W971" s="90">
        <f t="shared" si="55"/>
        <v>2664.4349951999998</v>
      </c>
    </row>
    <row r="972" spans="19:23" x14ac:dyDescent="0.2">
      <c r="S972" s="87" t="s">
        <v>10950</v>
      </c>
      <c r="T972" s="87" t="s">
        <v>10951</v>
      </c>
      <c r="U972" s="90">
        <v>4674.4473600000001</v>
      </c>
      <c r="V972" s="89" t="s">
        <v>9344</v>
      </c>
      <c r="W972" s="90">
        <f t="shared" si="55"/>
        <v>2804.668416</v>
      </c>
    </row>
    <row r="973" spans="19:23" x14ac:dyDescent="0.2">
      <c r="S973" s="87" t="s">
        <v>10952</v>
      </c>
      <c r="T973" s="87" t="s">
        <v>10953</v>
      </c>
      <c r="U973" s="90">
        <v>4674.4473600000001</v>
      </c>
      <c r="V973" s="89" t="s">
        <v>9344</v>
      </c>
      <c r="W973" s="90">
        <f t="shared" si="55"/>
        <v>2804.668416</v>
      </c>
    </row>
    <row r="974" spans="19:23" x14ac:dyDescent="0.2">
      <c r="S974" s="87" t="s">
        <v>10954</v>
      </c>
      <c r="T974" s="87" t="s">
        <v>10955</v>
      </c>
      <c r="U974" s="90">
        <v>5025.0309119999993</v>
      </c>
      <c r="V974" s="89" t="s">
        <v>9344</v>
      </c>
      <c r="W974" s="90">
        <f t="shared" si="55"/>
        <v>3015.0185471999994</v>
      </c>
    </row>
    <row r="975" spans="19:23" x14ac:dyDescent="0.2">
      <c r="S975" s="87" t="s">
        <v>10956</v>
      </c>
      <c r="T975" s="87" t="s">
        <v>10957</v>
      </c>
      <c r="U975" s="90">
        <v>5959.920384</v>
      </c>
      <c r="V975" s="89" t="s">
        <v>9344</v>
      </c>
      <c r="W975" s="90">
        <f t="shared" si="55"/>
        <v>3575.9522303999997</v>
      </c>
    </row>
    <row r="976" spans="19:23" x14ac:dyDescent="0.2">
      <c r="S976" s="87" t="s">
        <v>10958</v>
      </c>
      <c r="T976" s="87" t="s">
        <v>10959</v>
      </c>
      <c r="U976" s="90">
        <v>4674.4473600000001</v>
      </c>
      <c r="V976" s="89" t="s">
        <v>9344</v>
      </c>
      <c r="W976" s="90">
        <f t="shared" si="55"/>
        <v>2804.668416</v>
      </c>
    </row>
    <row r="977" spans="19:23" x14ac:dyDescent="0.2">
      <c r="S977" s="87" t="s">
        <v>10960</v>
      </c>
      <c r="T977" s="87" t="s">
        <v>10961</v>
      </c>
      <c r="U977" s="90">
        <v>4791.3085439999995</v>
      </c>
      <c r="V977" s="89" t="s">
        <v>9344</v>
      </c>
      <c r="W977" s="90">
        <f t="shared" si="55"/>
        <v>2874.7851263999996</v>
      </c>
    </row>
    <row r="978" spans="19:23" x14ac:dyDescent="0.2">
      <c r="S978" s="87" t="s">
        <v>10962</v>
      </c>
      <c r="T978" s="87" t="s">
        <v>10963</v>
      </c>
      <c r="U978" s="90">
        <v>5492.4756480000005</v>
      </c>
      <c r="V978" s="89" t="s">
        <v>9344</v>
      </c>
      <c r="W978" s="90">
        <f t="shared" si="55"/>
        <v>3295.4853888000002</v>
      </c>
    </row>
    <row r="979" spans="19:23" x14ac:dyDescent="0.2">
      <c r="S979" s="480" t="s">
        <v>10964</v>
      </c>
      <c r="T979" s="480" t="s">
        <v>10965</v>
      </c>
      <c r="U979" s="504">
        <v>63827.663252598002</v>
      </c>
      <c r="V979" s="89" t="s">
        <v>9337</v>
      </c>
      <c r="W979" s="90">
        <f t="shared" si="55"/>
        <v>45317.640909344576</v>
      </c>
    </row>
    <row r="980" spans="19:23" x14ac:dyDescent="0.2">
      <c r="S980" s="87" t="s">
        <v>10966</v>
      </c>
      <c r="T980" s="87" t="s">
        <v>10967</v>
      </c>
      <c r="U980" s="90">
        <v>1577.7063608886326</v>
      </c>
      <c r="V980" s="89" t="s">
        <v>9344</v>
      </c>
      <c r="W980" s="90">
        <f t="shared" si="55"/>
        <v>946.62381653317948</v>
      </c>
    </row>
    <row r="981" spans="19:23" x14ac:dyDescent="0.2">
      <c r="S981" s="87" t="s">
        <v>10968</v>
      </c>
      <c r="T981" s="87" t="s">
        <v>10969</v>
      </c>
      <c r="U981" s="90">
        <v>3551.3383995467211</v>
      </c>
      <c r="V981" s="89" t="s">
        <v>9344</v>
      </c>
      <c r="W981" s="90">
        <f t="shared" si="55"/>
        <v>2130.8030397280327</v>
      </c>
    </row>
    <row r="982" spans="19:23" x14ac:dyDescent="0.2">
      <c r="S982" s="87" t="s">
        <v>10970</v>
      </c>
      <c r="T982" s="87" t="s">
        <v>10971</v>
      </c>
      <c r="U982" s="90">
        <v>4338.6924924437399</v>
      </c>
      <c r="V982" s="89" t="s">
        <v>9344</v>
      </c>
      <c r="W982" s="90">
        <f t="shared" si="55"/>
        <v>2603.2154954662437</v>
      </c>
    </row>
    <row r="983" spans="19:23" x14ac:dyDescent="0.2">
      <c r="S983" s="87" t="s">
        <v>10972</v>
      </c>
      <c r="T983" s="87" t="s">
        <v>10973</v>
      </c>
      <c r="U983" s="90">
        <v>6573.7765037026375</v>
      </c>
      <c r="V983" s="89" t="s">
        <v>9344</v>
      </c>
      <c r="W983" s="90">
        <f t="shared" si="55"/>
        <v>3944.2659022215821</v>
      </c>
    </row>
    <row r="984" spans="19:23" x14ac:dyDescent="0.2">
      <c r="S984" s="87" t="s">
        <v>10974</v>
      </c>
      <c r="T984" s="87" t="s">
        <v>10975</v>
      </c>
      <c r="U984" s="90">
        <v>981.88199999999983</v>
      </c>
      <c r="V984" s="89" t="s">
        <v>9344</v>
      </c>
      <c r="W984" s="90">
        <f t="shared" si="55"/>
        <v>589.12919999999986</v>
      </c>
    </row>
    <row r="985" spans="19:23" x14ac:dyDescent="0.2">
      <c r="S985" s="87" t="s">
        <v>10976</v>
      </c>
      <c r="T985" s="87" t="s">
        <v>10977</v>
      </c>
      <c r="U985" s="90">
        <v>981.88199999999983</v>
      </c>
      <c r="V985" s="89" t="s">
        <v>9344</v>
      </c>
      <c r="W985" s="90">
        <f t="shared" ref="W985:W1048" si="56">+IF(V985="Nacional",(1-$AA$1)*U985,(1-$AA$2)*U985)</f>
        <v>589.12919999999986</v>
      </c>
    </row>
    <row r="986" spans="19:23" x14ac:dyDescent="0.2">
      <c r="S986" s="87" t="s">
        <v>10978</v>
      </c>
      <c r="T986" s="87" t="s">
        <v>10979</v>
      </c>
      <c r="U986" s="90">
        <v>523.67039999999986</v>
      </c>
      <c r="V986" s="89" t="s">
        <v>9344</v>
      </c>
      <c r="W986" s="90">
        <f t="shared" si="56"/>
        <v>314.2022399999999</v>
      </c>
    </row>
    <row r="987" spans="19:23" x14ac:dyDescent="0.2">
      <c r="S987" s="87" t="s">
        <v>10980</v>
      </c>
      <c r="T987" s="87" t="s">
        <v>10981</v>
      </c>
      <c r="U987" s="90">
        <v>589.12919999999986</v>
      </c>
      <c r="V987" s="89" t="s">
        <v>9344</v>
      </c>
      <c r="W987" s="90">
        <f t="shared" si="56"/>
        <v>353.47751999999991</v>
      </c>
    </row>
    <row r="988" spans="19:23" x14ac:dyDescent="0.2">
      <c r="S988" s="87" t="s">
        <v>10982</v>
      </c>
      <c r="T988" s="87" t="s">
        <v>10983</v>
      </c>
      <c r="U988" s="90">
        <v>2291.0579999999995</v>
      </c>
      <c r="V988" s="89" t="s">
        <v>9344</v>
      </c>
      <c r="W988" s="90">
        <f t="shared" si="56"/>
        <v>1374.6347999999996</v>
      </c>
    </row>
    <row r="989" spans="19:23" x14ac:dyDescent="0.2">
      <c r="S989" s="87" t="s">
        <v>10984</v>
      </c>
      <c r="T989" s="87" t="s">
        <v>10985</v>
      </c>
      <c r="U989" s="90">
        <v>1571.0111999999999</v>
      </c>
      <c r="V989" s="89" t="s">
        <v>9344</v>
      </c>
      <c r="W989" s="90">
        <f t="shared" si="56"/>
        <v>942.60671999999988</v>
      </c>
    </row>
    <row r="990" spans="19:23" x14ac:dyDescent="0.2">
      <c r="S990" s="87" t="s">
        <v>10986</v>
      </c>
      <c r="T990" s="87" t="s">
        <v>10987</v>
      </c>
      <c r="U990" s="90">
        <v>1571.0111999999999</v>
      </c>
      <c r="V990" s="89" t="s">
        <v>9344</v>
      </c>
      <c r="W990" s="90">
        <f t="shared" si="56"/>
        <v>942.60671999999988</v>
      </c>
    </row>
    <row r="991" spans="19:23" x14ac:dyDescent="0.2">
      <c r="S991" s="87" t="s">
        <v>10988</v>
      </c>
      <c r="T991" s="87" t="s">
        <v>10989</v>
      </c>
      <c r="U991" s="90">
        <v>654.58800000000008</v>
      </c>
      <c r="V991" s="89" t="s">
        <v>9344</v>
      </c>
      <c r="W991" s="90">
        <f t="shared" si="56"/>
        <v>392.75280000000004</v>
      </c>
    </row>
    <row r="992" spans="19:23" x14ac:dyDescent="0.2">
      <c r="S992" s="87" t="s">
        <v>10990</v>
      </c>
      <c r="T992" s="87" t="s">
        <v>10991</v>
      </c>
      <c r="U992" s="90">
        <v>720.04679999999996</v>
      </c>
      <c r="V992" s="89" t="s">
        <v>9344</v>
      </c>
      <c r="W992" s="90">
        <f t="shared" si="56"/>
        <v>432.02807999999999</v>
      </c>
    </row>
    <row r="993" spans="19:23" x14ac:dyDescent="0.2">
      <c r="S993" s="87" t="s">
        <v>10992</v>
      </c>
      <c r="T993" s="87" t="s">
        <v>10993</v>
      </c>
      <c r="U993" s="90">
        <v>589.12919999999986</v>
      </c>
      <c r="V993" s="89" t="s">
        <v>9344</v>
      </c>
      <c r="W993" s="90">
        <f t="shared" si="56"/>
        <v>353.47751999999991</v>
      </c>
    </row>
    <row r="994" spans="19:23" x14ac:dyDescent="0.2">
      <c r="S994" s="87" t="s">
        <v>10994</v>
      </c>
      <c r="T994" s="87" t="s">
        <v>10995</v>
      </c>
      <c r="U994" s="90">
        <v>654.58800000000008</v>
      </c>
      <c r="V994" s="89" t="s">
        <v>9344</v>
      </c>
      <c r="W994" s="90">
        <f t="shared" si="56"/>
        <v>392.75280000000004</v>
      </c>
    </row>
    <row r="995" spans="19:23" x14ac:dyDescent="0.2">
      <c r="S995" s="87" t="s">
        <v>10996</v>
      </c>
      <c r="T995" s="87" t="s">
        <v>10997</v>
      </c>
      <c r="U995" s="90">
        <v>1243.7172</v>
      </c>
      <c r="V995" s="89" t="s">
        <v>9344</v>
      </c>
      <c r="W995" s="90">
        <f t="shared" si="56"/>
        <v>746.23032000000001</v>
      </c>
    </row>
    <row r="996" spans="19:23" x14ac:dyDescent="0.2">
      <c r="S996" s="87" t="s">
        <v>10998</v>
      </c>
      <c r="T996" s="87" t="s">
        <v>10999</v>
      </c>
      <c r="U996" s="90">
        <v>2868.3606828096003</v>
      </c>
      <c r="V996" s="89" t="s">
        <v>9344</v>
      </c>
      <c r="W996" s="90">
        <f t="shared" si="56"/>
        <v>1721.0164096857602</v>
      </c>
    </row>
    <row r="997" spans="19:23" x14ac:dyDescent="0.2">
      <c r="S997" s="87" t="s">
        <v>11000</v>
      </c>
      <c r="T997" s="87" t="s">
        <v>11001</v>
      </c>
      <c r="U997" s="90">
        <v>3475.7782391692804</v>
      </c>
      <c r="V997" s="89" t="s">
        <v>9344</v>
      </c>
      <c r="W997" s="90">
        <f t="shared" si="56"/>
        <v>2085.466943501568</v>
      </c>
    </row>
    <row r="998" spans="19:23" x14ac:dyDescent="0.2">
      <c r="S998" s="87" t="s">
        <v>11002</v>
      </c>
      <c r="T998" s="87" t="s">
        <v>11003</v>
      </c>
      <c r="U998" s="90">
        <v>4869.4640768167701</v>
      </c>
      <c r="V998" s="89" t="s">
        <v>9344</v>
      </c>
      <c r="W998" s="90">
        <f t="shared" si="56"/>
        <v>2921.6784460900622</v>
      </c>
    </row>
    <row r="999" spans="19:23" x14ac:dyDescent="0.2">
      <c r="S999" s="87" t="s">
        <v>11004</v>
      </c>
      <c r="T999" s="87" t="s">
        <v>11005</v>
      </c>
      <c r="U999" s="90">
        <v>7341.6535312006663</v>
      </c>
      <c r="V999" s="89" t="s">
        <v>9344</v>
      </c>
      <c r="W999" s="90">
        <f t="shared" si="56"/>
        <v>4404.9921187204</v>
      </c>
    </row>
    <row r="1000" spans="19:23" x14ac:dyDescent="0.2">
      <c r="S1000" s="87" t="s">
        <v>11006</v>
      </c>
      <c r="T1000" s="87" t="s">
        <v>11007</v>
      </c>
      <c r="U1000" s="90">
        <v>30748.409999999996</v>
      </c>
      <c r="V1000" s="89" t="s">
        <v>9344</v>
      </c>
      <c r="W1000" s="90">
        <f t="shared" si="56"/>
        <v>18449.045999999998</v>
      </c>
    </row>
    <row r="1001" spans="19:23" x14ac:dyDescent="0.2">
      <c r="S1001" s="87" t="s">
        <v>11008</v>
      </c>
      <c r="T1001" s="87" t="s">
        <v>11009</v>
      </c>
      <c r="U1001" s="90">
        <v>46510.200000000004</v>
      </c>
      <c r="V1001" s="89" t="s">
        <v>9344</v>
      </c>
      <c r="W1001" s="90">
        <f t="shared" si="56"/>
        <v>27906.120000000003</v>
      </c>
    </row>
    <row r="1002" spans="19:23" x14ac:dyDescent="0.2">
      <c r="S1002" s="87" t="s">
        <v>11010</v>
      </c>
      <c r="T1002" s="87" t="s">
        <v>11011</v>
      </c>
      <c r="U1002" s="90">
        <v>54261.899999999994</v>
      </c>
      <c r="V1002" s="89" t="s">
        <v>9344</v>
      </c>
      <c r="W1002" s="90">
        <f t="shared" si="56"/>
        <v>32557.139999999996</v>
      </c>
    </row>
    <row r="1003" spans="19:23" x14ac:dyDescent="0.2">
      <c r="S1003" s="87" t="s">
        <v>11012</v>
      </c>
      <c r="T1003" s="87" t="s">
        <v>11013</v>
      </c>
      <c r="U1003" s="90">
        <v>23513.489999999994</v>
      </c>
      <c r="V1003" s="89" t="s">
        <v>9344</v>
      </c>
      <c r="W1003" s="90">
        <f t="shared" si="56"/>
        <v>14108.093999999996</v>
      </c>
    </row>
    <row r="1004" spans="19:23" x14ac:dyDescent="0.2">
      <c r="S1004" s="87" t="s">
        <v>11014</v>
      </c>
      <c r="T1004" s="87" t="s">
        <v>11015</v>
      </c>
      <c r="U1004" s="90">
        <v>86819.040000000008</v>
      </c>
      <c r="V1004" s="89" t="s">
        <v>9344</v>
      </c>
      <c r="W1004" s="90">
        <f t="shared" si="56"/>
        <v>52091.424000000006</v>
      </c>
    </row>
    <row r="1005" spans="19:23" x14ac:dyDescent="0.2">
      <c r="S1005" s="87" t="s">
        <v>11016</v>
      </c>
      <c r="T1005" s="87" t="s">
        <v>11017</v>
      </c>
      <c r="U1005" s="90">
        <v>164056.97880000001</v>
      </c>
      <c r="V1005" s="89" t="s">
        <v>9344</v>
      </c>
      <c r="W1005" s="90">
        <f t="shared" si="56"/>
        <v>98434.187279999998</v>
      </c>
    </row>
    <row r="1006" spans="19:23" x14ac:dyDescent="0.2">
      <c r="S1006" s="87" t="s">
        <v>11018</v>
      </c>
      <c r="T1006" s="87" t="s">
        <v>11019</v>
      </c>
      <c r="U1006" s="90">
        <v>2600.2304453809338</v>
      </c>
      <c r="V1006" s="89" t="s">
        <v>9344</v>
      </c>
      <c r="W1006" s="90">
        <f t="shared" si="56"/>
        <v>1560.1382672285602</v>
      </c>
    </row>
    <row r="1007" spans="19:23" x14ac:dyDescent="0.2">
      <c r="S1007" s="87" t="s">
        <v>11020</v>
      </c>
      <c r="T1007" s="87" t="s">
        <v>11021</v>
      </c>
      <c r="U1007" s="90">
        <v>18483.498</v>
      </c>
      <c r="V1007" s="89" t="s">
        <v>9344</v>
      </c>
      <c r="W1007" s="90">
        <f t="shared" si="56"/>
        <v>11090.0988</v>
      </c>
    </row>
    <row r="1008" spans="19:23" x14ac:dyDescent="0.2">
      <c r="S1008" s="87" t="s">
        <v>11022</v>
      </c>
      <c r="T1008" s="87" t="s">
        <v>11023</v>
      </c>
      <c r="U1008" s="90">
        <v>2277.8334353976093</v>
      </c>
      <c r="V1008" s="89" t="s">
        <v>9344</v>
      </c>
      <c r="W1008" s="90">
        <f t="shared" si="56"/>
        <v>1366.7000612385655</v>
      </c>
    </row>
    <row r="1009" spans="19:23" x14ac:dyDescent="0.2">
      <c r="S1009" s="87" t="s">
        <v>11024</v>
      </c>
      <c r="T1009" s="87" t="s">
        <v>11025</v>
      </c>
      <c r="U1009" s="90">
        <v>3413.2447153688081</v>
      </c>
      <c r="V1009" s="89" t="s">
        <v>9344</v>
      </c>
      <c r="W1009" s="90">
        <f t="shared" si="56"/>
        <v>2047.9468292212848</v>
      </c>
    </row>
    <row r="1010" spans="19:23" x14ac:dyDescent="0.2">
      <c r="S1010" s="87" t="s">
        <v>11026</v>
      </c>
      <c r="T1010" s="87" t="s">
        <v>11027</v>
      </c>
      <c r="U1010" s="90">
        <v>3085.3110159513776</v>
      </c>
      <c r="V1010" s="89" t="s">
        <v>9344</v>
      </c>
      <c r="W1010" s="90">
        <f t="shared" si="56"/>
        <v>1851.1866095708265</v>
      </c>
    </row>
    <row r="1011" spans="19:23" x14ac:dyDescent="0.2">
      <c r="S1011" s="87" t="s">
        <v>11028</v>
      </c>
      <c r="T1011" s="87" t="s">
        <v>11029</v>
      </c>
      <c r="U1011" s="90">
        <v>1231.339127819549</v>
      </c>
      <c r="V1011" s="89" t="s">
        <v>9344</v>
      </c>
      <c r="W1011" s="90">
        <f t="shared" si="56"/>
        <v>738.80347669172943</v>
      </c>
    </row>
    <row r="1012" spans="19:23" x14ac:dyDescent="0.2">
      <c r="S1012" s="87" t="s">
        <v>11030</v>
      </c>
      <c r="T1012" s="87" t="s">
        <v>11031</v>
      </c>
      <c r="U1012" s="90">
        <v>1282.1837593984965</v>
      </c>
      <c r="V1012" s="89" t="s">
        <v>9344</v>
      </c>
      <c r="W1012" s="90">
        <f t="shared" si="56"/>
        <v>769.31025563909782</v>
      </c>
    </row>
    <row r="1013" spans="19:23" x14ac:dyDescent="0.2">
      <c r="S1013" s="87" t="s">
        <v>11032</v>
      </c>
      <c r="T1013" s="87" t="s">
        <v>11033</v>
      </c>
      <c r="U1013" s="90">
        <v>1446.9839999999999</v>
      </c>
      <c r="V1013" s="89" t="s">
        <v>9344</v>
      </c>
      <c r="W1013" s="90">
        <f t="shared" si="56"/>
        <v>868.19039999999995</v>
      </c>
    </row>
    <row r="1014" spans="19:23" x14ac:dyDescent="0.2">
      <c r="S1014" s="87" t="s">
        <v>11034</v>
      </c>
      <c r="T1014" s="87" t="s">
        <v>11035</v>
      </c>
      <c r="U1014" s="90">
        <v>2110.1849999999995</v>
      </c>
      <c r="V1014" s="89" t="s">
        <v>9344</v>
      </c>
      <c r="W1014" s="90">
        <f t="shared" si="56"/>
        <v>1266.1109999999996</v>
      </c>
    </row>
    <row r="1015" spans="19:23" x14ac:dyDescent="0.2">
      <c r="S1015" s="87" t="s">
        <v>11036</v>
      </c>
      <c r="T1015" s="87" t="s">
        <v>11037</v>
      </c>
      <c r="U1015" s="90">
        <v>2351.3489999999997</v>
      </c>
      <c r="V1015" s="89" t="s">
        <v>9344</v>
      </c>
      <c r="W1015" s="90">
        <f t="shared" si="56"/>
        <v>1410.8093999999999</v>
      </c>
    </row>
    <row r="1016" spans="19:23" x14ac:dyDescent="0.2">
      <c r="S1016" s="87" t="s">
        <v>11038</v>
      </c>
      <c r="T1016" s="87" t="s">
        <v>11039</v>
      </c>
      <c r="U1016" s="90">
        <v>1932.7572000000002</v>
      </c>
      <c r="V1016" s="89" t="s">
        <v>9344</v>
      </c>
      <c r="W1016" s="90">
        <f t="shared" si="56"/>
        <v>1159.6543200000001</v>
      </c>
    </row>
    <row r="1017" spans="19:23" x14ac:dyDescent="0.2">
      <c r="S1017" s="87" t="s">
        <v>11040</v>
      </c>
      <c r="T1017" s="87" t="s">
        <v>11041</v>
      </c>
      <c r="U1017" s="90">
        <v>2160.1404000000002</v>
      </c>
      <c r="V1017" s="89" t="s">
        <v>9344</v>
      </c>
      <c r="W1017" s="90">
        <f t="shared" si="56"/>
        <v>1296.0842400000001</v>
      </c>
    </row>
    <row r="1018" spans="19:23" x14ac:dyDescent="0.2">
      <c r="S1018" s="87" t="s">
        <v>11042</v>
      </c>
      <c r="T1018" s="87" t="s">
        <v>11043</v>
      </c>
      <c r="U1018" s="90">
        <v>3297.0563999999995</v>
      </c>
      <c r="V1018" s="89" t="s">
        <v>9344</v>
      </c>
      <c r="W1018" s="90">
        <f t="shared" si="56"/>
        <v>1978.2338399999996</v>
      </c>
    </row>
    <row r="1019" spans="19:23" x14ac:dyDescent="0.2">
      <c r="S1019" s="87" t="s">
        <v>11044</v>
      </c>
      <c r="T1019" s="87" t="s">
        <v>11045</v>
      </c>
      <c r="U1019" s="90">
        <v>909.53279999999995</v>
      </c>
      <c r="V1019" s="89" t="s">
        <v>9344</v>
      </c>
      <c r="W1019" s="90">
        <f t="shared" si="56"/>
        <v>545.71967999999993</v>
      </c>
    </row>
    <row r="1020" spans="19:23" x14ac:dyDescent="0.2">
      <c r="S1020" s="87" t="s">
        <v>11046</v>
      </c>
      <c r="T1020" s="87" t="s">
        <v>11047</v>
      </c>
      <c r="U1020" s="90">
        <v>1080.0702000000001</v>
      </c>
      <c r="V1020" s="89" t="s">
        <v>9344</v>
      </c>
      <c r="W1020" s="90">
        <f t="shared" si="56"/>
        <v>648.04212000000007</v>
      </c>
    </row>
    <row r="1021" spans="19:23" x14ac:dyDescent="0.2">
      <c r="S1021" s="87" t="s">
        <v>11048</v>
      </c>
      <c r="T1021" s="87" t="s">
        <v>11049</v>
      </c>
      <c r="U1021" s="90">
        <v>1080.0702000000001</v>
      </c>
      <c r="V1021" s="89" t="s">
        <v>9344</v>
      </c>
      <c r="W1021" s="90">
        <f t="shared" si="56"/>
        <v>648.04212000000007</v>
      </c>
    </row>
    <row r="1022" spans="19:23" x14ac:dyDescent="0.2">
      <c r="S1022" s="87" t="s">
        <v>11050</v>
      </c>
      <c r="T1022" s="87" t="s">
        <v>11051</v>
      </c>
      <c r="U1022" s="90">
        <v>1591.6824000000001</v>
      </c>
      <c r="V1022" s="89" t="s">
        <v>9344</v>
      </c>
      <c r="W1022" s="90">
        <f t="shared" si="56"/>
        <v>955.00944000000004</v>
      </c>
    </row>
    <row r="1023" spans="19:23" x14ac:dyDescent="0.2">
      <c r="S1023" s="87" t="s">
        <v>11052</v>
      </c>
      <c r="T1023" s="87" t="s">
        <v>11053</v>
      </c>
      <c r="U1023" s="90">
        <v>1705.3739999999996</v>
      </c>
      <c r="V1023" s="89" t="s">
        <v>9344</v>
      </c>
      <c r="W1023" s="90">
        <f t="shared" si="56"/>
        <v>1023.2243999999997</v>
      </c>
    </row>
    <row r="1024" spans="19:23" x14ac:dyDescent="0.2">
      <c r="S1024" s="87" t="s">
        <v>11054</v>
      </c>
      <c r="T1024" s="87" t="s">
        <v>11055</v>
      </c>
      <c r="U1024" s="90">
        <v>1705.3739999999996</v>
      </c>
      <c r="V1024" s="89" t="s">
        <v>9344</v>
      </c>
      <c r="W1024" s="90">
        <f t="shared" si="56"/>
        <v>1023.2243999999997</v>
      </c>
    </row>
    <row r="1025" spans="19:23" x14ac:dyDescent="0.2">
      <c r="S1025" s="87" t="s">
        <v>11056</v>
      </c>
      <c r="T1025" s="87" t="s">
        <v>11057</v>
      </c>
      <c r="U1025" s="90">
        <v>2501.2152000000001</v>
      </c>
      <c r="V1025" s="89" t="s">
        <v>9344</v>
      </c>
      <c r="W1025" s="90">
        <f t="shared" si="56"/>
        <v>1500.72912</v>
      </c>
    </row>
    <row r="1026" spans="19:23" x14ac:dyDescent="0.2">
      <c r="S1026" s="87" t="s">
        <v>11058</v>
      </c>
      <c r="T1026" s="87" t="s">
        <v>11059</v>
      </c>
      <c r="U1026" s="90">
        <v>1932.7572000000002</v>
      </c>
      <c r="V1026" s="89" t="s">
        <v>9344</v>
      </c>
      <c r="W1026" s="90">
        <f t="shared" si="56"/>
        <v>1159.6543200000001</v>
      </c>
    </row>
    <row r="1027" spans="19:23" x14ac:dyDescent="0.2">
      <c r="S1027" s="87" t="s">
        <v>11060</v>
      </c>
      <c r="T1027" s="87" t="s">
        <v>11061</v>
      </c>
      <c r="U1027" s="90">
        <v>1932.7572000000002</v>
      </c>
      <c r="V1027" s="89" t="s">
        <v>9344</v>
      </c>
      <c r="W1027" s="90">
        <f t="shared" si="56"/>
        <v>1159.6543200000001</v>
      </c>
    </row>
    <row r="1028" spans="19:23" x14ac:dyDescent="0.2">
      <c r="S1028" s="87" t="s">
        <v>11062</v>
      </c>
      <c r="T1028" s="87" t="s">
        <v>11063</v>
      </c>
      <c r="U1028" s="90">
        <v>2614.9067999999997</v>
      </c>
      <c r="V1028" s="89" t="s">
        <v>9344</v>
      </c>
      <c r="W1028" s="90">
        <f t="shared" si="56"/>
        <v>1568.9440799999998</v>
      </c>
    </row>
    <row r="1029" spans="19:23" x14ac:dyDescent="0.2">
      <c r="S1029" s="87" t="s">
        <v>11064</v>
      </c>
      <c r="T1029" s="87" t="s">
        <v>11065</v>
      </c>
      <c r="U1029" s="90">
        <v>2899.1358</v>
      </c>
      <c r="V1029" s="89" t="s">
        <v>9344</v>
      </c>
      <c r="W1029" s="90">
        <f t="shared" si="56"/>
        <v>1739.4814799999999</v>
      </c>
    </row>
    <row r="1030" spans="19:23" x14ac:dyDescent="0.2">
      <c r="S1030" s="87" t="s">
        <v>11066</v>
      </c>
      <c r="T1030" s="87" t="s">
        <v>11067</v>
      </c>
      <c r="U1030" s="90">
        <v>3183.3648000000003</v>
      </c>
      <c r="V1030" s="89" t="s">
        <v>9344</v>
      </c>
      <c r="W1030" s="90">
        <f t="shared" si="56"/>
        <v>1910.0188800000001</v>
      </c>
    </row>
    <row r="1031" spans="19:23" x14ac:dyDescent="0.2">
      <c r="S1031" s="87" t="s">
        <v>11068</v>
      </c>
      <c r="T1031" s="87" t="s">
        <v>11069</v>
      </c>
      <c r="U1031" s="90">
        <v>4547.6639999999998</v>
      </c>
      <c r="V1031" s="89" t="s">
        <v>9344</v>
      </c>
      <c r="W1031" s="90">
        <f t="shared" si="56"/>
        <v>2728.5983999999999</v>
      </c>
    </row>
    <row r="1032" spans="19:23" x14ac:dyDescent="0.2">
      <c r="S1032" s="87" t="s">
        <v>11070</v>
      </c>
      <c r="T1032" s="87" t="s">
        <v>11071</v>
      </c>
      <c r="U1032" s="90">
        <v>2957.4827020382322</v>
      </c>
      <c r="V1032" s="89" t="s">
        <v>9344</v>
      </c>
      <c r="W1032" s="90">
        <f t="shared" si="56"/>
        <v>1774.4896212229394</v>
      </c>
    </row>
    <row r="1033" spans="19:23" x14ac:dyDescent="0.2">
      <c r="S1033" s="87" t="s">
        <v>11072</v>
      </c>
      <c r="T1033" s="87" t="s">
        <v>11073</v>
      </c>
      <c r="U1033" s="90">
        <v>2957.4827020382322</v>
      </c>
      <c r="V1033" s="89" t="s">
        <v>9344</v>
      </c>
      <c r="W1033" s="90">
        <f t="shared" si="56"/>
        <v>1774.4896212229394</v>
      </c>
    </row>
    <row r="1034" spans="19:23" x14ac:dyDescent="0.2">
      <c r="S1034" s="87" t="s">
        <v>11074</v>
      </c>
      <c r="T1034" s="87" t="s">
        <v>11075</v>
      </c>
      <c r="U1034" s="90">
        <v>3248.4059899276117</v>
      </c>
      <c r="V1034" s="89" t="s">
        <v>9344</v>
      </c>
      <c r="W1034" s="90">
        <f t="shared" si="56"/>
        <v>1949.0435939565668</v>
      </c>
    </row>
    <row r="1035" spans="19:23" x14ac:dyDescent="0.2">
      <c r="S1035" s="87" t="s">
        <v>11076</v>
      </c>
      <c r="T1035" s="87" t="s">
        <v>11077</v>
      </c>
      <c r="U1035" s="90">
        <v>4508.9548750296908</v>
      </c>
      <c r="V1035" s="89" t="s">
        <v>9344</v>
      </c>
      <c r="W1035" s="90">
        <f t="shared" si="56"/>
        <v>2705.3729250178144</v>
      </c>
    </row>
    <row r="1036" spans="19:23" x14ac:dyDescent="0.2">
      <c r="S1036" s="87" t="s">
        <v>11078</v>
      </c>
      <c r="T1036" s="87" t="s">
        <v>11079</v>
      </c>
      <c r="U1036" s="90">
        <v>14204.28638985832</v>
      </c>
      <c r="V1036" s="89" t="s">
        <v>9344</v>
      </c>
      <c r="W1036" s="90">
        <f t="shared" si="56"/>
        <v>8522.5718339149917</v>
      </c>
    </row>
    <row r="1037" spans="19:23" x14ac:dyDescent="0.2">
      <c r="S1037" s="87" t="s">
        <v>11080</v>
      </c>
      <c r="T1037" s="87" t="s">
        <v>11081</v>
      </c>
      <c r="U1037" s="90">
        <v>27338.712471935847</v>
      </c>
      <c r="V1037" s="89" t="s">
        <v>9344</v>
      </c>
      <c r="W1037" s="90">
        <f t="shared" si="56"/>
        <v>16403.227483161507</v>
      </c>
    </row>
    <row r="1038" spans="19:23" x14ac:dyDescent="0.2">
      <c r="S1038" s="87" t="s">
        <v>11082</v>
      </c>
      <c r="T1038" s="87" t="s">
        <v>11083</v>
      </c>
      <c r="U1038" s="90">
        <v>27338.712471935847</v>
      </c>
      <c r="V1038" s="89" t="s">
        <v>9344</v>
      </c>
      <c r="W1038" s="90">
        <f t="shared" si="56"/>
        <v>16403.227483161507</v>
      </c>
    </row>
    <row r="1039" spans="19:23" x14ac:dyDescent="0.2">
      <c r="S1039" s="87" t="s">
        <v>11084</v>
      </c>
      <c r="T1039" s="87" t="s">
        <v>11085</v>
      </c>
      <c r="U1039" s="90">
        <v>14621.985789689925</v>
      </c>
      <c r="V1039" s="89" t="s">
        <v>9344</v>
      </c>
      <c r="W1039" s="90">
        <f t="shared" si="56"/>
        <v>8773.1914738139549</v>
      </c>
    </row>
    <row r="1040" spans="19:23" x14ac:dyDescent="0.2">
      <c r="S1040" s="87" t="s">
        <v>11086</v>
      </c>
      <c r="T1040" s="87" t="s">
        <v>11087</v>
      </c>
      <c r="U1040" s="90">
        <v>17566.709391335025</v>
      </c>
      <c r="V1040" s="89" t="s">
        <v>9344</v>
      </c>
      <c r="W1040" s="90">
        <f t="shared" si="56"/>
        <v>10540.025634801015</v>
      </c>
    </row>
    <row r="1041" spans="19:23" x14ac:dyDescent="0.2">
      <c r="S1041" s="87" t="s">
        <v>11088</v>
      </c>
      <c r="T1041" s="87" t="s">
        <v>11089</v>
      </c>
      <c r="U1041" s="90">
        <v>25283.858198052763</v>
      </c>
      <c r="V1041" s="89" t="s">
        <v>9344</v>
      </c>
      <c r="W1041" s="90">
        <f t="shared" si="56"/>
        <v>15170.314918831657</v>
      </c>
    </row>
    <row r="1042" spans="19:23" x14ac:dyDescent="0.2">
      <c r="S1042" s="87" t="s">
        <v>11090</v>
      </c>
      <c r="T1042" s="87" t="s">
        <v>11085</v>
      </c>
      <c r="U1042" s="90">
        <v>17566.709391335025</v>
      </c>
      <c r="V1042" s="89" t="s">
        <v>9344</v>
      </c>
      <c r="W1042" s="90">
        <f t="shared" si="56"/>
        <v>10540.025634801015</v>
      </c>
    </row>
    <row r="1043" spans="19:23" x14ac:dyDescent="0.2">
      <c r="S1043" s="87" t="s">
        <v>11091</v>
      </c>
      <c r="T1043" s="87" t="s">
        <v>11087</v>
      </c>
      <c r="U1043" s="90">
        <v>19495.856732163276</v>
      </c>
      <c r="V1043" s="89" t="s">
        <v>9344</v>
      </c>
      <c r="W1043" s="90">
        <f t="shared" si="56"/>
        <v>11697.514039297965</v>
      </c>
    </row>
    <row r="1044" spans="19:23" x14ac:dyDescent="0.2">
      <c r="S1044" s="87" t="s">
        <v>11092</v>
      </c>
      <c r="T1044" s="87" t="s">
        <v>11089</v>
      </c>
      <c r="U1044" s="90">
        <v>32188.695181024941</v>
      </c>
      <c r="V1044" s="89" t="s">
        <v>9344</v>
      </c>
      <c r="W1044" s="90">
        <f t="shared" si="56"/>
        <v>19313.217108614965</v>
      </c>
    </row>
    <row r="1045" spans="19:23" x14ac:dyDescent="0.2">
      <c r="S1045" s="87" t="s">
        <v>11093</v>
      </c>
      <c r="T1045" s="87" t="s">
        <v>11085</v>
      </c>
      <c r="U1045" s="90">
        <v>14012.751921880748</v>
      </c>
      <c r="V1045" s="89" t="s">
        <v>9344</v>
      </c>
      <c r="W1045" s="90">
        <f t="shared" si="56"/>
        <v>8407.6511531284486</v>
      </c>
    </row>
    <row r="1046" spans="19:23" x14ac:dyDescent="0.2">
      <c r="S1046" s="87" t="s">
        <v>11094</v>
      </c>
      <c r="T1046" s="87" t="s">
        <v>11087</v>
      </c>
      <c r="U1046" s="90">
        <v>16855.843304990201</v>
      </c>
      <c r="V1046" s="89" t="s">
        <v>9344</v>
      </c>
      <c r="W1046" s="90">
        <f t="shared" si="56"/>
        <v>10113.50598299412</v>
      </c>
    </row>
    <row r="1047" spans="19:23" x14ac:dyDescent="0.2">
      <c r="S1047" s="87" t="s">
        <v>11095</v>
      </c>
      <c r="T1047" s="87" t="s">
        <v>11089</v>
      </c>
      <c r="U1047" s="90">
        <v>30868.595226870963</v>
      </c>
      <c r="V1047" s="89" t="s">
        <v>9344</v>
      </c>
      <c r="W1047" s="90">
        <f t="shared" si="56"/>
        <v>18521.157136122576</v>
      </c>
    </row>
    <row r="1048" spans="19:23" x14ac:dyDescent="0.2">
      <c r="S1048" s="87" t="s">
        <v>11096</v>
      </c>
      <c r="T1048" s="87" t="s">
        <v>11085</v>
      </c>
      <c r="U1048" s="90">
        <v>8732.7250675346186</v>
      </c>
      <c r="V1048" s="89" t="s">
        <v>9344</v>
      </c>
      <c r="W1048" s="90">
        <f t="shared" si="56"/>
        <v>5239.6350405207713</v>
      </c>
    </row>
    <row r="1049" spans="19:23" x14ac:dyDescent="0.2">
      <c r="S1049" s="87" t="s">
        <v>11097</v>
      </c>
      <c r="T1049" s="87" t="s">
        <v>11087</v>
      </c>
      <c r="U1049" s="90">
        <v>10763.318145763582</v>
      </c>
      <c r="V1049" s="89" t="s">
        <v>9344</v>
      </c>
      <c r="W1049" s="90">
        <f t="shared" ref="W1049:W1112" si="57">+IF(V1049="Nacional",(1-$AA$1)*U1049,(1-$AA$2)*U1049)</f>
        <v>6457.9908874581488</v>
      </c>
    </row>
    <row r="1050" spans="19:23" x14ac:dyDescent="0.2">
      <c r="S1050" s="87" t="s">
        <v>11098</v>
      </c>
      <c r="T1050" s="87" t="s">
        <v>11089</v>
      </c>
      <c r="U1050" s="90">
        <v>18480.466952481318</v>
      </c>
      <c r="V1050" s="89" t="s">
        <v>9344</v>
      </c>
      <c r="W1050" s="90">
        <f t="shared" si="57"/>
        <v>11088.28017148879</v>
      </c>
    </row>
    <row r="1051" spans="19:23" x14ac:dyDescent="0.2">
      <c r="S1051" s="87" t="s">
        <v>11099</v>
      </c>
      <c r="T1051" s="87" t="s">
        <v>11085</v>
      </c>
      <c r="U1051" s="90">
        <v>13606.409528873035</v>
      </c>
      <c r="V1051" s="89" t="s">
        <v>9344</v>
      </c>
      <c r="W1051" s="90">
        <f t="shared" si="57"/>
        <v>8163.8457173238203</v>
      </c>
    </row>
    <row r="1052" spans="19:23" x14ac:dyDescent="0.2">
      <c r="S1052" s="87" t="s">
        <v>11100</v>
      </c>
      <c r="T1052" s="87" t="s">
        <v>11087</v>
      </c>
      <c r="U1052" s="90">
        <v>18480.466952481318</v>
      </c>
      <c r="V1052" s="89" t="s">
        <v>9344</v>
      </c>
      <c r="W1052" s="90">
        <f t="shared" si="57"/>
        <v>11088.28017148879</v>
      </c>
    </row>
    <row r="1053" spans="19:23" x14ac:dyDescent="0.2">
      <c r="S1053" s="87" t="s">
        <v>11101</v>
      </c>
      <c r="T1053" s="87" t="s">
        <v>11089</v>
      </c>
      <c r="U1053" s="90">
        <v>28228.581799697899</v>
      </c>
      <c r="V1053" s="89" t="s">
        <v>9344</v>
      </c>
      <c r="W1053" s="90">
        <f t="shared" si="57"/>
        <v>16937.149079818737</v>
      </c>
    </row>
    <row r="1054" spans="19:23" x14ac:dyDescent="0.2">
      <c r="S1054" s="87" t="s">
        <v>11102</v>
      </c>
      <c r="T1054" s="87" t="s">
        <v>11085</v>
      </c>
      <c r="U1054" s="90">
        <v>10763.318145763582</v>
      </c>
      <c r="V1054" s="89" t="s">
        <v>9344</v>
      </c>
      <c r="W1054" s="90">
        <f t="shared" si="57"/>
        <v>6457.9908874581488</v>
      </c>
    </row>
    <row r="1055" spans="19:23" x14ac:dyDescent="0.2">
      <c r="S1055" s="87" t="s">
        <v>11103</v>
      </c>
      <c r="T1055" s="87" t="s">
        <v>11087</v>
      </c>
      <c r="U1055" s="90">
        <v>13606.409528873035</v>
      </c>
      <c r="V1055" s="89" t="s">
        <v>9344</v>
      </c>
      <c r="W1055" s="90">
        <f t="shared" si="57"/>
        <v>8163.8457173238203</v>
      </c>
    </row>
    <row r="1056" spans="19:23" x14ac:dyDescent="0.2">
      <c r="S1056" s="87" t="s">
        <v>11104</v>
      </c>
      <c r="T1056" s="87" t="s">
        <v>11089</v>
      </c>
      <c r="U1056" s="90">
        <v>27314.637757416665</v>
      </c>
      <c r="V1056" s="89" t="s">
        <v>9344</v>
      </c>
      <c r="W1056" s="90">
        <f t="shared" si="57"/>
        <v>16388.782654449999</v>
      </c>
    </row>
    <row r="1057" spans="19:23" x14ac:dyDescent="0.2">
      <c r="S1057" s="87" t="s">
        <v>11105</v>
      </c>
      <c r="T1057" s="87" t="s">
        <v>11085</v>
      </c>
      <c r="U1057" s="90">
        <v>11677.448669179726</v>
      </c>
      <c r="V1057" s="89" t="s">
        <v>9344</v>
      </c>
      <c r="W1057" s="90">
        <f t="shared" si="57"/>
        <v>7006.4692015078354</v>
      </c>
    </row>
    <row r="1058" spans="19:23" x14ac:dyDescent="0.2">
      <c r="S1058" s="87" t="s">
        <v>11106</v>
      </c>
      <c r="T1058" s="87" t="s">
        <v>11087</v>
      </c>
      <c r="U1058" s="90">
        <v>15637.37556937187</v>
      </c>
      <c r="V1058" s="89" t="s">
        <v>9344</v>
      </c>
      <c r="W1058" s="90">
        <f t="shared" si="57"/>
        <v>9382.4253416231222</v>
      </c>
    </row>
    <row r="1059" spans="19:23" x14ac:dyDescent="0.2">
      <c r="S1059" s="87" t="s">
        <v>11107</v>
      </c>
      <c r="T1059" s="87" t="s">
        <v>11089</v>
      </c>
      <c r="U1059" s="90">
        <v>29243.97157937985</v>
      </c>
      <c r="V1059" s="89" t="s">
        <v>9344</v>
      </c>
      <c r="W1059" s="90">
        <f t="shared" si="57"/>
        <v>17546.38294762791</v>
      </c>
    </row>
    <row r="1060" spans="19:23" x14ac:dyDescent="0.2">
      <c r="S1060" s="87" t="s">
        <v>11108</v>
      </c>
      <c r="T1060" s="87" t="s">
        <v>11109</v>
      </c>
      <c r="U1060" s="90">
        <v>28008.507277041095</v>
      </c>
      <c r="V1060" s="89" t="s">
        <v>9344</v>
      </c>
      <c r="W1060" s="90">
        <f t="shared" si="57"/>
        <v>16805.104366224656</v>
      </c>
    </row>
    <row r="1061" spans="19:23" x14ac:dyDescent="0.2">
      <c r="S1061" s="87" t="s">
        <v>11110</v>
      </c>
      <c r="T1061" s="87" t="s">
        <v>11111</v>
      </c>
      <c r="U1061" s="90">
        <v>28008.507277041095</v>
      </c>
      <c r="V1061" s="89" t="s">
        <v>9344</v>
      </c>
      <c r="W1061" s="90">
        <f t="shared" si="57"/>
        <v>16805.104366224656</v>
      </c>
    </row>
    <row r="1062" spans="19:23" x14ac:dyDescent="0.2">
      <c r="S1062" s="87" t="s">
        <v>11112</v>
      </c>
      <c r="T1062" s="87" t="s">
        <v>11113</v>
      </c>
      <c r="U1062" s="90">
        <v>10775.466059696024</v>
      </c>
      <c r="V1062" s="89" t="s">
        <v>9344</v>
      </c>
      <c r="W1062" s="90">
        <f t="shared" si="57"/>
        <v>6465.2796358176138</v>
      </c>
    </row>
    <row r="1063" spans="19:23" x14ac:dyDescent="0.2">
      <c r="S1063" s="87" t="s">
        <v>11114</v>
      </c>
      <c r="T1063" s="87" t="s">
        <v>11115</v>
      </c>
      <c r="U1063" s="90">
        <v>14367.345799945984</v>
      </c>
      <c r="V1063" s="89" t="s">
        <v>9344</v>
      </c>
      <c r="W1063" s="90">
        <f t="shared" si="57"/>
        <v>8620.4074799675909</v>
      </c>
    </row>
    <row r="1064" spans="19:23" x14ac:dyDescent="0.2">
      <c r="S1064" s="87" t="s">
        <v>11116</v>
      </c>
      <c r="T1064" s="87" t="s">
        <v>11117</v>
      </c>
      <c r="U1064" s="90">
        <v>17959.225540195941</v>
      </c>
      <c r="V1064" s="89" t="s">
        <v>9344</v>
      </c>
      <c r="W1064" s="90">
        <f t="shared" si="57"/>
        <v>10775.535324117564</v>
      </c>
    </row>
    <row r="1065" spans="19:23" x14ac:dyDescent="0.2">
      <c r="S1065" s="87" t="s">
        <v>11118</v>
      </c>
      <c r="T1065" s="87" t="s">
        <v>11119</v>
      </c>
      <c r="U1065" s="90">
        <v>28829.237535300377</v>
      </c>
      <c r="V1065" s="89" t="s">
        <v>9344</v>
      </c>
      <c r="W1065" s="90">
        <f t="shared" si="57"/>
        <v>17297.542521180225</v>
      </c>
    </row>
    <row r="1066" spans="19:23" x14ac:dyDescent="0.2">
      <c r="S1066" s="480" t="s">
        <v>11120</v>
      </c>
      <c r="T1066" s="480" t="s">
        <v>11121</v>
      </c>
      <c r="U1066" s="504">
        <v>23870.247228239659</v>
      </c>
      <c r="V1066" s="89" t="s">
        <v>9337</v>
      </c>
      <c r="W1066" s="90">
        <f t="shared" si="57"/>
        <v>16947.875532050159</v>
      </c>
    </row>
    <row r="1067" spans="19:23" x14ac:dyDescent="0.2">
      <c r="S1067" s="480" t="s">
        <v>11122</v>
      </c>
      <c r="T1067" s="480" t="s">
        <v>11123</v>
      </c>
      <c r="U1067" s="504">
        <v>24147.071171553944</v>
      </c>
      <c r="V1067" s="89" t="s">
        <v>9337</v>
      </c>
      <c r="W1067" s="90">
        <f t="shared" si="57"/>
        <v>17144.420531803298</v>
      </c>
    </row>
    <row r="1068" spans="19:23" x14ac:dyDescent="0.2">
      <c r="S1068" s="480" t="s">
        <v>11124</v>
      </c>
      <c r="T1068" s="480" t="s">
        <v>11125</v>
      </c>
      <c r="U1068" s="504">
        <v>23747.957198075317</v>
      </c>
      <c r="V1068" s="89" t="s">
        <v>9337</v>
      </c>
      <c r="W1068" s="90">
        <f t="shared" si="57"/>
        <v>16861.049610633476</v>
      </c>
    </row>
    <row r="1069" spans="19:23" x14ac:dyDescent="0.2">
      <c r="S1069" s="480" t="s">
        <v>11126</v>
      </c>
      <c r="T1069" s="480" t="s">
        <v>11127</v>
      </c>
      <c r="U1069" s="504">
        <v>24932.600837846749</v>
      </c>
      <c r="V1069" s="89" t="s">
        <v>9337</v>
      </c>
      <c r="W1069" s="90">
        <f t="shared" si="57"/>
        <v>17702.146594871192</v>
      </c>
    </row>
    <row r="1070" spans="19:23" x14ac:dyDescent="0.2">
      <c r="S1070" s="480" t="s">
        <v>11128</v>
      </c>
      <c r="T1070" s="480" t="s">
        <v>11129</v>
      </c>
      <c r="U1070" s="504">
        <v>31686.290866646748</v>
      </c>
      <c r="V1070" s="89" t="s">
        <v>9337</v>
      </c>
      <c r="W1070" s="90">
        <f t="shared" si="57"/>
        <v>22497.266515319192</v>
      </c>
    </row>
    <row r="1071" spans="19:23" x14ac:dyDescent="0.2">
      <c r="S1071" s="480" t="s">
        <v>11130</v>
      </c>
      <c r="T1071" s="480" t="s">
        <v>11131</v>
      </c>
      <c r="U1071" s="504">
        <v>33882.054992565376</v>
      </c>
      <c r="V1071" s="89" t="s">
        <v>9337</v>
      </c>
      <c r="W1071" s="90">
        <f t="shared" si="57"/>
        <v>24056.259044721417</v>
      </c>
    </row>
    <row r="1072" spans="19:23" x14ac:dyDescent="0.2">
      <c r="S1072" s="87" t="s">
        <v>11132</v>
      </c>
      <c r="T1072" s="87" t="s">
        <v>11085</v>
      </c>
      <c r="U1072" s="90">
        <v>7260.2966663067218</v>
      </c>
      <c r="V1072" s="89" t="s">
        <v>9344</v>
      </c>
      <c r="W1072" s="90">
        <f t="shared" si="57"/>
        <v>4356.1779997840331</v>
      </c>
    </row>
    <row r="1073" spans="19:23" x14ac:dyDescent="0.2">
      <c r="S1073" s="87" t="s">
        <v>11133</v>
      </c>
      <c r="T1073" s="87" t="s">
        <v>11087</v>
      </c>
      <c r="U1073" s="90">
        <v>9051.8209295582419</v>
      </c>
      <c r="V1073" s="89" t="s">
        <v>9344</v>
      </c>
      <c r="W1073" s="90">
        <f t="shared" si="57"/>
        <v>5431.0925577349453</v>
      </c>
    </row>
    <row r="1074" spans="19:23" x14ac:dyDescent="0.2">
      <c r="S1074" s="87" t="s">
        <v>11134</v>
      </c>
      <c r="T1074" s="87" t="s">
        <v>11089</v>
      </c>
      <c r="U1074" s="90">
        <v>10843.345192809747</v>
      </c>
      <c r="V1074" s="89" t="s">
        <v>9344</v>
      </c>
      <c r="W1074" s="90">
        <f t="shared" si="57"/>
        <v>6506.0071156858485</v>
      </c>
    </row>
    <row r="1075" spans="19:23" x14ac:dyDescent="0.2">
      <c r="S1075" s="87" t="s">
        <v>11135</v>
      </c>
      <c r="T1075" s="87" t="s">
        <v>11136</v>
      </c>
      <c r="U1075" s="90">
        <v>0</v>
      </c>
      <c r="V1075" s="89" t="s">
        <v>9344</v>
      </c>
      <c r="W1075" s="90">
        <f t="shared" si="57"/>
        <v>0</v>
      </c>
    </row>
    <row r="1076" spans="19:23" x14ac:dyDescent="0.2">
      <c r="S1076" s="87" t="s">
        <v>11137</v>
      </c>
      <c r="T1076" s="87" t="s">
        <v>11138</v>
      </c>
      <c r="U1076" s="90">
        <v>0</v>
      </c>
      <c r="V1076" s="89" t="s">
        <v>9344</v>
      </c>
      <c r="W1076" s="90">
        <f t="shared" si="57"/>
        <v>0</v>
      </c>
    </row>
    <row r="1077" spans="19:23" x14ac:dyDescent="0.2">
      <c r="S1077" s="87" t="s">
        <v>11139</v>
      </c>
      <c r="T1077" s="87" t="s">
        <v>11140</v>
      </c>
      <c r="U1077" s="90">
        <v>0</v>
      </c>
      <c r="V1077" s="89" t="s">
        <v>9344</v>
      </c>
      <c r="W1077" s="90">
        <f t="shared" si="57"/>
        <v>0</v>
      </c>
    </row>
    <row r="1078" spans="19:23" x14ac:dyDescent="0.2">
      <c r="S1078" s="87" t="s">
        <v>11141</v>
      </c>
      <c r="T1078" s="87" t="s">
        <v>11142</v>
      </c>
      <c r="U1078" s="90">
        <v>932.2265104152001</v>
      </c>
      <c r="V1078" s="89" t="s">
        <v>9344</v>
      </c>
      <c r="W1078" s="90">
        <f t="shared" si="57"/>
        <v>559.33590624912006</v>
      </c>
    </row>
    <row r="1079" spans="19:23" x14ac:dyDescent="0.2">
      <c r="S1079" s="87" t="s">
        <v>11143</v>
      </c>
      <c r="T1079" s="87" t="s">
        <v>11144</v>
      </c>
      <c r="U1079" s="90">
        <v>656.88242793263998</v>
      </c>
      <c r="V1079" s="89" t="s">
        <v>9344</v>
      </c>
      <c r="W1079" s="90">
        <f t="shared" si="57"/>
        <v>394.129456759584</v>
      </c>
    </row>
    <row r="1080" spans="19:23" x14ac:dyDescent="0.2">
      <c r="S1080" s="87" t="s">
        <v>11145</v>
      </c>
      <c r="T1080" s="87" t="s">
        <v>11146</v>
      </c>
      <c r="U1080" s="90">
        <v>657.92015688672018</v>
      </c>
      <c r="V1080" s="89" t="s">
        <v>9344</v>
      </c>
      <c r="W1080" s="90">
        <f t="shared" si="57"/>
        <v>394.75209413203208</v>
      </c>
    </row>
    <row r="1081" spans="19:23" x14ac:dyDescent="0.2">
      <c r="S1081" s="87" t="s">
        <v>11147</v>
      </c>
      <c r="T1081" s="87" t="s">
        <v>11148</v>
      </c>
      <c r="U1081" s="90">
        <v>658.95788584080015</v>
      </c>
      <c r="V1081" s="89" t="s">
        <v>9344</v>
      </c>
      <c r="W1081" s="90">
        <f t="shared" si="57"/>
        <v>395.37473150448005</v>
      </c>
    </row>
    <row r="1082" spans="19:23" x14ac:dyDescent="0.2">
      <c r="S1082" s="87" t="s">
        <v>11149</v>
      </c>
      <c r="T1082" s="87" t="s">
        <v>11150</v>
      </c>
      <c r="U1082" s="90">
        <v>2284.4707202718432</v>
      </c>
      <c r="V1082" s="89" t="s">
        <v>9344</v>
      </c>
      <c r="W1082" s="90">
        <f t="shared" si="57"/>
        <v>1370.6824321631059</v>
      </c>
    </row>
    <row r="1083" spans="19:23" x14ac:dyDescent="0.2">
      <c r="S1083" s="87" t="s">
        <v>11151</v>
      </c>
      <c r="T1083" s="87" t="s">
        <v>11152</v>
      </c>
      <c r="U1083" s="90">
        <v>2475.8659428070168</v>
      </c>
      <c r="V1083" s="89" t="s">
        <v>9344</v>
      </c>
      <c r="W1083" s="90">
        <f t="shared" si="57"/>
        <v>1485.51956568421</v>
      </c>
    </row>
    <row r="1084" spans="19:23" x14ac:dyDescent="0.2">
      <c r="S1084" s="87" t="s">
        <v>11153</v>
      </c>
      <c r="T1084" s="87" t="s">
        <v>11154</v>
      </c>
      <c r="U1084" s="90">
        <v>3373.3702970625768</v>
      </c>
      <c r="V1084" s="89" t="s">
        <v>9344</v>
      </c>
      <c r="W1084" s="90">
        <f t="shared" si="57"/>
        <v>2024.0221782375461</v>
      </c>
    </row>
    <row r="1085" spans="19:23" x14ac:dyDescent="0.2">
      <c r="S1085" s="87" t="s">
        <v>11155</v>
      </c>
      <c r="T1085" s="87" t="s">
        <v>11156</v>
      </c>
      <c r="U1085" s="90">
        <v>2166.707198637996</v>
      </c>
      <c r="V1085" s="89" t="s">
        <v>9344</v>
      </c>
      <c r="W1085" s="90">
        <f t="shared" si="57"/>
        <v>1300.0243191827976</v>
      </c>
    </row>
    <row r="1086" spans="19:23" x14ac:dyDescent="0.2">
      <c r="S1086" s="87" t="s">
        <v>11157</v>
      </c>
      <c r="T1086" s="87" t="s">
        <v>11158</v>
      </c>
      <c r="U1086" s="90">
        <v>2675.88</v>
      </c>
      <c r="V1086" s="89" t="s">
        <v>9344</v>
      </c>
      <c r="W1086" s="90">
        <f t="shared" si="57"/>
        <v>1605.528</v>
      </c>
    </row>
    <row r="1087" spans="19:23" x14ac:dyDescent="0.2">
      <c r="S1087" s="87" t="s">
        <v>11159</v>
      </c>
      <c r="T1087" s="87" t="s">
        <v>11160</v>
      </c>
      <c r="U1087" s="90">
        <v>2459.8122212789458</v>
      </c>
      <c r="V1087" s="89" t="s">
        <v>9344</v>
      </c>
      <c r="W1087" s="90">
        <f t="shared" si="57"/>
        <v>1475.8873327673675</v>
      </c>
    </row>
    <row r="1088" spans="19:23" x14ac:dyDescent="0.2">
      <c r="S1088" s="87" t="s">
        <v>11161</v>
      </c>
      <c r="T1088" s="87" t="s">
        <v>11162</v>
      </c>
      <c r="U1088" s="90">
        <v>3805.0220297908681</v>
      </c>
      <c r="V1088" s="89" t="s">
        <v>9344</v>
      </c>
      <c r="W1088" s="90">
        <f t="shared" si="57"/>
        <v>2283.0132178745207</v>
      </c>
    </row>
    <row r="1089" spans="19:23" x14ac:dyDescent="0.2">
      <c r="S1089" s="87" t="s">
        <v>11163</v>
      </c>
      <c r="T1089" s="87" t="s">
        <v>11164</v>
      </c>
      <c r="U1089" s="90">
        <v>2152.3356936190776</v>
      </c>
      <c r="V1089" s="89" t="s">
        <v>9344</v>
      </c>
      <c r="W1089" s="90">
        <f t="shared" si="57"/>
        <v>1291.4014161714465</v>
      </c>
    </row>
    <row r="1090" spans="19:23" x14ac:dyDescent="0.2">
      <c r="S1090" s="87" t="s">
        <v>11165</v>
      </c>
      <c r="T1090" s="87" t="s">
        <v>11166</v>
      </c>
      <c r="U1090" s="90">
        <v>3151.6344085136493</v>
      </c>
      <c r="V1090" s="89" t="s">
        <v>9344</v>
      </c>
      <c r="W1090" s="90">
        <f t="shared" si="57"/>
        <v>1890.9806451081895</v>
      </c>
    </row>
    <row r="1091" spans="19:23" x14ac:dyDescent="0.2">
      <c r="S1091" s="87" t="s">
        <v>11167</v>
      </c>
      <c r="T1091" s="87" t="s">
        <v>11168</v>
      </c>
      <c r="U1091" s="90">
        <v>4765.8861787279575</v>
      </c>
      <c r="V1091" s="89" t="s">
        <v>9344</v>
      </c>
      <c r="W1091" s="90">
        <f t="shared" si="57"/>
        <v>2859.5317072367743</v>
      </c>
    </row>
    <row r="1092" spans="19:23" x14ac:dyDescent="0.2">
      <c r="S1092" s="87" t="s">
        <v>11169</v>
      </c>
      <c r="T1092" s="87" t="s">
        <v>11170</v>
      </c>
      <c r="U1092" s="90">
        <v>1875.61</v>
      </c>
      <c r="V1092" s="89" t="s">
        <v>9344</v>
      </c>
      <c r="W1092" s="90">
        <f t="shared" si="57"/>
        <v>1125.366</v>
      </c>
    </row>
    <row r="1093" spans="19:23" x14ac:dyDescent="0.2">
      <c r="S1093" s="87" t="s">
        <v>11171</v>
      </c>
      <c r="T1093" s="87" t="s">
        <v>11172</v>
      </c>
      <c r="U1093" s="90">
        <v>2382.9430893639787</v>
      </c>
      <c r="V1093" s="89" t="s">
        <v>9344</v>
      </c>
      <c r="W1093" s="90">
        <f t="shared" si="57"/>
        <v>1429.7658536183872</v>
      </c>
    </row>
    <row r="1094" spans="19:23" x14ac:dyDescent="0.2">
      <c r="S1094" s="87" t="s">
        <v>11173</v>
      </c>
      <c r="T1094" s="87" t="s">
        <v>11174</v>
      </c>
      <c r="U1094" s="90">
        <v>3728.1528978759015</v>
      </c>
      <c r="V1094" s="89" t="s">
        <v>9344</v>
      </c>
      <c r="W1094" s="90">
        <f t="shared" si="57"/>
        <v>2236.891738725541</v>
      </c>
    </row>
    <row r="1095" spans="19:23" x14ac:dyDescent="0.2">
      <c r="S1095" s="87" t="s">
        <v>11175</v>
      </c>
      <c r="T1095" s="87" t="s">
        <v>11176</v>
      </c>
      <c r="U1095" s="90">
        <v>6149.5305531973654</v>
      </c>
      <c r="V1095" s="89" t="s">
        <v>9344</v>
      </c>
      <c r="W1095" s="90">
        <f t="shared" si="57"/>
        <v>3689.7183319184192</v>
      </c>
    </row>
    <row r="1096" spans="19:23" x14ac:dyDescent="0.2">
      <c r="S1096" s="87" t="s">
        <v>11177</v>
      </c>
      <c r="T1096" s="87" t="s">
        <v>11178</v>
      </c>
      <c r="U1096" s="90">
        <v>0</v>
      </c>
      <c r="V1096" s="89" t="s">
        <v>9344</v>
      </c>
      <c r="W1096" s="90">
        <f t="shared" si="57"/>
        <v>0</v>
      </c>
    </row>
    <row r="1097" spans="19:23" x14ac:dyDescent="0.2">
      <c r="S1097" s="87" t="s">
        <v>11179</v>
      </c>
      <c r="T1097" s="87" t="s">
        <v>11180</v>
      </c>
      <c r="U1097" s="90">
        <v>0</v>
      </c>
      <c r="V1097" s="89" t="s">
        <v>9344</v>
      </c>
      <c r="W1097" s="90">
        <f t="shared" si="57"/>
        <v>0</v>
      </c>
    </row>
    <row r="1098" spans="19:23" x14ac:dyDescent="0.2">
      <c r="S1098" s="87" t="s">
        <v>11181</v>
      </c>
      <c r="T1098" s="87" t="s">
        <v>11182</v>
      </c>
      <c r="U1098" s="90">
        <v>0</v>
      </c>
      <c r="V1098" s="89" t="s">
        <v>9344</v>
      </c>
      <c r="W1098" s="90">
        <f t="shared" si="57"/>
        <v>0</v>
      </c>
    </row>
    <row r="1099" spans="19:23" x14ac:dyDescent="0.2">
      <c r="S1099" s="87" t="s">
        <v>11183</v>
      </c>
      <c r="T1099" s="87" t="s">
        <v>11184</v>
      </c>
      <c r="U1099" s="90">
        <v>0</v>
      </c>
      <c r="V1099" s="89" t="s">
        <v>9344</v>
      </c>
      <c r="W1099" s="90">
        <f t="shared" si="57"/>
        <v>0</v>
      </c>
    </row>
    <row r="1100" spans="19:23" x14ac:dyDescent="0.2">
      <c r="S1100" s="87" t="s">
        <v>11185</v>
      </c>
      <c r="T1100" s="87" t="s">
        <v>11186</v>
      </c>
      <c r="U1100" s="90">
        <v>12592.812540413952</v>
      </c>
      <c r="V1100" s="89" t="s">
        <v>9344</v>
      </c>
      <c r="W1100" s="90">
        <f t="shared" si="57"/>
        <v>7555.6875242483711</v>
      </c>
    </row>
    <row r="1101" spans="19:23" x14ac:dyDescent="0.2">
      <c r="S1101" s="87" t="s">
        <v>11187</v>
      </c>
      <c r="T1101" s="87" t="s">
        <v>11188</v>
      </c>
      <c r="U1101" s="90">
        <v>21356.486798743823</v>
      </c>
      <c r="V1101" s="89" t="s">
        <v>9344</v>
      </c>
      <c r="W1101" s="90">
        <f t="shared" si="57"/>
        <v>12813.892079246294</v>
      </c>
    </row>
    <row r="1102" spans="19:23" x14ac:dyDescent="0.2">
      <c r="S1102" s="87" t="s">
        <v>11189</v>
      </c>
      <c r="T1102" s="87" t="s">
        <v>11190</v>
      </c>
      <c r="U1102" s="90">
        <v>21356.486798743823</v>
      </c>
      <c r="V1102" s="89" t="s">
        <v>9344</v>
      </c>
      <c r="W1102" s="90">
        <f t="shared" si="57"/>
        <v>12813.892079246294</v>
      </c>
    </row>
    <row r="1103" spans="19:23" x14ac:dyDescent="0.2">
      <c r="S1103" s="87" t="s">
        <v>11191</v>
      </c>
      <c r="T1103" s="87" t="s">
        <v>11192</v>
      </c>
      <c r="U1103" s="90">
        <v>21356.486798743823</v>
      </c>
      <c r="V1103" s="89" t="s">
        <v>9344</v>
      </c>
      <c r="W1103" s="90">
        <f t="shared" si="57"/>
        <v>12813.892079246294</v>
      </c>
    </row>
    <row r="1104" spans="19:23" x14ac:dyDescent="0.2">
      <c r="S1104" s="87" t="s">
        <v>11193</v>
      </c>
      <c r="T1104" s="87" t="s">
        <v>11194</v>
      </c>
      <c r="U1104" s="90">
        <v>21356.486798743823</v>
      </c>
      <c r="V1104" s="89" t="s">
        <v>9344</v>
      </c>
      <c r="W1104" s="90">
        <f t="shared" si="57"/>
        <v>12813.892079246294</v>
      </c>
    </row>
    <row r="1105" spans="19:23" x14ac:dyDescent="0.2">
      <c r="S1105" s="87" t="s">
        <v>11195</v>
      </c>
      <c r="T1105" s="87" t="s">
        <v>11196</v>
      </c>
      <c r="U1105" s="90">
        <v>21356.486798743823</v>
      </c>
      <c r="V1105" s="89" t="s">
        <v>9344</v>
      </c>
      <c r="W1105" s="90">
        <f t="shared" si="57"/>
        <v>12813.892079246294</v>
      </c>
    </row>
    <row r="1106" spans="19:23" x14ac:dyDescent="0.2">
      <c r="S1106" s="87" t="s">
        <v>11197</v>
      </c>
      <c r="T1106" s="87" t="s">
        <v>11198</v>
      </c>
      <c r="U1106" s="90">
        <v>21356.486798743823</v>
      </c>
      <c r="V1106" s="89" t="s">
        <v>9344</v>
      </c>
      <c r="W1106" s="90">
        <f t="shared" si="57"/>
        <v>12813.892079246294</v>
      </c>
    </row>
    <row r="1107" spans="19:23" x14ac:dyDescent="0.2">
      <c r="S1107" s="87" t="s">
        <v>11199</v>
      </c>
      <c r="T1107" s="87" t="s">
        <v>11200</v>
      </c>
      <c r="U1107" s="90">
        <v>21356.486798743823</v>
      </c>
      <c r="V1107" s="89" t="s">
        <v>9344</v>
      </c>
      <c r="W1107" s="90">
        <f t="shared" si="57"/>
        <v>12813.892079246294</v>
      </c>
    </row>
    <row r="1108" spans="19:23" x14ac:dyDescent="0.2">
      <c r="S1108" s="87" t="s">
        <v>11201</v>
      </c>
      <c r="T1108" s="87" t="s">
        <v>11202</v>
      </c>
      <c r="U1108" s="90">
        <v>21356.486798743823</v>
      </c>
      <c r="V1108" s="89" t="s">
        <v>9344</v>
      </c>
      <c r="W1108" s="90">
        <f t="shared" si="57"/>
        <v>12813.892079246294</v>
      </c>
    </row>
    <row r="1109" spans="19:23" x14ac:dyDescent="0.2">
      <c r="S1109" s="87" t="s">
        <v>11203</v>
      </c>
      <c r="T1109" s="87" t="s">
        <v>11204</v>
      </c>
      <c r="U1109" s="90">
        <v>1261.9000000000001</v>
      </c>
      <c r="V1109" s="89" t="s">
        <v>9344</v>
      </c>
      <c r="W1109" s="90">
        <f t="shared" si="57"/>
        <v>757.14</v>
      </c>
    </row>
    <row r="1110" spans="19:23" x14ac:dyDescent="0.2">
      <c r="S1110" s="87" t="s">
        <v>11205</v>
      </c>
      <c r="T1110" s="87" t="s">
        <v>11206</v>
      </c>
      <c r="U1110" s="90">
        <v>5570.8884000000007</v>
      </c>
      <c r="V1110" s="89" t="s">
        <v>9344</v>
      </c>
      <c r="W1110" s="90">
        <f t="shared" si="57"/>
        <v>3342.5330400000003</v>
      </c>
    </row>
    <row r="1111" spans="19:23" x14ac:dyDescent="0.2">
      <c r="S1111" s="87" t="s">
        <v>11207</v>
      </c>
      <c r="T1111" s="87" t="s">
        <v>11208</v>
      </c>
      <c r="U1111" s="90">
        <v>1203.1642105263159</v>
      </c>
      <c r="V1111" s="89" t="s">
        <v>9344</v>
      </c>
      <c r="W1111" s="90">
        <f t="shared" si="57"/>
        <v>721.89852631578947</v>
      </c>
    </row>
    <row r="1112" spans="19:23" x14ac:dyDescent="0.2">
      <c r="S1112" s="87" t="s">
        <v>11209</v>
      </c>
      <c r="T1112" s="87" t="s">
        <v>11210</v>
      </c>
      <c r="U1112" s="90">
        <v>1619.9216842105263</v>
      </c>
      <c r="V1112" s="89" t="s">
        <v>9344</v>
      </c>
      <c r="W1112" s="90">
        <f t="shared" si="57"/>
        <v>971.95301052631578</v>
      </c>
    </row>
    <row r="1113" spans="19:23" x14ac:dyDescent="0.2">
      <c r="S1113" s="87" t="s">
        <v>11211</v>
      </c>
      <c r="T1113" s="87" t="s">
        <v>11212</v>
      </c>
      <c r="U1113" s="90">
        <v>1424.9867368421053</v>
      </c>
      <c r="V1113" s="89" t="s">
        <v>9344</v>
      </c>
      <c r="W1113" s="90">
        <f t="shared" ref="W1113:W1176" si="58">+IF(V1113="Nacional",(1-$AA$1)*U1113,(1-$AA$2)*U1113)</f>
        <v>854.99204210526318</v>
      </c>
    </row>
    <row r="1114" spans="19:23" x14ac:dyDescent="0.2">
      <c r="S1114" s="87" t="s">
        <v>11213</v>
      </c>
      <c r="T1114" s="87" t="s">
        <v>11214</v>
      </c>
      <c r="U1114" s="90">
        <v>1593.0341052631582</v>
      </c>
      <c r="V1114" s="89" t="s">
        <v>9344</v>
      </c>
      <c r="W1114" s="90">
        <f t="shared" si="58"/>
        <v>955.82046315789489</v>
      </c>
    </row>
    <row r="1115" spans="19:23" x14ac:dyDescent="0.2">
      <c r="S1115" s="87" t="s">
        <v>11215</v>
      </c>
      <c r="T1115" s="87" t="s">
        <v>11216</v>
      </c>
      <c r="U1115" s="90">
        <v>1932.7572000000002</v>
      </c>
      <c r="V1115" s="89" t="s">
        <v>9344</v>
      </c>
      <c r="W1115" s="90">
        <f t="shared" si="58"/>
        <v>1159.6543200000001</v>
      </c>
    </row>
    <row r="1116" spans="19:23" x14ac:dyDescent="0.2">
      <c r="S1116" s="87" t="s">
        <v>11217</v>
      </c>
      <c r="T1116" s="87" t="s">
        <v>11218</v>
      </c>
      <c r="U1116" s="90">
        <v>2999.0883599999997</v>
      </c>
      <c r="V1116" s="89" t="s">
        <v>9344</v>
      </c>
      <c r="W1116" s="90">
        <f t="shared" si="58"/>
        <v>1799.4530159999997</v>
      </c>
    </row>
    <row r="1117" spans="19:23" x14ac:dyDescent="0.2">
      <c r="S1117" s="87" t="s">
        <v>11219</v>
      </c>
      <c r="T1117" s="87" t="s">
        <v>11220</v>
      </c>
      <c r="U1117" s="90">
        <v>1932.7572000000002</v>
      </c>
      <c r="V1117" s="89" t="s">
        <v>9344</v>
      </c>
      <c r="W1117" s="90">
        <f t="shared" si="58"/>
        <v>1159.6543200000001</v>
      </c>
    </row>
    <row r="1118" spans="19:23" x14ac:dyDescent="0.2">
      <c r="S1118" s="87" t="s">
        <v>11221</v>
      </c>
      <c r="T1118" s="87" t="s">
        <v>11222</v>
      </c>
      <c r="U1118" s="90">
        <v>3297.0563999999995</v>
      </c>
      <c r="V1118" s="89" t="s">
        <v>9344</v>
      </c>
      <c r="W1118" s="90">
        <f t="shared" si="58"/>
        <v>1978.2338399999996</v>
      </c>
    </row>
    <row r="1119" spans="19:23" x14ac:dyDescent="0.2">
      <c r="S1119" s="87" t="s">
        <v>11223</v>
      </c>
      <c r="T1119" s="87" t="s">
        <v>11224</v>
      </c>
      <c r="U1119" s="90">
        <v>32897.439630000008</v>
      </c>
      <c r="V1119" s="89" t="s">
        <v>9344</v>
      </c>
      <c r="W1119" s="90">
        <f t="shared" si="58"/>
        <v>19738.463778000005</v>
      </c>
    </row>
    <row r="1120" spans="19:23" x14ac:dyDescent="0.2">
      <c r="S1120" s="87" t="s">
        <v>6456</v>
      </c>
      <c r="T1120" s="87" t="s">
        <v>6457</v>
      </c>
      <c r="U1120" s="90">
        <v>192787.29989051621</v>
      </c>
      <c r="V1120" s="89" t="s">
        <v>9344</v>
      </c>
      <c r="W1120" s="90">
        <f t="shared" si="58"/>
        <v>115672.37993430972</v>
      </c>
    </row>
    <row r="1121" spans="19:25" x14ac:dyDescent="0.2">
      <c r="S1121" s="87" t="s">
        <v>6450</v>
      </c>
      <c r="T1121" s="87" t="s">
        <v>6451</v>
      </c>
      <c r="U1121" s="90">
        <v>150308.74228752111</v>
      </c>
      <c r="V1121" s="89" t="s">
        <v>9344</v>
      </c>
      <c r="W1121" s="90">
        <f t="shared" si="58"/>
        <v>90185.245372512654</v>
      </c>
      <c r="X1121" s="1"/>
      <c r="Y1121" s="1"/>
    </row>
    <row r="1122" spans="19:25" x14ac:dyDescent="0.2">
      <c r="S1122" s="87" t="s">
        <v>11225</v>
      </c>
      <c r="T1122" s="87" t="s">
        <v>11226</v>
      </c>
      <c r="U1122" s="90">
        <v>186252.13718236313</v>
      </c>
      <c r="V1122" s="89" t="s">
        <v>9344</v>
      </c>
      <c r="W1122" s="90">
        <f t="shared" si="58"/>
        <v>111751.28230941787</v>
      </c>
    </row>
    <row r="1123" spans="19:25" x14ac:dyDescent="0.2">
      <c r="S1123" s="87" t="s">
        <v>6453</v>
      </c>
      <c r="T1123" s="87" t="s">
        <v>6454</v>
      </c>
      <c r="U1123" s="90">
        <v>133970.83551713836</v>
      </c>
      <c r="V1123" s="89" t="s">
        <v>9344</v>
      </c>
      <c r="W1123" s="90">
        <f t="shared" si="58"/>
        <v>80382.501310283013</v>
      </c>
    </row>
    <row r="1124" spans="19:25" x14ac:dyDescent="0.2">
      <c r="S1124" s="87" t="s">
        <v>11227</v>
      </c>
      <c r="T1124" s="87" t="s">
        <v>11228</v>
      </c>
      <c r="U1124" s="90">
        <v>137238.41687121493</v>
      </c>
      <c r="V1124" s="89" t="s">
        <v>9344</v>
      </c>
      <c r="W1124" s="90">
        <f t="shared" si="58"/>
        <v>82343.05012272895</v>
      </c>
    </row>
    <row r="1125" spans="19:25" x14ac:dyDescent="0.2">
      <c r="S1125" s="87" t="s">
        <v>11229</v>
      </c>
      <c r="T1125" s="87" t="s">
        <v>11230</v>
      </c>
      <c r="U1125" s="90">
        <v>137238.41687121493</v>
      </c>
      <c r="V1125" s="89" t="s">
        <v>9344</v>
      </c>
      <c r="W1125" s="90">
        <f t="shared" si="58"/>
        <v>82343.05012272895</v>
      </c>
    </row>
    <row r="1126" spans="19:25" x14ac:dyDescent="0.2">
      <c r="S1126" s="87" t="s">
        <v>11231</v>
      </c>
      <c r="T1126" s="87" t="s">
        <v>11232</v>
      </c>
      <c r="U1126" s="90">
        <v>98027.440622296373</v>
      </c>
      <c r="V1126" s="89" t="s">
        <v>9344</v>
      </c>
      <c r="W1126" s="90">
        <f t="shared" si="58"/>
        <v>58816.464373377821</v>
      </c>
    </row>
    <row r="1127" spans="19:25" x14ac:dyDescent="0.2">
      <c r="S1127" s="87" t="s">
        <v>11233</v>
      </c>
      <c r="T1127" s="87" t="s">
        <v>11234</v>
      </c>
      <c r="U1127" s="90">
        <v>98027.440622296373</v>
      </c>
      <c r="V1127" s="89" t="s">
        <v>9344</v>
      </c>
      <c r="W1127" s="90">
        <f t="shared" si="58"/>
        <v>58816.464373377821</v>
      </c>
    </row>
    <row r="1128" spans="19:25" x14ac:dyDescent="0.2">
      <c r="S1128" s="87" t="s">
        <v>11235</v>
      </c>
      <c r="T1128" s="87" t="s">
        <v>11236</v>
      </c>
      <c r="U1128" s="90">
        <v>192787.29989051621</v>
      </c>
      <c r="V1128" s="89" t="s">
        <v>9344</v>
      </c>
      <c r="W1128" s="90">
        <f t="shared" si="58"/>
        <v>115672.37993430972</v>
      </c>
    </row>
    <row r="1129" spans="19:25" x14ac:dyDescent="0.2">
      <c r="S1129" s="87" t="s">
        <v>11237</v>
      </c>
      <c r="T1129" s="87" t="s">
        <v>11238</v>
      </c>
      <c r="U1129" s="90">
        <v>150308.74228752111</v>
      </c>
      <c r="V1129" s="89" t="s">
        <v>9344</v>
      </c>
      <c r="W1129" s="90">
        <f t="shared" si="58"/>
        <v>90185.245372512654</v>
      </c>
    </row>
    <row r="1130" spans="19:25" x14ac:dyDescent="0.2">
      <c r="S1130" s="87" t="s">
        <v>11239</v>
      </c>
      <c r="T1130" s="87" t="s">
        <v>11240</v>
      </c>
      <c r="U1130" s="90">
        <v>117632.92874675566</v>
      </c>
      <c r="V1130" s="89" t="s">
        <v>9344</v>
      </c>
      <c r="W1130" s="90">
        <f t="shared" si="58"/>
        <v>70579.757248053385</v>
      </c>
      <c r="X1130" s="1"/>
    </row>
    <row r="1131" spans="19:25" x14ac:dyDescent="0.2">
      <c r="S1131" s="87" t="s">
        <v>11241</v>
      </c>
      <c r="T1131" s="87" t="s">
        <v>11242</v>
      </c>
      <c r="U1131" s="90">
        <v>117632.92874675566</v>
      </c>
      <c r="V1131" s="89" t="s">
        <v>9344</v>
      </c>
      <c r="W1131" s="90">
        <f t="shared" si="58"/>
        <v>70579.757248053385</v>
      </c>
    </row>
    <row r="1132" spans="19:25" x14ac:dyDescent="0.2">
      <c r="S1132" s="87" t="s">
        <v>11243</v>
      </c>
      <c r="T1132" s="87" t="s">
        <v>11244</v>
      </c>
      <c r="U1132" s="90">
        <v>186252.13718236313</v>
      </c>
      <c r="V1132" s="89" t="s">
        <v>9344</v>
      </c>
      <c r="W1132" s="90">
        <f t="shared" si="58"/>
        <v>111751.28230941787</v>
      </c>
    </row>
    <row r="1133" spans="19:25" x14ac:dyDescent="0.2">
      <c r="S1133" s="87" t="s">
        <v>11245</v>
      </c>
      <c r="T1133" s="87" t="s">
        <v>11246</v>
      </c>
      <c r="U1133" s="90">
        <v>53060.386499999993</v>
      </c>
      <c r="V1133" s="89" t="s">
        <v>9344</v>
      </c>
      <c r="W1133" s="90">
        <f t="shared" si="58"/>
        <v>31836.231899999995</v>
      </c>
    </row>
    <row r="1134" spans="19:25" x14ac:dyDescent="0.2">
      <c r="S1134" s="87" t="s">
        <v>11247</v>
      </c>
      <c r="T1134" s="87" t="s">
        <v>11248</v>
      </c>
      <c r="U1134" s="90">
        <v>133970.83551713836</v>
      </c>
      <c r="V1134" s="89" t="s">
        <v>9344</v>
      </c>
      <c r="W1134" s="90">
        <f t="shared" si="58"/>
        <v>80382.501310283013</v>
      </c>
    </row>
    <row r="1135" spans="19:25" x14ac:dyDescent="0.2">
      <c r="S1135" s="87" t="s">
        <v>11249</v>
      </c>
      <c r="T1135" s="87" t="s">
        <v>11250</v>
      </c>
      <c r="U1135" s="90">
        <v>88224.696560066746</v>
      </c>
      <c r="V1135" s="89" t="s">
        <v>9344</v>
      </c>
      <c r="W1135" s="90">
        <f t="shared" si="58"/>
        <v>52934.817936040046</v>
      </c>
    </row>
    <row r="1136" spans="19:25" x14ac:dyDescent="0.2">
      <c r="S1136" s="87" t="s">
        <v>11251</v>
      </c>
      <c r="T1136" s="87" t="s">
        <v>11252</v>
      </c>
      <c r="U1136" s="90">
        <v>173799.05697000003</v>
      </c>
      <c r="V1136" s="89" t="s">
        <v>9344</v>
      </c>
      <c r="W1136" s="90">
        <f t="shared" si="58"/>
        <v>104279.43418200001</v>
      </c>
    </row>
    <row r="1137" spans="19:23" x14ac:dyDescent="0.2">
      <c r="S1137" s="87" t="s">
        <v>11253</v>
      </c>
      <c r="T1137" s="87" t="s">
        <v>11254</v>
      </c>
      <c r="U1137" s="90">
        <v>1563.4399711518722</v>
      </c>
      <c r="V1137" s="89" t="s">
        <v>9344</v>
      </c>
      <c r="W1137" s="90">
        <f t="shared" si="58"/>
        <v>938.06398269112333</v>
      </c>
    </row>
    <row r="1138" spans="19:23" x14ac:dyDescent="0.2">
      <c r="S1138" s="87" t="s">
        <v>11255</v>
      </c>
      <c r="T1138" s="87" t="s">
        <v>11256</v>
      </c>
      <c r="U1138" s="90">
        <v>1737.1555235020808</v>
      </c>
      <c r="V1138" s="89" t="s">
        <v>9344</v>
      </c>
      <c r="W1138" s="90">
        <f t="shared" si="58"/>
        <v>1042.2933141012484</v>
      </c>
    </row>
    <row r="1139" spans="19:23" x14ac:dyDescent="0.2">
      <c r="S1139" s="87" t="s">
        <v>11257</v>
      </c>
      <c r="T1139" s="87" t="s">
        <v>11258</v>
      </c>
      <c r="U1139" s="90">
        <v>2432.0177329029129</v>
      </c>
      <c r="V1139" s="89" t="s">
        <v>9344</v>
      </c>
      <c r="W1139" s="90">
        <f t="shared" si="58"/>
        <v>1459.2106397417476</v>
      </c>
    </row>
    <row r="1140" spans="19:23" x14ac:dyDescent="0.2">
      <c r="S1140" s="87" t="s">
        <v>11259</v>
      </c>
      <c r="T1140" s="87" t="s">
        <v>11260</v>
      </c>
      <c r="U1140" s="90">
        <v>3040.0221661286405</v>
      </c>
      <c r="V1140" s="89" t="s">
        <v>9344</v>
      </c>
      <c r="W1140" s="90">
        <f t="shared" si="58"/>
        <v>1824.0132996771842</v>
      </c>
    </row>
    <row r="1141" spans="19:23" x14ac:dyDescent="0.2">
      <c r="S1141" s="87" t="s">
        <v>11261</v>
      </c>
      <c r="T1141" s="87" t="s">
        <v>11262</v>
      </c>
      <c r="U1141" s="90">
        <v>2432.0177329029129</v>
      </c>
      <c r="V1141" s="89" t="s">
        <v>9344</v>
      </c>
      <c r="W1141" s="90">
        <f t="shared" si="58"/>
        <v>1459.2106397417476</v>
      </c>
    </row>
    <row r="1142" spans="19:23" x14ac:dyDescent="0.2">
      <c r="S1142" s="87" t="s">
        <v>11263</v>
      </c>
      <c r="T1142" s="87" t="s">
        <v>11264</v>
      </c>
      <c r="U1142" s="90">
        <v>2866.3066137784335</v>
      </c>
      <c r="V1142" s="89" t="s">
        <v>9344</v>
      </c>
      <c r="W1142" s="90">
        <f t="shared" si="58"/>
        <v>1719.7839682670601</v>
      </c>
    </row>
    <row r="1143" spans="19:23" x14ac:dyDescent="0.2">
      <c r="S1143" s="87" t="s">
        <v>11265</v>
      </c>
      <c r="T1143" s="87" t="s">
        <v>11266</v>
      </c>
      <c r="U1143" s="90">
        <v>3517.7399350917131</v>
      </c>
      <c r="V1143" s="89" t="s">
        <v>9344</v>
      </c>
      <c r="W1143" s="90">
        <f t="shared" si="58"/>
        <v>2110.6439610550278</v>
      </c>
    </row>
    <row r="1144" spans="19:23" x14ac:dyDescent="0.2">
      <c r="S1144" s="87" t="s">
        <v>11267</v>
      </c>
      <c r="T1144" s="87" t="s">
        <v>11268</v>
      </c>
      <c r="U1144" s="90">
        <v>1259.4377545390084</v>
      </c>
      <c r="V1144" s="89" t="s">
        <v>9344</v>
      </c>
      <c r="W1144" s="90">
        <f t="shared" si="58"/>
        <v>755.66265272340502</v>
      </c>
    </row>
    <row r="1145" spans="19:23" x14ac:dyDescent="0.2">
      <c r="S1145" s="87" t="s">
        <v>11269</v>
      </c>
      <c r="T1145" s="87" t="s">
        <v>11270</v>
      </c>
      <c r="U1145" s="90">
        <v>1302.8666426265602</v>
      </c>
      <c r="V1145" s="89" t="s">
        <v>9344</v>
      </c>
      <c r="W1145" s="90">
        <f t="shared" si="58"/>
        <v>781.71998557593611</v>
      </c>
    </row>
    <row r="1146" spans="19:23" x14ac:dyDescent="0.2">
      <c r="S1146" s="87" t="s">
        <v>11271</v>
      </c>
      <c r="T1146" s="87" t="s">
        <v>11272</v>
      </c>
      <c r="U1146" s="90">
        <v>1173.7537320960002</v>
      </c>
      <c r="V1146" s="89" t="s">
        <v>9344</v>
      </c>
      <c r="W1146" s="90">
        <f t="shared" si="58"/>
        <v>704.25223925760008</v>
      </c>
    </row>
    <row r="1147" spans="19:23" x14ac:dyDescent="0.2">
      <c r="S1147" s="87" t="s">
        <v>11273</v>
      </c>
      <c r="T1147" s="87" t="s">
        <v>11274</v>
      </c>
      <c r="U1147" s="90">
        <v>1486.7547273216003</v>
      </c>
      <c r="V1147" s="89" t="s">
        <v>9344</v>
      </c>
      <c r="W1147" s="90">
        <f t="shared" si="58"/>
        <v>892.0528363929601</v>
      </c>
    </row>
    <row r="1148" spans="19:23" x14ac:dyDescent="0.2">
      <c r="S1148" s="87" t="s">
        <v>11275</v>
      </c>
      <c r="T1148" s="87" t="s">
        <v>11276</v>
      </c>
      <c r="U1148" s="90">
        <v>2171.4444043776011</v>
      </c>
      <c r="V1148" s="89" t="s">
        <v>9344</v>
      </c>
      <c r="W1148" s="90">
        <f t="shared" si="58"/>
        <v>1302.8666426265606</v>
      </c>
    </row>
    <row r="1149" spans="19:23" x14ac:dyDescent="0.2">
      <c r="S1149" s="87" t="s">
        <v>11277</v>
      </c>
      <c r="T1149" s="87" t="s">
        <v>11278</v>
      </c>
      <c r="U1149" s="90">
        <v>2909.735501865985</v>
      </c>
      <c r="V1149" s="89" t="s">
        <v>9344</v>
      </c>
      <c r="W1149" s="90">
        <f t="shared" si="58"/>
        <v>1745.841301119591</v>
      </c>
    </row>
    <row r="1150" spans="19:23" x14ac:dyDescent="0.2">
      <c r="S1150" s="480" t="s">
        <v>11279</v>
      </c>
      <c r="T1150" s="480" t="s">
        <v>11280</v>
      </c>
      <c r="U1150" s="504">
        <v>21015.338690430002</v>
      </c>
      <c r="V1150" s="89" t="s">
        <v>9337</v>
      </c>
      <c r="W1150" s="90">
        <f t="shared" si="58"/>
        <v>14920.890470205301</v>
      </c>
    </row>
    <row r="1151" spans="19:23" x14ac:dyDescent="0.2">
      <c r="S1151" s="480" t="s">
        <v>11281</v>
      </c>
      <c r="T1151" s="480" t="s">
        <v>11282</v>
      </c>
      <c r="U1151" s="504">
        <v>34934.143761089996</v>
      </c>
      <c r="V1151" s="89" t="s">
        <v>9337</v>
      </c>
      <c r="W1151" s="90">
        <f t="shared" si="58"/>
        <v>24803.242070373897</v>
      </c>
    </row>
    <row r="1152" spans="19:23" x14ac:dyDescent="0.2">
      <c r="S1152" s="87" t="s">
        <v>11283</v>
      </c>
      <c r="T1152" s="87" t="s">
        <v>11284</v>
      </c>
      <c r="U1152" s="90">
        <v>1997.7288520273926</v>
      </c>
      <c r="V1152" s="89" t="s">
        <v>9344</v>
      </c>
      <c r="W1152" s="90">
        <f t="shared" si="58"/>
        <v>1198.6373112164356</v>
      </c>
    </row>
    <row r="1153" spans="19:23" x14ac:dyDescent="0.2">
      <c r="S1153" s="87" t="s">
        <v>11285</v>
      </c>
      <c r="T1153" s="87" t="s">
        <v>11286</v>
      </c>
      <c r="U1153" s="90">
        <v>2605.7332852531204</v>
      </c>
      <c r="V1153" s="89" t="s">
        <v>9344</v>
      </c>
      <c r="W1153" s="90">
        <f t="shared" si="58"/>
        <v>1563.4399711518722</v>
      </c>
    </row>
    <row r="1154" spans="19:23" x14ac:dyDescent="0.2">
      <c r="S1154" s="87" t="s">
        <v>11287</v>
      </c>
      <c r="T1154" s="87" t="s">
        <v>11288</v>
      </c>
      <c r="U1154" s="90">
        <v>2866.3066137784335</v>
      </c>
      <c r="V1154" s="89" t="s">
        <v>9344</v>
      </c>
      <c r="W1154" s="90">
        <f t="shared" si="58"/>
        <v>1719.7839682670601</v>
      </c>
    </row>
    <row r="1155" spans="19:23" x14ac:dyDescent="0.2">
      <c r="S1155" s="87" t="s">
        <v>11289</v>
      </c>
      <c r="T1155" s="87" t="s">
        <v>11290</v>
      </c>
      <c r="U1155" s="90">
        <v>3474.3110470041615</v>
      </c>
      <c r="V1155" s="89" t="s">
        <v>9344</v>
      </c>
      <c r="W1155" s="90">
        <f t="shared" si="58"/>
        <v>2084.5866282024967</v>
      </c>
    </row>
    <row r="1156" spans="19:23" x14ac:dyDescent="0.2">
      <c r="S1156" s="87" t="s">
        <v>11291</v>
      </c>
      <c r="T1156" s="87" t="s">
        <v>11292</v>
      </c>
      <c r="U1156" s="90">
        <v>2692.5910614282247</v>
      </c>
      <c r="V1156" s="89" t="s">
        <v>9344</v>
      </c>
      <c r="W1156" s="90">
        <f t="shared" si="58"/>
        <v>1615.5546368569348</v>
      </c>
    </row>
    <row r="1157" spans="19:23" x14ac:dyDescent="0.2">
      <c r="S1157" s="87" t="s">
        <v>11293</v>
      </c>
      <c r="T1157" s="87" t="s">
        <v>11294</v>
      </c>
      <c r="U1157" s="90">
        <v>3040.0221661286405</v>
      </c>
      <c r="V1157" s="89" t="s">
        <v>9344</v>
      </c>
      <c r="W1157" s="90">
        <f t="shared" si="58"/>
        <v>1824.0132996771842</v>
      </c>
    </row>
    <row r="1158" spans="19:23" x14ac:dyDescent="0.2">
      <c r="S1158" s="87" t="s">
        <v>11295</v>
      </c>
      <c r="T1158" s="87" t="s">
        <v>11296</v>
      </c>
      <c r="U1158" s="90">
        <v>3474.3110470041615</v>
      </c>
      <c r="V1158" s="89" t="s">
        <v>9344</v>
      </c>
      <c r="W1158" s="90">
        <f t="shared" si="58"/>
        <v>2084.5866282024967</v>
      </c>
    </row>
    <row r="1159" spans="19:23" x14ac:dyDescent="0.2">
      <c r="S1159" s="87" t="s">
        <v>11297</v>
      </c>
      <c r="T1159" s="87" t="s">
        <v>11298</v>
      </c>
      <c r="U1159" s="90">
        <v>1476.5821949767685</v>
      </c>
      <c r="V1159" s="89" t="s">
        <v>9344</v>
      </c>
      <c r="W1159" s="90">
        <f t="shared" si="58"/>
        <v>885.94931698606104</v>
      </c>
    </row>
    <row r="1160" spans="19:23" x14ac:dyDescent="0.2">
      <c r="S1160" s="87" t="s">
        <v>11299</v>
      </c>
      <c r="T1160" s="87" t="s">
        <v>11300</v>
      </c>
      <c r="U1160" s="90">
        <v>1737.1555235020808</v>
      </c>
      <c r="V1160" s="89" t="s">
        <v>9344</v>
      </c>
      <c r="W1160" s="90">
        <f t="shared" si="58"/>
        <v>1042.2933141012484</v>
      </c>
    </row>
    <row r="1161" spans="19:23" x14ac:dyDescent="0.2">
      <c r="S1161" s="87" t="s">
        <v>11301</v>
      </c>
      <c r="T1161" s="87" t="s">
        <v>11302</v>
      </c>
      <c r="U1161" s="90">
        <v>1650.2977473269768</v>
      </c>
      <c r="V1161" s="89" t="s">
        <v>9344</v>
      </c>
      <c r="W1161" s="90">
        <f t="shared" si="58"/>
        <v>990.17864839618608</v>
      </c>
    </row>
    <row r="1162" spans="19:23" x14ac:dyDescent="0.2">
      <c r="S1162" s="87" t="s">
        <v>11303</v>
      </c>
      <c r="T1162" s="87" t="s">
        <v>11304</v>
      </c>
      <c r="U1162" s="90">
        <v>1737.1555235020808</v>
      </c>
      <c r="V1162" s="89" t="s">
        <v>9344</v>
      </c>
      <c r="W1162" s="90">
        <f t="shared" si="58"/>
        <v>1042.2933141012484</v>
      </c>
    </row>
    <row r="1163" spans="19:23" x14ac:dyDescent="0.2">
      <c r="S1163" s="87" t="s">
        <v>11305</v>
      </c>
      <c r="T1163" s="87" t="s">
        <v>11306</v>
      </c>
      <c r="U1163" s="90">
        <v>2605.7332852531204</v>
      </c>
      <c r="V1163" s="89" t="s">
        <v>9344</v>
      </c>
      <c r="W1163" s="90">
        <f t="shared" si="58"/>
        <v>1563.4399711518722</v>
      </c>
    </row>
    <row r="1164" spans="19:23" x14ac:dyDescent="0.2">
      <c r="S1164" s="87" t="s">
        <v>11307</v>
      </c>
      <c r="T1164" s="87" t="s">
        <v>11308</v>
      </c>
      <c r="U1164" s="90">
        <v>3126.8799423037444</v>
      </c>
      <c r="V1164" s="89" t="s">
        <v>9344</v>
      </c>
      <c r="W1164" s="90">
        <f t="shared" si="58"/>
        <v>1876.1279653822467</v>
      </c>
    </row>
    <row r="1165" spans="19:23" x14ac:dyDescent="0.2">
      <c r="S1165" s="87" t="s">
        <v>11309</v>
      </c>
      <c r="T1165" s="87" t="s">
        <v>11310</v>
      </c>
      <c r="U1165" s="90">
        <v>3474.3110470041615</v>
      </c>
      <c r="V1165" s="89" t="s">
        <v>9344</v>
      </c>
      <c r="W1165" s="90">
        <f t="shared" si="58"/>
        <v>2084.5866282024967</v>
      </c>
    </row>
    <row r="1166" spans="19:23" x14ac:dyDescent="0.2">
      <c r="S1166" s="87" t="s">
        <v>11311</v>
      </c>
      <c r="T1166" s="87" t="s">
        <v>11312</v>
      </c>
      <c r="U1166" s="90">
        <v>3691.4554874419209</v>
      </c>
      <c r="V1166" s="89" t="s">
        <v>9344</v>
      </c>
      <c r="W1166" s="90">
        <f t="shared" si="58"/>
        <v>2214.8732924651526</v>
      </c>
    </row>
    <row r="1167" spans="19:23" x14ac:dyDescent="0.2">
      <c r="S1167" s="87" t="s">
        <v>11313</v>
      </c>
      <c r="T1167" s="87" t="s">
        <v>11314</v>
      </c>
      <c r="U1167" s="90">
        <v>4950.8932419809289</v>
      </c>
      <c r="V1167" s="89" t="s">
        <v>9344</v>
      </c>
      <c r="W1167" s="90">
        <f t="shared" si="58"/>
        <v>2970.5359451885574</v>
      </c>
    </row>
    <row r="1168" spans="19:23" x14ac:dyDescent="0.2">
      <c r="S1168" s="87" t="s">
        <v>11315</v>
      </c>
      <c r="T1168" s="87" t="s">
        <v>11316</v>
      </c>
      <c r="U1168" s="90">
        <v>5732.6132275568671</v>
      </c>
      <c r="V1168" s="89" t="s">
        <v>9344</v>
      </c>
      <c r="W1168" s="90">
        <f t="shared" si="58"/>
        <v>3439.5679365341202</v>
      </c>
    </row>
    <row r="1169" spans="19:23" x14ac:dyDescent="0.2">
      <c r="S1169" s="87" t="s">
        <v>11317</v>
      </c>
      <c r="T1169" s="87" t="s">
        <v>11312</v>
      </c>
      <c r="U1169" s="90">
        <v>5645.7554513817631</v>
      </c>
      <c r="V1169" s="89" t="s">
        <v>9344</v>
      </c>
      <c r="W1169" s="90">
        <f t="shared" si="58"/>
        <v>3387.4532708290576</v>
      </c>
    </row>
    <row r="1170" spans="19:23" x14ac:dyDescent="0.2">
      <c r="S1170" s="87" t="s">
        <v>11318</v>
      </c>
      <c r="T1170" s="87" t="s">
        <v>11314</v>
      </c>
      <c r="U1170" s="90">
        <v>6080.044332257281</v>
      </c>
      <c r="V1170" s="89" t="s">
        <v>9344</v>
      </c>
      <c r="W1170" s="90">
        <f t="shared" si="58"/>
        <v>3648.0265993543685</v>
      </c>
    </row>
    <row r="1171" spans="19:23" x14ac:dyDescent="0.2">
      <c r="S1171" s="87" t="s">
        <v>11319</v>
      </c>
      <c r="T1171" s="87" t="s">
        <v>11316</v>
      </c>
      <c r="U1171" s="90">
        <v>6514.3332131328007</v>
      </c>
      <c r="V1171" s="89" t="s">
        <v>9344</v>
      </c>
      <c r="W1171" s="90">
        <f t="shared" si="58"/>
        <v>3908.5999278796803</v>
      </c>
    </row>
    <row r="1172" spans="19:23" x14ac:dyDescent="0.2">
      <c r="S1172" s="87" t="s">
        <v>11320</v>
      </c>
      <c r="T1172" s="87" t="s">
        <v>11310</v>
      </c>
      <c r="U1172" s="90">
        <v>2171.4444043776011</v>
      </c>
      <c r="V1172" s="89" t="s">
        <v>9344</v>
      </c>
      <c r="W1172" s="90">
        <f t="shared" si="58"/>
        <v>1302.8666426265606</v>
      </c>
    </row>
    <row r="1173" spans="19:23" x14ac:dyDescent="0.2">
      <c r="S1173" s="87" t="s">
        <v>11321</v>
      </c>
      <c r="T1173" s="87" t="s">
        <v>11312</v>
      </c>
      <c r="U1173" s="90">
        <v>2866.3066137784335</v>
      </c>
      <c r="V1173" s="89" t="s">
        <v>9344</v>
      </c>
      <c r="W1173" s="90">
        <f t="shared" si="58"/>
        <v>1719.7839682670601</v>
      </c>
    </row>
    <row r="1174" spans="19:23" x14ac:dyDescent="0.2">
      <c r="S1174" s="87" t="s">
        <v>11322</v>
      </c>
      <c r="T1174" s="87" t="s">
        <v>11310</v>
      </c>
      <c r="U1174" s="90">
        <v>2171.4444043776011</v>
      </c>
      <c r="V1174" s="89" t="s">
        <v>9344</v>
      </c>
      <c r="W1174" s="90">
        <f t="shared" si="58"/>
        <v>1302.8666426265606</v>
      </c>
    </row>
    <row r="1175" spans="19:23" x14ac:dyDescent="0.2">
      <c r="S1175" s="87" t="s">
        <v>11323</v>
      </c>
      <c r="T1175" s="87" t="s">
        <v>11312</v>
      </c>
      <c r="U1175" s="90">
        <v>3126.8799423037444</v>
      </c>
      <c r="V1175" s="89" t="s">
        <v>9344</v>
      </c>
      <c r="W1175" s="90">
        <f t="shared" si="58"/>
        <v>1876.1279653822467</v>
      </c>
    </row>
    <row r="1176" spans="19:23" x14ac:dyDescent="0.2">
      <c r="S1176" s="87" t="s">
        <v>11324</v>
      </c>
      <c r="T1176" s="87" t="s">
        <v>11314</v>
      </c>
      <c r="U1176" s="90">
        <v>4169.1732564049926</v>
      </c>
      <c r="V1176" s="89" t="s">
        <v>9344</v>
      </c>
      <c r="W1176" s="90">
        <f t="shared" si="58"/>
        <v>2501.5039538429955</v>
      </c>
    </row>
    <row r="1177" spans="19:23" x14ac:dyDescent="0.2">
      <c r="S1177" s="87" t="s">
        <v>11325</v>
      </c>
      <c r="T1177" s="87" t="s">
        <v>11316</v>
      </c>
      <c r="U1177" s="90">
        <v>5385.1821228564495</v>
      </c>
      <c r="V1177" s="89" t="s">
        <v>9344</v>
      </c>
      <c r="W1177" s="90">
        <f t="shared" ref="W1177:W1240" si="59">+IF(V1177="Nacional",(1-$AA$1)*U1177,(1-$AA$2)*U1177)</f>
        <v>3231.1092737138697</v>
      </c>
    </row>
    <row r="1178" spans="19:23" x14ac:dyDescent="0.2">
      <c r="S1178" s="480" t="s">
        <v>11326</v>
      </c>
      <c r="T1178" s="480" t="s">
        <v>11327</v>
      </c>
      <c r="U1178" s="504">
        <v>9856.2966941249997</v>
      </c>
      <c r="V1178" s="89" t="s">
        <v>9337</v>
      </c>
      <c r="W1178" s="90">
        <f t="shared" si="59"/>
        <v>6997.9706528287497</v>
      </c>
    </row>
    <row r="1179" spans="19:23" x14ac:dyDescent="0.2">
      <c r="S1179" s="480" t="s">
        <v>11328</v>
      </c>
      <c r="T1179" s="480" t="s">
        <v>11329</v>
      </c>
      <c r="U1179" s="504">
        <v>14450.188022865002</v>
      </c>
      <c r="V1179" s="89" t="s">
        <v>9337</v>
      </c>
      <c r="W1179" s="90">
        <f t="shared" si="59"/>
        <v>10259.633496234152</v>
      </c>
    </row>
    <row r="1180" spans="19:23" x14ac:dyDescent="0.2">
      <c r="S1180" s="87" t="s">
        <v>11330</v>
      </c>
      <c r="T1180" s="87" t="s">
        <v>11331</v>
      </c>
      <c r="U1180" s="90">
        <v>3161.6230527737866</v>
      </c>
      <c r="V1180" s="89" t="s">
        <v>9344</v>
      </c>
      <c r="W1180" s="90">
        <f t="shared" si="59"/>
        <v>1896.973831664272</v>
      </c>
    </row>
    <row r="1181" spans="19:23" x14ac:dyDescent="0.2">
      <c r="S1181" s="87" t="s">
        <v>11332</v>
      </c>
      <c r="T1181" s="87" t="s">
        <v>11333</v>
      </c>
      <c r="U1181" s="90">
        <v>1763.2128563546116</v>
      </c>
      <c r="V1181" s="89" t="s">
        <v>9344</v>
      </c>
      <c r="W1181" s="90">
        <f t="shared" si="59"/>
        <v>1057.927713812767</v>
      </c>
    </row>
    <row r="1182" spans="19:23" x14ac:dyDescent="0.2">
      <c r="S1182" s="87" t="s">
        <v>11334</v>
      </c>
      <c r="T1182" s="87" t="s">
        <v>11335</v>
      </c>
      <c r="U1182" s="90">
        <v>3161.6230527737866</v>
      </c>
      <c r="V1182" s="89" t="s">
        <v>9344</v>
      </c>
      <c r="W1182" s="90">
        <f t="shared" si="59"/>
        <v>1896.973831664272</v>
      </c>
    </row>
    <row r="1183" spans="19:23" x14ac:dyDescent="0.2">
      <c r="S1183" s="87" t="s">
        <v>11336</v>
      </c>
      <c r="T1183" s="87" t="s">
        <v>11337</v>
      </c>
      <c r="U1183" s="90">
        <v>1763.2128563546116</v>
      </c>
      <c r="V1183" s="89" t="s">
        <v>9344</v>
      </c>
      <c r="W1183" s="90">
        <f t="shared" si="59"/>
        <v>1057.927713812767</v>
      </c>
    </row>
    <row r="1184" spans="19:23" x14ac:dyDescent="0.2">
      <c r="S1184" s="87" t="s">
        <v>11338</v>
      </c>
      <c r="T1184" s="87" t="s">
        <v>11339</v>
      </c>
      <c r="U1184" s="90">
        <v>3187.6803856263173</v>
      </c>
      <c r="V1184" s="89" t="s">
        <v>9344</v>
      </c>
      <c r="W1184" s="90">
        <f t="shared" si="59"/>
        <v>1912.6082313757902</v>
      </c>
    </row>
    <row r="1185" spans="19:23" x14ac:dyDescent="0.2">
      <c r="S1185" s="87" t="s">
        <v>11340</v>
      </c>
      <c r="T1185" s="87" t="s">
        <v>11341</v>
      </c>
      <c r="U1185" s="90">
        <v>1980.3572967923722</v>
      </c>
      <c r="V1185" s="89" t="s">
        <v>9344</v>
      </c>
      <c r="W1185" s="90">
        <f t="shared" si="59"/>
        <v>1188.2143780754232</v>
      </c>
    </row>
    <row r="1186" spans="19:23" x14ac:dyDescent="0.2">
      <c r="S1186" s="87" t="s">
        <v>11342</v>
      </c>
      <c r="T1186" s="87" t="s">
        <v>11343</v>
      </c>
      <c r="U1186" s="90">
        <v>7157.0807568285709</v>
      </c>
      <c r="V1186" s="89" t="s">
        <v>9344</v>
      </c>
      <c r="W1186" s="90">
        <f t="shared" si="59"/>
        <v>4294.2484540971427</v>
      </c>
    </row>
    <row r="1187" spans="19:23" x14ac:dyDescent="0.2">
      <c r="S1187" s="87" t="s">
        <v>11344</v>
      </c>
      <c r="T1187" s="87" t="s">
        <v>11345</v>
      </c>
      <c r="U1187" s="90">
        <v>3500.3683798566926</v>
      </c>
      <c r="V1187" s="89" t="s">
        <v>9344</v>
      </c>
      <c r="W1187" s="90">
        <f t="shared" si="59"/>
        <v>2100.2210279140154</v>
      </c>
    </row>
    <row r="1188" spans="19:23" x14ac:dyDescent="0.2">
      <c r="S1188" s="87" t="s">
        <v>11346</v>
      </c>
      <c r="T1188" s="87" t="s">
        <v>11347</v>
      </c>
      <c r="U1188" s="90">
        <v>8902.9220579481625</v>
      </c>
      <c r="V1188" s="89" t="s">
        <v>9344</v>
      </c>
      <c r="W1188" s="90">
        <f t="shared" si="59"/>
        <v>5341.7532347688975</v>
      </c>
    </row>
    <row r="1189" spans="19:23" x14ac:dyDescent="0.2">
      <c r="S1189" s="87" t="s">
        <v>11348</v>
      </c>
      <c r="T1189" s="87" t="s">
        <v>11349</v>
      </c>
      <c r="U1189" s="90">
        <v>4994.3221300684809</v>
      </c>
      <c r="V1189" s="89" t="s">
        <v>9344</v>
      </c>
      <c r="W1189" s="90">
        <f t="shared" si="59"/>
        <v>2996.5932780410885</v>
      </c>
    </row>
    <row r="1190" spans="19:23" x14ac:dyDescent="0.2">
      <c r="S1190" s="87" t="s">
        <v>11350</v>
      </c>
      <c r="T1190" s="87" t="s">
        <v>11351</v>
      </c>
      <c r="U1190" s="90">
        <v>18066.417444421633</v>
      </c>
      <c r="V1190" s="89" t="s">
        <v>9344</v>
      </c>
      <c r="W1190" s="90">
        <f t="shared" si="59"/>
        <v>10839.850466652979</v>
      </c>
    </row>
    <row r="1191" spans="19:23" x14ac:dyDescent="0.2">
      <c r="S1191" s="87" t="s">
        <v>11352</v>
      </c>
      <c r="T1191" s="87" t="s">
        <v>11353</v>
      </c>
      <c r="U1191" s="90">
        <v>10205.788700574722</v>
      </c>
      <c r="V1191" s="89" t="s">
        <v>9344</v>
      </c>
      <c r="W1191" s="90">
        <f t="shared" si="59"/>
        <v>6123.473220344833</v>
      </c>
    </row>
    <row r="1192" spans="19:23" x14ac:dyDescent="0.2">
      <c r="S1192" s="87" t="s">
        <v>11354</v>
      </c>
      <c r="T1192" s="87" t="s">
        <v>11355</v>
      </c>
      <c r="U1192" s="90">
        <v>92766.559167360028</v>
      </c>
      <c r="V1192" s="89" t="s">
        <v>9344</v>
      </c>
      <c r="W1192" s="90">
        <f t="shared" si="59"/>
        <v>55659.935500416017</v>
      </c>
    </row>
    <row r="1193" spans="19:23" x14ac:dyDescent="0.2">
      <c r="S1193" s="87" t="s">
        <v>11356</v>
      </c>
      <c r="T1193" s="87" t="s">
        <v>11357</v>
      </c>
      <c r="U1193" s="90">
        <v>106681.54304246402</v>
      </c>
      <c r="V1193" s="89" t="s">
        <v>9344</v>
      </c>
      <c r="W1193" s="90">
        <f t="shared" si="59"/>
        <v>64008.925825478407</v>
      </c>
    </row>
    <row r="1194" spans="19:23" x14ac:dyDescent="0.2">
      <c r="S1194" s="87" t="s">
        <v>11358</v>
      </c>
      <c r="T1194" s="87" t="s">
        <v>11359</v>
      </c>
      <c r="U1194" s="90">
        <v>11494.883638085395</v>
      </c>
      <c r="V1194" s="89" t="s">
        <v>9344</v>
      </c>
      <c r="W1194" s="90">
        <f t="shared" si="59"/>
        <v>6896.9301828512371</v>
      </c>
    </row>
    <row r="1195" spans="19:23" x14ac:dyDescent="0.2">
      <c r="S1195" s="87" t="s">
        <v>11360</v>
      </c>
      <c r="T1195" s="87" t="s">
        <v>11361</v>
      </c>
      <c r="U1195" s="90">
        <v>13410.79081833376</v>
      </c>
      <c r="V1195" s="89" t="s">
        <v>9344</v>
      </c>
      <c r="W1195" s="90">
        <f t="shared" si="59"/>
        <v>8046.4744910002555</v>
      </c>
    </row>
    <row r="1196" spans="19:23" x14ac:dyDescent="0.2">
      <c r="S1196" s="87" t="s">
        <v>11362</v>
      </c>
      <c r="T1196" s="87" t="s">
        <v>11363</v>
      </c>
      <c r="U1196" s="90">
        <v>15326.511517447198</v>
      </c>
      <c r="V1196" s="89" t="s">
        <v>9344</v>
      </c>
      <c r="W1196" s="90">
        <f t="shared" si="59"/>
        <v>9195.9069104683185</v>
      </c>
    </row>
    <row r="1197" spans="19:23" x14ac:dyDescent="0.2">
      <c r="S1197" s="87" t="s">
        <v>11364</v>
      </c>
      <c r="T1197" s="87" t="s">
        <v>11365</v>
      </c>
      <c r="U1197" s="90">
        <v>15326.511517447198</v>
      </c>
      <c r="V1197" s="89" t="s">
        <v>9344</v>
      </c>
      <c r="W1197" s="90">
        <f t="shared" si="59"/>
        <v>9195.9069104683185</v>
      </c>
    </row>
    <row r="1198" spans="19:23" x14ac:dyDescent="0.2">
      <c r="S1198" s="87" t="s">
        <v>11366</v>
      </c>
      <c r="T1198" s="87" t="s">
        <v>11367</v>
      </c>
      <c r="U1198" s="90">
        <v>689.04000000000008</v>
      </c>
      <c r="V1198" s="89" t="s">
        <v>9344</v>
      </c>
      <c r="W1198" s="90">
        <f t="shared" si="59"/>
        <v>413.42400000000004</v>
      </c>
    </row>
    <row r="1199" spans="19:23" x14ac:dyDescent="0.2">
      <c r="S1199" s="87" t="s">
        <v>11368</v>
      </c>
      <c r="T1199" s="87" t="s">
        <v>11369</v>
      </c>
      <c r="U1199" s="90">
        <v>1376.70192</v>
      </c>
      <c r="V1199" s="89" t="s">
        <v>9344</v>
      </c>
      <c r="W1199" s="90">
        <f t="shared" si="59"/>
        <v>826.02115199999992</v>
      </c>
    </row>
    <row r="1200" spans="19:23" x14ac:dyDescent="0.2">
      <c r="S1200" s="87" t="s">
        <v>11370</v>
      </c>
      <c r="T1200" s="87" t="s">
        <v>11371</v>
      </c>
      <c r="U1200" s="90">
        <v>2026.8111600000002</v>
      </c>
      <c r="V1200" s="89" t="s">
        <v>9344</v>
      </c>
      <c r="W1200" s="90">
        <f t="shared" si="59"/>
        <v>1216.0866960000001</v>
      </c>
    </row>
    <row r="1201" spans="19:23" x14ac:dyDescent="0.2">
      <c r="S1201" s="87" t="s">
        <v>11372</v>
      </c>
      <c r="T1201" s="87" t="s">
        <v>11373</v>
      </c>
      <c r="U1201" s="90">
        <v>3097.5793200000003</v>
      </c>
      <c r="V1201" s="89" t="s">
        <v>9344</v>
      </c>
      <c r="W1201" s="90">
        <f t="shared" si="59"/>
        <v>1858.5475920000001</v>
      </c>
    </row>
    <row r="1202" spans="19:23" x14ac:dyDescent="0.2">
      <c r="S1202" s="87" t="s">
        <v>11374</v>
      </c>
      <c r="T1202" s="87" t="s">
        <v>11375</v>
      </c>
      <c r="U1202" s="90">
        <v>15206.066492760003</v>
      </c>
      <c r="V1202" s="89" t="s">
        <v>9344</v>
      </c>
      <c r="W1202" s="90">
        <f t="shared" si="59"/>
        <v>9123.6398956560006</v>
      </c>
    </row>
    <row r="1203" spans="19:23" x14ac:dyDescent="0.2">
      <c r="S1203" s="87" t="s">
        <v>11376</v>
      </c>
      <c r="T1203" s="87" t="s">
        <v>11377</v>
      </c>
      <c r="U1203" s="90">
        <v>4352.2663813200006</v>
      </c>
      <c r="V1203" s="89" t="s">
        <v>9344</v>
      </c>
      <c r="W1203" s="90">
        <f t="shared" si="59"/>
        <v>2611.3598287920004</v>
      </c>
    </row>
    <row r="1204" spans="19:23" x14ac:dyDescent="0.2">
      <c r="S1204" s="87" t="s">
        <v>11378</v>
      </c>
      <c r="T1204" s="87" t="s">
        <v>11379</v>
      </c>
      <c r="U1204" s="90">
        <v>4567.1931161999992</v>
      </c>
      <c r="V1204" s="89" t="s">
        <v>9344</v>
      </c>
      <c r="W1204" s="90">
        <f t="shared" si="59"/>
        <v>2740.3158697199992</v>
      </c>
    </row>
    <row r="1205" spans="19:23" x14ac:dyDescent="0.2">
      <c r="S1205" s="87" t="s">
        <v>11380</v>
      </c>
      <c r="T1205" s="87" t="s">
        <v>11381</v>
      </c>
      <c r="U1205" s="90">
        <v>4889.5832185200006</v>
      </c>
      <c r="V1205" s="89" t="s">
        <v>9344</v>
      </c>
      <c r="W1205" s="90">
        <f t="shared" si="59"/>
        <v>2933.7499311120005</v>
      </c>
    </row>
    <row r="1206" spans="19:23" x14ac:dyDescent="0.2">
      <c r="S1206" s="87" t="s">
        <v>11382</v>
      </c>
      <c r="T1206" s="87" t="s">
        <v>11383</v>
      </c>
      <c r="U1206" s="90">
        <v>19537.666560000001</v>
      </c>
      <c r="V1206" s="89" t="s">
        <v>9344</v>
      </c>
      <c r="W1206" s="90">
        <f t="shared" si="59"/>
        <v>11722.599936000001</v>
      </c>
    </row>
    <row r="1207" spans="19:23" x14ac:dyDescent="0.2">
      <c r="S1207" s="87" t="s">
        <v>11384</v>
      </c>
      <c r="T1207" s="87" t="s">
        <v>11385</v>
      </c>
      <c r="U1207" s="90">
        <v>6662.7287812799996</v>
      </c>
      <c r="V1207" s="89" t="s">
        <v>9344</v>
      </c>
      <c r="W1207" s="90">
        <f t="shared" si="59"/>
        <v>3997.6372687679996</v>
      </c>
    </row>
    <row r="1208" spans="19:23" x14ac:dyDescent="0.2">
      <c r="S1208" s="87" t="s">
        <v>11386</v>
      </c>
      <c r="T1208" s="87" t="s">
        <v>11387</v>
      </c>
      <c r="U1208" s="90">
        <v>7146.3139347599999</v>
      </c>
      <c r="V1208" s="89" t="s">
        <v>9344</v>
      </c>
      <c r="W1208" s="90">
        <f t="shared" si="59"/>
        <v>4287.7883608559996</v>
      </c>
    </row>
    <row r="1209" spans="19:23" x14ac:dyDescent="0.2">
      <c r="S1209" s="87" t="s">
        <v>11388</v>
      </c>
      <c r="T1209" s="87" t="s">
        <v>11389</v>
      </c>
      <c r="U1209" s="90">
        <v>4736.7673480582098</v>
      </c>
      <c r="V1209" s="89" t="s">
        <v>9344</v>
      </c>
      <c r="W1209" s="90">
        <f t="shared" si="59"/>
        <v>2842.060408834926</v>
      </c>
    </row>
    <row r="1210" spans="19:23" x14ac:dyDescent="0.2">
      <c r="S1210" s="87" t="s">
        <v>11390</v>
      </c>
      <c r="T1210" s="87" t="s">
        <v>11391</v>
      </c>
      <c r="U1210" s="90">
        <v>5921.0009953272192</v>
      </c>
      <c r="V1210" s="89" t="s">
        <v>9344</v>
      </c>
      <c r="W1210" s="90">
        <f t="shared" si="59"/>
        <v>3552.6005971963314</v>
      </c>
    </row>
    <row r="1211" spans="19:23" x14ac:dyDescent="0.2">
      <c r="S1211" s="87" t="s">
        <v>11392</v>
      </c>
      <c r="T1211" s="87" t="s">
        <v>11393</v>
      </c>
      <c r="U1211" s="90">
        <v>1120.2509782395616</v>
      </c>
      <c r="V1211" s="89" t="s">
        <v>9344</v>
      </c>
      <c r="W1211" s="90">
        <f t="shared" si="59"/>
        <v>672.15058694373693</v>
      </c>
    </row>
    <row r="1212" spans="19:23" x14ac:dyDescent="0.2">
      <c r="S1212" s="87" t="s">
        <v>11394</v>
      </c>
      <c r="T1212" s="87" t="s">
        <v>11395</v>
      </c>
      <c r="U1212" s="90">
        <v>1731.2969663702308</v>
      </c>
      <c r="V1212" s="89" t="s">
        <v>9344</v>
      </c>
      <c r="W1212" s="90">
        <f t="shared" si="59"/>
        <v>1038.7781798221386</v>
      </c>
    </row>
    <row r="1213" spans="19:23" x14ac:dyDescent="0.2">
      <c r="S1213" s="87" t="s">
        <v>11396</v>
      </c>
      <c r="T1213" s="87" t="s">
        <v>11397</v>
      </c>
      <c r="U1213" s="90">
        <v>2444.1839525226774</v>
      </c>
      <c r="V1213" s="89" t="s">
        <v>9344</v>
      </c>
      <c r="W1213" s="90">
        <f t="shared" si="59"/>
        <v>1466.5103715136063</v>
      </c>
    </row>
    <row r="1214" spans="19:23" x14ac:dyDescent="0.2">
      <c r="S1214" s="87" t="s">
        <v>11398</v>
      </c>
      <c r="T1214" s="87" t="s">
        <v>11399</v>
      </c>
      <c r="U1214" s="90">
        <v>3258.9119366969035</v>
      </c>
      <c r="V1214" s="89" t="s">
        <v>9344</v>
      </c>
      <c r="W1214" s="90">
        <f t="shared" si="59"/>
        <v>1955.3471620181419</v>
      </c>
    </row>
    <row r="1215" spans="19:23" x14ac:dyDescent="0.2">
      <c r="S1215" s="87" t="s">
        <v>11400</v>
      </c>
      <c r="T1215" s="87" t="s">
        <v>11401</v>
      </c>
      <c r="U1215" s="90">
        <v>4952.0065380081087</v>
      </c>
      <c r="V1215" s="89" t="s">
        <v>9344</v>
      </c>
      <c r="W1215" s="90">
        <f t="shared" si="59"/>
        <v>2971.2039228048652</v>
      </c>
    </row>
    <row r="1216" spans="19:23" x14ac:dyDescent="0.2">
      <c r="S1216" s="87" t="s">
        <v>11402</v>
      </c>
      <c r="T1216" s="87" t="s">
        <v>11403</v>
      </c>
      <c r="U1216" s="90">
        <v>6304.1501671805327</v>
      </c>
      <c r="V1216" s="89" t="s">
        <v>9344</v>
      </c>
      <c r="W1216" s="90">
        <f t="shared" si="59"/>
        <v>3782.4901003083196</v>
      </c>
    </row>
    <row r="1217" spans="19:23" x14ac:dyDescent="0.2">
      <c r="S1217" s="87" t="s">
        <v>11404</v>
      </c>
      <c r="T1217" s="87" t="s">
        <v>11405</v>
      </c>
      <c r="U1217" s="90">
        <v>4015.3806</v>
      </c>
      <c r="V1217" s="89" t="s">
        <v>9344</v>
      </c>
      <c r="W1217" s="90">
        <f t="shared" si="59"/>
        <v>2409.2283600000001</v>
      </c>
    </row>
    <row r="1218" spans="19:23" x14ac:dyDescent="0.2">
      <c r="S1218" s="87" t="s">
        <v>11406</v>
      </c>
      <c r="T1218" s="87" t="s">
        <v>11407</v>
      </c>
      <c r="U1218" s="90">
        <v>2636.0545452997026</v>
      </c>
      <c r="V1218" s="89" t="s">
        <v>9344</v>
      </c>
      <c r="W1218" s="90">
        <f t="shared" si="59"/>
        <v>1581.6327271798216</v>
      </c>
    </row>
    <row r="1219" spans="19:23" x14ac:dyDescent="0.2">
      <c r="S1219" s="87" t="s">
        <v>11408</v>
      </c>
      <c r="T1219" s="87" t="s">
        <v>11409</v>
      </c>
      <c r="U1219" s="90">
        <v>5204.5179484122336</v>
      </c>
      <c r="V1219" s="89" t="s">
        <v>9344</v>
      </c>
      <c r="W1219" s="90">
        <f t="shared" si="59"/>
        <v>3122.7107690473399</v>
      </c>
    </row>
    <row r="1220" spans="19:23" x14ac:dyDescent="0.2">
      <c r="S1220" s="87" t="s">
        <v>11410</v>
      </c>
      <c r="T1220" s="87" t="s">
        <v>11411</v>
      </c>
      <c r="U1220" s="90">
        <v>9120.0664983859242</v>
      </c>
      <c r="V1220" s="89" t="s">
        <v>9344</v>
      </c>
      <c r="W1220" s="90">
        <f t="shared" si="59"/>
        <v>5472.0398990315543</v>
      </c>
    </row>
    <row r="1221" spans="19:23" x14ac:dyDescent="0.2">
      <c r="S1221" s="87" t="s">
        <v>11412</v>
      </c>
      <c r="T1221" s="87" t="s">
        <v>11413</v>
      </c>
      <c r="U1221" s="90">
        <v>20411.577401149443</v>
      </c>
      <c r="V1221" s="89" t="s">
        <v>9344</v>
      </c>
      <c r="W1221" s="90">
        <f t="shared" si="59"/>
        <v>12246.946440689666</v>
      </c>
    </row>
    <row r="1222" spans="19:23" x14ac:dyDescent="0.2">
      <c r="S1222" s="87" t="s">
        <v>11414</v>
      </c>
      <c r="T1222" s="87" t="s">
        <v>11415</v>
      </c>
      <c r="U1222" s="90">
        <v>4452.2910000000002</v>
      </c>
      <c r="V1222" s="89" t="s">
        <v>9344</v>
      </c>
      <c r="W1222" s="90">
        <f t="shared" si="59"/>
        <v>2671.3746000000001</v>
      </c>
    </row>
    <row r="1223" spans="19:23" x14ac:dyDescent="0.2">
      <c r="S1223" s="87" t="s">
        <v>11416</v>
      </c>
      <c r="T1223" s="87" t="s">
        <v>11417</v>
      </c>
      <c r="U1223" s="90">
        <v>4865.4000000000005</v>
      </c>
      <c r="V1223" s="89" t="s">
        <v>9344</v>
      </c>
      <c r="W1223" s="90">
        <f t="shared" si="59"/>
        <v>2919.2400000000002</v>
      </c>
    </row>
    <row r="1224" spans="19:23" x14ac:dyDescent="0.2">
      <c r="S1224" s="87" t="s">
        <v>11418</v>
      </c>
      <c r="T1224" s="87" t="s">
        <v>11419</v>
      </c>
      <c r="U1224" s="90">
        <v>8080.0919999999996</v>
      </c>
      <c r="V1224" s="89" t="s">
        <v>9344</v>
      </c>
      <c r="W1224" s="90">
        <f t="shared" si="59"/>
        <v>4848.0551999999998</v>
      </c>
    </row>
    <row r="1225" spans="19:23" x14ac:dyDescent="0.2">
      <c r="S1225" s="87" t="s">
        <v>11420</v>
      </c>
      <c r="T1225" s="87" t="s">
        <v>11421</v>
      </c>
      <c r="U1225" s="90">
        <v>12932.203391999998</v>
      </c>
      <c r="V1225" s="89" t="s">
        <v>9344</v>
      </c>
      <c r="W1225" s="90">
        <f t="shared" si="59"/>
        <v>7759.322035199998</v>
      </c>
    </row>
    <row r="1226" spans="19:23" x14ac:dyDescent="0.2">
      <c r="S1226" s="87" t="s">
        <v>11422</v>
      </c>
      <c r="T1226" s="87" t="s">
        <v>11423</v>
      </c>
      <c r="U1226" s="90">
        <v>3178.2533759999997</v>
      </c>
      <c r="V1226" s="89" t="s">
        <v>9344</v>
      </c>
      <c r="W1226" s="90">
        <f t="shared" si="59"/>
        <v>1906.9520255999996</v>
      </c>
    </row>
    <row r="1227" spans="19:23" x14ac:dyDescent="0.2">
      <c r="S1227" s="87" t="s">
        <v>11424</v>
      </c>
      <c r="T1227" s="87" t="s">
        <v>11425</v>
      </c>
      <c r="U1227" s="90">
        <v>3214.0800000000004</v>
      </c>
      <c r="V1227" s="89" t="s">
        <v>9344</v>
      </c>
      <c r="W1227" s="90">
        <f t="shared" si="59"/>
        <v>1928.4480000000001</v>
      </c>
    </row>
    <row r="1228" spans="19:23" x14ac:dyDescent="0.2">
      <c r="S1228" s="87" t="s">
        <v>11426</v>
      </c>
      <c r="T1228" s="87" t="s">
        <v>11427</v>
      </c>
      <c r="U1228" s="90">
        <v>3214.0800000000004</v>
      </c>
      <c r="V1228" s="89" t="s">
        <v>9344</v>
      </c>
      <c r="W1228" s="90">
        <f t="shared" si="59"/>
        <v>1928.4480000000001</v>
      </c>
    </row>
    <row r="1229" spans="19:23" x14ac:dyDescent="0.2">
      <c r="S1229" s="87" t="s">
        <v>11428</v>
      </c>
      <c r="T1229" s="87" t="s">
        <v>11429</v>
      </c>
      <c r="U1229" s="90">
        <v>3321.2159999999999</v>
      </c>
      <c r="V1229" s="89" t="s">
        <v>9344</v>
      </c>
      <c r="W1229" s="90">
        <f t="shared" si="59"/>
        <v>1992.7295999999999</v>
      </c>
    </row>
    <row r="1230" spans="19:23" x14ac:dyDescent="0.2">
      <c r="S1230" s="87" t="s">
        <v>11430</v>
      </c>
      <c r="T1230" s="87" t="s">
        <v>11431</v>
      </c>
      <c r="U1230" s="90">
        <v>3267.6480000000001</v>
      </c>
      <c r="V1230" s="89" t="s">
        <v>9344</v>
      </c>
      <c r="W1230" s="90">
        <f t="shared" si="59"/>
        <v>1960.5888</v>
      </c>
    </row>
    <row r="1231" spans="19:23" x14ac:dyDescent="0.2">
      <c r="S1231" s="87" t="s">
        <v>11432</v>
      </c>
      <c r="T1231" s="87" t="s">
        <v>11433</v>
      </c>
      <c r="U1231" s="90">
        <v>3535.4880000000003</v>
      </c>
      <c r="V1231" s="89" t="s">
        <v>9344</v>
      </c>
      <c r="W1231" s="90">
        <f t="shared" si="59"/>
        <v>2121.2928000000002</v>
      </c>
    </row>
    <row r="1232" spans="19:23" x14ac:dyDescent="0.2">
      <c r="S1232" s="87" t="s">
        <v>11434</v>
      </c>
      <c r="T1232" s="87" t="s">
        <v>11435</v>
      </c>
      <c r="U1232" s="90">
        <v>3531.2404248000012</v>
      </c>
      <c r="V1232" s="89" t="s">
        <v>9344</v>
      </c>
      <c r="W1232" s="90">
        <f t="shared" si="59"/>
        <v>2118.7442548800004</v>
      </c>
    </row>
    <row r="1233" spans="19:23" x14ac:dyDescent="0.2">
      <c r="S1233" s="87" t="s">
        <v>11436</v>
      </c>
      <c r="T1233" s="87" t="s">
        <v>11437</v>
      </c>
      <c r="U1233" s="90">
        <v>8408.7852567986265</v>
      </c>
      <c r="V1233" s="89" t="s">
        <v>9344</v>
      </c>
      <c r="W1233" s="90">
        <f t="shared" si="59"/>
        <v>5045.2711540791761</v>
      </c>
    </row>
    <row r="1234" spans="19:23" x14ac:dyDescent="0.2">
      <c r="S1234" s="87" t="s">
        <v>11438</v>
      </c>
      <c r="T1234" s="87" t="s">
        <v>11439</v>
      </c>
      <c r="U1234" s="90">
        <v>8014.1082284825543</v>
      </c>
      <c r="V1234" s="89" t="s">
        <v>9344</v>
      </c>
      <c r="W1234" s="90">
        <f t="shared" si="59"/>
        <v>4808.4649370895322</v>
      </c>
    </row>
    <row r="1235" spans="19:23" x14ac:dyDescent="0.2">
      <c r="S1235" s="87" t="s">
        <v>11440</v>
      </c>
      <c r="T1235" s="87" t="s">
        <v>11441</v>
      </c>
      <c r="U1235" s="90">
        <v>9748.3809930923362</v>
      </c>
      <c r="V1235" s="89" t="s">
        <v>9344</v>
      </c>
      <c r="W1235" s="90">
        <f t="shared" si="59"/>
        <v>5849.0285958554014</v>
      </c>
    </row>
    <row r="1236" spans="19:23" x14ac:dyDescent="0.2">
      <c r="S1236" s="87" t="s">
        <v>11442</v>
      </c>
      <c r="T1236" s="87" t="s">
        <v>11443</v>
      </c>
      <c r="U1236" s="90">
        <v>10163.894379130883</v>
      </c>
      <c r="V1236" s="89" t="s">
        <v>9344</v>
      </c>
      <c r="W1236" s="90">
        <f t="shared" si="59"/>
        <v>6098.3366274785294</v>
      </c>
    </row>
    <row r="1237" spans="19:23" x14ac:dyDescent="0.2">
      <c r="S1237" s="87" t="s">
        <v>11444</v>
      </c>
      <c r="T1237" s="87" t="s">
        <v>11445</v>
      </c>
      <c r="U1237" s="90">
        <v>10568.483849470262</v>
      </c>
      <c r="V1237" s="89" t="s">
        <v>9344</v>
      </c>
      <c r="W1237" s="90">
        <f t="shared" si="59"/>
        <v>6341.0903096821567</v>
      </c>
    </row>
    <row r="1238" spans="19:23" x14ac:dyDescent="0.2">
      <c r="S1238" s="87" t="s">
        <v>11446</v>
      </c>
      <c r="T1238" s="87" t="s">
        <v>11447</v>
      </c>
      <c r="U1238" s="90">
        <v>13565.474999999999</v>
      </c>
      <c r="V1238" s="89" t="s">
        <v>9344</v>
      </c>
      <c r="W1238" s="90">
        <f t="shared" si="59"/>
        <v>8139.2849999999989</v>
      </c>
    </row>
    <row r="1239" spans="19:23" x14ac:dyDescent="0.2">
      <c r="S1239" s="87" t="s">
        <v>11448</v>
      </c>
      <c r="T1239" s="87" t="s">
        <v>11449</v>
      </c>
      <c r="U1239" s="90">
        <v>4999.2120000000004</v>
      </c>
      <c r="V1239" s="89" t="s">
        <v>9344</v>
      </c>
      <c r="W1239" s="90">
        <f t="shared" si="59"/>
        <v>2999.5272</v>
      </c>
    </row>
    <row r="1240" spans="19:23" x14ac:dyDescent="0.2">
      <c r="S1240" s="87" t="s">
        <v>11450</v>
      </c>
      <c r="T1240" s="87" t="s">
        <v>11451</v>
      </c>
      <c r="U1240" s="90">
        <v>10561.115966745603</v>
      </c>
      <c r="V1240" s="89" t="s">
        <v>9344</v>
      </c>
      <c r="W1240" s="90">
        <f t="shared" si="59"/>
        <v>6336.6695800473617</v>
      </c>
    </row>
    <row r="1241" spans="19:23" x14ac:dyDescent="0.2">
      <c r="S1241" s="87" t="s">
        <v>11452</v>
      </c>
      <c r="T1241" s="87" t="s">
        <v>11453</v>
      </c>
      <c r="U1241" s="90">
        <v>10561.115966745603</v>
      </c>
      <c r="V1241" s="89" t="s">
        <v>9344</v>
      </c>
      <c r="W1241" s="90">
        <f t="shared" ref="W1241:W1304" si="60">+IF(V1241="Nacional",(1-$AA$1)*U1241,(1-$AA$2)*U1241)</f>
        <v>6336.6695800473617</v>
      </c>
    </row>
    <row r="1242" spans="19:23" x14ac:dyDescent="0.2">
      <c r="S1242" s="87" t="s">
        <v>11454</v>
      </c>
      <c r="T1242" s="87" t="s">
        <v>11455</v>
      </c>
      <c r="U1242" s="90">
        <v>20094.663893483521</v>
      </c>
      <c r="V1242" s="89" t="s">
        <v>9344</v>
      </c>
      <c r="W1242" s="90">
        <f t="shared" si="60"/>
        <v>12056.798336090113</v>
      </c>
    </row>
    <row r="1243" spans="19:23" x14ac:dyDescent="0.2">
      <c r="S1243" s="87" t="s">
        <v>11456</v>
      </c>
      <c r="T1243" s="87" t="s">
        <v>11457</v>
      </c>
      <c r="U1243" s="90">
        <v>20094.663893483521</v>
      </c>
      <c r="V1243" s="89" t="s">
        <v>9344</v>
      </c>
      <c r="W1243" s="90">
        <f t="shared" si="60"/>
        <v>12056.798336090113</v>
      </c>
    </row>
    <row r="1244" spans="19:23" x14ac:dyDescent="0.2">
      <c r="S1244" s="87" t="s">
        <v>11458</v>
      </c>
      <c r="T1244" s="87" t="s">
        <v>11459</v>
      </c>
      <c r="U1244" s="90">
        <v>2214.8732924651526</v>
      </c>
      <c r="V1244" s="89" t="s">
        <v>9344</v>
      </c>
      <c r="W1244" s="90">
        <f t="shared" si="60"/>
        <v>1328.9239754790915</v>
      </c>
    </row>
    <row r="1245" spans="19:23" x14ac:dyDescent="0.2">
      <c r="S1245" s="87" t="s">
        <v>6407</v>
      </c>
      <c r="T1245" s="87" t="s">
        <v>6408</v>
      </c>
      <c r="U1245" s="90">
        <v>2301.7310686402566</v>
      </c>
      <c r="V1245" s="89" t="s">
        <v>9344</v>
      </c>
      <c r="W1245" s="90">
        <f t="shared" si="60"/>
        <v>1381.0386411841539</v>
      </c>
    </row>
    <row r="1246" spans="19:23" x14ac:dyDescent="0.2">
      <c r="S1246" s="87" t="s">
        <v>11460</v>
      </c>
      <c r="T1246" s="87" t="s">
        <v>11461</v>
      </c>
      <c r="U1246" s="90">
        <v>2909.735501865985</v>
      </c>
      <c r="V1246" s="89" t="s">
        <v>9344</v>
      </c>
      <c r="W1246" s="90">
        <f t="shared" si="60"/>
        <v>1745.841301119591</v>
      </c>
    </row>
    <row r="1247" spans="19:23" x14ac:dyDescent="0.2">
      <c r="S1247" s="87" t="s">
        <v>11462</v>
      </c>
      <c r="T1247" s="87" t="s">
        <v>11463</v>
      </c>
      <c r="U1247" s="90">
        <v>3040.0221661286405</v>
      </c>
      <c r="V1247" s="89" t="s">
        <v>9344</v>
      </c>
      <c r="W1247" s="90">
        <f t="shared" si="60"/>
        <v>1824.0132996771842</v>
      </c>
    </row>
    <row r="1248" spans="19:23" x14ac:dyDescent="0.2">
      <c r="S1248" s="87" t="s">
        <v>6401</v>
      </c>
      <c r="T1248" s="87" t="s">
        <v>6402</v>
      </c>
      <c r="U1248" s="90">
        <v>1302.8666426265602</v>
      </c>
      <c r="V1248" s="89" t="s">
        <v>9344</v>
      </c>
      <c r="W1248" s="90">
        <f t="shared" si="60"/>
        <v>781.71998557593611</v>
      </c>
    </row>
    <row r="1249" spans="19:23" x14ac:dyDescent="0.2">
      <c r="S1249" s="87" t="s">
        <v>11464</v>
      </c>
      <c r="T1249" s="87" t="s">
        <v>11465</v>
      </c>
      <c r="U1249" s="90">
        <v>1252.0039809024001</v>
      </c>
      <c r="V1249" s="89" t="s">
        <v>9344</v>
      </c>
      <c r="W1249" s="90">
        <f t="shared" si="60"/>
        <v>751.20238854144009</v>
      </c>
    </row>
    <row r="1250" spans="19:23" x14ac:dyDescent="0.2">
      <c r="S1250" s="87" t="s">
        <v>6404</v>
      </c>
      <c r="T1250" s="87" t="s">
        <v>6405</v>
      </c>
      <c r="U1250" s="90">
        <v>2347.5074641920005</v>
      </c>
      <c r="V1250" s="89" t="s">
        <v>9344</v>
      </c>
      <c r="W1250" s="90">
        <f t="shared" si="60"/>
        <v>1408.5044785152002</v>
      </c>
    </row>
    <row r="1251" spans="19:23" x14ac:dyDescent="0.2">
      <c r="S1251" s="87" t="s">
        <v>11466</v>
      </c>
      <c r="T1251" s="87" t="s">
        <v>11467</v>
      </c>
      <c r="U1251" s="90">
        <v>2269.2572153855999</v>
      </c>
      <c r="V1251" s="89" t="s">
        <v>9344</v>
      </c>
      <c r="W1251" s="90">
        <f t="shared" si="60"/>
        <v>1361.5543292313598</v>
      </c>
    </row>
    <row r="1252" spans="19:23" x14ac:dyDescent="0.2">
      <c r="S1252" s="87" t="s">
        <v>11468</v>
      </c>
      <c r="T1252" s="87" t="s">
        <v>11469</v>
      </c>
      <c r="U1252" s="90">
        <v>1134.6286076928</v>
      </c>
      <c r="V1252" s="89" t="s">
        <v>9344</v>
      </c>
      <c r="W1252" s="90">
        <f t="shared" si="60"/>
        <v>680.77716461567991</v>
      </c>
    </row>
    <row r="1253" spans="19:23" x14ac:dyDescent="0.2">
      <c r="S1253" s="87" t="s">
        <v>11470</v>
      </c>
      <c r="T1253" s="87" t="s">
        <v>11471</v>
      </c>
      <c r="U1253" s="90">
        <v>1291.1291053056004</v>
      </c>
      <c r="V1253" s="89" t="s">
        <v>9344</v>
      </c>
      <c r="W1253" s="90">
        <f t="shared" si="60"/>
        <v>774.67746318336026</v>
      </c>
    </row>
    <row r="1254" spans="19:23" x14ac:dyDescent="0.2">
      <c r="S1254" s="87" t="s">
        <v>6416</v>
      </c>
      <c r="T1254" s="87" t="s">
        <v>6417</v>
      </c>
      <c r="U1254" s="90">
        <v>1780.5844115896323</v>
      </c>
      <c r="V1254" s="89" t="s">
        <v>9344</v>
      </c>
      <c r="W1254" s="90">
        <f t="shared" si="60"/>
        <v>1068.3506469537792</v>
      </c>
    </row>
    <row r="1255" spans="19:23" x14ac:dyDescent="0.2">
      <c r="S1255" s="87" t="s">
        <v>6410</v>
      </c>
      <c r="T1255" s="87" t="s">
        <v>6411</v>
      </c>
      <c r="U1255" s="90">
        <v>1056.3783588864003</v>
      </c>
      <c r="V1255" s="89" t="s">
        <v>9344</v>
      </c>
      <c r="W1255" s="90">
        <f t="shared" si="60"/>
        <v>633.82701533184013</v>
      </c>
    </row>
    <row r="1256" spans="19:23" x14ac:dyDescent="0.2">
      <c r="S1256" s="87" t="s">
        <v>6413</v>
      </c>
      <c r="T1256" s="87" t="s">
        <v>6414</v>
      </c>
      <c r="U1256" s="90">
        <v>1486.7547273216003</v>
      </c>
      <c r="V1256" s="89" t="s">
        <v>9344</v>
      </c>
      <c r="W1256" s="90">
        <f t="shared" si="60"/>
        <v>892.0528363929601</v>
      </c>
    </row>
    <row r="1257" spans="19:23" x14ac:dyDescent="0.2">
      <c r="S1257" s="87" t="s">
        <v>11472</v>
      </c>
      <c r="T1257" s="87" t="s">
        <v>11473</v>
      </c>
      <c r="U1257" s="90">
        <v>1173.7537320960002</v>
      </c>
      <c r="V1257" s="89" t="s">
        <v>9344</v>
      </c>
      <c r="W1257" s="90">
        <f t="shared" si="60"/>
        <v>704.25223925760008</v>
      </c>
    </row>
    <row r="1258" spans="19:23" x14ac:dyDescent="0.2">
      <c r="S1258" s="87" t="s">
        <v>6443</v>
      </c>
      <c r="T1258" s="87" t="s">
        <v>6444</v>
      </c>
      <c r="U1258" s="90">
        <v>2475.4466209904645</v>
      </c>
      <c r="V1258" s="89" t="s">
        <v>9344</v>
      </c>
      <c r="W1258" s="90">
        <f t="shared" si="60"/>
        <v>1485.2679725942787</v>
      </c>
    </row>
    <row r="1259" spans="19:23" x14ac:dyDescent="0.2">
      <c r="S1259" s="87" t="s">
        <v>6440</v>
      </c>
      <c r="T1259" s="87" t="s">
        <v>6441</v>
      </c>
      <c r="U1259" s="90">
        <v>1606.8688592394244</v>
      </c>
      <c r="V1259" s="89" t="s">
        <v>9344</v>
      </c>
      <c r="W1259" s="90">
        <f t="shared" si="60"/>
        <v>964.12131554365465</v>
      </c>
    </row>
    <row r="1260" spans="19:23" x14ac:dyDescent="0.2">
      <c r="S1260" s="87" t="s">
        <v>6437</v>
      </c>
      <c r="T1260" s="87" t="s">
        <v>6438</v>
      </c>
      <c r="U1260" s="90">
        <v>1259.4377545390084</v>
      </c>
      <c r="V1260" s="89" t="s">
        <v>9344</v>
      </c>
      <c r="W1260" s="90">
        <f t="shared" si="60"/>
        <v>755.66265272340502</v>
      </c>
    </row>
    <row r="1261" spans="19:23" x14ac:dyDescent="0.2">
      <c r="S1261" s="87" t="s">
        <v>11474</v>
      </c>
      <c r="T1261" s="87" t="s">
        <v>11475</v>
      </c>
      <c r="U1261" s="90">
        <v>3344.0243827415052</v>
      </c>
      <c r="V1261" s="89" t="s">
        <v>9344</v>
      </c>
      <c r="W1261" s="90">
        <f t="shared" si="60"/>
        <v>2006.414629644903</v>
      </c>
    </row>
    <row r="1262" spans="19:23" x14ac:dyDescent="0.2">
      <c r="S1262" s="87" t="s">
        <v>11476</v>
      </c>
      <c r="T1262" s="87" t="s">
        <v>11477</v>
      </c>
      <c r="U1262" s="90">
        <v>4299.4599206676494</v>
      </c>
      <c r="V1262" s="89" t="s">
        <v>9344</v>
      </c>
      <c r="W1262" s="90">
        <f t="shared" si="60"/>
        <v>2579.6759524005897</v>
      </c>
    </row>
    <row r="1263" spans="19:23" x14ac:dyDescent="0.2">
      <c r="S1263" s="87" t="s">
        <v>11478</v>
      </c>
      <c r="T1263" s="87" t="s">
        <v>11479</v>
      </c>
      <c r="U1263" s="90">
        <v>4646.8910253680642</v>
      </c>
      <c r="V1263" s="89" t="s">
        <v>9344</v>
      </c>
      <c r="W1263" s="90">
        <f t="shared" si="60"/>
        <v>2788.1346152208384</v>
      </c>
    </row>
    <row r="1264" spans="19:23" x14ac:dyDescent="0.2">
      <c r="S1264" s="87" t="s">
        <v>11480</v>
      </c>
      <c r="T1264" s="87" t="s">
        <v>11481</v>
      </c>
      <c r="U1264" s="90">
        <v>2301.7310686402566</v>
      </c>
      <c r="V1264" s="89" t="s">
        <v>9344</v>
      </c>
      <c r="W1264" s="90">
        <f t="shared" si="60"/>
        <v>1381.0386411841539</v>
      </c>
    </row>
    <row r="1265" spans="19:23" x14ac:dyDescent="0.2">
      <c r="S1265" s="87" t="s">
        <v>11482</v>
      </c>
      <c r="T1265" s="87" t="s">
        <v>11483</v>
      </c>
      <c r="U1265" s="90">
        <v>3170.3088303912969</v>
      </c>
      <c r="V1265" s="89" t="s">
        <v>9344</v>
      </c>
      <c r="W1265" s="90">
        <f t="shared" si="60"/>
        <v>1902.185298234778</v>
      </c>
    </row>
    <row r="1266" spans="19:23" x14ac:dyDescent="0.2">
      <c r="S1266" s="87" t="s">
        <v>11484</v>
      </c>
      <c r="T1266" s="87" t="s">
        <v>11485</v>
      </c>
      <c r="U1266" s="90">
        <v>1259.4377545390084</v>
      </c>
      <c r="V1266" s="89" t="s">
        <v>9344</v>
      </c>
      <c r="W1266" s="90">
        <f t="shared" si="60"/>
        <v>755.66265272340502</v>
      </c>
    </row>
    <row r="1267" spans="19:23" x14ac:dyDescent="0.2">
      <c r="S1267" s="87" t="s">
        <v>11486</v>
      </c>
      <c r="T1267" s="87" t="s">
        <v>11487</v>
      </c>
      <c r="U1267" s="90">
        <v>1650.2977473269768</v>
      </c>
      <c r="V1267" s="89" t="s">
        <v>9344</v>
      </c>
      <c r="W1267" s="90">
        <f t="shared" si="60"/>
        <v>990.17864839618608</v>
      </c>
    </row>
    <row r="1268" spans="19:23" x14ac:dyDescent="0.2">
      <c r="S1268" s="87" t="s">
        <v>11488</v>
      </c>
      <c r="T1268" s="87" t="s">
        <v>11489</v>
      </c>
      <c r="U1268" s="90">
        <v>1956.2562201600001</v>
      </c>
      <c r="V1268" s="89" t="s">
        <v>9344</v>
      </c>
      <c r="W1268" s="90">
        <f t="shared" si="60"/>
        <v>1173.753732096</v>
      </c>
    </row>
    <row r="1269" spans="19:23" x14ac:dyDescent="0.2">
      <c r="S1269" s="87" t="s">
        <v>11490</v>
      </c>
      <c r="T1269" s="87" t="s">
        <v>11491</v>
      </c>
      <c r="U1269" s="90">
        <v>2475.4466209904645</v>
      </c>
      <c r="V1269" s="89" t="s">
        <v>9344</v>
      </c>
      <c r="W1269" s="90">
        <f t="shared" si="60"/>
        <v>1485.2679725942787</v>
      </c>
    </row>
    <row r="1270" spans="19:23" x14ac:dyDescent="0.2">
      <c r="S1270" s="87" t="s">
        <v>11492</v>
      </c>
      <c r="T1270" s="87" t="s">
        <v>11493</v>
      </c>
      <c r="U1270" s="90">
        <v>1563.4399711518722</v>
      </c>
      <c r="V1270" s="89" t="s">
        <v>9344</v>
      </c>
      <c r="W1270" s="90">
        <f t="shared" si="60"/>
        <v>938.06398269112333</v>
      </c>
    </row>
    <row r="1271" spans="19:23" x14ac:dyDescent="0.2">
      <c r="S1271" s="87" t="s">
        <v>11494</v>
      </c>
      <c r="T1271" s="87" t="s">
        <v>11495</v>
      </c>
      <c r="U1271" s="90">
        <v>1682.3803493376004</v>
      </c>
      <c r="V1271" s="89" t="s">
        <v>9344</v>
      </c>
      <c r="W1271" s="90">
        <f t="shared" si="60"/>
        <v>1009.4282096025602</v>
      </c>
    </row>
    <row r="1272" spans="19:23" x14ac:dyDescent="0.2">
      <c r="S1272" s="87" t="s">
        <v>11496</v>
      </c>
      <c r="T1272" s="87" t="s">
        <v>11497</v>
      </c>
      <c r="U1272" s="90">
        <v>7686.9131914967065</v>
      </c>
      <c r="V1272" s="89" t="s">
        <v>9344</v>
      </c>
      <c r="W1272" s="90">
        <f t="shared" si="60"/>
        <v>4612.1479148980234</v>
      </c>
    </row>
    <row r="1273" spans="19:23" x14ac:dyDescent="0.2">
      <c r="S1273" s="87" t="s">
        <v>11498</v>
      </c>
      <c r="T1273" s="87" t="s">
        <v>11499</v>
      </c>
      <c r="U1273" s="90">
        <v>3344.0243827415052</v>
      </c>
      <c r="V1273" s="89" t="s">
        <v>9344</v>
      </c>
      <c r="W1273" s="90">
        <f t="shared" si="60"/>
        <v>2006.414629644903</v>
      </c>
    </row>
    <row r="1274" spans="19:23" x14ac:dyDescent="0.2">
      <c r="S1274" s="87" t="s">
        <v>11500</v>
      </c>
      <c r="T1274" s="87" t="s">
        <v>11501</v>
      </c>
      <c r="U1274" s="90">
        <v>6210.3309965199378</v>
      </c>
      <c r="V1274" s="89" t="s">
        <v>9344</v>
      </c>
      <c r="W1274" s="90">
        <f t="shared" si="60"/>
        <v>3726.1985979119627</v>
      </c>
    </row>
    <row r="1275" spans="19:23" x14ac:dyDescent="0.2">
      <c r="S1275" s="87" t="s">
        <v>11502</v>
      </c>
      <c r="T1275" s="87" t="s">
        <v>11503</v>
      </c>
      <c r="U1275" s="90">
        <v>4038.8865921423376</v>
      </c>
      <c r="V1275" s="89" t="s">
        <v>9344</v>
      </c>
      <c r="W1275" s="90">
        <f t="shared" si="60"/>
        <v>2423.3319552854023</v>
      </c>
    </row>
    <row r="1276" spans="19:23" x14ac:dyDescent="0.2">
      <c r="S1276" s="87" t="s">
        <v>11504</v>
      </c>
      <c r="T1276" s="87" t="s">
        <v>11505</v>
      </c>
      <c r="U1276" s="90">
        <v>1134.6286076928</v>
      </c>
      <c r="V1276" s="89" t="s">
        <v>9344</v>
      </c>
      <c r="W1276" s="90">
        <f t="shared" si="60"/>
        <v>680.77716461567991</v>
      </c>
    </row>
    <row r="1277" spans="19:23" x14ac:dyDescent="0.2">
      <c r="S1277" s="87" t="s">
        <v>11506</v>
      </c>
      <c r="T1277" s="87" t="s">
        <v>11507</v>
      </c>
      <c r="U1277" s="90">
        <v>998.86442601369629</v>
      </c>
      <c r="V1277" s="89" t="s">
        <v>9344</v>
      </c>
      <c r="W1277" s="90">
        <f t="shared" si="60"/>
        <v>599.3186556082178</v>
      </c>
    </row>
    <row r="1278" spans="19:23" x14ac:dyDescent="0.2">
      <c r="S1278" s="87" t="s">
        <v>11508</v>
      </c>
      <c r="T1278" s="87" t="s">
        <v>11509</v>
      </c>
      <c r="U1278" s="90">
        <v>1302.8666426265602</v>
      </c>
      <c r="V1278" s="89" t="s">
        <v>9344</v>
      </c>
      <c r="W1278" s="90">
        <f t="shared" si="60"/>
        <v>781.71998557593611</v>
      </c>
    </row>
    <row r="1279" spans="19:23" x14ac:dyDescent="0.2">
      <c r="S1279" s="87" t="s">
        <v>11510</v>
      </c>
      <c r="T1279" s="87" t="s">
        <v>11511</v>
      </c>
      <c r="U1279" s="90">
        <v>3325.6355742720002</v>
      </c>
      <c r="V1279" s="89" t="s">
        <v>9344</v>
      </c>
      <c r="W1279" s="90">
        <f t="shared" si="60"/>
        <v>1995.3813445631999</v>
      </c>
    </row>
    <row r="1280" spans="19:23" x14ac:dyDescent="0.2">
      <c r="S1280" s="87" t="s">
        <v>6434</v>
      </c>
      <c r="T1280" s="87" t="s">
        <v>6435</v>
      </c>
      <c r="U1280" s="90">
        <v>1433.1533068892168</v>
      </c>
      <c r="V1280" s="89" t="s">
        <v>9344</v>
      </c>
      <c r="W1280" s="90">
        <f t="shared" si="60"/>
        <v>859.89198413353006</v>
      </c>
    </row>
    <row r="1281" spans="19:23" x14ac:dyDescent="0.2">
      <c r="S1281" s="87" t="s">
        <v>6428</v>
      </c>
      <c r="T1281" s="87" t="s">
        <v>6429</v>
      </c>
      <c r="U1281" s="90">
        <v>955.43553792614432</v>
      </c>
      <c r="V1281" s="89" t="s">
        <v>9344</v>
      </c>
      <c r="W1281" s="90">
        <f t="shared" si="60"/>
        <v>573.26132275568659</v>
      </c>
    </row>
    <row r="1282" spans="19:23" x14ac:dyDescent="0.2">
      <c r="S1282" s="87" t="s">
        <v>6431</v>
      </c>
      <c r="T1282" s="87" t="s">
        <v>6432</v>
      </c>
      <c r="U1282" s="90">
        <v>1259.4377545390084</v>
      </c>
      <c r="V1282" s="89" t="s">
        <v>9344</v>
      </c>
      <c r="W1282" s="90">
        <f t="shared" si="60"/>
        <v>755.66265272340502</v>
      </c>
    </row>
    <row r="1283" spans="19:23" x14ac:dyDescent="0.2">
      <c r="S1283" s="87" t="s">
        <v>11512</v>
      </c>
      <c r="T1283" s="87" t="s">
        <v>11513</v>
      </c>
      <c r="U1283" s="90">
        <v>1056.3783588864003</v>
      </c>
      <c r="V1283" s="89" t="s">
        <v>9344</v>
      </c>
      <c r="W1283" s="90">
        <f t="shared" si="60"/>
        <v>633.82701533184013</v>
      </c>
    </row>
    <row r="1284" spans="19:23" x14ac:dyDescent="0.2">
      <c r="S1284" s="87" t="s">
        <v>6425</v>
      </c>
      <c r="T1284" s="87" t="s">
        <v>6426</v>
      </c>
      <c r="U1284" s="90">
        <v>1408.5044785151999</v>
      </c>
      <c r="V1284" s="89" t="s">
        <v>9344</v>
      </c>
      <c r="W1284" s="90">
        <f t="shared" si="60"/>
        <v>845.10268710911998</v>
      </c>
    </row>
    <row r="1285" spans="19:23" x14ac:dyDescent="0.2">
      <c r="S1285" s="87" t="s">
        <v>6419</v>
      </c>
      <c r="T1285" s="87" t="s">
        <v>6420</v>
      </c>
      <c r="U1285" s="90">
        <v>782.50248806400009</v>
      </c>
      <c r="V1285" s="89" t="s">
        <v>9344</v>
      </c>
      <c r="W1285" s="90">
        <f t="shared" si="60"/>
        <v>469.50149283840005</v>
      </c>
    </row>
    <row r="1286" spans="19:23" x14ac:dyDescent="0.2">
      <c r="S1286" s="87" t="s">
        <v>6422</v>
      </c>
      <c r="T1286" s="87" t="s">
        <v>6423</v>
      </c>
      <c r="U1286" s="90">
        <v>1134.6286076928</v>
      </c>
      <c r="V1286" s="89" t="s">
        <v>9344</v>
      </c>
      <c r="W1286" s="90">
        <f t="shared" si="60"/>
        <v>680.77716461567991</v>
      </c>
    </row>
    <row r="1287" spans="19:23" x14ac:dyDescent="0.2">
      <c r="S1287" s="87" t="s">
        <v>11514</v>
      </c>
      <c r="T1287" s="87" t="s">
        <v>11515</v>
      </c>
      <c r="U1287" s="90">
        <v>1172.5799783639043</v>
      </c>
      <c r="V1287" s="89" t="s">
        <v>9344</v>
      </c>
      <c r="W1287" s="90">
        <f t="shared" si="60"/>
        <v>703.5479870183425</v>
      </c>
    </row>
    <row r="1288" spans="19:23" x14ac:dyDescent="0.2">
      <c r="S1288" s="87" t="s">
        <v>11516</v>
      </c>
      <c r="T1288" s="87" t="s">
        <v>11517</v>
      </c>
      <c r="U1288" s="90">
        <v>2214.8732924651526</v>
      </c>
      <c r="V1288" s="89" t="s">
        <v>9344</v>
      </c>
      <c r="W1288" s="90">
        <f t="shared" si="60"/>
        <v>1328.9239754790915</v>
      </c>
    </row>
    <row r="1289" spans="19:23" x14ac:dyDescent="0.2">
      <c r="S1289" s="87" t="s">
        <v>11518</v>
      </c>
      <c r="T1289" s="87" t="s">
        <v>11519</v>
      </c>
      <c r="U1289" s="90">
        <v>1956.4714083442182</v>
      </c>
      <c r="V1289" s="89" t="s">
        <v>9344</v>
      </c>
      <c r="W1289" s="90">
        <f t="shared" si="60"/>
        <v>1173.8828450065309</v>
      </c>
    </row>
    <row r="1290" spans="19:23" x14ac:dyDescent="0.2">
      <c r="S1290" s="87" t="s">
        <v>11520</v>
      </c>
      <c r="T1290" s="87" t="s">
        <v>11521</v>
      </c>
      <c r="U1290" s="90">
        <v>1070.522091358157</v>
      </c>
      <c r="V1290" s="89" t="s">
        <v>9344</v>
      </c>
      <c r="W1290" s="90">
        <f t="shared" si="60"/>
        <v>642.31325481489421</v>
      </c>
    </row>
    <row r="1291" spans="19:23" x14ac:dyDescent="0.2">
      <c r="S1291" s="87" t="s">
        <v>11522</v>
      </c>
      <c r="T1291" s="87" t="s">
        <v>11523</v>
      </c>
      <c r="U1291" s="90">
        <v>1661.1549693488646</v>
      </c>
      <c r="V1291" s="89" t="s">
        <v>9344</v>
      </c>
      <c r="W1291" s="90">
        <f t="shared" si="60"/>
        <v>996.69298160931874</v>
      </c>
    </row>
    <row r="1292" spans="19:23" x14ac:dyDescent="0.2">
      <c r="S1292" s="87" t="s">
        <v>11524</v>
      </c>
      <c r="T1292" s="87" t="s">
        <v>11525</v>
      </c>
      <c r="U1292" s="90">
        <v>1144.3512011069954</v>
      </c>
      <c r="V1292" s="89" t="s">
        <v>9344</v>
      </c>
      <c r="W1292" s="90">
        <f t="shared" si="60"/>
        <v>686.61072066419717</v>
      </c>
    </row>
    <row r="1293" spans="19:23" x14ac:dyDescent="0.2">
      <c r="S1293" s="87" t="s">
        <v>11526</v>
      </c>
      <c r="T1293" s="87" t="s">
        <v>11527</v>
      </c>
      <c r="U1293" s="90">
        <v>13655.876119985824</v>
      </c>
      <c r="V1293" s="89" t="s">
        <v>9344</v>
      </c>
      <c r="W1293" s="90">
        <f t="shared" si="60"/>
        <v>8193.5256719914942</v>
      </c>
    </row>
    <row r="1294" spans="19:23" x14ac:dyDescent="0.2">
      <c r="S1294" s="87" t="s">
        <v>11528</v>
      </c>
      <c r="T1294" s="87" t="s">
        <v>11529</v>
      </c>
      <c r="U1294" s="90">
        <v>17557.555011410343</v>
      </c>
      <c r="V1294" s="89" t="s">
        <v>9344</v>
      </c>
      <c r="W1294" s="90">
        <f t="shared" si="60"/>
        <v>10534.533006846204</v>
      </c>
    </row>
    <row r="1295" spans="19:23" x14ac:dyDescent="0.2">
      <c r="S1295" s="87" t="s">
        <v>11530</v>
      </c>
      <c r="T1295" s="87" t="s">
        <v>11531</v>
      </c>
      <c r="U1295" s="90">
        <v>27414.42800027231</v>
      </c>
      <c r="V1295" s="89" t="s">
        <v>9344</v>
      </c>
      <c r="W1295" s="90">
        <f t="shared" si="60"/>
        <v>16448.656800163386</v>
      </c>
    </row>
    <row r="1296" spans="19:23" x14ac:dyDescent="0.2">
      <c r="S1296" s="87" t="s">
        <v>11532</v>
      </c>
      <c r="T1296" s="87" t="s">
        <v>11533</v>
      </c>
      <c r="U1296" s="90">
        <v>35217.785783121341</v>
      </c>
      <c r="V1296" s="89" t="s">
        <v>9344</v>
      </c>
      <c r="W1296" s="90">
        <f t="shared" si="60"/>
        <v>21130.671469872803</v>
      </c>
    </row>
    <row r="1297" spans="19:23" x14ac:dyDescent="0.2">
      <c r="S1297" s="87" t="s">
        <v>11534</v>
      </c>
      <c r="T1297" s="87" t="s">
        <v>11535</v>
      </c>
      <c r="U1297" s="90">
        <v>117358.39402363755</v>
      </c>
      <c r="V1297" s="89" t="s">
        <v>9344</v>
      </c>
      <c r="W1297" s="90">
        <f t="shared" si="60"/>
        <v>70415.036414182527</v>
      </c>
    </row>
    <row r="1298" spans="19:23" x14ac:dyDescent="0.2">
      <c r="S1298" s="87" t="s">
        <v>11536</v>
      </c>
      <c r="T1298" s="87" t="s">
        <v>11537</v>
      </c>
      <c r="U1298" s="90">
        <v>13384.602000000001</v>
      </c>
      <c r="V1298" s="89" t="s">
        <v>9344</v>
      </c>
      <c r="W1298" s="90">
        <f t="shared" si="60"/>
        <v>8030.7611999999999</v>
      </c>
    </row>
    <row r="1299" spans="19:23" x14ac:dyDescent="0.2">
      <c r="S1299" s="87" t="s">
        <v>11538</v>
      </c>
      <c r="T1299" s="87" t="s">
        <v>11539</v>
      </c>
      <c r="U1299" s="90">
        <v>16278.57</v>
      </c>
      <c r="V1299" s="89" t="s">
        <v>9344</v>
      </c>
      <c r="W1299" s="90">
        <f t="shared" si="60"/>
        <v>9767.1419999999998</v>
      </c>
    </row>
    <row r="1300" spans="19:23" x14ac:dyDescent="0.2">
      <c r="S1300" s="87" t="s">
        <v>11540</v>
      </c>
      <c r="T1300" s="87" t="s">
        <v>11541</v>
      </c>
      <c r="U1300" s="90">
        <v>42633.565696006692</v>
      </c>
      <c r="V1300" s="89" t="s">
        <v>9344</v>
      </c>
      <c r="W1300" s="90">
        <f t="shared" si="60"/>
        <v>25580.139417604016</v>
      </c>
    </row>
    <row r="1301" spans="19:23" x14ac:dyDescent="0.2">
      <c r="S1301" s="87" t="s">
        <v>11542</v>
      </c>
      <c r="T1301" s="87" t="s">
        <v>11541</v>
      </c>
      <c r="U1301" s="90">
        <v>42633.565696006692</v>
      </c>
      <c r="V1301" s="89" t="s">
        <v>9344</v>
      </c>
      <c r="W1301" s="90">
        <f t="shared" si="60"/>
        <v>25580.139417604016</v>
      </c>
    </row>
    <row r="1302" spans="19:23" x14ac:dyDescent="0.2">
      <c r="S1302" s="87" t="s">
        <v>11543</v>
      </c>
      <c r="T1302" s="87" t="s">
        <v>11544</v>
      </c>
      <c r="U1302" s="90">
        <v>5749.57</v>
      </c>
      <c r="V1302" s="89" t="s">
        <v>9344</v>
      </c>
      <c r="W1302" s="90">
        <f t="shared" si="60"/>
        <v>3449.7419999999997</v>
      </c>
    </row>
    <row r="1303" spans="19:23" x14ac:dyDescent="0.2">
      <c r="S1303" s="87" t="s">
        <v>11545</v>
      </c>
      <c r="T1303" s="87" t="s">
        <v>11546</v>
      </c>
      <c r="U1303" s="90">
        <v>4499.1555840000001</v>
      </c>
      <c r="V1303" s="89" t="s">
        <v>9344</v>
      </c>
      <c r="W1303" s="90">
        <f t="shared" si="60"/>
        <v>2699.4933504000001</v>
      </c>
    </row>
    <row r="1304" spans="19:23" x14ac:dyDescent="0.2">
      <c r="S1304" s="87" t="s">
        <v>11547</v>
      </c>
      <c r="T1304" s="87" t="s">
        <v>11548</v>
      </c>
      <c r="U1304" s="90">
        <v>4674.4473600000001</v>
      </c>
      <c r="V1304" s="89" t="s">
        <v>9344</v>
      </c>
      <c r="W1304" s="90">
        <f t="shared" si="60"/>
        <v>2804.668416</v>
      </c>
    </row>
    <row r="1305" spans="19:23" x14ac:dyDescent="0.2">
      <c r="S1305" s="87" t="s">
        <v>11549</v>
      </c>
      <c r="T1305" s="87" t="s">
        <v>11550</v>
      </c>
      <c r="U1305" s="90">
        <v>4966.6003199999996</v>
      </c>
      <c r="V1305" s="89" t="s">
        <v>9344</v>
      </c>
      <c r="W1305" s="90">
        <f t="shared" ref="W1305:W1318" si="61">+IF(V1305="Nacional",(1-$AA$1)*U1305,(1-$AA$2)*U1305)</f>
        <v>2979.9601919999996</v>
      </c>
    </row>
    <row r="1306" spans="19:23" x14ac:dyDescent="0.2">
      <c r="S1306" s="87" t="s">
        <v>11551</v>
      </c>
      <c r="T1306" s="87" t="s">
        <v>11552</v>
      </c>
      <c r="U1306" s="90">
        <v>5141.8920959999996</v>
      </c>
      <c r="V1306" s="89" t="s">
        <v>9344</v>
      </c>
      <c r="W1306" s="90">
        <f t="shared" si="61"/>
        <v>3085.1352575999995</v>
      </c>
    </row>
    <row r="1307" spans="19:23" x14ac:dyDescent="0.2">
      <c r="S1307" s="87" t="s">
        <v>11553</v>
      </c>
      <c r="T1307" s="87" t="s">
        <v>11554</v>
      </c>
      <c r="U1307" s="90">
        <v>5901.4897919999994</v>
      </c>
      <c r="V1307" s="89" t="s">
        <v>9344</v>
      </c>
      <c r="W1307" s="90">
        <f t="shared" si="61"/>
        <v>3540.8938751999995</v>
      </c>
    </row>
    <row r="1308" spans="19:23" x14ac:dyDescent="0.2">
      <c r="S1308" s="87" t="s">
        <v>11555</v>
      </c>
      <c r="T1308" s="87" t="s">
        <v>11556</v>
      </c>
      <c r="U1308" s="90">
        <v>4557.5861759999998</v>
      </c>
      <c r="V1308" s="89" t="s">
        <v>9344</v>
      </c>
      <c r="W1308" s="90">
        <f t="shared" si="61"/>
        <v>2734.5517055999999</v>
      </c>
    </row>
    <row r="1309" spans="19:23" x14ac:dyDescent="0.2">
      <c r="S1309" s="87" t="s">
        <v>11557</v>
      </c>
      <c r="T1309" s="87" t="s">
        <v>11558</v>
      </c>
      <c r="U1309" s="90">
        <v>5025.0309119999993</v>
      </c>
      <c r="V1309" s="89" t="s">
        <v>9344</v>
      </c>
      <c r="W1309" s="90">
        <f t="shared" si="61"/>
        <v>3015.0185471999994</v>
      </c>
    </row>
    <row r="1310" spans="19:23" x14ac:dyDescent="0.2">
      <c r="S1310" s="87" t="s">
        <v>11559</v>
      </c>
      <c r="T1310" s="87" t="s">
        <v>11560</v>
      </c>
      <c r="U1310" s="90">
        <v>5843.0591999999997</v>
      </c>
      <c r="V1310" s="89" t="s">
        <v>9344</v>
      </c>
      <c r="W1310" s="90">
        <f t="shared" si="61"/>
        <v>3505.8355199999996</v>
      </c>
    </row>
    <row r="1311" spans="19:23" x14ac:dyDescent="0.2">
      <c r="S1311" s="87" t="s">
        <v>11561</v>
      </c>
      <c r="T1311" s="87" t="s">
        <v>11562</v>
      </c>
      <c r="U1311" s="90">
        <v>3097.692007723505</v>
      </c>
      <c r="V1311" s="89" t="s">
        <v>9344</v>
      </c>
      <c r="W1311" s="90">
        <f t="shared" si="61"/>
        <v>1858.6152046341028</v>
      </c>
    </row>
    <row r="1312" spans="19:23" x14ac:dyDescent="0.2">
      <c r="S1312" s="87" t="s">
        <v>11563</v>
      </c>
      <c r="T1312" s="87" t="s">
        <v>11564</v>
      </c>
      <c r="U1312" s="90">
        <v>778.40927099999999</v>
      </c>
      <c r="V1312" s="89" t="s">
        <v>9344</v>
      </c>
      <c r="W1312" s="90">
        <f t="shared" si="61"/>
        <v>467.04556259999998</v>
      </c>
    </row>
    <row r="1313" spans="19:23" x14ac:dyDescent="0.2">
      <c r="S1313" s="87" t="s">
        <v>11565</v>
      </c>
      <c r="T1313" s="87" t="s">
        <v>11566</v>
      </c>
      <c r="U1313" s="90">
        <v>1160.4506309999999</v>
      </c>
      <c r="V1313" s="89" t="s">
        <v>9344</v>
      </c>
      <c r="W1313" s="90">
        <f t="shared" si="61"/>
        <v>696.27037859999996</v>
      </c>
    </row>
    <row r="1314" spans="19:23" x14ac:dyDescent="0.2">
      <c r="S1314" s="87" t="s">
        <v>11567</v>
      </c>
      <c r="T1314" s="87" t="s">
        <v>11568</v>
      </c>
      <c r="U1314" s="90">
        <v>1800.369909</v>
      </c>
      <c r="V1314" s="89" t="s">
        <v>9344</v>
      </c>
      <c r="W1314" s="90">
        <f t="shared" si="61"/>
        <v>1080.2219453999999</v>
      </c>
    </row>
    <row r="1315" spans="19:23" x14ac:dyDescent="0.2">
      <c r="S1315" s="87" t="s">
        <v>11569</v>
      </c>
      <c r="T1315" s="87" t="s">
        <v>11570</v>
      </c>
      <c r="U1315" s="90">
        <v>3772.6584300000004</v>
      </c>
      <c r="V1315" s="89" t="s">
        <v>9344</v>
      </c>
      <c r="W1315" s="90">
        <f t="shared" si="61"/>
        <v>2263.5950580000003</v>
      </c>
    </row>
    <row r="1316" spans="19:23" x14ac:dyDescent="0.2">
      <c r="S1316" s="87" t="s">
        <v>11571</v>
      </c>
      <c r="T1316" s="87" t="s">
        <v>11572</v>
      </c>
      <c r="U1316" s="90">
        <v>6255.9272700000001</v>
      </c>
      <c r="V1316" s="89" t="s">
        <v>9344</v>
      </c>
      <c r="W1316" s="90">
        <f t="shared" si="61"/>
        <v>3753.5563619999998</v>
      </c>
    </row>
    <row r="1317" spans="19:23" x14ac:dyDescent="0.2">
      <c r="S1317" s="87" t="s">
        <v>11573</v>
      </c>
      <c r="T1317" s="87" t="s">
        <v>11574</v>
      </c>
      <c r="U1317" s="90">
        <v>661.55116262399997</v>
      </c>
      <c r="V1317" s="89" t="s">
        <v>9344</v>
      </c>
      <c r="W1317" s="90">
        <f t="shared" si="61"/>
        <v>396.93069757439997</v>
      </c>
    </row>
    <row r="1318" spans="19:23" x14ac:dyDescent="0.2">
      <c r="S1318" s="87" t="s">
        <v>11575</v>
      </c>
      <c r="T1318" s="87" t="s">
        <v>11576</v>
      </c>
      <c r="U1318" s="90">
        <v>583.72161407999999</v>
      </c>
      <c r="V1318" s="89" t="s">
        <v>9344</v>
      </c>
      <c r="W1318" s="90">
        <f t="shared" si="61"/>
        <v>350.23296844800001</v>
      </c>
    </row>
    <row r="1319" spans="19:23" x14ac:dyDescent="0.2">
      <c r="S1319" t="s">
        <v>21392</v>
      </c>
      <c r="T1319" t="s">
        <v>21426</v>
      </c>
      <c r="W1319" s="90">
        <v>0</v>
      </c>
    </row>
    <row r="1320" spans="19:23" x14ac:dyDescent="0.2">
      <c r="S1320" t="s">
        <v>21393</v>
      </c>
      <c r="T1320" t="s">
        <v>21427</v>
      </c>
      <c r="W1320" s="90">
        <v>0</v>
      </c>
    </row>
    <row r="1321" spans="19:23" x14ac:dyDescent="0.2">
      <c r="S1321" t="s">
        <v>21394</v>
      </c>
      <c r="T1321" t="s">
        <v>21428</v>
      </c>
      <c r="W1321" s="90">
        <v>0</v>
      </c>
    </row>
    <row r="1322" spans="19:23" x14ac:dyDescent="0.2">
      <c r="S1322" t="s">
        <v>21393</v>
      </c>
      <c r="T1322" t="s">
        <v>21429</v>
      </c>
      <c r="W1322" s="90">
        <v>0</v>
      </c>
    </row>
    <row r="1323" spans="19:23" x14ac:dyDescent="0.2">
      <c r="S1323" t="s">
        <v>21395</v>
      </c>
      <c r="T1323" t="s">
        <v>21430</v>
      </c>
      <c r="W1323" s="90">
        <v>2070.6</v>
      </c>
    </row>
    <row r="1324" spans="19:23" x14ac:dyDescent="0.2">
      <c r="S1324" t="s">
        <v>21396</v>
      </c>
      <c r="T1324" t="s">
        <v>21431</v>
      </c>
      <c r="W1324" s="90">
        <v>0</v>
      </c>
    </row>
    <row r="1325" spans="19:23" x14ac:dyDescent="0.2">
      <c r="S1325" t="s">
        <v>9487</v>
      </c>
      <c r="T1325" t="s">
        <v>21432</v>
      </c>
      <c r="W1325" s="90">
        <v>2070.6</v>
      </c>
    </row>
    <row r="1326" spans="19:23" x14ac:dyDescent="0.2">
      <c r="S1326" t="s">
        <v>21392</v>
      </c>
      <c r="T1326" t="s">
        <v>21433</v>
      </c>
      <c r="W1326" s="90">
        <v>0</v>
      </c>
    </row>
    <row r="1327" spans="19:23" x14ac:dyDescent="0.2">
      <c r="S1327" t="s">
        <v>21393</v>
      </c>
      <c r="T1327" t="s">
        <v>21434</v>
      </c>
      <c r="W1327" s="90">
        <v>0</v>
      </c>
    </row>
    <row r="1328" spans="19:23" x14ac:dyDescent="0.2">
      <c r="S1328" t="s">
        <v>21397</v>
      </c>
      <c r="T1328" t="s">
        <v>21435</v>
      </c>
      <c r="W1328" s="90">
        <v>2958</v>
      </c>
    </row>
    <row r="1329" spans="19:23" x14ac:dyDescent="0.2">
      <c r="S1329" t="s">
        <v>9491</v>
      </c>
      <c r="T1329" t="s">
        <v>21436</v>
      </c>
      <c r="W1329" s="90">
        <v>2958</v>
      </c>
    </row>
    <row r="1330" spans="19:23" x14ac:dyDescent="0.2">
      <c r="S1330" t="s">
        <v>21398</v>
      </c>
      <c r="T1330" t="s">
        <v>21437</v>
      </c>
      <c r="W1330" s="90">
        <v>2958</v>
      </c>
    </row>
    <row r="1331" spans="19:23" x14ac:dyDescent="0.2">
      <c r="S1331" t="s">
        <v>21399</v>
      </c>
      <c r="T1331" t="s">
        <v>21438</v>
      </c>
      <c r="W1331" s="90">
        <v>2958</v>
      </c>
    </row>
    <row r="1332" spans="19:23" x14ac:dyDescent="0.2">
      <c r="S1332" t="s">
        <v>21400</v>
      </c>
      <c r="T1332" t="s">
        <v>21439</v>
      </c>
      <c r="W1332" s="90">
        <v>0</v>
      </c>
    </row>
    <row r="1333" spans="19:23" x14ac:dyDescent="0.2">
      <c r="S1333" t="s">
        <v>21401</v>
      </c>
      <c r="T1333" t="s">
        <v>21440</v>
      </c>
      <c r="W1333" s="90">
        <v>0</v>
      </c>
    </row>
    <row r="1334" spans="19:23" x14ac:dyDescent="0.2">
      <c r="S1334" t="s">
        <v>9492</v>
      </c>
      <c r="T1334" t="s">
        <v>21441</v>
      </c>
      <c r="W1334" s="90">
        <v>2070.6</v>
      </c>
    </row>
    <row r="1335" spans="19:23" x14ac:dyDescent="0.2">
      <c r="S1335" t="s">
        <v>21402</v>
      </c>
      <c r="T1335" t="s">
        <v>21442</v>
      </c>
      <c r="W1335" s="90">
        <v>2070.6</v>
      </c>
    </row>
    <row r="1336" spans="19:23" x14ac:dyDescent="0.2">
      <c r="S1336" t="s">
        <v>21395</v>
      </c>
      <c r="T1336" t="s">
        <v>21443</v>
      </c>
      <c r="W1336" s="90">
        <v>2070.6</v>
      </c>
    </row>
    <row r="1337" spans="19:23" x14ac:dyDescent="0.2">
      <c r="S1337" t="s">
        <v>21396</v>
      </c>
      <c r="T1337" t="s">
        <v>21444</v>
      </c>
      <c r="W1337" s="90">
        <v>0</v>
      </c>
    </row>
    <row r="1338" spans="19:23" x14ac:dyDescent="0.2">
      <c r="S1338" t="s">
        <v>9490</v>
      </c>
      <c r="T1338" t="s">
        <v>21445</v>
      </c>
      <c r="W1338" s="90">
        <v>2070.6</v>
      </c>
    </row>
    <row r="1339" spans="19:23" x14ac:dyDescent="0.2">
      <c r="S1339" t="s">
        <v>21403</v>
      </c>
      <c r="T1339" t="s">
        <v>21446</v>
      </c>
      <c r="W1339" s="90">
        <v>0</v>
      </c>
    </row>
    <row r="1340" spans="19:23" x14ac:dyDescent="0.2">
      <c r="S1340" t="s">
        <v>21404</v>
      </c>
      <c r="T1340" t="s">
        <v>21426</v>
      </c>
      <c r="W1340" s="90">
        <v>2070.6</v>
      </c>
    </row>
    <row r="1341" spans="19:23" x14ac:dyDescent="0.2">
      <c r="S1341" t="s">
        <v>21405</v>
      </c>
      <c r="T1341" t="s">
        <v>21427</v>
      </c>
      <c r="W1341" s="90">
        <v>2070.6</v>
      </c>
    </row>
    <row r="1342" spans="19:23" x14ac:dyDescent="0.2">
      <c r="S1342" t="s">
        <v>21406</v>
      </c>
      <c r="T1342" t="s">
        <v>21447</v>
      </c>
      <c r="W1342" s="90">
        <v>2070.6</v>
      </c>
    </row>
    <row r="1343" spans="19:23" x14ac:dyDescent="0.2">
      <c r="S1343" t="s">
        <v>21407</v>
      </c>
      <c r="T1343" t="s">
        <v>21448</v>
      </c>
      <c r="W1343" s="90">
        <v>1005.7200000000001</v>
      </c>
    </row>
    <row r="1344" spans="19:23" x14ac:dyDescent="0.2">
      <c r="S1344" t="s">
        <v>21408</v>
      </c>
      <c r="T1344" t="s">
        <v>21449</v>
      </c>
      <c r="W1344" s="90">
        <v>1005.7200000000001</v>
      </c>
    </row>
    <row r="1345" spans="19:23" x14ac:dyDescent="0.2">
      <c r="S1345" t="s">
        <v>21409</v>
      </c>
      <c r="T1345" t="s">
        <v>21450</v>
      </c>
      <c r="W1345" s="90">
        <v>1005.7200000000001</v>
      </c>
    </row>
    <row r="1346" spans="19:23" x14ac:dyDescent="0.2">
      <c r="S1346" t="s">
        <v>21410</v>
      </c>
      <c r="T1346" t="s">
        <v>21451</v>
      </c>
      <c r="W1346" s="90">
        <v>1005.7200000000001</v>
      </c>
    </row>
    <row r="1347" spans="19:23" x14ac:dyDescent="0.2">
      <c r="S1347" t="s">
        <v>4463</v>
      </c>
      <c r="T1347" t="s">
        <v>21452</v>
      </c>
      <c r="W1347" s="90">
        <v>0</v>
      </c>
    </row>
    <row r="1348" spans="19:23" x14ac:dyDescent="0.2">
      <c r="S1348" t="s">
        <v>4463</v>
      </c>
      <c r="T1348" t="s">
        <v>21426</v>
      </c>
      <c r="W1348" s="90">
        <v>0</v>
      </c>
    </row>
    <row r="1349" spans="19:23" x14ac:dyDescent="0.2">
      <c r="S1349" t="s">
        <v>21405</v>
      </c>
      <c r="T1349" t="s">
        <v>21453</v>
      </c>
      <c r="W1349" s="90">
        <v>2070.6</v>
      </c>
    </row>
    <row r="1350" spans="19:23" x14ac:dyDescent="0.2">
      <c r="S1350" t="s">
        <v>21411</v>
      </c>
      <c r="T1350" t="s">
        <v>21454</v>
      </c>
      <c r="W1350" s="90">
        <v>2070.6</v>
      </c>
    </row>
    <row r="1351" spans="19:23" x14ac:dyDescent="0.2">
      <c r="S1351" t="s">
        <v>21412</v>
      </c>
      <c r="T1351" t="s">
        <v>21455</v>
      </c>
      <c r="W1351" s="90">
        <v>0</v>
      </c>
    </row>
    <row r="1352" spans="19:23" x14ac:dyDescent="0.2">
      <c r="S1352" t="s">
        <v>21413</v>
      </c>
      <c r="T1352" t="s">
        <v>21456</v>
      </c>
      <c r="W1352" s="90">
        <v>0</v>
      </c>
    </row>
    <row r="1353" spans="19:23" x14ac:dyDescent="0.2">
      <c r="S1353" t="s">
        <v>21414</v>
      </c>
      <c r="T1353" t="s">
        <v>21457</v>
      </c>
      <c r="W1353" s="90">
        <v>0</v>
      </c>
    </row>
    <row r="1354" spans="19:23" x14ac:dyDescent="0.2">
      <c r="S1354" t="s">
        <v>21415</v>
      </c>
      <c r="T1354" t="s">
        <v>21458</v>
      </c>
      <c r="W1354" s="90">
        <v>2305.5</v>
      </c>
    </row>
    <row r="1355" spans="19:23" x14ac:dyDescent="0.2">
      <c r="S1355" t="s">
        <v>21416</v>
      </c>
      <c r="T1355" t="s">
        <v>21459</v>
      </c>
      <c r="W1355" s="90">
        <v>2188.92</v>
      </c>
    </row>
    <row r="1356" spans="19:23" x14ac:dyDescent="0.2">
      <c r="S1356" t="s">
        <v>21417</v>
      </c>
      <c r="T1356" t="s">
        <v>21460</v>
      </c>
      <c r="W1356" s="90">
        <v>0</v>
      </c>
    </row>
    <row r="1357" spans="19:23" x14ac:dyDescent="0.2">
      <c r="S1357" t="s">
        <v>9498</v>
      </c>
      <c r="T1357" t="s">
        <v>21461</v>
      </c>
      <c r="W1357" s="90">
        <v>2188.92</v>
      </c>
    </row>
    <row r="1358" spans="19:23" x14ac:dyDescent="0.2">
      <c r="S1358" t="s">
        <v>9495</v>
      </c>
      <c r="T1358" t="s">
        <v>21462</v>
      </c>
      <c r="W1358" s="90">
        <v>2307.2399999999998</v>
      </c>
    </row>
    <row r="1359" spans="19:23" x14ac:dyDescent="0.2">
      <c r="S1359" t="s">
        <v>21418</v>
      </c>
      <c r="T1359" t="s">
        <v>21463</v>
      </c>
      <c r="W1359" s="90">
        <v>2188.92</v>
      </c>
    </row>
    <row r="1360" spans="19:23" x14ac:dyDescent="0.2">
      <c r="S1360" t="s">
        <v>21419</v>
      </c>
      <c r="T1360" t="s">
        <v>21464</v>
      </c>
      <c r="W1360" s="90">
        <v>2188.92</v>
      </c>
    </row>
    <row r="1361" spans="19:23" x14ac:dyDescent="0.2">
      <c r="S1361" t="s">
        <v>21420</v>
      </c>
      <c r="T1361" t="s">
        <v>21465</v>
      </c>
      <c r="W1361" s="90">
        <v>2188.92</v>
      </c>
    </row>
    <row r="1362" spans="19:23" x14ac:dyDescent="0.2">
      <c r="S1362" t="s">
        <v>21421</v>
      </c>
      <c r="T1362" t="s">
        <v>21466</v>
      </c>
      <c r="W1362" s="90">
        <v>2188.92</v>
      </c>
    </row>
    <row r="1363" spans="19:23" x14ac:dyDescent="0.2">
      <c r="S1363" t="s">
        <v>21416</v>
      </c>
      <c r="T1363" t="s">
        <v>21467</v>
      </c>
      <c r="W1363" s="90">
        <v>2188.92</v>
      </c>
    </row>
    <row r="1364" spans="19:23" x14ac:dyDescent="0.2">
      <c r="S1364" t="s">
        <v>21422</v>
      </c>
      <c r="T1364" t="s">
        <v>21468</v>
      </c>
      <c r="W1364" s="90">
        <v>2188.92</v>
      </c>
    </row>
    <row r="1365" spans="19:23" x14ac:dyDescent="0.2">
      <c r="S1365" t="s">
        <v>4463</v>
      </c>
      <c r="T1365" t="s">
        <v>21469</v>
      </c>
      <c r="W1365" s="90">
        <v>0</v>
      </c>
    </row>
    <row r="1366" spans="19:23" x14ac:dyDescent="0.2">
      <c r="S1366" t="s">
        <v>4463</v>
      </c>
      <c r="T1366" t="s">
        <v>21470</v>
      </c>
      <c r="W1366" s="90">
        <v>0</v>
      </c>
    </row>
    <row r="1367" spans="19:23" x14ac:dyDescent="0.2">
      <c r="S1367" t="s">
        <v>11604</v>
      </c>
      <c r="T1367" t="s">
        <v>21471</v>
      </c>
      <c r="W1367" s="90">
        <v>0</v>
      </c>
    </row>
    <row r="1368" spans="19:23" x14ac:dyDescent="0.2">
      <c r="S1368" t="s">
        <v>21423</v>
      </c>
      <c r="T1368" t="s">
        <v>21472</v>
      </c>
      <c r="W1368" s="90">
        <v>0</v>
      </c>
    </row>
    <row r="1369" spans="19:23" x14ac:dyDescent="0.2">
      <c r="S1369" t="s">
        <v>4463</v>
      </c>
      <c r="T1369" t="s">
        <v>21473</v>
      </c>
      <c r="W1369" s="90">
        <v>0</v>
      </c>
    </row>
    <row r="1370" spans="19:23" x14ac:dyDescent="0.2">
      <c r="S1370" t="s">
        <v>4463</v>
      </c>
      <c r="T1370" t="s">
        <v>21474</v>
      </c>
      <c r="W1370" s="90">
        <v>0</v>
      </c>
    </row>
    <row r="1371" spans="19:23" x14ac:dyDescent="0.2">
      <c r="S1371" t="s">
        <v>21424</v>
      </c>
      <c r="T1371" t="s">
        <v>21475</v>
      </c>
      <c r="W1371" s="90">
        <v>1242.3599999999999</v>
      </c>
    </row>
    <row r="1372" spans="19:23" x14ac:dyDescent="0.2">
      <c r="S1372" t="s">
        <v>4463</v>
      </c>
      <c r="T1372" t="s">
        <v>21476</v>
      </c>
      <c r="W1372" s="90">
        <v>0</v>
      </c>
    </row>
    <row r="1373" spans="19:23" x14ac:dyDescent="0.2">
      <c r="S1373" t="s">
        <v>21425</v>
      </c>
      <c r="T1373" t="s">
        <v>21477</v>
      </c>
      <c r="W1373" s="90">
        <v>1242.3599999999999</v>
      </c>
    </row>
  </sheetData>
  <sortState xmlns:xlrd2="http://schemas.microsoft.com/office/spreadsheetml/2017/richdata2" ref="B82:G87">
    <sortCondition ref="G82:G87"/>
  </sortState>
  <mergeCells count="3">
    <mergeCell ref="B1:G1"/>
    <mergeCell ref="J1:O1"/>
    <mergeCell ref="AT1:AU1"/>
  </mergeCells>
  <conditionalFormatting sqref="K3:K72">
    <cfRule type="expression" dxfId="133" priority="1">
      <formula>IF(_xlfn.ISFORMULA(K3)=TRUE,FALSE,TRUE)</formula>
    </cfRule>
  </conditionalFormatting>
  <conditionalFormatting sqref="N3:N72">
    <cfRule type="cellIs" dxfId="132" priority="3" operator="greaterThan">
      <formula>50000</formula>
    </cfRule>
  </conditionalFormatting>
  <dataValidations count="1">
    <dataValidation type="list" allowBlank="1" showInputMessage="1" showErrorMessage="1" sqref="P3:P72" xr:uid="{CD6ED983-2076-4668-8F33-4C529F1D5C2D}">
      <formula1>$R$1:$R$5</formula1>
    </dataValidation>
  </dataValidations>
  <pageMargins left="0.7" right="0.28000000000000003" top="0.34" bottom="0.2" header="0.3" footer="0.3"/>
  <pageSetup orientation="landscape" horizontalDpi="1200" verticalDpi="1200" r:id="rId1"/>
  <tableParts count="3">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849F1-5B50-4F5A-8955-79585A4F62ED}">
  <sheetPr codeName="Hoja12"/>
  <dimension ref="A1:L56"/>
  <sheetViews>
    <sheetView view="pageBreakPreview" zoomScale="160" zoomScaleNormal="130" zoomScaleSheetLayoutView="160" workbookViewId="0">
      <pane ySplit="2" topLeftCell="A3" activePane="bottomLeft" state="frozen"/>
      <selection activeCell="I12" sqref="I12"/>
      <selection pane="bottomLeft" activeCell="A3" sqref="A3:A8"/>
    </sheetView>
  </sheetViews>
  <sheetFormatPr baseColWidth="10" defaultColWidth="11.42578125" defaultRowHeight="12.75" x14ac:dyDescent="0.2"/>
  <cols>
    <col min="1" max="1" width="11.28515625" style="13"/>
    <col min="2" max="2" width="13.7109375" customWidth="1"/>
    <col min="3" max="3" width="9.5703125" bestFit="1" customWidth="1"/>
    <col min="4" max="4" width="11.28515625" customWidth="1"/>
    <col min="5" max="5" width="14.7109375" customWidth="1"/>
    <col min="6" max="6" width="15.140625" customWidth="1"/>
  </cols>
  <sheetData>
    <row r="1" spans="1:12" ht="13.5" thickBot="1" x14ac:dyDescent="0.25">
      <c r="A1" s="1502" t="s">
        <v>11577</v>
      </c>
      <c r="B1" s="1503"/>
      <c r="D1" s="598" t="s">
        <v>8154</v>
      </c>
      <c r="E1" s="599">
        <f>+SUM(E3:E24)</f>
        <v>377525.46</v>
      </c>
      <c r="F1" s="102">
        <f>+E1*1.21</f>
        <v>456805.80660000001</v>
      </c>
      <c r="I1" s="1506" t="s">
        <v>11578</v>
      </c>
      <c r="J1" s="1507"/>
      <c r="L1" s="1095" t="s">
        <v>11579</v>
      </c>
    </row>
    <row r="2" spans="1:12" x14ac:dyDescent="0.2">
      <c r="A2" s="41" t="s">
        <v>5</v>
      </c>
      <c r="B2" s="600" t="s">
        <v>8753</v>
      </c>
      <c r="C2" s="597" t="s">
        <v>8799</v>
      </c>
      <c r="D2" s="32" t="s">
        <v>6</v>
      </c>
      <c r="E2" s="100" t="s">
        <v>8164</v>
      </c>
      <c r="I2" s="7" t="s">
        <v>11580</v>
      </c>
      <c r="J2" s="15" t="s">
        <v>11581</v>
      </c>
    </row>
    <row r="3" spans="1:12" x14ac:dyDescent="0.2">
      <c r="A3" s="7">
        <f>IFERROR(VLOOKUP("PICOS PARA GAS"&amp;C3,CODIGOS_Y_COSTOS[[ID]:[COSTO]],6,0),"-")</f>
        <v>1105</v>
      </c>
      <c r="B3" s="15">
        <v>200</v>
      </c>
      <c r="C3" s="1065">
        <v>9</v>
      </c>
      <c r="D3" s="1">
        <f>+IFERROR(VLOOKUP("PICOS PARA GAS"&amp;C3,CODIGOS_Y_COSTOS[[ID]:[COSTO]],7,0),0)</f>
        <v>197.703</v>
      </c>
      <c r="E3" s="1">
        <f t="shared" ref="E3:E22" si="0">+D3*B3</f>
        <v>39540.6</v>
      </c>
      <c r="F3" s="1">
        <f t="shared" ref="F3:F8" si="1">+E3*1.186</f>
        <v>46895.151599999997</v>
      </c>
      <c r="I3" s="7" t="s">
        <v>11582</v>
      </c>
      <c r="J3" s="736">
        <v>0.16</v>
      </c>
      <c r="K3" s="1096" t="s">
        <v>11583</v>
      </c>
      <c r="L3" t="s">
        <v>11584</v>
      </c>
    </row>
    <row r="4" spans="1:12" x14ac:dyDescent="0.2">
      <c r="A4" s="7">
        <f>IFERROR(VLOOKUP("PICOS PARA GAS"&amp;C4,CODIGOS_Y_COSTOS[[ID]:[COSTO]],6,0),"-")</f>
        <v>1112</v>
      </c>
      <c r="B4" s="15">
        <v>200</v>
      </c>
      <c r="C4" s="1065">
        <v>29</v>
      </c>
      <c r="D4" s="1">
        <f>+IFERROR(VLOOKUP("PICOS PARA GAS"&amp;C4,CODIGOS_Y_COSTOS[[ID]:[COSTO]],7,0),0)</f>
        <v>430.29469999999998</v>
      </c>
      <c r="E4" s="1">
        <f t="shared" si="0"/>
        <v>86058.94</v>
      </c>
      <c r="F4" s="1">
        <f t="shared" si="1"/>
        <v>102065.90284</v>
      </c>
      <c r="I4" s="7" t="s">
        <v>11585</v>
      </c>
      <c r="J4" s="736">
        <v>0.25</v>
      </c>
      <c r="K4" s="1096" t="s">
        <v>11586</v>
      </c>
      <c r="L4" t="s">
        <v>11587</v>
      </c>
    </row>
    <row r="5" spans="1:12" ht="13.5" thickBot="1" x14ac:dyDescent="0.25">
      <c r="A5" s="7">
        <f>IFERROR(VLOOKUP("PICOS PARA GAS"&amp;C5,CODIGOS_Y_COSTOS[[ID]:[COSTO]],6,0),"-")</f>
        <v>1129</v>
      </c>
      <c r="B5" s="15">
        <v>200</v>
      </c>
      <c r="C5" s="1065">
        <v>53</v>
      </c>
      <c r="D5" s="1">
        <f>+IFERROR(VLOOKUP("PICOS PARA GAS"&amp;C5,CODIGOS_Y_COSTOS[[ID]:[COSTO]],7,0),0)</f>
        <v>252.9435</v>
      </c>
      <c r="E5" s="1">
        <f t="shared" si="0"/>
        <v>50588.7</v>
      </c>
      <c r="F5" s="1">
        <f t="shared" si="1"/>
        <v>59998.198199999992</v>
      </c>
      <c r="I5" s="8" t="s">
        <v>11588</v>
      </c>
      <c r="J5" s="737">
        <v>0.33</v>
      </c>
    </row>
    <row r="6" spans="1:12" x14ac:dyDescent="0.2">
      <c r="A6" s="7">
        <f>IFERROR(VLOOKUP("PICOS PARA GAS"&amp;C6,CODIGOS_Y_COSTOS[[ID]:[COSTO]],6,0),"-")</f>
        <v>1147</v>
      </c>
      <c r="B6" s="15">
        <v>200</v>
      </c>
      <c r="C6" s="1065">
        <v>76</v>
      </c>
      <c r="D6" s="1">
        <f>+IFERROR(VLOOKUP("PICOS PARA GAS"&amp;C6,CODIGOS_Y_COSTOS[[ID]:[COSTO]],7,0),0)</f>
        <v>188.98079999999999</v>
      </c>
      <c r="E6" s="1">
        <f t="shared" si="0"/>
        <v>37796.159999999996</v>
      </c>
      <c r="F6" s="1">
        <f t="shared" si="1"/>
        <v>44826.245759999991</v>
      </c>
    </row>
    <row r="7" spans="1:12" x14ac:dyDescent="0.2">
      <c r="A7" s="7">
        <f>IFERROR(VLOOKUP("PICOS PARA GAS"&amp;C7,CODIGOS_Y_COSTOS[[ID]:[COSTO]],6,0),"-")</f>
        <v>1328</v>
      </c>
      <c r="B7" s="15">
        <v>200</v>
      </c>
      <c r="C7" s="1065">
        <v>84</v>
      </c>
      <c r="D7" s="1">
        <f>+IFERROR(VLOOKUP("PICOS PARA GAS"&amp;C7,CODIGOS_Y_COSTOS[[ID]:[COSTO]],7,0),0)</f>
        <v>600.37739999999997</v>
      </c>
      <c r="E7" s="1">
        <f t="shared" si="0"/>
        <v>120075.48</v>
      </c>
      <c r="F7" s="1">
        <f t="shared" si="1"/>
        <v>142409.51927999998</v>
      </c>
    </row>
    <row r="8" spans="1:12" x14ac:dyDescent="0.2">
      <c r="A8" s="7">
        <f>IFERROR(VLOOKUP("PICOS PARA GAS"&amp;C8,CODIGOS_Y_COSTOS[[ID]:[COSTO]],6,0),"-")</f>
        <v>1012</v>
      </c>
      <c r="B8" s="15">
        <v>200</v>
      </c>
      <c r="C8" s="1065">
        <v>123</v>
      </c>
      <c r="D8" s="1">
        <f>+IFERROR(VLOOKUP("PICOS PARA GAS"&amp;C8,CODIGOS_Y_COSTOS[[ID]:[COSTO]],7,0),0)</f>
        <v>217.3279</v>
      </c>
      <c r="E8" s="1">
        <f t="shared" si="0"/>
        <v>43465.58</v>
      </c>
      <c r="F8" s="1">
        <f t="shared" si="1"/>
        <v>51550.177880000003</v>
      </c>
      <c r="J8">
        <v>9</v>
      </c>
    </row>
    <row r="9" spans="1:12" x14ac:dyDescent="0.2">
      <c r="A9" s="7" t="str">
        <f>IFERROR(VLOOKUP("PICOS PARA GAS"&amp;C9,CODIGOS_Y_COSTOS[[ID]:[COSTO]],6,0),"-")</f>
        <v>-</v>
      </c>
      <c r="B9" s="15"/>
      <c r="C9" s="13"/>
      <c r="D9" s="1">
        <f>+IFERROR(VLOOKUP("PICOS PARA GAS"&amp;C9,CODIGOS_Y_COSTOS[[ID]:[COSTO]],7,0),0)</f>
        <v>0</v>
      </c>
      <c r="E9" s="1">
        <f t="shared" si="0"/>
        <v>0</v>
      </c>
      <c r="F9" s="1">
        <f t="shared" ref="F9:F24" si="2">+E9*1.186</f>
        <v>0</v>
      </c>
      <c r="J9">
        <v>11</v>
      </c>
    </row>
    <row r="10" spans="1:12" x14ac:dyDescent="0.2">
      <c r="A10" s="7" t="str">
        <f>IFERROR(VLOOKUP("PICOS PARA GAS"&amp;C10,CODIGOS_Y_COSTOS[[ID]:[COSTO]],6,0),"-")</f>
        <v>-</v>
      </c>
      <c r="B10" s="15"/>
      <c r="C10" s="13"/>
      <c r="D10" s="1">
        <f>+IFERROR(VLOOKUP("PICOS PARA GAS"&amp;C10,CODIGOS_Y_COSTOS[[ID]:[COSTO]],7,0),0)</f>
        <v>0</v>
      </c>
      <c r="E10" s="1">
        <f t="shared" si="0"/>
        <v>0</v>
      </c>
      <c r="F10" s="1">
        <f t="shared" si="2"/>
        <v>0</v>
      </c>
      <c r="J10">
        <v>19</v>
      </c>
    </row>
    <row r="11" spans="1:12" x14ac:dyDescent="0.2">
      <c r="A11" s="7" t="str">
        <f>IFERROR(VLOOKUP("PICOS PARA GAS"&amp;C11,CODIGOS_Y_COSTOS[[ID]:[COSTO]],6,0),"-")</f>
        <v>-</v>
      </c>
      <c r="B11" s="15"/>
      <c r="C11" s="13"/>
      <c r="D11" s="1">
        <f>+IFERROR(VLOOKUP("PICOS PARA GAS"&amp;C11,CODIGOS_Y_COSTOS[[ID]:[COSTO]],7,0),0)</f>
        <v>0</v>
      </c>
      <c r="E11" s="1">
        <f t="shared" si="0"/>
        <v>0</v>
      </c>
      <c r="F11" s="1">
        <f t="shared" si="2"/>
        <v>0</v>
      </c>
      <c r="H11" s="31"/>
      <c r="J11">
        <v>21</v>
      </c>
    </row>
    <row r="12" spans="1:12" x14ac:dyDescent="0.2">
      <c r="A12" s="7" t="str">
        <f>IFERROR(VLOOKUP("PICOS PARA GAS"&amp;C12,CODIGOS_Y_COSTOS[[ID]:[COSTO]],6,0),"-")</f>
        <v>-</v>
      </c>
      <c r="B12" s="15"/>
      <c r="C12" s="13"/>
      <c r="D12" s="1">
        <f>+IFERROR(VLOOKUP("PICOS PARA GAS"&amp;C12,CODIGOS_Y_COSTOS[[ID]:[COSTO]],7,0),0)</f>
        <v>0</v>
      </c>
      <c r="E12" s="1">
        <f t="shared" si="0"/>
        <v>0</v>
      </c>
      <c r="F12" s="1">
        <f t="shared" si="2"/>
        <v>0</v>
      </c>
      <c r="J12">
        <v>29</v>
      </c>
    </row>
    <row r="13" spans="1:12" x14ac:dyDescent="0.2">
      <c r="A13" s="7" t="str">
        <f>IFERROR(VLOOKUP("PICOS PARA GAS"&amp;C13,CODIGOS_Y_COSTOS[[ID]:[COSTO]],6,0),"-")</f>
        <v>-</v>
      </c>
      <c r="B13" s="15"/>
      <c r="C13" s="13"/>
      <c r="D13" s="1">
        <f>+IFERROR(VLOOKUP("PICOS PARA GAS"&amp;C13,CODIGOS_Y_COSTOS[[ID]:[COSTO]],7,0),0)</f>
        <v>0</v>
      </c>
      <c r="E13" s="1">
        <f t="shared" si="0"/>
        <v>0</v>
      </c>
      <c r="F13" s="1">
        <f t="shared" si="2"/>
        <v>0</v>
      </c>
      <c r="J13">
        <v>55</v>
      </c>
    </row>
    <row r="14" spans="1:12" x14ac:dyDescent="0.2">
      <c r="A14" s="7" t="str">
        <f>IFERROR(VLOOKUP("PICOS PARA GAS"&amp;C14,CODIGOS_Y_COSTOS[[ID]:[COSTO]],6,0),"-")</f>
        <v>-</v>
      </c>
      <c r="B14" s="15"/>
      <c r="C14" s="13"/>
      <c r="D14" s="1">
        <f>+IFERROR(VLOOKUP("PICOS PARA GAS"&amp;C14,CODIGOS_Y_COSTOS[[ID]:[COSTO]],7,0),0)</f>
        <v>0</v>
      </c>
      <c r="E14" s="1">
        <f t="shared" si="0"/>
        <v>0</v>
      </c>
      <c r="F14" s="1">
        <f t="shared" si="2"/>
        <v>0</v>
      </c>
      <c r="J14">
        <v>63</v>
      </c>
    </row>
    <row r="15" spans="1:12" x14ac:dyDescent="0.2">
      <c r="A15" s="7" t="str">
        <f>IFERROR(VLOOKUP("PICOS PARA GAS"&amp;C15,CODIGOS_Y_COSTOS[[ID]:[COSTO]],6,0),"-")</f>
        <v>-</v>
      </c>
      <c r="B15" s="15"/>
      <c r="C15" s="13"/>
      <c r="D15" s="1">
        <f>+IFERROR(VLOOKUP("PICOS PARA GAS"&amp;C15,CODIGOS_Y_COSTOS[[ID]:[COSTO]],7,0),0)</f>
        <v>0</v>
      </c>
      <c r="E15" s="1">
        <f t="shared" si="0"/>
        <v>0</v>
      </c>
      <c r="F15" s="1">
        <f t="shared" si="2"/>
        <v>0</v>
      </c>
      <c r="J15">
        <v>84</v>
      </c>
    </row>
    <row r="16" spans="1:12" x14ac:dyDescent="0.2">
      <c r="A16" s="7" t="str">
        <f>IFERROR(VLOOKUP("PICOS PARA GAS"&amp;C16,CODIGOS_Y_COSTOS[[ID]:[COSTO]],6,0),"-")</f>
        <v>-</v>
      </c>
      <c r="B16" s="15"/>
      <c r="C16" s="13"/>
      <c r="D16" s="1">
        <f>+IFERROR(VLOOKUP("PICOS PARA GAS"&amp;C16,CODIGOS_Y_COSTOS[[ID]:[COSTO]],7,0),0)</f>
        <v>0</v>
      </c>
      <c r="E16" s="1">
        <f t="shared" si="0"/>
        <v>0</v>
      </c>
      <c r="F16" s="1">
        <f t="shared" si="2"/>
        <v>0</v>
      </c>
      <c r="J16" s="1345">
        <v>96</v>
      </c>
    </row>
    <row r="17" spans="1:10" x14ac:dyDescent="0.2">
      <c r="A17" s="7" t="str">
        <f>IFERROR(VLOOKUP("PICOS PARA GAS"&amp;C17,CODIGOS_Y_COSTOS[[ID]:[COSTO]],6,0),"-")</f>
        <v>-</v>
      </c>
      <c r="B17" s="15"/>
      <c r="C17" s="13"/>
      <c r="D17" s="1">
        <f>+IFERROR(VLOOKUP("PICOS PARA GAS"&amp;C17,CODIGOS_Y_COSTOS[[ID]:[COSTO]],7,0),0)</f>
        <v>0</v>
      </c>
      <c r="E17" s="1">
        <f t="shared" si="0"/>
        <v>0</v>
      </c>
      <c r="F17" s="1">
        <f t="shared" si="2"/>
        <v>0</v>
      </c>
      <c r="J17">
        <v>123</v>
      </c>
    </row>
    <row r="18" spans="1:10" x14ac:dyDescent="0.2">
      <c r="A18" s="7" t="str">
        <f>IFERROR(VLOOKUP("PICOS PARA GAS"&amp;C18,CODIGOS_Y_COSTOS[[ID]:[COSTO]],6,0),"-")</f>
        <v>-</v>
      </c>
      <c r="B18" s="15"/>
      <c r="C18" s="13"/>
      <c r="D18" s="1">
        <f>+IFERROR(VLOOKUP("PICOS PARA GAS"&amp;C18,CODIGOS_Y_COSTOS[[ID]:[COSTO]],7,0),0)</f>
        <v>0</v>
      </c>
      <c r="E18" s="1">
        <f t="shared" si="0"/>
        <v>0</v>
      </c>
      <c r="F18" s="1">
        <f t="shared" si="2"/>
        <v>0</v>
      </c>
      <c r="J18">
        <v>98</v>
      </c>
    </row>
    <row r="19" spans="1:10" x14ac:dyDescent="0.2">
      <c r="A19" s="7" t="str">
        <f>IFERROR(VLOOKUP("PICOS PARA GAS"&amp;C19,CODIGOS_Y_COSTOS[[ID]:[COSTO]],6,0),"-")</f>
        <v>-</v>
      </c>
      <c r="B19" s="15"/>
      <c r="C19" s="13"/>
      <c r="D19" s="1">
        <f>+IFERROR(VLOOKUP("PICOS PARA GAS"&amp;C19,CODIGOS_Y_COSTOS[[ID]:[COSTO]],7,0),0)</f>
        <v>0</v>
      </c>
      <c r="E19" s="1">
        <f t="shared" si="0"/>
        <v>0</v>
      </c>
      <c r="F19" s="1">
        <f t="shared" si="2"/>
        <v>0</v>
      </c>
    </row>
    <row r="20" spans="1:10" x14ac:dyDescent="0.2">
      <c r="A20" s="7" t="str">
        <f>IFERROR(VLOOKUP("PICOS PARA GAS"&amp;C20,CODIGOS_Y_COSTOS[[ID]:[COSTO]],6,0),"-")</f>
        <v>-</v>
      </c>
      <c r="B20" s="15"/>
      <c r="C20" s="13"/>
      <c r="D20" s="1">
        <f>+IFERROR(VLOOKUP("PICOS PARA GAS"&amp;C20,CODIGOS_Y_COSTOS[[ID]:[COSTO]],7,0),0)</f>
        <v>0</v>
      </c>
      <c r="E20" s="1">
        <f t="shared" si="0"/>
        <v>0</v>
      </c>
      <c r="F20" s="1">
        <f t="shared" si="2"/>
        <v>0</v>
      </c>
    </row>
    <row r="21" spans="1:10" x14ac:dyDescent="0.2">
      <c r="A21" s="7" t="str">
        <f>IFERROR(VLOOKUP("PICOS PARA GAS"&amp;C21,CODIGOS_Y_COSTOS[[ID]:[COSTO]],6,0),"-")</f>
        <v>-</v>
      </c>
      <c r="B21" s="15"/>
      <c r="C21" s="13"/>
      <c r="D21" s="1">
        <f>+IFERROR(VLOOKUP("PICOS PARA GAS"&amp;C21,CODIGOS_Y_COSTOS[[ID]:[COSTO]],7,0),0)</f>
        <v>0</v>
      </c>
      <c r="E21" s="1">
        <f t="shared" si="0"/>
        <v>0</v>
      </c>
      <c r="F21" s="1">
        <f t="shared" si="2"/>
        <v>0</v>
      </c>
    </row>
    <row r="22" spans="1:10" x14ac:dyDescent="0.2">
      <c r="A22" s="7" t="str">
        <f>IFERROR(VLOOKUP("PICOS PARA GAS"&amp;C22,CODIGOS_Y_COSTOS[[ID]:[COSTO]],6,0),"-")</f>
        <v>-</v>
      </c>
      <c r="B22" s="15"/>
      <c r="C22" s="13"/>
      <c r="D22" s="1">
        <f>+IFERROR(VLOOKUP("PICOS PARA GAS"&amp;C22,CODIGOS_Y_COSTOS[[ID]:[COSTO]],7,0),0)</f>
        <v>0</v>
      </c>
      <c r="E22" s="1">
        <f t="shared" si="0"/>
        <v>0</v>
      </c>
      <c r="F22" s="1">
        <f t="shared" si="2"/>
        <v>0</v>
      </c>
    </row>
    <row r="23" spans="1:10" x14ac:dyDescent="0.2">
      <c r="A23" s="7" t="str">
        <f>IFERROR(VLOOKUP("PICOS PARA GAS"&amp;C23,CODIGOS_Y_COSTOS[[ID]:[COSTO]],6,0),"-")</f>
        <v>-</v>
      </c>
      <c r="B23" s="15"/>
      <c r="C23" s="13"/>
      <c r="D23" s="1">
        <f>+IFERROR(VLOOKUP("PICOS PARA GAS"&amp;C23,CODIGOS_Y_COSTOS[[ID]:[COSTO]],7,0),0)</f>
        <v>0</v>
      </c>
      <c r="E23" s="1">
        <f>+D23*B23</f>
        <v>0</v>
      </c>
      <c r="F23" s="1">
        <f t="shared" si="2"/>
        <v>0</v>
      </c>
    </row>
    <row r="24" spans="1:10" x14ac:dyDescent="0.2">
      <c r="A24" s="7" t="str">
        <f>IFERROR(VLOOKUP("PICOS PARA GAS"&amp;C24,CODIGOS_Y_COSTOS[[ID]:[COSTO]],6,0),"-")</f>
        <v>-</v>
      </c>
      <c r="B24" s="15"/>
      <c r="D24" s="1">
        <f>+IFERROR(VLOOKUP("PICOS PARA GAS"&amp;C24,CODIGOS_Y_COSTOS[[ID]:[COSTO]],7,0),0)</f>
        <v>0</v>
      </c>
      <c r="E24" s="1">
        <f>+D24*B24</f>
        <v>0</v>
      </c>
      <c r="F24" s="1">
        <f t="shared" si="2"/>
        <v>0</v>
      </c>
    </row>
    <row r="25" spans="1:10" x14ac:dyDescent="0.2">
      <c r="A25" s="1"/>
      <c r="B25" s="1"/>
      <c r="D25" s="1"/>
      <c r="E25" s="2"/>
      <c r="F25" s="1"/>
    </row>
    <row r="26" spans="1:10" x14ac:dyDescent="0.2">
      <c r="A26" s="1"/>
      <c r="B26" s="1"/>
      <c r="D26" s="1"/>
      <c r="E26" s="1"/>
      <c r="F26" s="1">
        <f>+SUM(F8:F24)</f>
        <v>51550.177880000003</v>
      </c>
    </row>
    <row r="27" spans="1:10" ht="13.5" thickBot="1" x14ac:dyDescent="0.25">
      <c r="A27" s="1"/>
      <c r="B27" s="1"/>
      <c r="D27" s="1"/>
      <c r="E27" s="1"/>
      <c r="F27" s="1"/>
    </row>
    <row r="28" spans="1:10" ht="13.5" thickBot="1" x14ac:dyDescent="0.25">
      <c r="A28" s="1504" t="s">
        <v>11589</v>
      </c>
      <c r="B28" s="1505"/>
      <c r="D28" s="1"/>
      <c r="E28" s="1"/>
      <c r="F28" s="1"/>
    </row>
    <row r="29" spans="1:10" x14ac:dyDescent="0.2">
      <c r="A29" s="432">
        <v>1101</v>
      </c>
      <c r="B29" s="94">
        <v>200</v>
      </c>
      <c r="D29" s="1"/>
      <c r="E29" s="1"/>
      <c r="F29" s="1">
        <f>+E1*0.21</f>
        <v>79280.346600000004</v>
      </c>
    </row>
    <row r="30" spans="1:10" x14ac:dyDescent="0.2">
      <c r="A30" s="431">
        <v>1316</v>
      </c>
      <c r="B30" s="15">
        <v>200</v>
      </c>
      <c r="F30" s="1"/>
    </row>
    <row r="31" spans="1:10" x14ac:dyDescent="0.2">
      <c r="A31" s="431">
        <v>1325</v>
      </c>
      <c r="B31" s="15">
        <v>100</v>
      </c>
      <c r="F31" s="1"/>
    </row>
    <row r="32" spans="1:10" x14ac:dyDescent="0.2">
      <c r="A32" s="431">
        <v>1135</v>
      </c>
      <c r="B32" s="15">
        <v>100</v>
      </c>
      <c r="F32" s="1"/>
    </row>
    <row r="33" spans="6:6" x14ac:dyDescent="0.2">
      <c r="F33" s="1"/>
    </row>
    <row r="34" spans="6:6" x14ac:dyDescent="0.2">
      <c r="F34" s="1"/>
    </row>
    <row r="35" spans="6:6" x14ac:dyDescent="0.2">
      <c r="F35" s="1"/>
    </row>
    <row r="36" spans="6:6" x14ac:dyDescent="0.2">
      <c r="F36" s="1"/>
    </row>
    <row r="37" spans="6:6" x14ac:dyDescent="0.2">
      <c r="F37" s="1"/>
    </row>
    <row r="38" spans="6:6" x14ac:dyDescent="0.2">
      <c r="F38" s="1"/>
    </row>
    <row r="39" spans="6:6" x14ac:dyDescent="0.2">
      <c r="F39" s="1"/>
    </row>
    <row r="40" spans="6:6" x14ac:dyDescent="0.2">
      <c r="F40" s="1"/>
    </row>
    <row r="41" spans="6:6" x14ac:dyDescent="0.2">
      <c r="F41" s="1"/>
    </row>
    <row r="42" spans="6:6" x14ac:dyDescent="0.2">
      <c r="F42" s="1"/>
    </row>
    <row r="43" spans="6:6" x14ac:dyDescent="0.2">
      <c r="F43" s="1"/>
    </row>
    <row r="44" spans="6:6" x14ac:dyDescent="0.2">
      <c r="F44" s="1"/>
    </row>
    <row r="45" spans="6:6" x14ac:dyDescent="0.2">
      <c r="F45" s="1"/>
    </row>
    <row r="46" spans="6:6" x14ac:dyDescent="0.2">
      <c r="F46" s="1"/>
    </row>
    <row r="47" spans="6:6" x14ac:dyDescent="0.2">
      <c r="F47" s="1"/>
    </row>
    <row r="48" spans="6:6" x14ac:dyDescent="0.2">
      <c r="F48" s="1"/>
    </row>
    <row r="49" spans="4:6" x14ac:dyDescent="0.2">
      <c r="F49" s="1"/>
    </row>
    <row r="50" spans="4:6" x14ac:dyDescent="0.2">
      <c r="F50" s="1"/>
    </row>
    <row r="51" spans="4:6" x14ac:dyDescent="0.2">
      <c r="F51" s="1"/>
    </row>
    <row r="52" spans="4:6" x14ac:dyDescent="0.2">
      <c r="D52" s="1"/>
      <c r="F52" s="1"/>
    </row>
    <row r="53" spans="4:6" x14ac:dyDescent="0.2">
      <c r="F53" s="1"/>
    </row>
    <row r="54" spans="4:6" x14ac:dyDescent="0.2">
      <c r="F54" s="1"/>
    </row>
    <row r="55" spans="4:6" x14ac:dyDescent="0.2">
      <c r="D55" s="1"/>
      <c r="F55" s="1"/>
    </row>
    <row r="56" spans="4:6" x14ac:dyDescent="0.2">
      <c r="D56" s="1"/>
      <c r="F56" s="1"/>
    </row>
  </sheetData>
  <autoFilter ref="A2:D44" xr:uid="{6E9849F1-5B50-4F5A-8955-79585A4F62ED}"/>
  <sortState xmlns:xlrd2="http://schemas.microsoft.com/office/spreadsheetml/2017/richdata2" ref="B3:C16">
    <sortCondition ref="C3:C16"/>
  </sortState>
  <mergeCells count="3">
    <mergeCell ref="A1:B1"/>
    <mergeCell ref="A28:B28"/>
    <mergeCell ref="I1:J1"/>
  </mergeCells>
  <hyperlinks>
    <hyperlink ref="L1" r:id="rId1" xr:uid="{41B8353E-BE59-4429-880F-BBF2AD4E0F78}"/>
  </hyperlinks>
  <pageMargins left="0.7" right="0.7" top="0.75" bottom="0.75" header="0.3" footer="0.3"/>
  <pageSetup orientation="portrait" horizontalDpi="1200" verticalDpi="120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4465C-062C-4100-A405-C6F53E111C47}">
  <sheetPr codeName="Hoja13">
    <tabColor rgb="FFFF0000"/>
  </sheetPr>
  <dimension ref="A1:AH373"/>
  <sheetViews>
    <sheetView showGridLines="0" topLeftCell="J1" zoomScaleNormal="100" zoomScaleSheetLayoutView="115" workbookViewId="0">
      <pane ySplit="2" topLeftCell="A69" activePane="bottomLeft" state="frozen"/>
      <selection activeCell="I12" sqref="I12"/>
      <selection pane="bottomLeft" activeCell="N82" sqref="N82"/>
    </sheetView>
  </sheetViews>
  <sheetFormatPr baseColWidth="10" defaultColWidth="10.85546875" defaultRowHeight="14.25" outlineLevelCol="1" x14ac:dyDescent="0.2"/>
  <cols>
    <col min="1" max="1" width="10.85546875" style="38" hidden="1" customWidth="1" outlineLevel="1"/>
    <col min="2" max="2" width="10.85546875" style="1177" hidden="1" customWidth="1" outlineLevel="1"/>
    <col min="3" max="3" width="32.5703125" style="1177" hidden="1" customWidth="1" outlineLevel="1"/>
    <col min="4" max="4" width="36.28515625" style="1177" hidden="1" customWidth="1" outlineLevel="1"/>
    <col min="5" max="5" width="10.85546875" style="38" hidden="1" customWidth="1" outlineLevel="1"/>
    <col min="6" max="7" width="9.85546875" style="38" hidden="1" customWidth="1" outlineLevel="1"/>
    <col min="8" max="8" width="12.28515625" style="38" hidden="1" customWidth="1" outlineLevel="1"/>
    <col min="9" max="9" width="18.85546875" style="38" hidden="1" customWidth="1" outlineLevel="1"/>
    <col min="10" max="10" width="15.5703125" style="38" customWidth="1" collapsed="1"/>
    <col min="11" max="11" width="10.85546875" style="38" customWidth="1"/>
    <col min="12" max="12" width="12" style="38" customWidth="1"/>
    <col min="13" max="13" width="10.85546875" style="1177" customWidth="1"/>
    <col min="14" max="14" width="30" style="38" customWidth="1"/>
    <col min="15" max="15" width="12.7109375" style="38" customWidth="1"/>
    <col min="16" max="16" width="11.7109375" style="1177" customWidth="1"/>
    <col min="17" max="17" width="13.85546875" style="38" customWidth="1"/>
    <col min="18" max="18" width="1.42578125" style="38" customWidth="1"/>
    <col min="19" max="19" width="13.28515625" style="38" customWidth="1"/>
    <col min="20" max="20" width="2" style="38" customWidth="1"/>
    <col min="21" max="21" width="12.28515625" style="1177" customWidth="1"/>
    <col min="22" max="22" width="16.140625" style="425" customWidth="1"/>
    <col min="23" max="23" width="2" style="38" customWidth="1"/>
    <col min="24" max="24" width="11.7109375" style="1177" customWidth="1"/>
    <col min="25" max="25" width="18.140625" style="425" customWidth="1"/>
    <col min="26" max="26" width="12.28515625" style="425" customWidth="1"/>
    <col min="27" max="27" width="13.28515625" style="425" bestFit="1" customWidth="1"/>
    <col min="28" max="28" width="10" style="1177" bestFit="1" customWidth="1"/>
    <col min="29" max="29" width="13.7109375" style="38" customWidth="1"/>
    <col min="30" max="30" width="30.5703125" style="38" bestFit="1" customWidth="1"/>
    <col min="31" max="16384" width="10.85546875" style="38"/>
  </cols>
  <sheetData>
    <row r="1" spans="1:30" ht="30.75" thickBot="1" x14ac:dyDescent="0.25">
      <c r="A1" s="1156" t="s">
        <v>1</v>
      </c>
      <c r="B1" s="1156" t="s">
        <v>2</v>
      </c>
      <c r="C1" s="1156" t="s">
        <v>8751</v>
      </c>
      <c r="D1" s="1156" t="s">
        <v>8756</v>
      </c>
      <c r="E1" s="1174" t="s">
        <v>6</v>
      </c>
      <c r="F1" s="1156" t="s">
        <v>8757</v>
      </c>
      <c r="G1" s="1156" t="s">
        <v>8758</v>
      </c>
      <c r="H1" s="1157" t="s">
        <v>8759</v>
      </c>
      <c r="I1" s="1175" t="s">
        <v>8760</v>
      </c>
      <c r="K1" s="42" t="s">
        <v>8189</v>
      </c>
      <c r="M1" s="79" t="s">
        <v>8123</v>
      </c>
      <c r="N1" s="80" t="s">
        <v>3</v>
      </c>
      <c r="P1" s="79" t="s">
        <v>11590</v>
      </c>
      <c r="Q1" s="80" t="s">
        <v>3</v>
      </c>
      <c r="S1" s="77" t="s">
        <v>8122</v>
      </c>
      <c r="U1" s="79" t="s">
        <v>8120</v>
      </c>
      <c r="V1" s="80" t="s">
        <v>3</v>
      </c>
      <c r="X1" s="79" t="s">
        <v>11591</v>
      </c>
      <c r="Y1" s="80" t="s">
        <v>3</v>
      </c>
      <c r="Z1" s="1176" t="s">
        <v>11592</v>
      </c>
      <c r="AA1" s="1176" t="s">
        <v>11593</v>
      </c>
      <c r="AC1" s="1178" t="s">
        <v>8955</v>
      </c>
    </row>
    <row r="2" spans="1:30" hidden="1" x14ac:dyDescent="0.2">
      <c r="A2" s="1169" t="s">
        <v>6576</v>
      </c>
      <c r="B2" s="1167">
        <v>1</v>
      </c>
      <c r="C2" s="1179" t="s">
        <v>6577</v>
      </c>
      <c r="D2" s="1169" t="s">
        <v>6578</v>
      </c>
      <c r="E2" s="1180">
        <f t="shared" ref="E2:E65" si="0">+Z2</f>
        <v>23.547484480564677</v>
      </c>
      <c r="F2" s="1181"/>
      <c r="G2" s="1181"/>
      <c r="H2" s="1182">
        <f t="shared" ref="H2:H65" si="1">+(1-F2)*(1-G2)*E2</f>
        <v>23.547484480564677</v>
      </c>
      <c r="I2" s="1164" t="str">
        <f>+REGATONES[[#This Row],[Producto]]&amp;REGATONES[[#This Row],[Numero]]</f>
        <v>REGATONES1</v>
      </c>
      <c r="J2" s="1096" t="str">
        <f t="shared" ref="J2:J64" si="2">+_xlfn.XLOOKUP(K2,$K$2:$K$65,$D$2:$D$65,0,0)</f>
        <v>EXTERIORES CORTOS - 1/2 camp.</v>
      </c>
      <c r="K2" s="1183">
        <f>+REGATONES[[#This Row],[Numero]]</f>
        <v>1</v>
      </c>
      <c r="M2" s="208" t="s">
        <v>11594</v>
      </c>
      <c r="N2" s="76">
        <v>38</v>
      </c>
      <c r="P2" s="208">
        <v>2009</v>
      </c>
      <c r="Q2" s="76">
        <v>30.2</v>
      </c>
      <c r="R2" s="877"/>
      <c r="S2" s="78">
        <v>36.480000000000004</v>
      </c>
      <c r="T2" s="1455">
        <f>+S2+(S2*0.14)</f>
        <v>41.587200000000003</v>
      </c>
      <c r="U2" s="208">
        <v>1130</v>
      </c>
      <c r="V2" s="76">
        <v>23.547484480564677</v>
      </c>
      <c r="X2" s="208" t="s">
        <v>11595</v>
      </c>
      <c r="Y2" s="76"/>
      <c r="Z2" s="391">
        <f t="shared" ref="Z2:Z33" si="3">+MIN(Y2,V2,S2,Q2,N2)</f>
        <v>23.547484480564677</v>
      </c>
      <c r="AA2" s="391" t="str">
        <f>+HLOOKUP(Z2,M2:$Y$68,$Z$68-(ROW()-1),0)</f>
        <v>SURPLAS</v>
      </c>
      <c r="AB2" s="1184"/>
      <c r="AC2" s="38" t="s">
        <v>11590</v>
      </c>
      <c r="AD2" s="38" t="s">
        <v>11596</v>
      </c>
    </row>
    <row r="3" spans="1:30" hidden="1" x14ac:dyDescent="0.2">
      <c r="A3" s="1169" t="s">
        <v>6576</v>
      </c>
      <c r="B3" s="1167">
        <v>3</v>
      </c>
      <c r="C3" s="1179" t="s">
        <v>6580</v>
      </c>
      <c r="D3" s="1169" t="s">
        <v>6581</v>
      </c>
      <c r="E3" s="1180">
        <f t="shared" si="0"/>
        <v>13.4</v>
      </c>
      <c r="F3" s="1181"/>
      <c r="G3" s="1181"/>
      <c r="H3" s="1182">
        <f t="shared" si="1"/>
        <v>13.4</v>
      </c>
      <c r="I3" s="1164" t="str">
        <f>+REGATONES[[#This Row],[Producto]]&amp;REGATONES[[#This Row],[Numero]]</f>
        <v>REGATONES3</v>
      </c>
      <c r="J3" s="1096" t="str">
        <f t="shared" si="2"/>
        <v>EXTERIORES CORTOS - 5/8 "</v>
      </c>
      <c r="K3" s="101">
        <f>+REGATONES[[#This Row],[Numero]]</f>
        <v>3</v>
      </c>
      <c r="M3" s="208" t="s">
        <v>11597</v>
      </c>
      <c r="N3" s="76">
        <v>42</v>
      </c>
      <c r="P3" s="208">
        <v>2010</v>
      </c>
      <c r="Q3" s="76">
        <v>24.5</v>
      </c>
      <c r="R3" s="877"/>
      <c r="S3" s="78">
        <v>37.619999999999997</v>
      </c>
      <c r="T3" s="1455"/>
      <c r="U3" s="208">
        <v>1109</v>
      </c>
      <c r="V3" s="76">
        <v>15.379450801368812</v>
      </c>
      <c r="X3" s="208" t="s">
        <v>11598</v>
      </c>
      <c r="Y3" s="76">
        <v>13.4</v>
      </c>
      <c r="Z3" s="391">
        <f t="shared" si="3"/>
        <v>13.4</v>
      </c>
      <c r="AA3" s="391" t="str">
        <f>+HLOOKUP(Z3,M3:$Y$68,$Z$68-(ROW()-1),0)</f>
        <v>JULIO</v>
      </c>
      <c r="AB3" s="1184"/>
      <c r="AC3" s="38" t="s">
        <v>8122</v>
      </c>
      <c r="AD3" s="38" t="s">
        <v>11599</v>
      </c>
    </row>
    <row r="4" spans="1:30" hidden="1" x14ac:dyDescent="0.2">
      <c r="A4" s="1169" t="s">
        <v>6576</v>
      </c>
      <c r="B4" s="1167">
        <v>4</v>
      </c>
      <c r="C4" s="1179" t="s">
        <v>6583</v>
      </c>
      <c r="D4" s="1169" t="s">
        <v>6584</v>
      </c>
      <c r="E4" s="1180">
        <f t="shared" si="0"/>
        <v>14.6</v>
      </c>
      <c r="F4" s="1181"/>
      <c r="G4" s="1181"/>
      <c r="H4" s="1182">
        <f t="shared" si="1"/>
        <v>14.6</v>
      </c>
      <c r="I4" s="1164" t="str">
        <f>+REGATONES[[#This Row],[Producto]]&amp;REGATONES[[#This Row],[Numero]]</f>
        <v>REGATONES4</v>
      </c>
      <c r="J4" s="1096" t="str">
        <f t="shared" si="2"/>
        <v>EXTERIORES CORTOS - 3/4 "</v>
      </c>
      <c r="K4" s="101">
        <f>+REGATONES[[#This Row],[Numero]]</f>
        <v>4</v>
      </c>
      <c r="M4" s="208" t="s">
        <v>11600</v>
      </c>
      <c r="N4" s="76">
        <v>44</v>
      </c>
      <c r="P4" s="208">
        <v>2011</v>
      </c>
      <c r="Q4" s="76">
        <v>32.700000000000003</v>
      </c>
      <c r="R4" s="877"/>
      <c r="S4" s="78">
        <v>41.04</v>
      </c>
      <c r="T4" s="1455"/>
      <c r="U4" s="208">
        <v>1100</v>
      </c>
      <c r="V4" s="76">
        <v>19.868190030476455</v>
      </c>
      <c r="X4" s="208" t="s">
        <v>11601</v>
      </c>
      <c r="Y4" s="76">
        <v>14.6</v>
      </c>
      <c r="Z4" s="391">
        <f t="shared" si="3"/>
        <v>14.6</v>
      </c>
      <c r="AA4" s="391" t="str">
        <f>+HLOOKUP(Z4,M4:$Y$68,$Z$68-(ROW()-1),0)</f>
        <v>JULIO</v>
      </c>
      <c r="AB4" s="1184"/>
      <c r="AC4" s="38" t="s">
        <v>8120</v>
      </c>
      <c r="AD4" s="38" t="s">
        <v>11602</v>
      </c>
    </row>
    <row r="5" spans="1:30" hidden="1" x14ac:dyDescent="0.2">
      <c r="A5" s="1169" t="s">
        <v>6576</v>
      </c>
      <c r="B5" s="1167">
        <v>5</v>
      </c>
      <c r="C5" s="1179" t="s">
        <v>6586</v>
      </c>
      <c r="D5" s="1169" t="s">
        <v>6587</v>
      </c>
      <c r="E5" s="1180">
        <f t="shared" si="0"/>
        <v>15.3</v>
      </c>
      <c r="F5" s="1181"/>
      <c r="G5" s="1181"/>
      <c r="H5" s="1182">
        <f t="shared" si="1"/>
        <v>15.3</v>
      </c>
      <c r="I5" s="1164" t="str">
        <f>+REGATONES[[#This Row],[Producto]]&amp;REGATONES[[#This Row],[Numero]]</f>
        <v>REGATONES5</v>
      </c>
      <c r="J5" s="1096" t="str">
        <f t="shared" si="2"/>
        <v>EXTERIORES CORTOS - 7/8 "</v>
      </c>
      <c r="K5" s="101">
        <f>+REGATONES[[#This Row],[Numero]]</f>
        <v>5</v>
      </c>
      <c r="M5" s="208" t="s">
        <v>11603</v>
      </c>
      <c r="N5" s="76">
        <v>48</v>
      </c>
      <c r="P5" s="208">
        <v>2012</v>
      </c>
      <c r="Q5" s="76">
        <v>37</v>
      </c>
      <c r="R5" s="877"/>
      <c r="S5" s="78">
        <v>42.18</v>
      </c>
      <c r="T5" s="1455"/>
      <c r="U5" s="208">
        <v>1090</v>
      </c>
      <c r="V5" s="76">
        <v>22.62030227914245</v>
      </c>
      <c r="X5" s="208" t="s">
        <v>11604</v>
      </c>
      <c r="Y5" s="76">
        <v>15.3</v>
      </c>
      <c r="Z5" s="391">
        <f t="shared" si="3"/>
        <v>15.3</v>
      </c>
      <c r="AA5" s="391" t="str">
        <f>+HLOOKUP(Z5,M5:$Y$68,$Z$68-(ROW()-1),0)</f>
        <v>JULIO</v>
      </c>
      <c r="AB5" s="1184"/>
      <c r="AC5" s="38" t="s">
        <v>11591</v>
      </c>
      <c r="AD5" s="38" t="s">
        <v>11605</v>
      </c>
    </row>
    <row r="6" spans="1:30" hidden="1" x14ac:dyDescent="0.2">
      <c r="A6" s="1169" t="s">
        <v>6576</v>
      </c>
      <c r="B6" s="1167">
        <v>6</v>
      </c>
      <c r="C6" s="1179" t="s">
        <v>6589</v>
      </c>
      <c r="D6" s="1169" t="s">
        <v>6590</v>
      </c>
      <c r="E6" s="1180">
        <f t="shared" si="0"/>
        <v>18.899999999999999</v>
      </c>
      <c r="F6" s="1181"/>
      <c r="G6" s="1181"/>
      <c r="H6" s="1182">
        <f t="shared" si="1"/>
        <v>18.899999999999999</v>
      </c>
      <c r="I6" s="1164" t="str">
        <f>+REGATONES[[#This Row],[Producto]]&amp;REGATONES[[#This Row],[Numero]]</f>
        <v>REGATONES6</v>
      </c>
      <c r="J6" s="1096" t="str">
        <f t="shared" si="2"/>
        <v>EXTERIORES CORTOS - 1"</v>
      </c>
      <c r="K6" s="101">
        <f>+REGATONES[[#This Row],[Numero]]</f>
        <v>6</v>
      </c>
      <c r="M6" s="208" t="s">
        <v>11606</v>
      </c>
      <c r="N6" s="76">
        <v>52</v>
      </c>
      <c r="P6" s="208">
        <v>2013</v>
      </c>
      <c r="Q6" s="76">
        <v>38.299999999999997</v>
      </c>
      <c r="R6" s="877"/>
      <c r="S6" s="78">
        <v>47.88</v>
      </c>
      <c r="T6" s="1455"/>
      <c r="U6" s="208">
        <v>1080</v>
      </c>
      <c r="V6" s="76">
        <v>24.180323125979871</v>
      </c>
      <c r="X6" s="208" t="s">
        <v>11607</v>
      </c>
      <c r="Y6" s="76">
        <v>18.899999999999999</v>
      </c>
      <c r="Z6" s="391">
        <f t="shared" si="3"/>
        <v>18.899999999999999</v>
      </c>
      <c r="AA6" s="391" t="str">
        <f>+HLOOKUP(Z6,M6:$Y$68,$Z$68-(ROW()-1),0)</f>
        <v>JULIO</v>
      </c>
      <c r="AB6" s="1184"/>
      <c r="AC6" s="38" t="s">
        <v>8123</v>
      </c>
      <c r="AD6" s="38" t="s">
        <v>11608</v>
      </c>
    </row>
    <row r="7" spans="1:30" hidden="1" x14ac:dyDescent="0.2">
      <c r="A7" s="1169" t="s">
        <v>6576</v>
      </c>
      <c r="B7" s="1167">
        <v>7</v>
      </c>
      <c r="C7" s="1179" t="s">
        <v>6592</v>
      </c>
      <c r="D7" s="1169" t="s">
        <v>6593</v>
      </c>
      <c r="E7" s="1180">
        <f t="shared" si="0"/>
        <v>51.2</v>
      </c>
      <c r="F7" s="1181"/>
      <c r="G7" s="1181"/>
      <c r="H7" s="1182">
        <f t="shared" si="1"/>
        <v>51.2</v>
      </c>
      <c r="I7" s="1164" t="str">
        <f>+REGATONES[[#This Row],[Producto]]&amp;REGATONES[[#This Row],[Numero]]</f>
        <v>REGATONES7</v>
      </c>
      <c r="J7" s="1096" t="str">
        <f t="shared" si="2"/>
        <v>EXTERIORES CORTOS - 1" 1/8</v>
      </c>
      <c r="K7" s="101">
        <f>+REGATONES[[#This Row],[Numero]]</f>
        <v>7</v>
      </c>
      <c r="M7" s="208" t="s">
        <v>11609</v>
      </c>
      <c r="N7" s="76">
        <v>79</v>
      </c>
      <c r="P7" s="208"/>
      <c r="Q7" s="76"/>
      <c r="R7" s="877"/>
      <c r="S7" s="78">
        <v>57</v>
      </c>
      <c r="T7" s="1455"/>
      <c r="U7" s="208"/>
      <c r="V7" s="76"/>
      <c r="X7" s="208" t="s">
        <v>11610</v>
      </c>
      <c r="Y7" s="76">
        <v>51.2</v>
      </c>
      <c r="Z7" s="391">
        <f t="shared" si="3"/>
        <v>51.2</v>
      </c>
      <c r="AA7" s="391" t="str">
        <f>+HLOOKUP(Z7,M7:$Y$68,$Z$68-(ROW()-1),0)</f>
        <v>JULIO</v>
      </c>
      <c r="AB7" s="1184"/>
      <c r="AC7" s="425"/>
    </row>
    <row r="8" spans="1:30" hidden="1" x14ac:dyDescent="0.2">
      <c r="A8" s="1169" t="s">
        <v>6576</v>
      </c>
      <c r="B8" s="1167">
        <v>8</v>
      </c>
      <c r="C8" s="1179" t="s">
        <v>6595</v>
      </c>
      <c r="D8" s="1169" t="s">
        <v>6596</v>
      </c>
      <c r="E8" s="1180">
        <f t="shared" si="0"/>
        <v>29.6</v>
      </c>
      <c r="F8" s="1181"/>
      <c r="G8" s="1181"/>
      <c r="H8" s="1182">
        <f t="shared" si="1"/>
        <v>29.6</v>
      </c>
      <c r="I8" s="1164" t="str">
        <f>+REGATONES[[#This Row],[Producto]]&amp;REGATONES[[#This Row],[Numero]]</f>
        <v>REGATONES8</v>
      </c>
      <c r="J8" s="1096" t="str">
        <f t="shared" si="2"/>
        <v>EXTERIORES CORTOS - 1" 1/4</v>
      </c>
      <c r="K8" s="101">
        <f>+REGATONES[[#This Row],[Numero]]</f>
        <v>8</v>
      </c>
      <c r="M8" s="208" t="s">
        <v>11611</v>
      </c>
      <c r="N8" s="76">
        <v>64</v>
      </c>
      <c r="P8" s="208">
        <v>2015</v>
      </c>
      <c r="Q8" s="76">
        <v>43.4</v>
      </c>
      <c r="R8" s="877"/>
      <c r="S8" s="78">
        <v>61.56</v>
      </c>
      <c r="T8" s="1455"/>
      <c r="U8" s="208">
        <v>1060</v>
      </c>
      <c r="V8" s="76">
        <v>34.320458630423026</v>
      </c>
      <c r="X8" s="208" t="s">
        <v>11612</v>
      </c>
      <c r="Y8" s="76">
        <v>29.6</v>
      </c>
      <c r="Z8" s="391">
        <f t="shared" si="3"/>
        <v>29.6</v>
      </c>
      <c r="AA8" s="391" t="str">
        <f>+HLOOKUP(Z8,M8:$Y$68,$Z$68-(ROW()-1),0)</f>
        <v>JULIO</v>
      </c>
      <c r="AB8" s="1184"/>
      <c r="AC8" s="425"/>
    </row>
    <row r="9" spans="1:30" hidden="1" x14ac:dyDescent="0.2">
      <c r="A9" s="1169" t="s">
        <v>6576</v>
      </c>
      <c r="B9" s="1167">
        <v>9</v>
      </c>
      <c r="C9" s="1179" t="s">
        <v>6598</v>
      </c>
      <c r="D9" s="1169" t="s">
        <v>6599</v>
      </c>
      <c r="E9" s="1180">
        <f t="shared" si="0"/>
        <v>31.3</v>
      </c>
      <c r="F9" s="1181"/>
      <c r="G9" s="1181"/>
      <c r="H9" s="1182">
        <f t="shared" si="1"/>
        <v>31.3</v>
      </c>
      <c r="I9" s="1164" t="str">
        <f>+REGATONES[[#This Row],[Producto]]&amp;REGATONES[[#This Row],[Numero]]</f>
        <v>REGATONES9</v>
      </c>
      <c r="J9" s="1096" t="str">
        <f t="shared" si="2"/>
        <v>EXTERIORES CORTOS - 1" 1/2</v>
      </c>
      <c r="K9" s="101">
        <f>+REGATONES[[#This Row],[Numero]]</f>
        <v>9</v>
      </c>
      <c r="M9" s="208" t="s">
        <v>11613</v>
      </c>
      <c r="N9" s="76">
        <v>69</v>
      </c>
      <c r="P9" s="208">
        <v>2018</v>
      </c>
      <c r="Q9" s="76">
        <v>54.4</v>
      </c>
      <c r="R9" s="877"/>
      <c r="S9" s="78">
        <v>68.400000000000006</v>
      </c>
      <c r="T9" s="1455"/>
      <c r="U9" s="208">
        <v>1040</v>
      </c>
      <c r="V9" s="76">
        <v>42.900573288028774</v>
      </c>
      <c r="X9" s="208" t="s">
        <v>11614</v>
      </c>
      <c r="Y9" s="76">
        <v>31.3</v>
      </c>
      <c r="Z9" s="391">
        <f t="shared" si="3"/>
        <v>31.3</v>
      </c>
      <c r="AA9" s="391" t="str">
        <f>+HLOOKUP(Z9,M9:$Y$68,$Z$68-(ROW()-1),0)</f>
        <v>JULIO</v>
      </c>
      <c r="AB9" s="1184"/>
      <c r="AC9" s="425"/>
    </row>
    <row r="10" spans="1:30" hidden="1" x14ac:dyDescent="0.2">
      <c r="A10" s="1169" t="s">
        <v>6576</v>
      </c>
      <c r="B10" s="1167">
        <v>10</v>
      </c>
      <c r="C10" s="1179" t="s">
        <v>6601</v>
      </c>
      <c r="D10" s="1169" t="s">
        <v>6602</v>
      </c>
      <c r="E10" s="1180">
        <f t="shared" si="0"/>
        <v>75</v>
      </c>
      <c r="F10" s="1181"/>
      <c r="G10" s="1181"/>
      <c r="H10" s="1182">
        <f t="shared" si="1"/>
        <v>75</v>
      </c>
      <c r="I10" s="1164" t="str">
        <f>+REGATONES[[#This Row],[Producto]]&amp;REGATONES[[#This Row],[Numero]]</f>
        <v>REGATONES10</v>
      </c>
      <c r="J10" s="1096" t="str">
        <f t="shared" si="2"/>
        <v>EXTERIORES CORTOS - 1" 3/4</v>
      </c>
      <c r="K10" s="101">
        <f>+REGATONES[[#This Row],[Numero]]</f>
        <v>10</v>
      </c>
      <c r="M10" s="208" t="s">
        <v>11615</v>
      </c>
      <c r="N10" s="76">
        <v>75</v>
      </c>
      <c r="P10" s="208">
        <v>2020</v>
      </c>
      <c r="Q10" s="76">
        <v>123.7</v>
      </c>
      <c r="R10" s="877"/>
      <c r="S10" s="78"/>
      <c r="U10" s="208">
        <v>1020</v>
      </c>
      <c r="V10" s="76">
        <v>101.40135504443171</v>
      </c>
      <c r="X10" s="208" t="s">
        <v>11616</v>
      </c>
      <c r="Y10" s="76"/>
      <c r="Z10" s="391">
        <f t="shared" si="3"/>
        <v>75</v>
      </c>
      <c r="AA10" s="391" t="str">
        <f>+HLOOKUP(Z10,M10:$Y$68,$Z$68-(ROW()-1),0)</f>
        <v>REGAPLAS</v>
      </c>
      <c r="AB10" s="1184"/>
      <c r="AC10" s="425"/>
    </row>
    <row r="11" spans="1:30" hidden="1" x14ac:dyDescent="0.2">
      <c r="A11" s="1169" t="s">
        <v>6576</v>
      </c>
      <c r="B11" s="1167">
        <v>11</v>
      </c>
      <c r="C11" s="1179" t="s">
        <v>6604</v>
      </c>
      <c r="D11" s="1169" t="s">
        <v>6605</v>
      </c>
      <c r="E11" s="1180">
        <f t="shared" si="0"/>
        <v>61.7</v>
      </c>
      <c r="F11" s="1181"/>
      <c r="G11" s="1181"/>
      <c r="H11" s="1182">
        <f t="shared" si="1"/>
        <v>61.7</v>
      </c>
      <c r="I11" s="1164" t="str">
        <f>+REGATONES[[#This Row],[Producto]]&amp;REGATONES[[#This Row],[Numero]]</f>
        <v>REGATONES11</v>
      </c>
      <c r="J11" s="1096" t="str">
        <f t="shared" si="2"/>
        <v xml:space="preserve">EXTERIORES CORTOS - 2" </v>
      </c>
      <c r="K11" s="101">
        <f>+REGATONES[[#This Row],[Numero]]</f>
        <v>11</v>
      </c>
      <c r="M11" s="208" t="s">
        <v>11617</v>
      </c>
      <c r="N11" s="76">
        <v>96</v>
      </c>
      <c r="P11" s="208">
        <v>2021</v>
      </c>
      <c r="Q11" s="76">
        <v>149</v>
      </c>
      <c r="R11" s="877"/>
      <c r="S11" s="78">
        <v>135.66</v>
      </c>
      <c r="T11" s="1455"/>
      <c r="U11" s="208">
        <v>1010</v>
      </c>
      <c r="V11" s="76">
        <v>124.80166774699285</v>
      </c>
      <c r="X11" s="208" t="s">
        <v>11618</v>
      </c>
      <c r="Y11" s="76">
        <v>61.7</v>
      </c>
      <c r="Z11" s="391">
        <f t="shared" si="3"/>
        <v>61.7</v>
      </c>
      <c r="AA11" s="391" t="str">
        <f>+HLOOKUP(Z11,M11:$Y$68,$Z$68-(ROW()-1),0)</f>
        <v>JULIO</v>
      </c>
      <c r="AB11" s="1184"/>
      <c r="AC11" s="425"/>
    </row>
    <row r="12" spans="1:30" hidden="1" x14ac:dyDescent="0.2">
      <c r="A12" s="1169" t="s">
        <v>6576</v>
      </c>
      <c r="B12" s="1167">
        <v>16</v>
      </c>
      <c r="C12" s="1179" t="s">
        <v>6607</v>
      </c>
      <c r="D12" s="1169" t="s">
        <v>6608</v>
      </c>
      <c r="E12" s="1180">
        <f t="shared" si="0"/>
        <v>109</v>
      </c>
      <c r="F12" s="1181"/>
      <c r="G12" s="1181"/>
      <c r="H12" s="1182">
        <f t="shared" si="1"/>
        <v>109</v>
      </c>
      <c r="I12" s="1164" t="str">
        <f>+REGATONES[[#This Row],[Producto]]&amp;REGATONES[[#This Row],[Numero]]</f>
        <v>REGATONES16</v>
      </c>
      <c r="J12" s="1096" t="str">
        <f t="shared" si="2"/>
        <v>EXTERIORES CORTOS - 2" 1/2</v>
      </c>
      <c r="K12" s="101">
        <f>+REGATONES[[#This Row],[Numero]]</f>
        <v>16</v>
      </c>
      <c r="M12" s="208" t="s">
        <v>11619</v>
      </c>
      <c r="N12" s="76">
        <v>109</v>
      </c>
      <c r="P12" s="208"/>
      <c r="Q12" s="76"/>
      <c r="R12" s="877"/>
      <c r="S12" s="78"/>
      <c r="U12" s="208"/>
      <c r="V12" s="76"/>
      <c r="X12" s="208"/>
      <c r="Y12" s="76"/>
      <c r="Z12" s="391">
        <f t="shared" si="3"/>
        <v>109</v>
      </c>
      <c r="AA12" s="391" t="str">
        <f>+HLOOKUP(Z12,M12:$Y$68,$Z$68-(ROW()-1),0)</f>
        <v>REGAPLAS</v>
      </c>
      <c r="AB12" s="1184"/>
      <c r="AC12" s="425"/>
    </row>
    <row r="13" spans="1:30" hidden="1" x14ac:dyDescent="0.2">
      <c r="A13" s="1169" t="s">
        <v>6576</v>
      </c>
      <c r="B13" s="1167">
        <v>17</v>
      </c>
      <c r="C13" s="1179" t="s">
        <v>6610</v>
      </c>
      <c r="D13" s="1169" t="s">
        <v>6611</v>
      </c>
      <c r="E13" s="1180">
        <f t="shared" si="0"/>
        <v>119</v>
      </c>
      <c r="F13" s="1181"/>
      <c r="G13" s="1181"/>
      <c r="H13" s="1182">
        <f t="shared" si="1"/>
        <v>119</v>
      </c>
      <c r="I13" s="1164" t="str">
        <f>+REGATONES[[#This Row],[Producto]]&amp;REGATONES[[#This Row],[Numero]]</f>
        <v>REGATONES17</v>
      </c>
      <c r="J13" s="1096" t="str">
        <f t="shared" si="2"/>
        <v>EXTERIORES CORTOS - 3"</v>
      </c>
      <c r="K13" s="101">
        <f>+REGATONES[[#This Row],[Numero]]</f>
        <v>17</v>
      </c>
      <c r="M13" s="208" t="s">
        <v>11620</v>
      </c>
      <c r="N13" s="76">
        <v>119</v>
      </c>
      <c r="P13" s="208">
        <v>2022</v>
      </c>
      <c r="Q13" s="76">
        <v>200</v>
      </c>
      <c r="R13" s="1185"/>
      <c r="S13" s="78">
        <v>344.28</v>
      </c>
      <c r="T13" s="1455"/>
      <c r="U13" s="208">
        <v>1005</v>
      </c>
      <c r="V13" s="76">
        <v>177.45949999999999</v>
      </c>
      <c r="X13" s="208"/>
      <c r="Y13" s="76"/>
      <c r="Z13" s="391">
        <f t="shared" si="3"/>
        <v>119</v>
      </c>
      <c r="AA13" s="391" t="str">
        <f>+HLOOKUP(Z13,M13:$Y$68,$Z$68-(ROW()-1),0)</f>
        <v>REGAPLAS</v>
      </c>
      <c r="AB13" s="1184"/>
      <c r="AC13" s="425"/>
    </row>
    <row r="14" spans="1:30" hidden="1" x14ac:dyDescent="0.2">
      <c r="A14" s="1169" t="s">
        <v>6576</v>
      </c>
      <c r="B14" s="1167">
        <v>12</v>
      </c>
      <c r="C14" s="1179" t="s">
        <v>6613</v>
      </c>
      <c r="D14" s="1169" t="s">
        <v>6614</v>
      </c>
      <c r="E14" s="1180">
        <f t="shared" si="0"/>
        <v>41.04</v>
      </c>
      <c r="F14" s="1181"/>
      <c r="G14" s="1181"/>
      <c r="H14" s="1182">
        <f t="shared" si="1"/>
        <v>41.04</v>
      </c>
      <c r="I14" s="1164" t="str">
        <f>+REGATONES[[#This Row],[Producto]]&amp;REGATONES[[#This Row],[Numero]]</f>
        <v>REGATONES12</v>
      </c>
      <c r="J14" s="1096" t="str">
        <f t="shared" si="2"/>
        <v>EXTERIORES LARGOS  - 5/8 .</v>
      </c>
      <c r="K14" s="101">
        <f>+REGATONES[[#This Row],[Numero]]</f>
        <v>12</v>
      </c>
      <c r="M14" s="208" t="s">
        <v>11621</v>
      </c>
      <c r="N14" s="76">
        <v>51</v>
      </c>
      <c r="P14" s="208">
        <v>2032</v>
      </c>
      <c r="Q14" s="76">
        <v>41.2</v>
      </c>
      <c r="R14" s="877"/>
      <c r="S14" s="78">
        <v>41.04</v>
      </c>
      <c r="T14" s="1455"/>
      <c r="U14" s="208"/>
      <c r="V14" s="76"/>
      <c r="X14" s="208"/>
      <c r="Y14" s="76"/>
      <c r="Z14" s="391">
        <f t="shared" si="3"/>
        <v>41.04</v>
      </c>
      <c r="AA14" s="391" t="str">
        <f>+HLOOKUP(Z14,M14:$Y$68,$Z$68-(ROW()-1),0)</f>
        <v>CARCCIONE</v>
      </c>
      <c r="AB14" s="1184"/>
      <c r="AC14" s="425"/>
    </row>
    <row r="15" spans="1:30" hidden="1" x14ac:dyDescent="0.2">
      <c r="A15" s="1169" t="s">
        <v>6576</v>
      </c>
      <c r="B15" s="1167">
        <v>13</v>
      </c>
      <c r="C15" s="1179" t="s">
        <v>6616</v>
      </c>
      <c r="D15" s="1169" t="s">
        <v>6617</v>
      </c>
      <c r="E15" s="1180">
        <f t="shared" si="0"/>
        <v>43.32</v>
      </c>
      <c r="F15" s="1181"/>
      <c r="G15" s="1181"/>
      <c r="H15" s="1182">
        <f t="shared" si="1"/>
        <v>43.32</v>
      </c>
      <c r="I15" s="1164" t="str">
        <f>+REGATONES[[#This Row],[Producto]]&amp;REGATONES[[#This Row],[Numero]]</f>
        <v>REGATONES13</v>
      </c>
      <c r="J15" s="1096" t="str">
        <f t="shared" si="2"/>
        <v>EXTERIORES LARGOS  - 3/4 .</v>
      </c>
      <c r="K15" s="101">
        <f>+REGATONES[[#This Row],[Numero]]</f>
        <v>13</v>
      </c>
      <c r="M15" s="208" t="s">
        <v>11622</v>
      </c>
      <c r="N15" s="76">
        <v>58</v>
      </c>
      <c r="P15" s="208">
        <v>2034</v>
      </c>
      <c r="Q15" s="76">
        <v>70</v>
      </c>
      <c r="R15" s="877"/>
      <c r="S15" s="78">
        <v>43.32</v>
      </c>
      <c r="T15" s="1455"/>
      <c r="U15" s="208"/>
      <c r="V15" s="76"/>
      <c r="X15" s="208"/>
      <c r="Y15" s="76"/>
      <c r="Z15" s="391">
        <f t="shared" si="3"/>
        <v>43.32</v>
      </c>
      <c r="AA15" s="391" t="str">
        <f>+HLOOKUP(Z15,M15:$Y$68,$Z$68-(ROW()-1),0)</f>
        <v>CARCCIONE</v>
      </c>
      <c r="AB15" s="1184"/>
      <c r="AC15" s="425"/>
    </row>
    <row r="16" spans="1:30" hidden="1" x14ac:dyDescent="0.2">
      <c r="A16" s="1169" t="s">
        <v>6576</v>
      </c>
      <c r="B16" s="1167">
        <v>14</v>
      </c>
      <c r="C16" s="1179" t="s">
        <v>6619</v>
      </c>
      <c r="D16" s="1169" t="s">
        <v>6620</v>
      </c>
      <c r="E16" s="1180">
        <f t="shared" si="0"/>
        <v>45.8</v>
      </c>
      <c r="F16" s="1181"/>
      <c r="G16" s="1181"/>
      <c r="H16" s="1182">
        <f t="shared" si="1"/>
        <v>45.8</v>
      </c>
      <c r="I16" s="1164" t="str">
        <f>+REGATONES[[#This Row],[Producto]]&amp;REGATONES[[#This Row],[Numero]]</f>
        <v>REGATONES14</v>
      </c>
      <c r="J16" s="1096" t="str">
        <f t="shared" si="2"/>
        <v>EXTERIORES LARGOS  - 7/8 .</v>
      </c>
      <c r="K16" s="101">
        <f>+REGATONES[[#This Row],[Numero]]</f>
        <v>14</v>
      </c>
      <c r="M16" s="208" t="s">
        <v>11623</v>
      </c>
      <c r="N16" s="76">
        <v>65</v>
      </c>
      <c r="P16" s="208">
        <v>2035</v>
      </c>
      <c r="Q16" s="76">
        <v>45.8</v>
      </c>
      <c r="R16" s="877"/>
      <c r="S16" s="78">
        <v>47.88</v>
      </c>
      <c r="T16" s="1455"/>
      <c r="U16" s="208"/>
      <c r="V16" s="76"/>
      <c r="X16" s="208"/>
      <c r="Y16" s="76"/>
      <c r="Z16" s="391">
        <f t="shared" si="3"/>
        <v>45.8</v>
      </c>
      <c r="AA16" s="391" t="str">
        <f>+HLOOKUP(Z16,M16:$Y$68,$Z$68-(ROW()-1),0)</f>
        <v>O Y R</v>
      </c>
      <c r="AB16" s="1184"/>
      <c r="AC16" s="425"/>
    </row>
    <row r="17" spans="1:29" hidden="1" x14ac:dyDescent="0.2">
      <c r="A17" s="1169" t="s">
        <v>6576</v>
      </c>
      <c r="B17" s="1167">
        <v>15</v>
      </c>
      <c r="C17" s="1179" t="s">
        <v>6622</v>
      </c>
      <c r="D17" s="1169" t="s">
        <v>6623</v>
      </c>
      <c r="E17" s="1180">
        <f t="shared" si="0"/>
        <v>49.02</v>
      </c>
      <c r="F17" s="1181"/>
      <c r="G17" s="1181"/>
      <c r="H17" s="1182">
        <f t="shared" si="1"/>
        <v>49.02</v>
      </c>
      <c r="I17" s="1164" t="str">
        <f>+REGATONES[[#This Row],[Producto]]&amp;REGATONES[[#This Row],[Numero]]</f>
        <v>REGATONES15</v>
      </c>
      <c r="J17" s="1096" t="str">
        <f t="shared" si="2"/>
        <v>EXTERIORES LARGOS  - 1"</v>
      </c>
      <c r="K17" s="101">
        <f>+REGATONES[[#This Row],[Numero]]</f>
        <v>15</v>
      </c>
      <c r="M17" s="208" t="s">
        <v>11624</v>
      </c>
      <c r="N17" s="76">
        <v>75</v>
      </c>
      <c r="P17" s="208">
        <v>2036</v>
      </c>
      <c r="Q17" s="76">
        <v>50.4</v>
      </c>
      <c r="R17" s="877"/>
      <c r="S17" s="78">
        <v>49.02</v>
      </c>
      <c r="T17" s="1455"/>
      <c r="U17" s="208"/>
      <c r="V17" s="76"/>
      <c r="X17" s="208"/>
      <c r="Y17" s="76"/>
      <c r="Z17" s="391">
        <f t="shared" si="3"/>
        <v>49.02</v>
      </c>
      <c r="AA17" s="391" t="str">
        <f>+HLOOKUP(Z17,M17:$Y$68,$Z$68-(ROW()-1),0)</f>
        <v>CARCCIONE</v>
      </c>
      <c r="AB17" s="1184"/>
      <c r="AC17" s="425"/>
    </row>
    <row r="18" spans="1:29" hidden="1" x14ac:dyDescent="0.2">
      <c r="A18" s="1169" t="s">
        <v>6576</v>
      </c>
      <c r="B18" s="1167">
        <v>19</v>
      </c>
      <c r="C18" s="1179" t="s">
        <v>6625</v>
      </c>
      <c r="D18" s="1169" t="s">
        <v>6626</v>
      </c>
      <c r="E18" s="1180">
        <f t="shared" si="0"/>
        <v>24</v>
      </c>
      <c r="F18" s="1181"/>
      <c r="G18" s="1181"/>
      <c r="H18" s="1182">
        <f t="shared" si="1"/>
        <v>24</v>
      </c>
      <c r="I18" s="1164" t="str">
        <f>+REGATONES[[#This Row],[Producto]]&amp;REGATONES[[#This Row],[Numero]]</f>
        <v>REGATONES19</v>
      </c>
      <c r="J18" s="1096" t="str">
        <f t="shared" si="2"/>
        <v>INTERIORES  - 5/8 .</v>
      </c>
      <c r="K18" s="101">
        <f>+REGATONES[[#This Row],[Numero]]</f>
        <v>19</v>
      </c>
      <c r="M18" s="208" t="s">
        <v>11625</v>
      </c>
      <c r="N18" s="76">
        <v>38</v>
      </c>
      <c r="P18" s="208">
        <v>1003</v>
      </c>
      <c r="Q18" s="76">
        <v>24</v>
      </c>
      <c r="R18" s="877"/>
      <c r="S18" s="78">
        <v>39.9</v>
      </c>
      <c r="T18" s="1455"/>
      <c r="U18" s="208">
        <v>3070</v>
      </c>
      <c r="V18" s="76">
        <v>24.563823975927701</v>
      </c>
      <c r="X18" s="208" t="s">
        <v>11626</v>
      </c>
      <c r="Y18" s="76"/>
      <c r="Z18" s="391">
        <f t="shared" si="3"/>
        <v>24</v>
      </c>
      <c r="AA18" s="391" t="str">
        <f>+HLOOKUP(Z18,M18:$Y$68,$Z$68-(ROW()-1),0)</f>
        <v>O Y R</v>
      </c>
      <c r="AB18" s="1184"/>
      <c r="AC18" s="425"/>
    </row>
    <row r="19" spans="1:29" hidden="1" x14ac:dyDescent="0.2">
      <c r="A19" s="1169" t="s">
        <v>6576</v>
      </c>
      <c r="B19" s="1167">
        <v>20</v>
      </c>
      <c r="C19" s="1179" t="s">
        <v>6628</v>
      </c>
      <c r="D19" s="1169" t="s">
        <v>6629</v>
      </c>
      <c r="E19" s="1180">
        <f t="shared" si="0"/>
        <v>17.149999999999999</v>
      </c>
      <c r="F19" s="1181"/>
      <c r="G19" s="1181"/>
      <c r="H19" s="1182">
        <f t="shared" si="1"/>
        <v>17.149999999999999</v>
      </c>
      <c r="I19" s="1164" t="str">
        <f>+REGATONES[[#This Row],[Producto]]&amp;REGATONES[[#This Row],[Numero]]</f>
        <v>REGATONES20</v>
      </c>
      <c r="J19" s="1096" t="str">
        <f t="shared" si="2"/>
        <v>INTERIORES  - 3/4 .</v>
      </c>
      <c r="K19" s="101">
        <f>+REGATONES[[#This Row],[Numero]]</f>
        <v>20</v>
      </c>
      <c r="M19" s="208" t="s">
        <v>11627</v>
      </c>
      <c r="N19" s="76">
        <v>42</v>
      </c>
      <c r="P19" s="208">
        <v>1005</v>
      </c>
      <c r="Q19" s="76">
        <v>30.2</v>
      </c>
      <c r="R19" s="877"/>
      <c r="S19" s="78">
        <v>41.04</v>
      </c>
      <c r="T19" s="1455"/>
      <c r="U19" s="208">
        <v>3060</v>
      </c>
      <c r="V19" s="76">
        <v>26.173361489574425</v>
      </c>
      <c r="X19" s="208" t="s">
        <v>11628</v>
      </c>
      <c r="Y19" s="76">
        <v>17.149999999999999</v>
      </c>
      <c r="Z19" s="391">
        <f t="shared" si="3"/>
        <v>17.149999999999999</v>
      </c>
      <c r="AA19" s="391" t="str">
        <f>+HLOOKUP(Z19,M19:$Y$68,$Z$68-(ROW()-1),0)</f>
        <v>JULIO</v>
      </c>
      <c r="AB19" s="1184"/>
      <c r="AC19" s="425"/>
    </row>
    <row r="20" spans="1:29" hidden="1" x14ac:dyDescent="0.2">
      <c r="A20" s="1169" t="s">
        <v>6576</v>
      </c>
      <c r="B20" s="1167">
        <v>23</v>
      </c>
      <c r="C20" s="1179" t="s">
        <v>6631</v>
      </c>
      <c r="D20" s="1169" t="s">
        <v>6632</v>
      </c>
      <c r="E20" s="1180">
        <f t="shared" si="0"/>
        <v>18.95</v>
      </c>
      <c r="F20" s="1181"/>
      <c r="G20" s="1181"/>
      <c r="H20" s="1182">
        <f t="shared" si="1"/>
        <v>18.95</v>
      </c>
      <c r="I20" s="1164" t="str">
        <f>+REGATONES[[#This Row],[Producto]]&amp;REGATONES[[#This Row],[Numero]]</f>
        <v>REGATONES23</v>
      </c>
      <c r="J20" s="1096" t="str">
        <f t="shared" si="2"/>
        <v>INTERIORES  - 7/8 .</v>
      </c>
      <c r="K20" s="101">
        <f>+REGATONES[[#This Row],[Numero]]</f>
        <v>23</v>
      </c>
      <c r="M20" s="208" t="s">
        <v>11629</v>
      </c>
      <c r="N20" s="76">
        <v>44</v>
      </c>
      <c r="P20" s="208">
        <v>1008</v>
      </c>
      <c r="Q20" s="76">
        <v>26</v>
      </c>
      <c r="R20" s="877"/>
      <c r="S20" s="78">
        <v>42.18</v>
      </c>
      <c r="T20" s="1455"/>
      <c r="U20" s="208">
        <v>3050</v>
      </c>
      <c r="V20" s="76">
        <v>36.724640746437331</v>
      </c>
      <c r="X20" s="208" t="s">
        <v>11630</v>
      </c>
      <c r="Y20" s="76">
        <v>18.95</v>
      </c>
      <c r="Z20" s="391">
        <f t="shared" si="3"/>
        <v>18.95</v>
      </c>
      <c r="AA20" s="391" t="str">
        <f>+HLOOKUP(Z20,M20:$Y$68,$Z$68-(ROW()-1),0)</f>
        <v>JULIO</v>
      </c>
      <c r="AB20" s="1184"/>
      <c r="AC20" s="425"/>
    </row>
    <row r="21" spans="1:29" hidden="1" x14ac:dyDescent="0.2">
      <c r="A21" s="1169" t="s">
        <v>6576</v>
      </c>
      <c r="B21" s="1167">
        <v>26</v>
      </c>
      <c r="C21" s="1179" t="s">
        <v>6634</v>
      </c>
      <c r="D21" s="1169" t="s">
        <v>6635</v>
      </c>
      <c r="E21" s="1180">
        <f t="shared" si="0"/>
        <v>23.6</v>
      </c>
      <c r="F21" s="1181"/>
      <c r="G21" s="1181"/>
      <c r="H21" s="1182">
        <f t="shared" si="1"/>
        <v>23.6</v>
      </c>
      <c r="I21" s="1164" t="str">
        <f>+REGATONES[[#This Row],[Producto]]&amp;REGATONES[[#This Row],[Numero]]</f>
        <v>REGATONES26</v>
      </c>
      <c r="J21" s="1096" t="str">
        <f t="shared" si="2"/>
        <v>INTERIORES  - 1"</v>
      </c>
      <c r="K21" s="101">
        <f>+REGATONES[[#This Row],[Numero]]</f>
        <v>26</v>
      </c>
      <c r="M21" s="208" t="s">
        <v>11631</v>
      </c>
      <c r="N21" s="76">
        <v>50</v>
      </c>
      <c r="P21" s="208">
        <v>1011</v>
      </c>
      <c r="Q21" s="76">
        <v>39.299999999999997</v>
      </c>
      <c r="R21" s="877"/>
      <c r="S21" s="78">
        <v>47.88</v>
      </c>
      <c r="T21" s="1455"/>
      <c r="U21" s="208">
        <v>3040</v>
      </c>
      <c r="V21" s="76">
        <v>35.908966209196294</v>
      </c>
      <c r="X21" s="208" t="s">
        <v>11632</v>
      </c>
      <c r="Y21" s="76">
        <v>23.6</v>
      </c>
      <c r="Z21" s="391">
        <f t="shared" si="3"/>
        <v>23.6</v>
      </c>
      <c r="AA21" s="391" t="str">
        <f>+HLOOKUP(Z21,M21:$Y$68,$Z$68-(ROW()-1),0)</f>
        <v>JULIO</v>
      </c>
      <c r="AB21" s="1184"/>
      <c r="AC21" s="425"/>
    </row>
    <row r="22" spans="1:29" hidden="1" x14ac:dyDescent="0.2">
      <c r="A22" s="1169" t="s">
        <v>6576</v>
      </c>
      <c r="B22" s="1167">
        <v>27</v>
      </c>
      <c r="C22" s="1179" t="s">
        <v>6637</v>
      </c>
      <c r="D22" s="1169" t="s">
        <v>6638</v>
      </c>
      <c r="E22" s="1180">
        <f t="shared" si="0"/>
        <v>61.56</v>
      </c>
      <c r="F22" s="1181"/>
      <c r="G22" s="1181"/>
      <c r="H22" s="1182">
        <f t="shared" si="1"/>
        <v>61.56</v>
      </c>
      <c r="I22" s="1164" t="str">
        <f>+REGATONES[[#This Row],[Producto]]&amp;REGATONES[[#This Row],[Numero]]</f>
        <v>REGATONES27</v>
      </c>
      <c r="J22" s="1096" t="str">
        <f t="shared" si="2"/>
        <v>INTERIORES  - 1" 1/8</v>
      </c>
      <c r="K22" s="101">
        <f>+REGATONES[[#This Row],[Numero]]</f>
        <v>27</v>
      </c>
      <c r="M22" s="208" t="s">
        <v>8353</v>
      </c>
      <c r="N22" s="76"/>
      <c r="P22" s="208">
        <v>1015</v>
      </c>
      <c r="Q22" s="76">
        <v>110</v>
      </c>
      <c r="R22" s="877"/>
      <c r="S22" s="78">
        <v>61.56</v>
      </c>
      <c r="T22" s="1455"/>
      <c r="U22" s="208"/>
      <c r="V22" s="76"/>
      <c r="X22" s="208"/>
      <c r="Y22" s="76"/>
      <c r="Z22" s="391">
        <f t="shared" si="3"/>
        <v>61.56</v>
      </c>
      <c r="AA22" s="391" t="str">
        <f>+HLOOKUP(Z22,M22:$Y$68,$Z$68-(ROW()-1),0)</f>
        <v>CARCCIONE</v>
      </c>
      <c r="AB22" s="1184"/>
      <c r="AC22" s="425"/>
    </row>
    <row r="23" spans="1:29" hidden="1" x14ac:dyDescent="0.2">
      <c r="A23" s="1169" t="s">
        <v>6576</v>
      </c>
      <c r="B23" s="1167">
        <v>29</v>
      </c>
      <c r="C23" s="1179" t="s">
        <v>6640</v>
      </c>
      <c r="D23" s="1169" t="s">
        <v>6641</v>
      </c>
      <c r="E23" s="1180">
        <f t="shared" si="0"/>
        <v>32.4</v>
      </c>
      <c r="F23" s="1181"/>
      <c r="G23" s="1181"/>
      <c r="H23" s="1182">
        <f t="shared" si="1"/>
        <v>32.4</v>
      </c>
      <c r="I23" s="1164" t="str">
        <f>+REGATONES[[#This Row],[Producto]]&amp;REGATONES[[#This Row],[Numero]]</f>
        <v>REGATONES29</v>
      </c>
      <c r="J23" s="1096" t="str">
        <f t="shared" si="2"/>
        <v>INTERIORES  - 1" 1/4</v>
      </c>
      <c r="K23" s="101">
        <f>+REGATONES[[#This Row],[Numero]]</f>
        <v>29</v>
      </c>
      <c r="M23" s="208" t="s">
        <v>11633</v>
      </c>
      <c r="N23" s="76">
        <v>58</v>
      </c>
      <c r="P23" s="208">
        <v>1016</v>
      </c>
      <c r="Q23" s="76">
        <v>40.1</v>
      </c>
      <c r="R23" s="877"/>
      <c r="S23" s="78">
        <v>64.98</v>
      </c>
      <c r="T23" s="1455"/>
      <c r="U23" s="208">
        <v>3031</v>
      </c>
      <c r="V23" s="76">
        <v>48.085799999999999</v>
      </c>
      <c r="X23" s="208" t="s">
        <v>11634</v>
      </c>
      <c r="Y23" s="76">
        <v>32.4</v>
      </c>
      <c r="Z23" s="391">
        <f t="shared" si="3"/>
        <v>32.4</v>
      </c>
      <c r="AA23" s="391" t="str">
        <f>+HLOOKUP(Z23,M23:$Y$68,$Z$68-(ROW()-1),0)</f>
        <v>JULIO</v>
      </c>
      <c r="AB23" s="1184"/>
      <c r="AC23" s="425"/>
    </row>
    <row r="24" spans="1:29" hidden="1" x14ac:dyDescent="0.2">
      <c r="A24" s="1169" t="s">
        <v>6576</v>
      </c>
      <c r="B24" s="1167">
        <v>30</v>
      </c>
      <c r="C24" s="1179" t="s">
        <v>6643</v>
      </c>
      <c r="D24" s="1169" t="s">
        <v>6644</v>
      </c>
      <c r="E24" s="1180">
        <f t="shared" si="0"/>
        <v>38.450000000000003</v>
      </c>
      <c r="F24" s="1181"/>
      <c r="G24" s="1181"/>
      <c r="H24" s="1182">
        <f t="shared" si="1"/>
        <v>38.450000000000003</v>
      </c>
      <c r="I24" s="1164" t="str">
        <f>+REGATONES[[#This Row],[Producto]]&amp;REGATONES[[#This Row],[Numero]]</f>
        <v>REGATONES30</v>
      </c>
      <c r="J24" s="1096" t="str">
        <f t="shared" si="2"/>
        <v>INTERIORES  - 1" 1/2</v>
      </c>
      <c r="K24" s="101">
        <f>+REGATONES[[#This Row],[Numero]]</f>
        <v>30</v>
      </c>
      <c r="M24" s="208" t="s">
        <v>11635</v>
      </c>
      <c r="N24" s="76">
        <v>65</v>
      </c>
      <c r="P24" s="208">
        <v>1020</v>
      </c>
      <c r="Q24" s="76">
        <v>45.1</v>
      </c>
      <c r="R24" s="877"/>
      <c r="S24" s="78">
        <v>66.12</v>
      </c>
      <c r="T24" s="1455"/>
      <c r="U24" s="208">
        <v>3020</v>
      </c>
      <c r="V24" s="76">
        <v>56.100100000000005</v>
      </c>
      <c r="X24" s="208" t="s">
        <v>11636</v>
      </c>
      <c r="Y24" s="76">
        <v>38.450000000000003</v>
      </c>
      <c r="Z24" s="391">
        <f t="shared" si="3"/>
        <v>38.450000000000003</v>
      </c>
      <c r="AA24" s="391" t="str">
        <f>+HLOOKUP(Z24,M24:$Y$68,$Z$68-(ROW()-1),0)</f>
        <v>JULIO</v>
      </c>
      <c r="AB24" s="1184"/>
      <c r="AC24" s="425"/>
    </row>
    <row r="25" spans="1:29" hidden="1" x14ac:dyDescent="0.2">
      <c r="A25" s="1169" t="s">
        <v>6576</v>
      </c>
      <c r="B25" s="1167">
        <v>31</v>
      </c>
      <c r="C25" s="1179" t="s">
        <v>6646</v>
      </c>
      <c r="D25" s="1169" t="s">
        <v>6647</v>
      </c>
      <c r="E25" s="1180">
        <f t="shared" si="0"/>
        <v>75</v>
      </c>
      <c r="F25" s="1181"/>
      <c r="G25" s="1181"/>
      <c r="H25" s="1182">
        <f t="shared" si="1"/>
        <v>75</v>
      </c>
      <c r="I25" s="1164" t="str">
        <f>+REGATONES[[#This Row],[Producto]]&amp;REGATONES[[#This Row],[Numero]]</f>
        <v>REGATONES31</v>
      </c>
      <c r="J25" s="1096" t="str">
        <f t="shared" si="2"/>
        <v>INTERIORES  - 1" 3/4</v>
      </c>
      <c r="K25" s="101">
        <f>+REGATONES[[#This Row],[Numero]]</f>
        <v>31</v>
      </c>
      <c r="M25" s="208" t="s">
        <v>11637</v>
      </c>
      <c r="N25" s="76">
        <v>75</v>
      </c>
      <c r="P25" s="208">
        <v>1022</v>
      </c>
      <c r="Q25" s="76">
        <v>116.5</v>
      </c>
      <c r="R25" s="877"/>
      <c r="S25" s="78">
        <v>85.5</v>
      </c>
      <c r="T25" s="1455"/>
      <c r="U25" s="208">
        <v>3115</v>
      </c>
      <c r="V25" s="76">
        <v>111.5991447718161</v>
      </c>
      <c r="X25" s="208"/>
      <c r="Y25" s="76"/>
      <c r="Z25" s="391">
        <f t="shared" si="3"/>
        <v>75</v>
      </c>
      <c r="AA25" s="391" t="str">
        <f>+HLOOKUP(Z25,M25:$Y$68,$Z$68-(ROW()-1),0)</f>
        <v>REGAPLAS</v>
      </c>
      <c r="AB25" s="1184"/>
      <c r="AC25" s="425"/>
    </row>
    <row r="26" spans="1:29" hidden="1" x14ac:dyDescent="0.2">
      <c r="A26" s="1169" t="s">
        <v>6576</v>
      </c>
      <c r="B26" s="1167">
        <v>32</v>
      </c>
      <c r="C26" s="1179" t="s">
        <v>6649</v>
      </c>
      <c r="D26" s="1169" t="s">
        <v>6650</v>
      </c>
      <c r="E26" s="1180">
        <f t="shared" si="0"/>
        <v>62.6</v>
      </c>
      <c r="F26" s="1181"/>
      <c r="G26" s="1181"/>
      <c r="H26" s="1182">
        <f t="shared" si="1"/>
        <v>62.6</v>
      </c>
      <c r="I26" s="1164" t="str">
        <f>+REGATONES[[#This Row],[Producto]]&amp;REGATONES[[#This Row],[Numero]]</f>
        <v>REGATONES32</v>
      </c>
      <c r="J26" s="1096" t="str">
        <f t="shared" si="2"/>
        <v>INTERIORES  - 2"</v>
      </c>
      <c r="K26" s="101">
        <f>+REGATONES[[#This Row],[Numero]]</f>
        <v>32</v>
      </c>
      <c r="M26" s="208" t="s">
        <v>11638</v>
      </c>
      <c r="N26" s="76">
        <v>92</v>
      </c>
      <c r="P26" s="208">
        <v>1023</v>
      </c>
      <c r="Q26" s="76">
        <v>62.6</v>
      </c>
      <c r="R26" s="877"/>
      <c r="S26" s="78">
        <v>114</v>
      </c>
      <c r="T26" s="1455"/>
      <c r="U26" s="208">
        <v>3010</v>
      </c>
      <c r="V26" s="76">
        <v>120.25315118003054</v>
      </c>
      <c r="X26" s="208" t="s">
        <v>11639</v>
      </c>
      <c r="Y26" s="76">
        <v>73.400000000000006</v>
      </c>
      <c r="Z26" s="391">
        <f t="shared" si="3"/>
        <v>62.6</v>
      </c>
      <c r="AA26" s="391" t="str">
        <f>+HLOOKUP(Z26,M26:$Y$68,$Z$68-(ROW()-1),0)</f>
        <v>O Y R</v>
      </c>
      <c r="AB26" s="1184"/>
      <c r="AC26" s="425"/>
    </row>
    <row r="27" spans="1:29" hidden="1" x14ac:dyDescent="0.2">
      <c r="A27" s="1169" t="s">
        <v>6576</v>
      </c>
      <c r="B27" s="1167">
        <v>33</v>
      </c>
      <c r="C27" s="1179" t="s">
        <v>6652</v>
      </c>
      <c r="D27" s="1169" t="s">
        <v>6653</v>
      </c>
      <c r="E27" s="1180">
        <f t="shared" si="0"/>
        <v>105</v>
      </c>
      <c r="F27" s="1181"/>
      <c r="G27" s="1181"/>
      <c r="H27" s="1182">
        <f t="shared" si="1"/>
        <v>105</v>
      </c>
      <c r="I27" s="1164" t="str">
        <f>+REGATONES[[#This Row],[Producto]]&amp;REGATONES[[#This Row],[Numero]]</f>
        <v>REGATONES33</v>
      </c>
      <c r="J27" s="1096" t="str">
        <f t="shared" si="2"/>
        <v>INTERIORES  - 2" 1/2</v>
      </c>
      <c r="K27" s="101">
        <f>+REGATONES[[#This Row],[Numero]]</f>
        <v>33</v>
      </c>
      <c r="M27" s="208" t="s">
        <v>11640</v>
      </c>
      <c r="N27" s="76">
        <v>105</v>
      </c>
      <c r="P27" s="208">
        <v>1025</v>
      </c>
      <c r="Q27" s="76">
        <v>147.5</v>
      </c>
      <c r="R27" s="877"/>
      <c r="S27" s="78">
        <v>142.5</v>
      </c>
      <c r="T27" s="1455"/>
      <c r="U27" s="208" t="s">
        <v>8353</v>
      </c>
      <c r="V27" s="76"/>
      <c r="X27" s="208"/>
      <c r="Y27" s="76"/>
      <c r="Z27" s="391">
        <f t="shared" si="3"/>
        <v>105</v>
      </c>
      <c r="AA27" s="391" t="str">
        <f>+HLOOKUP(Z27,M27:$Y$68,$Z$68-(ROW()-1),0)</f>
        <v>REGAPLAS</v>
      </c>
      <c r="AB27" s="1184"/>
      <c r="AC27" s="425"/>
    </row>
    <row r="28" spans="1:29" hidden="1" x14ac:dyDescent="0.2">
      <c r="A28" s="1169" t="s">
        <v>6576</v>
      </c>
      <c r="B28" s="1167">
        <v>34</v>
      </c>
      <c r="C28" s="1179" t="s">
        <v>6655</v>
      </c>
      <c r="D28" s="1169" t="s">
        <v>6656</v>
      </c>
      <c r="E28" s="1180">
        <f t="shared" si="0"/>
        <v>112</v>
      </c>
      <c r="F28" s="1181"/>
      <c r="G28" s="1181"/>
      <c r="H28" s="1182">
        <f t="shared" si="1"/>
        <v>112</v>
      </c>
      <c r="I28" s="1164" t="str">
        <f>+REGATONES[[#This Row],[Producto]]&amp;REGATONES[[#This Row],[Numero]]</f>
        <v>REGATONES34</v>
      </c>
      <c r="J28" s="1096" t="str">
        <f t="shared" si="2"/>
        <v>INTERIORES  - 3"</v>
      </c>
      <c r="K28" s="101">
        <f>+REGATONES[[#This Row],[Numero]]</f>
        <v>34</v>
      </c>
      <c r="M28" s="208" t="s">
        <v>11641</v>
      </c>
      <c r="N28" s="76">
        <v>112</v>
      </c>
      <c r="P28" s="208">
        <v>1026</v>
      </c>
      <c r="Q28" s="76">
        <v>130.19999999999999</v>
      </c>
      <c r="R28" s="877"/>
      <c r="S28" s="78">
        <v>193.8</v>
      </c>
      <c r="T28" s="1455"/>
      <c r="U28" s="208">
        <v>3110</v>
      </c>
      <c r="V28" s="76">
        <v>197.92088399934877</v>
      </c>
      <c r="X28" s="208" t="s">
        <v>11642</v>
      </c>
      <c r="Y28" s="76"/>
      <c r="Z28" s="391">
        <f t="shared" si="3"/>
        <v>112</v>
      </c>
      <c r="AA28" s="391" t="str">
        <f>+HLOOKUP(Z28,M28:$Y$68,$Z$68-(ROW()-1),0)</f>
        <v>REGAPLAS</v>
      </c>
      <c r="AB28" s="1184"/>
      <c r="AC28" s="425"/>
    </row>
    <row r="29" spans="1:29" hidden="1" x14ac:dyDescent="0.2">
      <c r="A29" s="1169" t="s">
        <v>6576</v>
      </c>
      <c r="B29" s="1167">
        <v>35</v>
      </c>
      <c r="C29" s="1179" t="s">
        <v>6658</v>
      </c>
      <c r="D29" s="1169" t="s">
        <v>6659</v>
      </c>
      <c r="E29" s="1180">
        <f t="shared" si="0"/>
        <v>33.52698405558565</v>
      </c>
      <c r="F29" s="1181"/>
      <c r="G29" s="1181"/>
      <c r="H29" s="1182">
        <f t="shared" si="1"/>
        <v>33.52698405558565</v>
      </c>
      <c r="I29" s="1164" t="str">
        <f>+REGATONES[[#This Row],[Producto]]&amp;REGATONES[[#This Row],[Numero]]</f>
        <v>REGATONES35</v>
      </c>
      <c r="J29" s="1096" t="str">
        <f t="shared" si="2"/>
        <v>CUADRADOS  - 15x15</v>
      </c>
      <c r="K29" s="101">
        <f>+REGATONES[[#This Row],[Numero]]</f>
        <v>35</v>
      </c>
      <c r="M29" s="208" t="s">
        <v>11643</v>
      </c>
      <c r="N29" s="76">
        <v>76</v>
      </c>
      <c r="P29" s="208">
        <v>3003</v>
      </c>
      <c r="Q29" s="76">
        <v>38.200000000000003</v>
      </c>
      <c r="R29" s="877"/>
      <c r="S29" s="78">
        <v>41.04</v>
      </c>
      <c r="T29" s="1455"/>
      <c r="U29" s="208">
        <v>6120</v>
      </c>
      <c r="V29" s="76">
        <v>33.52698405558565</v>
      </c>
      <c r="X29" s="208" t="s">
        <v>11644</v>
      </c>
      <c r="Y29" s="76"/>
      <c r="Z29" s="391">
        <f t="shared" si="3"/>
        <v>33.52698405558565</v>
      </c>
      <c r="AA29" s="391" t="str">
        <f>+HLOOKUP(Z29,M29:$Y$68,$Z$68-(ROW()-1),0)</f>
        <v>SURPLAS</v>
      </c>
      <c r="AB29" s="1184"/>
      <c r="AC29" s="425"/>
    </row>
    <row r="30" spans="1:29" hidden="1" x14ac:dyDescent="0.2">
      <c r="A30" s="1169" t="s">
        <v>6576</v>
      </c>
      <c r="B30" s="1167">
        <v>36</v>
      </c>
      <c r="C30" s="1179" t="s">
        <v>6661</v>
      </c>
      <c r="D30" s="1169" t="s">
        <v>6662</v>
      </c>
      <c r="E30" s="1180">
        <f t="shared" si="0"/>
        <v>16.7</v>
      </c>
      <c r="F30" s="1181"/>
      <c r="G30" s="1181"/>
      <c r="H30" s="1182">
        <f t="shared" si="1"/>
        <v>16.7</v>
      </c>
      <c r="I30" s="1164" t="str">
        <f>+REGATONES[[#This Row],[Producto]]&amp;REGATONES[[#This Row],[Numero]]</f>
        <v>REGATONES36</v>
      </c>
      <c r="J30" s="1096" t="str">
        <f t="shared" si="2"/>
        <v>CUADRADOS  - 20x20</v>
      </c>
      <c r="K30" s="101">
        <f>+REGATONES[[#This Row],[Numero]]</f>
        <v>36</v>
      </c>
      <c r="M30" s="208" t="s">
        <v>11645</v>
      </c>
      <c r="N30" s="76">
        <v>65</v>
      </c>
      <c r="P30" s="208">
        <v>3004</v>
      </c>
      <c r="Q30" s="76">
        <v>39.6</v>
      </c>
      <c r="R30" s="877"/>
      <c r="S30" s="78">
        <v>43.32</v>
      </c>
      <c r="T30" s="1455"/>
      <c r="U30" s="208">
        <v>6101</v>
      </c>
      <c r="V30" s="76">
        <v>22.898</v>
      </c>
      <c r="X30" s="208" t="s">
        <v>11646</v>
      </c>
      <c r="Y30" s="76">
        <v>16.7</v>
      </c>
      <c r="Z30" s="391">
        <f t="shared" si="3"/>
        <v>16.7</v>
      </c>
      <c r="AA30" s="391" t="str">
        <f>+HLOOKUP(Z30,M30:$Y$68,$Z$68-(ROW()-1),0)</f>
        <v>JULIO</v>
      </c>
      <c r="AB30" s="1184"/>
      <c r="AC30" s="425"/>
    </row>
    <row r="31" spans="1:29" hidden="1" x14ac:dyDescent="0.2">
      <c r="A31" s="1169" t="s">
        <v>6576</v>
      </c>
      <c r="B31" s="1167">
        <v>37</v>
      </c>
      <c r="C31" s="1179" t="s">
        <v>6664</v>
      </c>
      <c r="D31" s="1169" t="s">
        <v>6665</v>
      </c>
      <c r="E31" s="1180">
        <f t="shared" si="0"/>
        <v>21.5</v>
      </c>
      <c r="F31" s="1181"/>
      <c r="G31" s="1181"/>
      <c r="H31" s="1182">
        <f t="shared" si="1"/>
        <v>21.5</v>
      </c>
      <c r="I31" s="1164" t="str">
        <f>+REGATONES[[#This Row],[Producto]]&amp;REGATONES[[#This Row],[Numero]]</f>
        <v>REGATONES37</v>
      </c>
      <c r="J31" s="1096" t="str">
        <f t="shared" si="2"/>
        <v>CUADRADOS  - 25x25</v>
      </c>
      <c r="K31" s="101">
        <f>+REGATONES[[#This Row],[Numero]]</f>
        <v>37</v>
      </c>
      <c r="M31" s="208" t="s">
        <v>11647</v>
      </c>
      <c r="N31" s="76">
        <v>73</v>
      </c>
      <c r="P31" s="208">
        <v>3006</v>
      </c>
      <c r="Q31" s="76">
        <v>45.5</v>
      </c>
      <c r="R31" s="877"/>
      <c r="S31" s="78">
        <v>57</v>
      </c>
      <c r="T31" s="1455"/>
      <c r="U31" s="208">
        <v>6060</v>
      </c>
      <c r="V31" s="76">
        <v>33.202100000000002</v>
      </c>
      <c r="X31" s="208" t="s">
        <v>11648</v>
      </c>
      <c r="Y31" s="76">
        <v>21.5</v>
      </c>
      <c r="Z31" s="391">
        <f t="shared" si="3"/>
        <v>21.5</v>
      </c>
      <c r="AA31" s="391" t="str">
        <f>+HLOOKUP(Z31,M31:$Y$68,$Z$68-(ROW()-1),0)</f>
        <v>JULIO</v>
      </c>
      <c r="AB31" s="1184"/>
      <c r="AC31" s="425"/>
    </row>
    <row r="32" spans="1:29" hidden="1" x14ac:dyDescent="0.2">
      <c r="A32" s="1169" t="s">
        <v>6576</v>
      </c>
      <c r="B32" s="1167">
        <v>38</v>
      </c>
      <c r="C32" s="1179" t="s">
        <v>6667</v>
      </c>
      <c r="D32" s="1169" t="s">
        <v>6668</v>
      </c>
      <c r="E32" s="1180">
        <f t="shared" si="0"/>
        <v>43.9</v>
      </c>
      <c r="F32" s="1181"/>
      <c r="G32" s="1181"/>
      <c r="H32" s="1182">
        <f t="shared" si="1"/>
        <v>43.9</v>
      </c>
      <c r="I32" s="1164" t="str">
        <f>+REGATONES[[#This Row],[Producto]]&amp;REGATONES[[#This Row],[Numero]]</f>
        <v>REGATONES38</v>
      </c>
      <c r="J32" s="1096" t="str">
        <f t="shared" si="2"/>
        <v>CUADRADOS  - 30x30</v>
      </c>
      <c r="K32" s="101">
        <f>+REGATONES[[#This Row],[Numero]]</f>
        <v>38</v>
      </c>
      <c r="M32" s="208" t="s">
        <v>11649</v>
      </c>
      <c r="N32" s="76">
        <v>76</v>
      </c>
      <c r="P32" s="208">
        <v>3007</v>
      </c>
      <c r="Q32" s="76">
        <v>56</v>
      </c>
      <c r="R32" s="877"/>
      <c r="S32" s="515">
        <v>61.56</v>
      </c>
      <c r="T32" s="1455"/>
      <c r="U32" s="208">
        <v>6030</v>
      </c>
      <c r="V32" s="76">
        <v>78.229629463033177</v>
      </c>
      <c r="X32" s="208" t="s">
        <v>11650</v>
      </c>
      <c r="Y32" s="76">
        <v>43.9</v>
      </c>
      <c r="Z32" s="391">
        <f t="shared" si="3"/>
        <v>43.9</v>
      </c>
      <c r="AA32" s="391" t="str">
        <f>+HLOOKUP(Z32,M32:$Y$68,$Z$68-(ROW()-1),0)</f>
        <v>JULIO</v>
      </c>
      <c r="AB32" s="1184"/>
      <c r="AC32" s="425"/>
    </row>
    <row r="33" spans="1:29" hidden="1" x14ac:dyDescent="0.2">
      <c r="A33" s="1169" t="s">
        <v>6576</v>
      </c>
      <c r="B33" s="1167">
        <v>39</v>
      </c>
      <c r="C33" s="1179" t="s">
        <v>6670</v>
      </c>
      <c r="D33" s="1169" t="s">
        <v>6671</v>
      </c>
      <c r="E33" s="1180">
        <f t="shared" si="0"/>
        <v>68.694000000000003</v>
      </c>
      <c r="F33" s="1181"/>
      <c r="G33" s="1181"/>
      <c r="H33" s="1182">
        <f t="shared" si="1"/>
        <v>68.694000000000003</v>
      </c>
      <c r="I33" s="1164" t="str">
        <f>+REGATONES[[#This Row],[Producto]]&amp;REGATONES[[#This Row],[Numero]]</f>
        <v>REGATONES39</v>
      </c>
      <c r="J33" s="1096" t="str">
        <f t="shared" si="2"/>
        <v>CUADRADOS  - 35x35</v>
      </c>
      <c r="K33" s="101">
        <f>+REGATONES[[#This Row],[Numero]]</f>
        <v>39</v>
      </c>
      <c r="M33" s="208" t="s">
        <v>11651</v>
      </c>
      <c r="N33" s="76">
        <v>81</v>
      </c>
      <c r="P33" s="208">
        <v>3009</v>
      </c>
      <c r="Q33" s="76">
        <v>81.2</v>
      </c>
      <c r="R33" s="877"/>
      <c r="S33" s="78">
        <v>85.5</v>
      </c>
      <c r="T33" s="1455"/>
      <c r="U33" s="208">
        <v>6020</v>
      </c>
      <c r="V33" s="76">
        <v>68.694000000000003</v>
      </c>
      <c r="X33" s="208" t="s">
        <v>11652</v>
      </c>
      <c r="Y33" s="76"/>
      <c r="Z33" s="391">
        <f t="shared" si="3"/>
        <v>68.694000000000003</v>
      </c>
      <c r="AA33" s="391" t="str">
        <f>+HLOOKUP(Z33,M33:$Y$68,$Z$68-(ROW()-1),0)</f>
        <v>SURPLAS</v>
      </c>
      <c r="AB33" s="1184"/>
      <c r="AC33" s="425"/>
    </row>
    <row r="34" spans="1:29" hidden="1" x14ac:dyDescent="0.2">
      <c r="A34" s="1169" t="s">
        <v>6576</v>
      </c>
      <c r="B34" s="1167">
        <v>40</v>
      </c>
      <c r="C34" s="1179" t="s">
        <v>6673</v>
      </c>
      <c r="D34" s="1169" t="s">
        <v>6674</v>
      </c>
      <c r="E34" s="1180">
        <f t="shared" si="0"/>
        <v>61.5</v>
      </c>
      <c r="F34" s="1181"/>
      <c r="G34" s="1181"/>
      <c r="H34" s="1182">
        <f t="shared" si="1"/>
        <v>61.5</v>
      </c>
      <c r="I34" s="1164" t="str">
        <f>+REGATONES[[#This Row],[Producto]]&amp;REGATONES[[#This Row],[Numero]]</f>
        <v>REGATONES40</v>
      </c>
      <c r="J34" s="1096" t="str">
        <f t="shared" si="2"/>
        <v>CUADRADOS  - 40x40</v>
      </c>
      <c r="K34" s="101">
        <f>+REGATONES[[#This Row],[Numero]]</f>
        <v>40</v>
      </c>
      <c r="M34" s="208" t="s">
        <v>11653</v>
      </c>
      <c r="N34" s="76">
        <v>98</v>
      </c>
      <c r="P34" s="208">
        <v>3010</v>
      </c>
      <c r="Q34" s="76">
        <v>97.6</v>
      </c>
      <c r="R34" s="877"/>
      <c r="S34" s="78">
        <v>104.88</v>
      </c>
      <c r="T34" s="1455"/>
      <c r="U34" s="208">
        <v>6010</v>
      </c>
      <c r="V34" s="76">
        <v>82.432800000000015</v>
      </c>
      <c r="X34" s="208" t="s">
        <v>11654</v>
      </c>
      <c r="Y34" s="76">
        <v>61.5</v>
      </c>
      <c r="Z34" s="391">
        <f t="shared" ref="Z34:Z65" si="4">+MIN(Y34,V34,S34,Q34,N34)</f>
        <v>61.5</v>
      </c>
      <c r="AA34" s="391" t="str">
        <f>+HLOOKUP(Z34,M34:$Y$68,$Z$68-(ROW()-1),0)</f>
        <v>JULIO</v>
      </c>
      <c r="AB34" s="1184"/>
      <c r="AC34" s="425"/>
    </row>
    <row r="35" spans="1:29" hidden="1" x14ac:dyDescent="0.2">
      <c r="A35" s="1169" t="s">
        <v>6576</v>
      </c>
      <c r="B35" s="1167">
        <v>41</v>
      </c>
      <c r="C35" s="1179" t="s">
        <v>6676</v>
      </c>
      <c r="D35" s="1169" t="s">
        <v>6677</v>
      </c>
      <c r="E35" s="1180">
        <f t="shared" si="0"/>
        <v>101.8961</v>
      </c>
      <c r="F35" s="1181"/>
      <c r="G35" s="1181"/>
      <c r="H35" s="1182">
        <f t="shared" si="1"/>
        <v>101.8961</v>
      </c>
      <c r="I35" s="1164" t="str">
        <f>+REGATONES[[#This Row],[Producto]]&amp;REGATONES[[#This Row],[Numero]]</f>
        <v>REGATONES41</v>
      </c>
      <c r="J35" s="1096" t="str">
        <f t="shared" si="2"/>
        <v>CUADRADOS  - 50x50</v>
      </c>
      <c r="K35" s="101">
        <f>+REGATONES[[#This Row],[Numero]]</f>
        <v>41</v>
      </c>
      <c r="M35" s="208" t="s">
        <v>11655</v>
      </c>
      <c r="N35" s="76">
        <v>102</v>
      </c>
      <c r="P35" s="208">
        <v>3011</v>
      </c>
      <c r="Q35" s="76">
        <v>143.80000000000001</v>
      </c>
      <c r="R35" s="877"/>
      <c r="S35" s="515">
        <v>148.19999999999999</v>
      </c>
      <c r="T35" s="1455"/>
      <c r="U35" s="208">
        <v>6005</v>
      </c>
      <c r="V35" s="76">
        <v>101.8961</v>
      </c>
      <c r="X35" s="208" t="s">
        <v>11656</v>
      </c>
      <c r="Y35" s="76">
        <v>141.5</v>
      </c>
      <c r="Z35" s="391">
        <f t="shared" si="4"/>
        <v>101.8961</v>
      </c>
      <c r="AA35" s="391" t="str">
        <f>+HLOOKUP(Z35,M35:$Y$68,$Z$68-(ROW()-1),0)</f>
        <v>SURPLAS</v>
      </c>
      <c r="AB35" s="1184"/>
      <c r="AC35" s="425"/>
    </row>
    <row r="36" spans="1:29" hidden="1" x14ac:dyDescent="0.2">
      <c r="A36" s="1169" t="s">
        <v>6576</v>
      </c>
      <c r="B36" s="1167">
        <v>42</v>
      </c>
      <c r="C36" s="1179" t="s">
        <v>6679</v>
      </c>
      <c r="D36" s="1169" t="s">
        <v>6680</v>
      </c>
      <c r="E36" s="1180">
        <f t="shared" si="0"/>
        <v>88</v>
      </c>
      <c r="F36" s="1181"/>
      <c r="G36" s="1181"/>
      <c r="H36" s="1182">
        <f t="shared" si="1"/>
        <v>88</v>
      </c>
      <c r="I36" s="1164" t="str">
        <f>+REGATONES[[#This Row],[Producto]]&amp;REGATONES[[#This Row],[Numero]]</f>
        <v>REGATONES42</v>
      </c>
      <c r="J36" s="1096" t="str">
        <f t="shared" si="2"/>
        <v>CUADRADOS  - 60x60</v>
      </c>
      <c r="K36" s="101">
        <f>+REGATONES[[#This Row],[Numero]]</f>
        <v>42</v>
      </c>
      <c r="M36" s="208" t="s">
        <v>11657</v>
      </c>
      <c r="N36" s="76">
        <v>88</v>
      </c>
      <c r="P36" s="208">
        <v>3012</v>
      </c>
      <c r="Q36" s="76">
        <v>154</v>
      </c>
      <c r="R36" s="877"/>
      <c r="S36" s="78">
        <v>182.4</v>
      </c>
      <c r="T36" s="1455"/>
      <c r="U36" s="208">
        <v>6008</v>
      </c>
      <c r="V36" s="76">
        <v>125.93900000000001</v>
      </c>
      <c r="X36" s="208"/>
      <c r="Y36" s="76"/>
      <c r="Z36" s="391">
        <f t="shared" si="4"/>
        <v>88</v>
      </c>
      <c r="AA36" s="391" t="str">
        <f>+HLOOKUP(Z36,M36:$Y$68,$Z$68-(ROW()-1),0)</f>
        <v>REGAPLAS</v>
      </c>
      <c r="AB36" s="1184"/>
      <c r="AC36" s="425"/>
    </row>
    <row r="37" spans="1:29" hidden="1" x14ac:dyDescent="0.2">
      <c r="A37" s="1169" t="s">
        <v>6576</v>
      </c>
      <c r="B37" s="1167">
        <v>44</v>
      </c>
      <c r="C37" s="1179" t="s">
        <v>6682</v>
      </c>
      <c r="D37" s="1169" t="s">
        <v>6683</v>
      </c>
      <c r="E37" s="1180">
        <f t="shared" si="0"/>
        <v>19.399999999999999</v>
      </c>
      <c r="F37" s="1181"/>
      <c r="G37" s="1181"/>
      <c r="H37" s="1182">
        <f t="shared" si="1"/>
        <v>19.399999999999999</v>
      </c>
      <c r="I37" s="1164" t="str">
        <f>+REGATONES[[#This Row],[Producto]]&amp;REGATONES[[#This Row],[Numero]]</f>
        <v>REGATONES44</v>
      </c>
      <c r="J37" s="1096" t="str">
        <f t="shared" si="2"/>
        <v>RECTANGULARES  - 10x20</v>
      </c>
      <c r="K37" s="101">
        <f>+REGATONES[[#This Row],[Numero]]</f>
        <v>44</v>
      </c>
      <c r="M37" s="208" t="s">
        <v>11658</v>
      </c>
      <c r="N37" s="76">
        <v>83</v>
      </c>
      <c r="P37" s="208">
        <v>4000</v>
      </c>
      <c r="Q37" s="76">
        <v>19.399999999999999</v>
      </c>
      <c r="R37" s="877"/>
      <c r="S37" s="78">
        <v>66.12</v>
      </c>
      <c r="T37" s="1455"/>
      <c r="U37" s="208">
        <v>7100</v>
      </c>
      <c r="V37" s="76">
        <v>31.291851785213275</v>
      </c>
      <c r="X37" s="208"/>
      <c r="Y37" s="76"/>
      <c r="Z37" s="391">
        <f t="shared" si="4"/>
        <v>19.399999999999999</v>
      </c>
      <c r="AA37" s="391" t="str">
        <f>+HLOOKUP(Z37,M37:$Y$68,$Z$68-(ROW()-1),0)</f>
        <v>O Y R</v>
      </c>
      <c r="AB37" s="1184"/>
      <c r="AC37" s="425"/>
    </row>
    <row r="38" spans="1:29" hidden="1" x14ac:dyDescent="0.2">
      <c r="A38" s="1169" t="s">
        <v>6576</v>
      </c>
      <c r="B38" s="1167">
        <v>45</v>
      </c>
      <c r="C38" s="1179" t="s">
        <v>6685</v>
      </c>
      <c r="D38" s="1169" t="s">
        <v>6686</v>
      </c>
      <c r="E38" s="1180">
        <f t="shared" si="0"/>
        <v>68.400000000000006</v>
      </c>
      <c r="F38" s="1181"/>
      <c r="G38" s="1181"/>
      <c r="H38" s="1182">
        <f t="shared" si="1"/>
        <v>68.400000000000006</v>
      </c>
      <c r="I38" s="1164" t="str">
        <f>+REGATONES[[#This Row],[Producto]]&amp;REGATONES[[#This Row],[Numero]]</f>
        <v>REGATONES45</v>
      </c>
      <c r="J38" s="1096" t="str">
        <f t="shared" si="2"/>
        <v>RECTANGULARES  - 10x30</v>
      </c>
      <c r="K38" s="101">
        <f>+REGATONES[[#This Row],[Numero]]</f>
        <v>45</v>
      </c>
      <c r="M38" s="208" t="s">
        <v>8353</v>
      </c>
      <c r="N38" s="76"/>
      <c r="P38" s="208"/>
      <c r="Q38" s="76"/>
      <c r="R38" s="877"/>
      <c r="S38" s="78">
        <v>68.400000000000006</v>
      </c>
      <c r="T38" s="1455"/>
      <c r="U38" s="208"/>
      <c r="V38" s="76"/>
      <c r="X38" s="208"/>
      <c r="Y38" s="76"/>
      <c r="Z38" s="391">
        <f t="shared" si="4"/>
        <v>68.400000000000006</v>
      </c>
      <c r="AA38" s="391" t="str">
        <f>+HLOOKUP(Z38,M38:$Y$68,$Z$68-(ROW()-1),0)</f>
        <v>CARCCIONE</v>
      </c>
      <c r="AB38" s="1184"/>
      <c r="AC38" s="425"/>
    </row>
    <row r="39" spans="1:29" hidden="1" x14ac:dyDescent="0.2">
      <c r="A39" s="1169" t="s">
        <v>6576</v>
      </c>
      <c r="B39" s="1167">
        <v>46</v>
      </c>
      <c r="C39" s="1179" t="s">
        <v>6688</v>
      </c>
      <c r="D39" s="1169" t="s">
        <v>6689</v>
      </c>
      <c r="E39" s="1180">
        <f t="shared" si="0"/>
        <v>35.799999999999997</v>
      </c>
      <c r="F39" s="1181"/>
      <c r="G39" s="1181"/>
      <c r="H39" s="1182">
        <f t="shared" si="1"/>
        <v>35.799999999999997</v>
      </c>
      <c r="I39" s="1164" t="str">
        <f>+REGATONES[[#This Row],[Producto]]&amp;REGATONES[[#This Row],[Numero]]</f>
        <v>REGATONES46</v>
      </c>
      <c r="J39" s="1096" t="str">
        <f t="shared" si="2"/>
        <v>RECTANGULARES  - 15x30 aletado</v>
      </c>
      <c r="K39" s="101">
        <f>+REGATONES[[#This Row],[Numero]]</f>
        <v>46</v>
      </c>
      <c r="M39" s="208" t="s">
        <v>8353</v>
      </c>
      <c r="N39" s="76"/>
      <c r="P39" s="208">
        <v>4008</v>
      </c>
      <c r="Q39" s="76">
        <v>35.799999999999997</v>
      </c>
      <c r="R39" s="877"/>
      <c r="S39" s="78">
        <v>57</v>
      </c>
      <c r="T39" s="1455"/>
      <c r="U39" s="208">
        <v>7070</v>
      </c>
      <c r="V39" s="76">
        <v>37.773735369293178</v>
      </c>
      <c r="X39" s="208"/>
      <c r="Y39" s="76"/>
      <c r="Z39" s="391">
        <f t="shared" si="4"/>
        <v>35.799999999999997</v>
      </c>
      <c r="AA39" s="391" t="str">
        <f>+HLOOKUP(Z39,M39:$Y$68,$Z$68-(ROW()-1),0)</f>
        <v>O Y R</v>
      </c>
      <c r="AB39" s="1184"/>
      <c r="AC39" s="425"/>
    </row>
    <row r="40" spans="1:29" hidden="1" x14ac:dyDescent="0.2">
      <c r="A40" s="1169" t="s">
        <v>6576</v>
      </c>
      <c r="B40" s="1167">
        <v>47</v>
      </c>
      <c r="C40" s="1179" t="s">
        <v>6691</v>
      </c>
      <c r="D40" s="1169" t="s">
        <v>6692</v>
      </c>
      <c r="E40" s="1180">
        <f t="shared" si="0"/>
        <v>27.477600000000002</v>
      </c>
      <c r="F40" s="1181"/>
      <c r="G40" s="1181"/>
      <c r="H40" s="1182">
        <f t="shared" si="1"/>
        <v>27.477600000000002</v>
      </c>
      <c r="I40" s="1164" t="str">
        <f>+REGATONES[[#This Row],[Producto]]&amp;REGATONES[[#This Row],[Numero]]</f>
        <v>REGATONES47</v>
      </c>
      <c r="J40" s="1096" t="str">
        <f t="shared" si="2"/>
        <v>RECTANGULARES  - 15x25</v>
      </c>
      <c r="K40" s="101">
        <f>+REGATONES[[#This Row],[Numero]]</f>
        <v>47</v>
      </c>
      <c r="M40" s="208" t="s">
        <v>11659</v>
      </c>
      <c r="N40" s="76">
        <v>83</v>
      </c>
      <c r="P40" s="208">
        <v>4003</v>
      </c>
      <c r="Q40" s="76">
        <v>46</v>
      </c>
      <c r="R40" s="877"/>
      <c r="S40" s="78">
        <v>55.86</v>
      </c>
      <c r="T40" s="1455"/>
      <c r="U40" s="208">
        <v>7051</v>
      </c>
      <c r="V40" s="76">
        <v>27.477600000000002</v>
      </c>
      <c r="X40" s="208"/>
      <c r="Y40" s="76"/>
      <c r="Z40" s="391">
        <f t="shared" si="4"/>
        <v>27.477600000000002</v>
      </c>
      <c r="AA40" s="391" t="str">
        <f>+HLOOKUP(Z40,M40:$Y$68,$Z$68-(ROW()-1),0)</f>
        <v>SURPLAS</v>
      </c>
      <c r="AB40" s="1184"/>
      <c r="AC40" s="425"/>
    </row>
    <row r="41" spans="1:29" hidden="1" x14ac:dyDescent="0.2">
      <c r="A41" s="1169" t="s">
        <v>6576</v>
      </c>
      <c r="B41" s="1167">
        <v>48</v>
      </c>
      <c r="C41" s="1179" t="s">
        <v>6694</v>
      </c>
      <c r="D41" s="1169" t="s">
        <v>6695</v>
      </c>
      <c r="E41" s="1180">
        <f t="shared" si="0"/>
        <v>43</v>
      </c>
      <c r="F41" s="1181"/>
      <c r="G41" s="1181"/>
      <c r="H41" s="1182">
        <f t="shared" si="1"/>
        <v>43</v>
      </c>
      <c r="I41" s="1164" t="str">
        <f>+REGATONES[[#This Row],[Producto]]&amp;REGATONES[[#This Row],[Numero]]</f>
        <v>REGATONES48</v>
      </c>
      <c r="J41" s="1096" t="str">
        <f t="shared" si="2"/>
        <v>RECTANGULARES  - 15x30</v>
      </c>
      <c r="K41" s="101">
        <f>+REGATONES[[#This Row],[Numero]]</f>
        <v>48</v>
      </c>
      <c r="M41" s="208" t="s">
        <v>11660</v>
      </c>
      <c r="N41" s="76">
        <v>83</v>
      </c>
      <c r="P41" s="208">
        <v>4009</v>
      </c>
      <c r="Q41" s="76">
        <v>43</v>
      </c>
      <c r="R41" s="877"/>
      <c r="S41" s="78">
        <v>84.36</v>
      </c>
      <c r="T41" s="1455"/>
      <c r="U41" s="208">
        <v>7077</v>
      </c>
      <c r="V41" s="76">
        <v>43.5062</v>
      </c>
      <c r="X41" s="208" t="s">
        <v>11661</v>
      </c>
      <c r="Y41" s="76"/>
      <c r="Z41" s="391">
        <f t="shared" si="4"/>
        <v>43</v>
      </c>
      <c r="AA41" s="391" t="str">
        <f>+HLOOKUP(Z41,M41:$Y$68,$Z$68-(ROW()-1),0)</f>
        <v>O Y R</v>
      </c>
      <c r="AB41" s="1184"/>
      <c r="AC41" s="425"/>
    </row>
    <row r="42" spans="1:29" hidden="1" x14ac:dyDescent="0.2">
      <c r="A42" s="1169" t="s">
        <v>6576</v>
      </c>
      <c r="B42" s="1167">
        <v>50</v>
      </c>
      <c r="C42" s="1179" t="s">
        <v>6697</v>
      </c>
      <c r="D42" s="1169" t="s">
        <v>6698</v>
      </c>
      <c r="E42" s="1180">
        <f t="shared" si="0"/>
        <v>33.52698405558565</v>
      </c>
      <c r="F42" s="1181"/>
      <c r="G42" s="1181"/>
      <c r="H42" s="1182">
        <f t="shared" si="1"/>
        <v>33.52698405558565</v>
      </c>
      <c r="I42" s="1164" t="str">
        <f>+REGATONES[[#This Row],[Producto]]&amp;REGATONES[[#This Row],[Numero]]</f>
        <v>REGATONES50</v>
      </c>
      <c r="J42" s="1096" t="str">
        <f t="shared" si="2"/>
        <v>RECTANGULARES  - 20x30</v>
      </c>
      <c r="K42" s="101">
        <f>+REGATONES[[#This Row],[Numero]]</f>
        <v>50</v>
      </c>
      <c r="M42" s="208" t="s">
        <v>11662</v>
      </c>
      <c r="N42" s="76">
        <v>71</v>
      </c>
      <c r="P42" s="208">
        <v>4011</v>
      </c>
      <c r="Q42" s="76">
        <v>41</v>
      </c>
      <c r="R42" s="877"/>
      <c r="S42" s="78">
        <v>84.36</v>
      </c>
      <c r="T42" s="1455"/>
      <c r="U42" s="208">
        <v>7080</v>
      </c>
      <c r="V42" s="76">
        <v>33.52698405558565</v>
      </c>
      <c r="X42" s="208" t="s">
        <v>11663</v>
      </c>
      <c r="Y42" s="76"/>
      <c r="Z42" s="391">
        <f t="shared" si="4"/>
        <v>33.52698405558565</v>
      </c>
      <c r="AA42" s="391" t="str">
        <f>+HLOOKUP(Z42,M42:$Y$68,$Z$68-(ROW()-1),0)</f>
        <v>SURPLAS</v>
      </c>
      <c r="AB42" s="1184"/>
      <c r="AC42" s="425"/>
    </row>
    <row r="43" spans="1:29" hidden="1" x14ac:dyDescent="0.2">
      <c r="A43" s="1169" t="s">
        <v>6576</v>
      </c>
      <c r="B43" s="1167">
        <v>51</v>
      </c>
      <c r="C43" s="1179" t="s">
        <v>6700</v>
      </c>
      <c r="D43" s="1169" t="s">
        <v>6701</v>
      </c>
      <c r="E43" s="1180">
        <f t="shared" si="0"/>
        <v>42.361300000000007</v>
      </c>
      <c r="F43" s="1181"/>
      <c r="G43" s="1181"/>
      <c r="H43" s="1182">
        <f t="shared" si="1"/>
        <v>42.361300000000007</v>
      </c>
      <c r="I43" s="1164" t="str">
        <f>+REGATONES[[#This Row],[Producto]]&amp;REGATONES[[#This Row],[Numero]]</f>
        <v>REGATONES51</v>
      </c>
      <c r="J43" s="1096" t="str">
        <f t="shared" si="2"/>
        <v>RECTANGULARES  - 20x40</v>
      </c>
      <c r="K43" s="101">
        <f>+REGATONES[[#This Row],[Numero]]</f>
        <v>51</v>
      </c>
      <c r="M43" s="208" t="s">
        <v>11664</v>
      </c>
      <c r="N43" s="76">
        <v>76</v>
      </c>
      <c r="P43" s="208">
        <v>4015</v>
      </c>
      <c r="Q43" s="76">
        <v>49.1</v>
      </c>
      <c r="R43" s="877"/>
      <c r="S43" s="78">
        <v>85.5</v>
      </c>
      <c r="T43" s="1455"/>
      <c r="U43" s="208">
        <v>7010</v>
      </c>
      <c r="V43" s="76">
        <v>42.361300000000007</v>
      </c>
      <c r="X43" s="208" t="s">
        <v>11665</v>
      </c>
      <c r="Y43" s="76"/>
      <c r="Z43" s="391">
        <f t="shared" si="4"/>
        <v>42.361300000000007</v>
      </c>
      <c r="AA43" s="391" t="str">
        <f>+HLOOKUP(Z43,M43:$Y$68,$Z$68-(ROW()-1),0)</f>
        <v>SURPLAS</v>
      </c>
      <c r="AB43" s="1184"/>
      <c r="AC43" s="425"/>
    </row>
    <row r="44" spans="1:29" hidden="1" x14ac:dyDescent="0.2">
      <c r="A44" s="1169" t="s">
        <v>6576</v>
      </c>
      <c r="B44" s="1167">
        <v>52</v>
      </c>
      <c r="C44" s="1179" t="s">
        <v>6703</v>
      </c>
      <c r="D44" s="1169" t="s">
        <v>6704</v>
      </c>
      <c r="E44" s="1180">
        <f t="shared" si="0"/>
        <v>74.2</v>
      </c>
      <c r="F44" s="1181"/>
      <c r="G44" s="1181"/>
      <c r="H44" s="1182">
        <f t="shared" si="1"/>
        <v>74.2</v>
      </c>
      <c r="I44" s="1164" t="str">
        <f>+REGATONES[[#This Row],[Producto]]&amp;REGATONES[[#This Row],[Numero]]</f>
        <v>REGATONES52</v>
      </c>
      <c r="J44" s="1096" t="str">
        <f t="shared" si="2"/>
        <v>RECTANGULARES  - 20x50</v>
      </c>
      <c r="K44" s="101">
        <f>+REGATONES[[#This Row],[Numero]]</f>
        <v>52</v>
      </c>
      <c r="M44" s="208" t="s">
        <v>11666</v>
      </c>
      <c r="N44" s="76">
        <v>82</v>
      </c>
      <c r="P44" s="208">
        <v>4017</v>
      </c>
      <c r="Q44" s="76">
        <v>74.2</v>
      </c>
      <c r="R44" s="877"/>
      <c r="S44" s="78">
        <v>98.04</v>
      </c>
      <c r="T44" s="1455"/>
      <c r="U44" s="208">
        <v>7035</v>
      </c>
      <c r="V44" s="76">
        <v>108.76550000000002</v>
      </c>
      <c r="X44" s="208"/>
      <c r="Y44" s="76"/>
      <c r="Z44" s="391">
        <f t="shared" si="4"/>
        <v>74.2</v>
      </c>
      <c r="AA44" s="391" t="str">
        <f>+HLOOKUP(Z44,M44:$Y$68,$Z$68-(ROW()-1),0)</f>
        <v>O Y R</v>
      </c>
      <c r="AB44" s="1184"/>
      <c r="AC44" s="425"/>
    </row>
    <row r="45" spans="1:29" hidden="1" x14ac:dyDescent="0.2">
      <c r="A45" s="1169" t="s">
        <v>6576</v>
      </c>
      <c r="B45" s="1167">
        <v>53</v>
      </c>
      <c r="C45" s="1179" t="s">
        <v>6706</v>
      </c>
      <c r="D45" s="1169" t="s">
        <v>6707</v>
      </c>
      <c r="E45" s="1180">
        <f t="shared" si="0"/>
        <v>56.100100000000005</v>
      </c>
      <c r="F45" s="1181"/>
      <c r="G45" s="1181"/>
      <c r="H45" s="1182">
        <f t="shared" si="1"/>
        <v>56.100100000000005</v>
      </c>
      <c r="I45" s="1164" t="str">
        <f>+REGATONES[[#This Row],[Producto]]&amp;REGATONES[[#This Row],[Numero]]</f>
        <v>REGATONES53</v>
      </c>
      <c r="J45" s="1096" t="str">
        <f t="shared" si="2"/>
        <v>RECTANGULARES  - 30x40</v>
      </c>
      <c r="K45" s="101">
        <f>+REGATONES[[#This Row],[Numero]]</f>
        <v>53</v>
      </c>
      <c r="M45" s="208" t="s">
        <v>11667</v>
      </c>
      <c r="N45" s="76">
        <v>82</v>
      </c>
      <c r="P45" s="208">
        <v>4016</v>
      </c>
      <c r="Q45" s="76">
        <v>83.2</v>
      </c>
      <c r="R45" s="877"/>
      <c r="S45" s="78">
        <v>108.3</v>
      </c>
      <c r="T45" s="1455"/>
      <c r="U45" s="208">
        <v>7015</v>
      </c>
      <c r="V45" s="76">
        <v>56.100100000000005</v>
      </c>
      <c r="X45" s="208" t="s">
        <v>11668</v>
      </c>
      <c r="Y45" s="76"/>
      <c r="Z45" s="391">
        <f t="shared" si="4"/>
        <v>56.100100000000005</v>
      </c>
      <c r="AA45" s="391" t="str">
        <f>+HLOOKUP(Z45,M45:$Y$68,$Z$68-(ROW()-1),0)</f>
        <v>SURPLAS</v>
      </c>
      <c r="AB45" s="1184"/>
      <c r="AC45" s="425"/>
    </row>
    <row r="46" spans="1:29" hidden="1" x14ac:dyDescent="0.2">
      <c r="A46" s="1169" t="s">
        <v>6576</v>
      </c>
      <c r="B46" s="1167">
        <v>54</v>
      </c>
      <c r="C46" s="1179" t="s">
        <v>6709</v>
      </c>
      <c r="D46" s="1169" t="s">
        <v>6710</v>
      </c>
      <c r="E46" s="1180">
        <f t="shared" si="0"/>
        <v>74.418499999999995</v>
      </c>
      <c r="F46" s="1181"/>
      <c r="G46" s="1181"/>
      <c r="H46" s="1182">
        <f t="shared" si="1"/>
        <v>74.418499999999995</v>
      </c>
      <c r="I46" s="1164" t="str">
        <f>+REGATONES[[#This Row],[Producto]]&amp;REGATONES[[#This Row],[Numero]]</f>
        <v>REGATONES54</v>
      </c>
      <c r="J46" s="1096" t="str">
        <f t="shared" si="2"/>
        <v>RECTANGULARES  - 30x50</v>
      </c>
      <c r="K46" s="101">
        <f>+REGATONES[[#This Row],[Numero]]</f>
        <v>54</v>
      </c>
      <c r="M46" s="208" t="s">
        <v>11669</v>
      </c>
      <c r="N46" s="76"/>
      <c r="P46" s="208">
        <v>4019</v>
      </c>
      <c r="Q46" s="76">
        <v>87.2</v>
      </c>
      <c r="R46" s="877"/>
      <c r="S46" s="78">
        <v>136.80000000000001</v>
      </c>
      <c r="T46" s="1455"/>
      <c r="U46" s="208">
        <v>7030</v>
      </c>
      <c r="V46" s="76">
        <v>74.418499999999995</v>
      </c>
      <c r="X46" s="208"/>
      <c r="Y46" s="76"/>
      <c r="Z46" s="391">
        <f t="shared" si="4"/>
        <v>74.418499999999995</v>
      </c>
      <c r="AA46" s="391" t="str">
        <f>+HLOOKUP(Z46,M46:$Y$68,$Z$68-(ROW()-1),0)</f>
        <v>SURPLAS</v>
      </c>
      <c r="AB46" s="1184"/>
      <c r="AC46" s="425"/>
    </row>
    <row r="47" spans="1:29" ht="15" hidden="1" x14ac:dyDescent="0.25">
      <c r="A47" s="1169" t="s">
        <v>6576</v>
      </c>
      <c r="B47" s="1186">
        <v>60</v>
      </c>
      <c r="C47" s="1187" t="s">
        <v>6712</v>
      </c>
      <c r="D47" s="1188" t="s">
        <v>6713</v>
      </c>
      <c r="E47" s="1189">
        <f t="shared" si="0"/>
        <v>235</v>
      </c>
      <c r="F47" s="1190"/>
      <c r="G47" s="1190"/>
      <c r="H47" s="1191">
        <f t="shared" si="1"/>
        <v>235</v>
      </c>
      <c r="I47" s="1192" t="str">
        <f>+REGATONES[[#This Row],[Producto]]&amp;REGATONES[[#This Row],[Numero]]</f>
        <v>REGATONES60</v>
      </c>
      <c r="J47" s="1096" t="str">
        <f t="shared" si="2"/>
        <v>REGULABLES PLAST.  - 5/16 .</v>
      </c>
      <c r="K47" s="1193">
        <f>+REGATONES[[#This Row],[Numero]]</f>
        <v>60</v>
      </c>
      <c r="L47" s="479"/>
      <c r="M47" s="1194" t="s">
        <v>11670</v>
      </c>
      <c r="N47" s="76">
        <v>235</v>
      </c>
      <c r="O47" s="1195"/>
      <c r="P47" s="1194">
        <v>11006</v>
      </c>
      <c r="Q47" s="76">
        <v>900</v>
      </c>
      <c r="R47" s="877"/>
      <c r="S47" s="1196">
        <v>501.6</v>
      </c>
      <c r="T47" s="1455"/>
      <c r="U47" s="1194">
        <v>10520</v>
      </c>
      <c r="V47" s="76">
        <v>286.22500000000002</v>
      </c>
      <c r="W47" s="479"/>
      <c r="X47" s="1194" t="s">
        <v>11671</v>
      </c>
      <c r="Y47" s="1197"/>
      <c r="Z47" s="1198">
        <f t="shared" si="4"/>
        <v>235</v>
      </c>
      <c r="AA47" s="1198" t="str">
        <f>+HLOOKUP(Z47,M47:$Y$68,$Z$68-(ROW()-1),0)</f>
        <v>REGAPLAS</v>
      </c>
      <c r="AB47" s="1184"/>
      <c r="AC47" s="425"/>
    </row>
    <row r="48" spans="1:29" ht="15" hidden="1" x14ac:dyDescent="0.25">
      <c r="A48" s="1169" t="s">
        <v>6576</v>
      </c>
      <c r="B48" s="1186">
        <v>61</v>
      </c>
      <c r="C48" s="1187" t="s">
        <v>6715</v>
      </c>
      <c r="D48" s="1188" t="s">
        <v>6716</v>
      </c>
      <c r="E48" s="1189">
        <f t="shared" si="0"/>
        <v>275</v>
      </c>
      <c r="F48" s="1190"/>
      <c r="G48" s="1190"/>
      <c r="H48" s="1191">
        <f t="shared" si="1"/>
        <v>275</v>
      </c>
      <c r="I48" s="1192" t="str">
        <f>+REGATONES[[#This Row],[Producto]]&amp;REGATONES[[#This Row],[Numero]]</f>
        <v>REGATONES61</v>
      </c>
      <c r="J48" s="1096" t="str">
        <f t="shared" si="2"/>
        <v>REGULABLES PLAST.  - 3/8 .</v>
      </c>
      <c r="K48" s="1193">
        <f>+REGATONES[[#This Row],[Numero]]</f>
        <v>61</v>
      </c>
      <c r="L48" s="479"/>
      <c r="M48" s="1194" t="s">
        <v>11672</v>
      </c>
      <c r="N48" s="76">
        <v>275</v>
      </c>
      <c r="O48" s="1195"/>
      <c r="P48" s="1194">
        <v>11007</v>
      </c>
      <c r="Q48" s="76">
        <v>1300</v>
      </c>
      <c r="R48" s="877"/>
      <c r="S48" s="1196">
        <v>639.54</v>
      </c>
      <c r="T48" s="1455"/>
      <c r="U48" s="1194">
        <v>10510</v>
      </c>
      <c r="V48" s="76">
        <v>337.74549999999999</v>
      </c>
      <c r="W48" s="479"/>
      <c r="X48" s="1194" t="s">
        <v>11673</v>
      </c>
      <c r="Y48" s="1197">
        <v>595</v>
      </c>
      <c r="Z48" s="1198">
        <f t="shared" si="4"/>
        <v>275</v>
      </c>
      <c r="AA48" s="1198" t="str">
        <f>+HLOOKUP(Z48,M48:$Y$68,$Z$68-(ROW()-1),0)</f>
        <v>REGAPLAS</v>
      </c>
      <c r="AB48" s="1184"/>
      <c r="AC48" s="425"/>
    </row>
    <row r="49" spans="1:31" hidden="1" x14ac:dyDescent="0.2">
      <c r="A49" s="1169" t="s">
        <v>6576</v>
      </c>
      <c r="B49" s="1167">
        <v>63</v>
      </c>
      <c r="C49" s="1179" t="s">
        <v>6718</v>
      </c>
      <c r="D49" s="1169" t="s">
        <v>6719</v>
      </c>
      <c r="E49" s="1180">
        <f t="shared" si="0"/>
        <v>297.67399999999998</v>
      </c>
      <c r="F49" s="1181"/>
      <c r="G49" s="1181"/>
      <c r="H49" s="1182">
        <f t="shared" si="1"/>
        <v>297.67399999999998</v>
      </c>
      <c r="I49" s="1164" t="str">
        <f>+REGATONES[[#This Row],[Producto]]&amp;REGATONES[[#This Row],[Numero]]</f>
        <v>REGATONES63</v>
      </c>
      <c r="J49" s="1096" t="str">
        <f t="shared" si="2"/>
        <v>PERILLA C/TORNILLO  - 1/4 grande</v>
      </c>
      <c r="K49" s="101">
        <f>+REGATONES[[#This Row],[Numero]]</f>
        <v>63</v>
      </c>
      <c r="M49" s="208" t="s">
        <v>11674</v>
      </c>
      <c r="N49" s="76"/>
      <c r="P49" s="208"/>
      <c r="Q49" s="76"/>
      <c r="R49" s="877"/>
      <c r="S49" s="78">
        <v>581.4</v>
      </c>
      <c r="T49" s="1455"/>
      <c r="U49" s="208">
        <v>11231</v>
      </c>
      <c r="V49" s="76">
        <v>297.67399999999998</v>
      </c>
      <c r="X49" s="208"/>
      <c r="Y49" s="76"/>
      <c r="Z49" s="391">
        <f t="shared" si="4"/>
        <v>297.67399999999998</v>
      </c>
      <c r="AA49" s="391" t="str">
        <f>+HLOOKUP(Z49,M49:$Y$68,$Z$68-(ROW()-1),0)</f>
        <v>SURPLAS</v>
      </c>
      <c r="AB49" s="1184"/>
      <c r="AC49" s="425"/>
    </row>
    <row r="50" spans="1:31" hidden="1" x14ac:dyDescent="0.2">
      <c r="A50" s="1169" t="s">
        <v>6576</v>
      </c>
      <c r="B50" s="1167">
        <v>64</v>
      </c>
      <c r="C50" s="1179" t="s">
        <v>6721</v>
      </c>
      <c r="D50" s="1169" t="s">
        <v>6722</v>
      </c>
      <c r="E50" s="1180">
        <f t="shared" si="0"/>
        <v>257.60250000000002</v>
      </c>
      <c r="F50" s="1181"/>
      <c r="G50" s="1181"/>
      <c r="H50" s="1182">
        <f t="shared" si="1"/>
        <v>257.60250000000002</v>
      </c>
      <c r="I50" s="1164" t="str">
        <f>+REGATONES[[#This Row],[Producto]]&amp;REGATONES[[#This Row],[Numero]]</f>
        <v>REGATONES64</v>
      </c>
      <c r="J50" s="1096" t="str">
        <f t="shared" si="2"/>
        <v>PERILLA C/TORNILLO  - 1/4 chica</v>
      </c>
      <c r="K50" s="101">
        <f>+REGATONES[[#This Row],[Numero]]</f>
        <v>64</v>
      </c>
      <c r="M50" s="208"/>
      <c r="N50" s="76"/>
      <c r="P50" s="208"/>
      <c r="Q50" s="76"/>
      <c r="R50" s="877"/>
      <c r="S50" s="78">
        <v>547.20000000000005</v>
      </c>
      <c r="T50" s="1455"/>
      <c r="U50" s="208">
        <v>11230</v>
      </c>
      <c r="V50" s="76">
        <v>257.60250000000002</v>
      </c>
      <c r="X50" s="208"/>
      <c r="Y50" s="76"/>
      <c r="Z50" s="391">
        <f t="shared" si="4"/>
        <v>257.60250000000002</v>
      </c>
      <c r="AA50" s="391" t="str">
        <f>+HLOOKUP(Z50,M50:$Y$68,$Z$68-(ROW()-1),0)</f>
        <v>SURPLAS</v>
      </c>
      <c r="AB50" s="1184"/>
      <c r="AC50" s="425"/>
    </row>
    <row r="51" spans="1:31" hidden="1" x14ac:dyDescent="0.2">
      <c r="A51" s="1169" t="s">
        <v>6576</v>
      </c>
      <c r="B51" s="1167">
        <v>65</v>
      </c>
      <c r="C51" s="1179" t="s">
        <v>6724</v>
      </c>
      <c r="D51" s="1169" t="s">
        <v>6725</v>
      </c>
      <c r="E51" s="1180">
        <f t="shared" si="0"/>
        <v>337.74549999999999</v>
      </c>
      <c r="F51" s="1181"/>
      <c r="G51" s="1181"/>
      <c r="H51" s="1182">
        <f t="shared" si="1"/>
        <v>337.74549999999999</v>
      </c>
      <c r="I51" s="1164" t="str">
        <f>+REGATONES[[#This Row],[Producto]]&amp;REGATONES[[#This Row],[Numero]]</f>
        <v>REGATONES65</v>
      </c>
      <c r="J51" s="1096" t="str">
        <f t="shared" si="2"/>
        <v>PERILLA C/TORNILLO  - 5/16.</v>
      </c>
      <c r="K51" s="101">
        <f>+REGATONES[[#This Row],[Numero]]</f>
        <v>65</v>
      </c>
      <c r="M51" s="208" t="s">
        <v>11675</v>
      </c>
      <c r="N51" s="76"/>
      <c r="P51" s="208"/>
      <c r="Q51" s="76"/>
      <c r="R51" s="877"/>
      <c r="S51" s="78">
        <v>684</v>
      </c>
      <c r="T51" s="1455"/>
      <c r="U51" s="208">
        <v>11250</v>
      </c>
      <c r="V51" s="76">
        <v>337.74549999999999</v>
      </c>
      <c r="X51" s="208"/>
      <c r="Y51" s="76"/>
      <c r="Z51" s="391">
        <f t="shared" si="4"/>
        <v>337.74549999999999</v>
      </c>
      <c r="AA51" s="391" t="str">
        <f>+HLOOKUP(Z51,M51:$Y$68,$Z$68-(ROW()-1),0)</f>
        <v>SURPLAS</v>
      </c>
      <c r="AB51" s="1184"/>
      <c r="AC51" s="425"/>
    </row>
    <row r="52" spans="1:31" hidden="1" x14ac:dyDescent="0.2">
      <c r="A52" s="1169" t="s">
        <v>6576</v>
      </c>
      <c r="B52" s="1167">
        <v>66</v>
      </c>
      <c r="C52" s="1179" t="s">
        <v>6727</v>
      </c>
      <c r="D52" s="1169" t="s">
        <v>6728</v>
      </c>
      <c r="E52" s="1180">
        <f t="shared" si="0"/>
        <v>275</v>
      </c>
      <c r="F52" s="1181"/>
      <c r="G52" s="1181"/>
      <c r="H52" s="1182">
        <f t="shared" si="1"/>
        <v>275</v>
      </c>
      <c r="I52" s="1164" t="str">
        <f>+REGATONES[[#This Row],[Producto]]&amp;REGATONES[[#This Row],[Numero]]</f>
        <v>REGATONES66</v>
      </c>
      <c r="J52" s="1096" t="str">
        <f t="shared" si="2"/>
        <v>PERILLA C/TORNILLO  - 3/8 .</v>
      </c>
      <c r="K52" s="101">
        <f>+REGATONES[[#This Row],[Numero]]</f>
        <v>66</v>
      </c>
      <c r="M52" s="208" t="s">
        <v>11672</v>
      </c>
      <c r="N52" s="76">
        <v>275</v>
      </c>
      <c r="P52" s="208"/>
      <c r="Q52" s="76"/>
      <c r="R52" s="877"/>
      <c r="S52" s="78">
        <v>775.2</v>
      </c>
      <c r="T52" s="1455"/>
      <c r="U52" s="208">
        <v>11290</v>
      </c>
      <c r="V52" s="76">
        <v>452.2355</v>
      </c>
      <c r="X52" s="208"/>
      <c r="Y52" s="76"/>
      <c r="Z52" s="391">
        <f t="shared" si="4"/>
        <v>275</v>
      </c>
      <c r="AA52" s="391" t="str">
        <f>+HLOOKUP(Z52,M52:$Y$68,$Z$68-(ROW()-1),0)</f>
        <v>REGAPLAS</v>
      </c>
      <c r="AB52" s="1184"/>
      <c r="AC52" s="425"/>
    </row>
    <row r="53" spans="1:31" hidden="1" x14ac:dyDescent="0.2">
      <c r="A53" s="1169" t="s">
        <v>6576</v>
      </c>
      <c r="B53" s="1167">
        <v>70</v>
      </c>
      <c r="C53" s="1179" t="s">
        <v>6730</v>
      </c>
      <c r="D53" s="1169" t="s">
        <v>6731</v>
      </c>
      <c r="E53" s="1180">
        <f t="shared" si="0"/>
        <v>251.87800000000001</v>
      </c>
      <c r="F53" s="1181"/>
      <c r="G53" s="1181"/>
      <c r="H53" s="1182">
        <f t="shared" si="1"/>
        <v>251.87800000000001</v>
      </c>
      <c r="I53" s="1164" t="str">
        <f>+REGATONES[[#This Row],[Producto]]&amp;REGATONES[[#This Row],[Numero]]</f>
        <v>REGATONES70</v>
      </c>
      <c r="J53" s="1096" t="str">
        <f t="shared" si="2"/>
        <v>PERILLA C/TUERCA - 1/4.</v>
      </c>
      <c r="K53" s="101">
        <f>+REGATONES[[#This Row],[Numero]]</f>
        <v>70</v>
      </c>
      <c r="M53" s="208" t="s">
        <v>8353</v>
      </c>
      <c r="N53" s="76"/>
      <c r="P53" s="208"/>
      <c r="Q53" s="76"/>
      <c r="R53" s="877"/>
      <c r="S53" s="78">
        <v>541.5</v>
      </c>
      <c r="T53" s="1455"/>
      <c r="U53" s="208">
        <v>11210</v>
      </c>
      <c r="V53" s="76">
        <v>251.87800000000001</v>
      </c>
      <c r="X53" s="208"/>
      <c r="Y53" s="76"/>
      <c r="Z53" s="391">
        <f t="shared" si="4"/>
        <v>251.87800000000001</v>
      </c>
      <c r="AA53" s="391" t="str">
        <f>+HLOOKUP(Z53,M53:$Y$68,$Z$68-(ROW()-1),0)</f>
        <v>SURPLAS</v>
      </c>
      <c r="AB53" s="1184"/>
      <c r="AC53" s="425"/>
    </row>
    <row r="54" spans="1:31" hidden="1" x14ac:dyDescent="0.2">
      <c r="A54" s="1169" t="s">
        <v>6576</v>
      </c>
      <c r="B54" s="1167">
        <v>71</v>
      </c>
      <c r="C54" s="1179" t="s">
        <v>6733</v>
      </c>
      <c r="D54" s="1169" t="s">
        <v>6734</v>
      </c>
      <c r="E54" s="1180">
        <f t="shared" si="0"/>
        <v>240.429</v>
      </c>
      <c r="F54" s="1181"/>
      <c r="G54" s="1181"/>
      <c r="H54" s="1182">
        <f t="shared" si="1"/>
        <v>240.429</v>
      </c>
      <c r="I54" s="1164" t="str">
        <f>+REGATONES[[#This Row],[Producto]]&amp;REGATONES[[#This Row],[Numero]]</f>
        <v>REGATONES71</v>
      </c>
      <c r="J54" s="1096" t="str">
        <f t="shared" si="2"/>
        <v>PERILLA C/TUERCA - 5/16 .</v>
      </c>
      <c r="K54" s="101">
        <f>+REGATONES[[#This Row],[Numero]]</f>
        <v>71</v>
      </c>
      <c r="M54" s="208" t="s">
        <v>8353</v>
      </c>
      <c r="N54" s="76"/>
      <c r="P54" s="208"/>
      <c r="Q54" s="76"/>
      <c r="R54" s="877"/>
      <c r="S54" s="78">
        <v>615.6</v>
      </c>
      <c r="T54" s="1455"/>
      <c r="U54" s="208">
        <v>11211</v>
      </c>
      <c r="V54" s="76">
        <v>240.429</v>
      </c>
      <c r="X54" s="208"/>
      <c r="Y54" s="76"/>
      <c r="Z54" s="391">
        <f t="shared" si="4"/>
        <v>240.429</v>
      </c>
      <c r="AA54" s="391" t="str">
        <f>+HLOOKUP(Z54,M54:$Y$68,$Z$68-(ROW()-1),0)</f>
        <v>SURPLAS</v>
      </c>
      <c r="AB54" s="1184"/>
      <c r="AC54" s="425"/>
    </row>
    <row r="55" spans="1:31" hidden="1" x14ac:dyDescent="0.2">
      <c r="A55" s="1169" t="s">
        <v>6576</v>
      </c>
      <c r="B55" s="1167">
        <v>72</v>
      </c>
      <c r="C55" s="1179" t="s">
        <v>6736</v>
      </c>
      <c r="D55" s="1169" t="s">
        <v>6737</v>
      </c>
      <c r="E55" s="1180">
        <f t="shared" si="0"/>
        <v>729.6</v>
      </c>
      <c r="F55" s="1181"/>
      <c r="G55" s="1181"/>
      <c r="H55" s="1182">
        <f t="shared" si="1"/>
        <v>729.6</v>
      </c>
      <c r="I55" s="1164" t="str">
        <f>+REGATONES[[#This Row],[Producto]]&amp;REGATONES[[#This Row],[Numero]]</f>
        <v>REGATONES72</v>
      </c>
      <c r="J55" s="1096" t="str">
        <f t="shared" si="2"/>
        <v>PERILLA C/TUERCA - 3/8.</v>
      </c>
      <c r="K55" s="101">
        <f>+REGATONES[[#This Row],[Numero]]</f>
        <v>72</v>
      </c>
      <c r="M55" s="208" t="s">
        <v>8353</v>
      </c>
      <c r="N55" s="76"/>
      <c r="P55" s="208"/>
      <c r="Q55" s="76"/>
      <c r="R55" s="877"/>
      <c r="S55" s="78">
        <v>729.6</v>
      </c>
      <c r="T55" s="1455"/>
      <c r="U55" s="208" t="s">
        <v>8353</v>
      </c>
      <c r="V55" s="76"/>
      <c r="X55" s="208"/>
      <c r="Y55" s="76"/>
      <c r="Z55" s="391">
        <f t="shared" si="4"/>
        <v>729.6</v>
      </c>
      <c r="AA55" s="391" t="str">
        <f>+HLOOKUP(Z55,M55:$Y$68,$Z$68-(ROW()-1),0)</f>
        <v>CARCCIONE</v>
      </c>
      <c r="AB55" s="1184"/>
      <c r="AC55" s="425"/>
    </row>
    <row r="56" spans="1:31" hidden="1" x14ac:dyDescent="0.2">
      <c r="A56" s="1169" t="s">
        <v>6576</v>
      </c>
      <c r="B56" s="1167">
        <v>75</v>
      </c>
      <c r="C56" s="1167" t="s">
        <v>6739</v>
      </c>
      <c r="D56" s="1169" t="s">
        <v>6740</v>
      </c>
      <c r="E56" s="1180">
        <f t="shared" si="0"/>
        <v>282</v>
      </c>
      <c r="F56" s="1181"/>
      <c r="G56" s="1181"/>
      <c r="H56" s="1182">
        <f t="shared" si="1"/>
        <v>282</v>
      </c>
      <c r="I56" s="1164" t="str">
        <f>+REGATONES[[#This Row],[Producto]]&amp;REGATONES[[#This Row],[Numero]]</f>
        <v>REGATONES75</v>
      </c>
      <c r="J56" s="1096" t="str">
        <f t="shared" si="2"/>
        <v>ORTOPEDICOS - 16 mm</v>
      </c>
      <c r="K56" s="101">
        <f>+REGATONES[[#This Row],[Numero]]</f>
        <v>75</v>
      </c>
      <c r="M56" s="208" t="s">
        <v>6739</v>
      </c>
      <c r="N56" s="76">
        <v>282</v>
      </c>
      <c r="P56" s="208"/>
      <c r="Q56" s="76"/>
      <c r="R56" s="877"/>
      <c r="S56" s="878"/>
      <c r="U56" s="208" t="s">
        <v>8353</v>
      </c>
      <c r="V56" s="76"/>
      <c r="X56" s="208"/>
      <c r="Y56" s="76"/>
      <c r="Z56" s="391">
        <f t="shared" si="4"/>
        <v>282</v>
      </c>
      <c r="AA56" s="391" t="str">
        <f>+HLOOKUP(Z56,M56:$Y$68,$Z$68-(ROW()-1),0)</f>
        <v>REGAPLAS</v>
      </c>
      <c r="AB56" s="1184"/>
      <c r="AC56" s="425"/>
    </row>
    <row r="57" spans="1:31" hidden="1" x14ac:dyDescent="0.2">
      <c r="A57" s="1169" t="s">
        <v>6576</v>
      </c>
      <c r="B57" s="1167">
        <v>76</v>
      </c>
      <c r="C57" s="1167" t="s">
        <v>6742</v>
      </c>
      <c r="D57" s="1169" t="s">
        <v>6743</v>
      </c>
      <c r="E57" s="1180">
        <f t="shared" si="0"/>
        <v>424</v>
      </c>
      <c r="F57" s="1181"/>
      <c r="G57" s="1181"/>
      <c r="H57" s="1182">
        <f t="shared" si="1"/>
        <v>424</v>
      </c>
      <c r="I57" s="1164" t="str">
        <f>+REGATONES[[#This Row],[Producto]]&amp;REGATONES[[#This Row],[Numero]]</f>
        <v>REGATONES76</v>
      </c>
      <c r="J57" s="1096" t="str">
        <f t="shared" si="2"/>
        <v>ORTOPEDICOS - 19 mm</v>
      </c>
      <c r="K57" s="101">
        <f>+REGATONES[[#This Row],[Numero]]</f>
        <v>76</v>
      </c>
      <c r="M57" s="208" t="s">
        <v>6742</v>
      </c>
      <c r="N57" s="76">
        <v>424</v>
      </c>
      <c r="P57" s="208"/>
      <c r="Q57" s="76"/>
      <c r="R57" s="877"/>
      <c r="S57" s="878"/>
      <c r="U57" s="208" t="s">
        <v>8353</v>
      </c>
      <c r="V57" s="76"/>
      <c r="X57" s="208"/>
      <c r="Y57" s="76"/>
      <c r="Z57" s="391">
        <f t="shared" si="4"/>
        <v>424</v>
      </c>
      <c r="AA57" s="391" t="str">
        <f>+HLOOKUP(Z57,M57:$Y$68,$Z$68-(ROW()-1),0)</f>
        <v>REGAPLAS</v>
      </c>
      <c r="AB57" s="1184"/>
      <c r="AC57" s="425"/>
    </row>
    <row r="58" spans="1:31" hidden="1" x14ac:dyDescent="0.2">
      <c r="A58" s="1169" t="s">
        <v>6576</v>
      </c>
      <c r="B58" s="1167">
        <v>77</v>
      </c>
      <c r="C58" s="1167" t="s">
        <v>6745</v>
      </c>
      <c r="D58" s="1169" t="s">
        <v>6746</v>
      </c>
      <c r="E58" s="1180">
        <f t="shared" si="0"/>
        <v>529</v>
      </c>
      <c r="F58" s="1181"/>
      <c r="G58" s="1181"/>
      <c r="H58" s="1182">
        <f t="shared" si="1"/>
        <v>529</v>
      </c>
      <c r="I58" s="1164" t="str">
        <f>+REGATONES[[#This Row],[Producto]]&amp;REGATONES[[#This Row],[Numero]]</f>
        <v>REGATONES77</v>
      </c>
      <c r="J58" s="1096" t="str">
        <f t="shared" si="2"/>
        <v>ORTOPEDICOS - 22 mm</v>
      </c>
      <c r="K58" s="101">
        <f>+REGATONES[[#This Row],[Numero]]</f>
        <v>77</v>
      </c>
      <c r="M58" s="208" t="s">
        <v>6745</v>
      </c>
      <c r="N58" s="76">
        <v>529</v>
      </c>
      <c r="P58" s="208"/>
      <c r="Q58" s="76"/>
      <c r="R58" s="877"/>
      <c r="S58" s="878"/>
      <c r="U58" s="208" t="s">
        <v>8353</v>
      </c>
      <c r="V58" s="76"/>
      <c r="X58" s="208"/>
      <c r="Y58" s="76"/>
      <c r="Z58" s="391">
        <f t="shared" si="4"/>
        <v>529</v>
      </c>
      <c r="AA58" s="391" t="str">
        <f>+HLOOKUP(Z58,M58:$Y$68,$Z$68-(ROW()-1),0)</f>
        <v>REGAPLAS</v>
      </c>
      <c r="AB58" s="1184"/>
      <c r="AC58" s="425"/>
    </row>
    <row r="59" spans="1:31" hidden="1" x14ac:dyDescent="0.2">
      <c r="A59" s="1169" t="s">
        <v>6576</v>
      </c>
      <c r="B59" s="1167">
        <v>78</v>
      </c>
      <c r="C59" s="1167" t="s">
        <v>6748</v>
      </c>
      <c r="D59" s="1169" t="s">
        <v>6749</v>
      </c>
      <c r="E59" s="1180">
        <f t="shared" si="0"/>
        <v>660</v>
      </c>
      <c r="F59" s="1181"/>
      <c r="G59" s="1181"/>
      <c r="H59" s="1182">
        <f t="shared" si="1"/>
        <v>660</v>
      </c>
      <c r="I59" s="1164" t="str">
        <f>+REGATONES[[#This Row],[Producto]]&amp;REGATONES[[#This Row],[Numero]]</f>
        <v>REGATONES78</v>
      </c>
      <c r="J59" s="1096" t="str">
        <f t="shared" si="2"/>
        <v>ORTOPEDICOS - 25 mm</v>
      </c>
      <c r="K59" s="101">
        <f>+REGATONES[[#This Row],[Numero]]</f>
        <v>78</v>
      </c>
      <c r="M59" s="208" t="s">
        <v>6748</v>
      </c>
      <c r="N59" s="76">
        <v>660</v>
      </c>
      <c r="P59" s="208"/>
      <c r="Q59" s="76"/>
      <c r="R59" s="877"/>
      <c r="S59" s="878"/>
      <c r="U59" s="208" t="s">
        <v>8353</v>
      </c>
      <c r="V59" s="76"/>
      <c r="X59" s="208"/>
      <c r="Y59" s="76"/>
      <c r="Z59" s="391">
        <f t="shared" si="4"/>
        <v>660</v>
      </c>
      <c r="AA59" s="391" t="str">
        <f>+HLOOKUP(Z59,M59:$Y$68,$Z$68-(ROW()-1),0)</f>
        <v>REGAPLAS</v>
      </c>
      <c r="AB59" s="1184"/>
      <c r="AC59" s="425"/>
    </row>
    <row r="60" spans="1:31" hidden="1" x14ac:dyDescent="0.2">
      <c r="A60" s="1169" t="s">
        <v>6576</v>
      </c>
      <c r="B60" s="1167">
        <v>120</v>
      </c>
      <c r="C60" s="1167" t="s">
        <v>6751</v>
      </c>
      <c r="D60" s="1169" t="s">
        <v>8805</v>
      </c>
      <c r="E60" s="1180">
        <f t="shared" si="0"/>
        <v>112</v>
      </c>
      <c r="F60" s="1181"/>
      <c r="G60" s="1181"/>
      <c r="H60" s="1182">
        <f t="shared" si="1"/>
        <v>112</v>
      </c>
      <c r="I60" s="1164" t="str">
        <f>+REGATONES[[#This Row],[Producto]]&amp;REGATONES[[#This Row],[Numero]]</f>
        <v>REGATONES120</v>
      </c>
      <c r="J60" s="1096" t="str">
        <f t="shared" si="2"/>
        <v>REG DE GOMA 12 mm</v>
      </c>
      <c r="K60" s="101">
        <f>+REGATONES[[#This Row],[Numero]]</f>
        <v>120</v>
      </c>
      <c r="M60" s="208" t="s">
        <v>6751</v>
      </c>
      <c r="N60" s="76">
        <v>112</v>
      </c>
      <c r="P60" s="208"/>
      <c r="Q60" s="76"/>
      <c r="R60" s="877"/>
      <c r="S60" s="878"/>
      <c r="U60" s="208" t="s">
        <v>8353</v>
      </c>
      <c r="V60" s="76"/>
      <c r="X60" s="208"/>
      <c r="Y60" s="76"/>
      <c r="Z60" s="391">
        <f t="shared" si="4"/>
        <v>112</v>
      </c>
      <c r="AA60" s="391" t="str">
        <f>+HLOOKUP(Z60,M60:$Y$68,$Z$68-(ROW()-1),0)</f>
        <v>REGAPLAS</v>
      </c>
      <c r="AB60" s="487" t="s">
        <v>11676</v>
      </c>
      <c r="AC60" s="425" t="s">
        <v>8123</v>
      </c>
      <c r="AD60" s="38">
        <v>1</v>
      </c>
      <c r="AE60" s="38" t="s">
        <v>11676</v>
      </c>
    </row>
    <row r="61" spans="1:31" hidden="1" x14ac:dyDescent="0.2">
      <c r="A61" s="1169" t="s">
        <v>6576</v>
      </c>
      <c r="B61" s="1167">
        <v>121</v>
      </c>
      <c r="C61" s="1167" t="s">
        <v>6754</v>
      </c>
      <c r="D61" s="1169" t="s">
        <v>8806</v>
      </c>
      <c r="E61" s="1180">
        <f t="shared" si="0"/>
        <v>132</v>
      </c>
      <c r="F61" s="1181"/>
      <c r="G61" s="1181"/>
      <c r="H61" s="1182">
        <f t="shared" si="1"/>
        <v>132</v>
      </c>
      <c r="I61" s="1164" t="str">
        <f>+REGATONES[[#This Row],[Producto]]&amp;REGATONES[[#This Row],[Numero]]</f>
        <v>REGATONES121</v>
      </c>
      <c r="J61" s="1096" t="str">
        <f t="shared" si="2"/>
        <v>REG DE GOMA 16mm</v>
      </c>
      <c r="K61" s="101">
        <f>+REGATONES[[#This Row],[Numero]]</f>
        <v>121</v>
      </c>
      <c r="M61" s="208" t="s">
        <v>6754</v>
      </c>
      <c r="N61" s="76">
        <v>132</v>
      </c>
      <c r="P61" s="208"/>
      <c r="Q61" s="76"/>
      <c r="R61" s="877"/>
      <c r="S61" s="878"/>
      <c r="U61" s="208" t="s">
        <v>8353</v>
      </c>
      <c r="V61" s="76"/>
      <c r="X61" s="208"/>
      <c r="Y61" s="76"/>
      <c r="Z61" s="391">
        <f t="shared" si="4"/>
        <v>132</v>
      </c>
      <c r="AA61" s="391" t="str">
        <f>+HLOOKUP(Z61,M61:$Y$68,$Z$68-(ROW()-1),0)</f>
        <v>REGAPLAS</v>
      </c>
      <c r="AB61" s="487" t="s">
        <v>11677</v>
      </c>
      <c r="AC61" s="425" t="s">
        <v>8116</v>
      </c>
      <c r="AD61" s="38">
        <v>2</v>
      </c>
      <c r="AE61" s="38" t="s">
        <v>11677</v>
      </c>
    </row>
    <row r="62" spans="1:31" hidden="1" x14ac:dyDescent="0.2">
      <c r="A62" s="1169" t="s">
        <v>6576</v>
      </c>
      <c r="B62" s="1167">
        <v>122</v>
      </c>
      <c r="C62" s="1167" t="s">
        <v>6757</v>
      </c>
      <c r="D62" s="1169" t="s">
        <v>8808</v>
      </c>
      <c r="E62" s="1180">
        <f t="shared" si="0"/>
        <v>150</v>
      </c>
      <c r="F62" s="1181"/>
      <c r="G62" s="1181"/>
      <c r="H62" s="1182">
        <f t="shared" si="1"/>
        <v>150</v>
      </c>
      <c r="I62" s="1164" t="str">
        <f>+REGATONES[[#This Row],[Producto]]&amp;REGATONES[[#This Row],[Numero]]</f>
        <v>REGATONES122</v>
      </c>
      <c r="J62" s="1096" t="str">
        <f t="shared" si="2"/>
        <v>REG DE GOMA 19 mm</v>
      </c>
      <c r="K62" s="101">
        <f>+REGATONES[[#This Row],[Numero]]</f>
        <v>122</v>
      </c>
      <c r="M62" s="208" t="s">
        <v>6757</v>
      </c>
      <c r="N62" s="76">
        <v>150</v>
      </c>
      <c r="P62" s="208"/>
      <c r="Q62" s="76"/>
      <c r="R62" s="877"/>
      <c r="S62" s="878"/>
      <c r="U62" s="208" t="s">
        <v>8353</v>
      </c>
      <c r="V62" s="76"/>
      <c r="X62" s="208"/>
      <c r="Y62" s="76"/>
      <c r="Z62" s="391">
        <f t="shared" si="4"/>
        <v>150</v>
      </c>
      <c r="AA62" s="391" t="str">
        <f>+HLOOKUP(Z62,M62:$Y$68,$Z$68-(ROW()-1),0)</f>
        <v>REGAPLAS</v>
      </c>
      <c r="AB62" s="487" t="s">
        <v>11678</v>
      </c>
      <c r="AC62" s="425" t="s">
        <v>11590</v>
      </c>
      <c r="AD62" s="38">
        <v>4</v>
      </c>
      <c r="AE62" s="38" t="s">
        <v>11678</v>
      </c>
    </row>
    <row r="63" spans="1:31" hidden="1" x14ac:dyDescent="0.2">
      <c r="A63" s="1169" t="s">
        <v>6576</v>
      </c>
      <c r="B63" s="1167">
        <v>123</v>
      </c>
      <c r="C63" s="1167" t="s">
        <v>6760</v>
      </c>
      <c r="D63" s="1169" t="s">
        <v>8810</v>
      </c>
      <c r="E63" s="1180">
        <f t="shared" si="0"/>
        <v>167</v>
      </c>
      <c r="F63" s="1181"/>
      <c r="G63" s="1181"/>
      <c r="H63" s="1182">
        <f t="shared" si="1"/>
        <v>167</v>
      </c>
      <c r="I63" s="1164" t="str">
        <f>+REGATONES[[#This Row],[Producto]]&amp;REGATONES[[#This Row],[Numero]]</f>
        <v>REGATONES123</v>
      </c>
      <c r="J63" s="1096" t="str">
        <f t="shared" si="2"/>
        <v>REG DE GOMA 22 mm</v>
      </c>
      <c r="K63" s="101">
        <f>+REGATONES[[#This Row],[Numero]]</f>
        <v>123</v>
      </c>
      <c r="M63" s="208" t="s">
        <v>6760</v>
      </c>
      <c r="N63" s="76">
        <v>167</v>
      </c>
      <c r="P63" s="208"/>
      <c r="Q63" s="76"/>
      <c r="R63" s="877"/>
      <c r="S63" s="878"/>
      <c r="U63" s="208" t="s">
        <v>8353</v>
      </c>
      <c r="V63" s="76"/>
      <c r="X63" s="208"/>
      <c r="Y63" s="76"/>
      <c r="Z63" s="391">
        <f t="shared" si="4"/>
        <v>167</v>
      </c>
      <c r="AA63" s="391" t="str">
        <f>+HLOOKUP(Z63,M63:$Y$68,$Z$68-(ROW()-1),0)</f>
        <v>REGAPLAS</v>
      </c>
      <c r="AB63" s="487" t="s">
        <v>11679</v>
      </c>
      <c r="AC63" s="425" t="s">
        <v>8120</v>
      </c>
      <c r="AD63" s="38">
        <v>6</v>
      </c>
      <c r="AE63" s="38" t="s">
        <v>11679</v>
      </c>
    </row>
    <row r="64" spans="1:31" hidden="1" x14ac:dyDescent="0.2">
      <c r="A64" s="1169" t="s">
        <v>6576</v>
      </c>
      <c r="B64" s="1167">
        <v>124</v>
      </c>
      <c r="C64" s="1167" t="s">
        <v>6763</v>
      </c>
      <c r="D64" s="1169" t="s">
        <v>8811</v>
      </c>
      <c r="E64" s="1180">
        <f t="shared" si="0"/>
        <v>195</v>
      </c>
      <c r="F64" s="1181"/>
      <c r="G64" s="1181"/>
      <c r="H64" s="1182">
        <f t="shared" si="1"/>
        <v>195</v>
      </c>
      <c r="I64" s="1164" t="str">
        <f>+REGATONES[[#This Row],[Producto]]&amp;REGATONES[[#This Row],[Numero]]</f>
        <v>REGATONES124</v>
      </c>
      <c r="J64" s="1096" t="str">
        <f t="shared" si="2"/>
        <v>REG DE GOMA 25 mm</v>
      </c>
      <c r="K64" s="101">
        <f>+REGATONES[[#This Row],[Numero]]</f>
        <v>124</v>
      </c>
      <c r="M64" s="208" t="s">
        <v>6763</v>
      </c>
      <c r="N64" s="76">
        <v>195</v>
      </c>
      <c r="P64" s="208"/>
      <c r="Q64" s="76"/>
      <c r="R64" s="877"/>
      <c r="S64" s="878"/>
      <c r="U64" s="208" t="s">
        <v>8353</v>
      </c>
      <c r="V64" s="76"/>
      <c r="X64" s="208"/>
      <c r="Y64" s="76"/>
      <c r="Z64" s="391">
        <f t="shared" si="4"/>
        <v>195</v>
      </c>
      <c r="AA64" s="391" t="str">
        <f>+HLOOKUP(Z64,M64:$Y$68,$Z$68-(ROW()-1),0)</f>
        <v>REGAPLAS</v>
      </c>
      <c r="AB64" s="487" t="s">
        <v>11680</v>
      </c>
      <c r="AC64" s="425" t="s">
        <v>8122</v>
      </c>
      <c r="AD64" s="38">
        <v>7</v>
      </c>
      <c r="AE64" s="38" t="s">
        <v>11680</v>
      </c>
    </row>
    <row r="65" spans="1:34" ht="15" hidden="1" thickBot="1" x14ac:dyDescent="0.25">
      <c r="A65" s="1169" t="s">
        <v>6576</v>
      </c>
      <c r="B65" s="1167">
        <v>125</v>
      </c>
      <c r="C65" s="1167" t="s">
        <v>6766</v>
      </c>
      <c r="D65" s="1169" t="s">
        <v>8812</v>
      </c>
      <c r="E65" s="1180">
        <f t="shared" si="0"/>
        <v>235</v>
      </c>
      <c r="F65" s="1181"/>
      <c r="G65" s="1181"/>
      <c r="H65" s="1182">
        <f t="shared" si="1"/>
        <v>235</v>
      </c>
      <c r="I65" s="1164" t="str">
        <f>+REGATONES[[#This Row],[Producto]]&amp;REGATONES[[#This Row],[Numero]]</f>
        <v>REGATONES125</v>
      </c>
      <c r="J65" s="1096" t="str">
        <f>+_xlfn.XLOOKUP(K65,$K$2:$K$65,$D$2:$D$65,0,0)</f>
        <v>REG DE GOMA 30 mm</v>
      </c>
      <c r="K65" s="200">
        <f>+REGATONES[[#This Row],[Numero]]</f>
        <v>125</v>
      </c>
      <c r="M65" s="209" t="s">
        <v>6766</v>
      </c>
      <c r="N65" s="76">
        <v>235</v>
      </c>
      <c r="P65" s="209"/>
      <c r="Q65" s="879"/>
      <c r="R65" s="877"/>
      <c r="S65" s="880"/>
      <c r="U65" s="209" t="s">
        <v>8353</v>
      </c>
      <c r="V65" s="879"/>
      <c r="X65" s="209"/>
      <c r="Y65" s="879"/>
      <c r="Z65" s="391">
        <f t="shared" si="4"/>
        <v>235</v>
      </c>
      <c r="AA65" s="391" t="str">
        <f>+HLOOKUP(Z65,M65:$Y$68,$Z$68-(ROW()-1),0)</f>
        <v>REGAPLAS</v>
      </c>
      <c r="AB65" s="1184"/>
      <c r="AC65" s="425"/>
    </row>
    <row r="66" spans="1:34" ht="13.5" hidden="1" customHeight="1" x14ac:dyDescent="0.2">
      <c r="A66" s="1169" t="s">
        <v>6576</v>
      </c>
      <c r="B66" s="1167">
        <v>80</v>
      </c>
      <c r="C66" s="1167"/>
      <c r="D66" s="1169" t="s">
        <v>6769</v>
      </c>
      <c r="E66" s="1199"/>
      <c r="F66" s="1181"/>
      <c r="G66" s="1181"/>
      <c r="H66" s="1182">
        <f t="shared" ref="H66:H89" si="5">+(1-F66)*(1-G66)*E66</f>
        <v>0</v>
      </c>
      <c r="I66" s="1164" t="str">
        <f>+REGATONES[[#This Row],[Producto]]&amp;REGATONES[[#This Row],[Numero]]</f>
        <v>REGATONES80</v>
      </c>
      <c r="AC66" s="425"/>
    </row>
    <row r="67" spans="1:34" hidden="1" x14ac:dyDescent="0.2">
      <c r="A67" s="1169" t="s">
        <v>6576</v>
      </c>
      <c r="B67" s="1167">
        <v>81</v>
      </c>
      <c r="C67" s="1167"/>
      <c r="D67" s="1169" t="s">
        <v>6771</v>
      </c>
      <c r="E67" s="1199"/>
      <c r="F67" s="1181"/>
      <c r="G67" s="1181"/>
      <c r="H67" s="1182">
        <f t="shared" si="5"/>
        <v>0</v>
      </c>
      <c r="I67" s="1164" t="str">
        <f>+REGATONES[[#This Row],[Producto]]&amp;REGATONES[[#This Row],[Numero]]</f>
        <v>REGATONES81</v>
      </c>
    </row>
    <row r="68" spans="1:34" hidden="1" x14ac:dyDescent="0.2">
      <c r="A68" s="1169" t="s">
        <v>6576</v>
      </c>
      <c r="B68" s="1167">
        <v>82</v>
      </c>
      <c r="C68" s="1167"/>
      <c r="D68" s="1169" t="s">
        <v>6773</v>
      </c>
      <c r="E68" s="1199"/>
      <c r="F68" s="1181"/>
      <c r="G68" s="1181"/>
      <c r="H68" s="1182">
        <f t="shared" si="5"/>
        <v>0</v>
      </c>
      <c r="I68" s="1164" t="str">
        <f>+REGATONES[[#This Row],[Producto]]&amp;REGATONES[[#This Row],[Numero]]</f>
        <v>REGATONES82</v>
      </c>
      <c r="N68" s="38" t="s">
        <v>8123</v>
      </c>
      <c r="Q68" s="38" t="s">
        <v>11590</v>
      </c>
      <c r="S68" s="38" t="s">
        <v>8122</v>
      </c>
      <c r="V68" s="425" t="s">
        <v>8120</v>
      </c>
      <c r="Y68" s="425" t="s">
        <v>11681</v>
      </c>
      <c r="Z68" s="1200">
        <f>+ROW()</f>
        <v>68</v>
      </c>
    </row>
    <row r="69" spans="1:34" ht="15" thickBot="1" x14ac:dyDescent="0.25">
      <c r="A69" s="1169" t="s">
        <v>6576</v>
      </c>
      <c r="B69" s="1167">
        <v>83</v>
      </c>
      <c r="C69" s="1167"/>
      <c r="D69" s="1169" t="s">
        <v>6775</v>
      </c>
      <c r="E69" s="1199"/>
      <c r="F69" s="1181"/>
      <c r="G69" s="1181"/>
      <c r="H69" s="1182">
        <f t="shared" si="5"/>
        <v>0</v>
      </c>
      <c r="I69" s="1164" t="str">
        <f>+REGATONES[[#This Row],[Producto]]&amp;REGATONES[[#This Row],[Numero]]</f>
        <v>REGATONES83</v>
      </c>
    </row>
    <row r="70" spans="1:34" ht="15.75" thickBot="1" x14ac:dyDescent="0.3">
      <c r="A70" s="1169" t="s">
        <v>6576</v>
      </c>
      <c r="B70" s="1167">
        <v>84</v>
      </c>
      <c r="C70" s="1167"/>
      <c r="D70" s="1169" t="s">
        <v>6777</v>
      </c>
      <c r="E70" s="1199"/>
      <c r="F70" s="1181"/>
      <c r="G70" s="1181"/>
      <c r="H70" s="1182">
        <f t="shared" si="5"/>
        <v>0</v>
      </c>
      <c r="I70" s="1164" t="str">
        <f>+REGATONES[[#This Row],[Producto]]&amp;REGATONES[[#This Row],[Numero]]</f>
        <v>REGATONES84</v>
      </c>
      <c r="P70" s="1206">
        <f>+SUM(P72:P94)</f>
        <v>169500</v>
      </c>
      <c r="Q70" s="1206">
        <f>+SUM(Q72:Q94)</f>
        <v>0</v>
      </c>
      <c r="S70" s="1206">
        <f>+SUM(S72:S94)</f>
        <v>83200</v>
      </c>
      <c r="U70" s="1206">
        <f>+SUM(U72:U94)</f>
        <v>0</v>
      </c>
      <c r="V70" s="1206">
        <f>+SUM(V72:V95)</f>
        <v>163020</v>
      </c>
      <c r="Y70" s="1294" t="s">
        <v>8122</v>
      </c>
      <c r="AB70" s="38"/>
    </row>
    <row r="71" spans="1:34" ht="15" x14ac:dyDescent="0.25">
      <c r="A71" s="1169" t="s">
        <v>6576</v>
      </c>
      <c r="B71" s="1167">
        <v>85</v>
      </c>
      <c r="C71" s="1167"/>
      <c r="D71" s="1169" t="s">
        <v>6779</v>
      </c>
      <c r="E71" s="1199"/>
      <c r="F71" s="1181"/>
      <c r="G71" s="1181"/>
      <c r="H71" s="1182">
        <f t="shared" si="5"/>
        <v>0</v>
      </c>
      <c r="I71" s="1164" t="str">
        <f>+REGATONES[[#This Row],[Producto]]&amp;REGATONES[[#This Row],[Numero]]</f>
        <v>REGATONES85</v>
      </c>
      <c r="K71" s="1201" t="s">
        <v>9007</v>
      </c>
      <c r="M71" s="1201" t="s">
        <v>11682</v>
      </c>
      <c r="N71" s="1201" t="s">
        <v>8322</v>
      </c>
      <c r="O71" s="554" t="s">
        <v>11683</v>
      </c>
      <c r="P71" s="1201" t="s">
        <v>8123</v>
      </c>
      <c r="Q71" s="1201" t="s">
        <v>8116</v>
      </c>
      <c r="R71" s="1201"/>
      <c r="S71" s="1201" t="s">
        <v>11590</v>
      </c>
      <c r="T71" s="1201"/>
      <c r="U71" s="1201" t="s">
        <v>8120</v>
      </c>
      <c r="V71" s="1202" t="s">
        <v>8122</v>
      </c>
      <c r="X71" s="1202" t="s">
        <v>4624</v>
      </c>
      <c r="AA71" s="38"/>
      <c r="AB71" s="38"/>
      <c r="AC71" s="1286">
        <f>+SUM(AC73:AC97)</f>
        <v>163020</v>
      </c>
      <c r="AG71" s="479"/>
    </row>
    <row r="72" spans="1:34" ht="15" x14ac:dyDescent="0.25">
      <c r="A72" s="1169" t="s">
        <v>6576</v>
      </c>
      <c r="B72" s="1167">
        <v>86</v>
      </c>
      <c r="C72" s="1167"/>
      <c r="D72" s="1169" t="s">
        <v>6781</v>
      </c>
      <c r="E72" s="1199"/>
      <c r="F72" s="1181"/>
      <c r="G72" s="1181"/>
      <c r="H72" s="1182">
        <f t="shared" si="5"/>
        <v>0</v>
      </c>
      <c r="I72" s="1164" t="str">
        <f>+REGATONES[[#This Row],[Producto]]&amp;REGATONES[[#This Row],[Numero]]</f>
        <v>REGATONES86</v>
      </c>
      <c r="K72" s="1296" t="str">
        <f>+_xlfn.XLOOKUP(M72,$K$2:$K$65,$D$2:$D$65,0,0)</f>
        <v>EXTERIORES LARGOS  - 1"</v>
      </c>
      <c r="L72" s="38" t="str" cm="1">
        <f t="array" aca="1" ref="L72" ca="1">IFERROR(INDIRECT(VLOOKUP(_xlfn.XMATCH(MIN(P72:V72),P72:V72,0),$AD$60:$AE$64,2,0)&amp;71),"")</f>
        <v>CARCCIONE</v>
      </c>
      <c r="M72" s="1177">
        <v>15</v>
      </c>
      <c r="N72" s="1177">
        <v>1000</v>
      </c>
      <c r="O72" s="38" t="s">
        <v>8122</v>
      </c>
      <c r="P72" s="1292" t="str">
        <f t="shared" ref="P72" si="6">IFERROR(IF(OR(O72="",O72=P$71),IF(_xlfn.XLOOKUP(M72,$K$1:$K$65,$N$1:$N$65,"",0)*N72=0,"",_xlfn.XLOOKUP(M72,$K$1:$K$65,$N$1:$N$65,"",0)*N72),""),"")</f>
        <v/>
      </c>
      <c r="Q72" s="1293" t="str">
        <f>IFERROR(IF(OR(O72="",O72=Q$71),IF(_xlfn.XLOOKUP(M72,$K$1:$K$65,$Y$1:$Y$65,"",0)=0,"",_xlfn.XLOOKUP(M72,$K$1:$K$65,$Y$1:$Y$65,"",0)*N72),""),"")</f>
        <v/>
      </c>
      <c r="R72" s="1204"/>
      <c r="S72" s="1293" t="str">
        <f t="shared" ref="S72:S93" si="7">IFERROR(IF(OR(O72="",O72=S$71),IF(_xlfn.XLOOKUP(M72,$K$1:$K$65,$Q$1:$Q$65,"",0)*N72=0,"",_xlfn.XLOOKUP(M72,$K$1:$K$65,$Q$1:$Q$65,"",0)*N72),""),"")</f>
        <v/>
      </c>
      <c r="T72" s="1204"/>
      <c r="U72" s="1292" t="str">
        <f>IFERROR(IF(OR(O72="",O72=U$71),IF(_xlfn.XLOOKUP(M72,$K$1:$K$65,$V$1:$V$65,"",0)*N72=0,"",_xlfn.XLOOKUP(M72,$K$1:$K$65,$V$1:$V$65,"",0)*N72),""),"")</f>
        <v/>
      </c>
      <c r="V72" s="1203">
        <f t="shared" ref="V72:V93" si="8">IFERROR(IF(OR(O72="",O72=V$71),IF(_xlfn.XLOOKUP(M72,$K$1:$K$65,$S$1:$S$65,"",0)*N72=0,"",_xlfn.XLOOKUP(M72,$K$1:$K$65,$S$1:$S$65,"",0)*N72),""),"")</f>
        <v>49020</v>
      </c>
      <c r="X72" s="877">
        <f>IFERROR(VLOOKUP("REGATONES"&amp;M72,CODIGOS_Y_COSTOS[[ID]:[Precio]],4,0)*(1-0.46),0)</f>
        <v>71.28</v>
      </c>
      <c r="Y72" s="425">
        <f t="shared" ref="Y72:Y93" si="9">IFERROR(MIN(P72:V72)/N72,"")</f>
        <v>49.02</v>
      </c>
      <c r="Z72" s="1205">
        <f>IFERROR(+X72/Y72-1,0)</f>
        <v>0.45410036719706226</v>
      </c>
      <c r="AA72" s="554" t="str" cm="1">
        <f t="array" ref="AA72:AC75">_xlfn.LET(
 _xlpm.datos, M71:V94,
 _xlpm.proveedor, $Y$70,
 _xlpm.colProv, _xlfn.SWITCH(
     _xlpm.proveedor,
     "Regaplas", 4,
     "Juan", 5,
     "O Y R", 7,
     "Surplas", 9,
     "Carccione", 10
 ),
 _xlpm.pedidos,    INDEX(_xlpm.datos,,1),
 _xlpm.cantidades, INDEX(_xlpm.datos,,2),
 _xlpm.precios,    INDEX(_xlpm.datos,,_xlpm.colProv),
 _xlfn._xlws.FILTER( _xlfn.HSTACK(_xlpm.pedidos, _xlpm.cantidades, _xlpm.precios), _xlpm.precios&lt;&gt;"" )
)</f>
        <v>Pedido</v>
      </c>
      <c r="AB72" s="554" t="str">
        <v>Cantidad</v>
      </c>
      <c r="AC72" s="554" t="str">
        <v>CARCCIONE</v>
      </c>
      <c r="AD72" s="554" t="s">
        <v>8977</v>
      </c>
      <c r="AF72" s="479" t="s">
        <v>11682</v>
      </c>
      <c r="AG72" s="1289" t="s">
        <v>8322</v>
      </c>
      <c r="AH72" s="479" t="s">
        <v>8977</v>
      </c>
    </row>
    <row r="73" spans="1:34" x14ac:dyDescent="0.2">
      <c r="A73" s="1169" t="s">
        <v>6576</v>
      </c>
      <c r="B73" s="1167">
        <v>87</v>
      </c>
      <c r="C73" s="1167"/>
      <c r="D73" s="1169" t="s">
        <v>6783</v>
      </c>
      <c r="E73" s="1199"/>
      <c r="F73" s="1181"/>
      <c r="G73" s="1181"/>
      <c r="H73" s="1182">
        <f t="shared" si="5"/>
        <v>0</v>
      </c>
      <c r="I73" s="1164" t="str">
        <f>+REGATONES[[#This Row],[Producto]]&amp;REGATONES[[#This Row],[Numero]]</f>
        <v>REGATONES87</v>
      </c>
      <c r="K73" s="1296" t="str">
        <f t="shared" ref="K73:K93" si="10">+_xlfn.XLOOKUP(M73,$K$2:$K$65,$D$2:$D$65,0,0)</f>
        <v>PERILLA C/TUERCA - 3/8.</v>
      </c>
      <c r="L73" s="38" t="str" cm="1">
        <f t="array" aca="1" ref="L73" ca="1">IFERROR(INDIRECT(VLOOKUP(_xlfn.XMATCH(MIN(P73:V73),P73:V73,0),$AD$60:$AE$64,2,0)&amp;71),"")</f>
        <v>CARCCIONE</v>
      </c>
      <c r="M73" s="1177">
        <v>72</v>
      </c>
      <c r="N73" s="1177">
        <v>50</v>
      </c>
      <c r="O73" s="38" t="s">
        <v>8122</v>
      </c>
      <c r="P73" s="1292" t="str">
        <f t="shared" ref="P73:P93" si="11">IFERROR(IF(OR(O73="",O73=P$71),IF(_xlfn.XLOOKUP(M73,$K$1:$K$65,$N$1:$N$65,"",0)*N73=0,"",_xlfn.XLOOKUP(M73,$K$1:$K$65,$N$1:$N$65,"",0)*N73),""),"")</f>
        <v/>
      </c>
      <c r="Q73" s="1293" t="str">
        <f t="shared" ref="Q73:Q93" si="12">IFERROR(IF(OR(O73="",O73=Q$71),IF(_xlfn.XLOOKUP(M73,$K$1:$K$65,$Y$1:$Y$65,"",0)=0,"",_xlfn.XLOOKUP(M73,$K$1:$K$65,$Y$1:$Y$65,"",0)*N73),""),"")</f>
        <v/>
      </c>
      <c r="R73" s="1204"/>
      <c r="S73" s="1293" t="str">
        <f t="shared" si="7"/>
        <v/>
      </c>
      <c r="T73" s="1204"/>
      <c r="U73" s="1292" t="str">
        <f t="shared" ref="U73:U93" si="13">IFERROR(IF(OR(O73="",O73=U$71),IF(_xlfn.XLOOKUP(M73,$K$1:$K$65,$V$1:$V$65,"",0)*N73=0,"",_xlfn.XLOOKUP(M73,$K$1:$K$65,$V$1:$V$65,"",0)*N73),""),"")</f>
        <v/>
      </c>
      <c r="V73" s="1203">
        <f>IFERROR(IF(OR(O73="",O73=V$71),IF(_xlfn.XLOOKUP(M73,$K$1:$K$65,$S$1:$S$65,"",0)*N73=0,"",_xlfn.XLOOKUP(M73,$K$1:$K$65,$S$1:$S$65,"",0)*N73),""),"")</f>
        <v>36480</v>
      </c>
      <c r="X73" s="877">
        <f>IFERROR(VLOOKUP("REGATONES"&amp;M73,CODIGOS_Y_COSTOS[[ID]:[Precio]],4,0)*(1-0.46),0)</f>
        <v>738.34199999999998</v>
      </c>
      <c r="Y73" s="425">
        <f t="shared" si="9"/>
        <v>729.6</v>
      </c>
      <c r="Z73" s="1205">
        <f t="shared" ref="Z73:Z93" si="14">IFERROR(+X73/Y73-1,0)</f>
        <v>1.1981907894736743E-2</v>
      </c>
      <c r="AA73" s="1177">
        <v>15</v>
      </c>
      <c r="AB73" s="1287">
        <v>1000</v>
      </c>
      <c r="AC73" s="1290">
        <v>49020</v>
      </c>
      <c r="AD73" s="38" t="str">
        <f t="shared" ref="AD73:AD87" si="15">+_xlfn.XLOOKUP(AA73,$K$2:$K$65,$D$2:$D$65,0,0)</f>
        <v>EXTERIORES LARGOS  - 1"</v>
      </c>
      <c r="AF73" s="38">
        <v>1</v>
      </c>
      <c r="AG73" s="1290">
        <v>1000</v>
      </c>
      <c r="AH73" s="38" t="s">
        <v>6578</v>
      </c>
    </row>
    <row r="74" spans="1:34" x14ac:dyDescent="0.2">
      <c r="A74" s="1169" t="s">
        <v>6576</v>
      </c>
      <c r="B74" s="1167">
        <v>90</v>
      </c>
      <c r="C74" s="1167"/>
      <c r="D74" s="1169" t="s">
        <v>6785</v>
      </c>
      <c r="E74" s="1199"/>
      <c r="F74" s="1181"/>
      <c r="G74" s="1181"/>
      <c r="H74" s="1182">
        <f t="shared" si="5"/>
        <v>0</v>
      </c>
      <c r="I74" s="1164" t="str">
        <f>+REGATONES[[#This Row],[Producto]]&amp;REGATONES[[#This Row],[Numero]]</f>
        <v>REGATONES90</v>
      </c>
      <c r="K74" s="1296" t="str">
        <f t="shared" si="10"/>
        <v>ORTOPEDICOS - 25 mm</v>
      </c>
      <c r="L74" s="38" t="str" cm="1">
        <f t="array" aca="1" ref="L74" ca="1">IFERROR(INDIRECT(VLOOKUP(_xlfn.XMATCH(MIN(P74:V74),P74:V74,0),$AD$60:$AE$64,2,0)&amp;71),"")</f>
        <v>REGAPLAS</v>
      </c>
      <c r="M74" s="1177">
        <v>78</v>
      </c>
      <c r="N74" s="1177">
        <v>150</v>
      </c>
      <c r="O74" s="38" t="s">
        <v>8123</v>
      </c>
      <c r="P74" s="1292">
        <f t="shared" si="11"/>
        <v>99000</v>
      </c>
      <c r="Q74" s="1293" t="str">
        <f t="shared" si="12"/>
        <v/>
      </c>
      <c r="R74" s="1204"/>
      <c r="S74" s="1293" t="str">
        <f t="shared" si="7"/>
        <v/>
      </c>
      <c r="T74" s="1204"/>
      <c r="U74" s="1292" t="str">
        <f t="shared" si="13"/>
        <v/>
      </c>
      <c r="V74" s="1203" t="str">
        <f t="shared" si="8"/>
        <v/>
      </c>
      <c r="X74" s="877">
        <f>IFERROR(VLOOKUP("REGATONES"&amp;M74,CODIGOS_Y_COSTOS[[ID]:[Precio]],4,0)*(1-0.46),0)</f>
        <v>980.1</v>
      </c>
      <c r="Y74" s="425">
        <f t="shared" si="9"/>
        <v>660</v>
      </c>
      <c r="Z74" s="1205">
        <f t="shared" si="14"/>
        <v>0.4850000000000001</v>
      </c>
      <c r="AA74" s="1177">
        <v>72</v>
      </c>
      <c r="AB74" s="1287">
        <v>50</v>
      </c>
      <c r="AC74" s="1290">
        <v>36480</v>
      </c>
      <c r="AD74" s="38" t="str">
        <f t="shared" si="15"/>
        <v>PERILLA C/TUERCA - 3/8.</v>
      </c>
      <c r="AF74" s="38">
        <v>1</v>
      </c>
      <c r="AG74" s="1290">
        <v>1000</v>
      </c>
      <c r="AH74" s="38" t="s">
        <v>6578</v>
      </c>
    </row>
    <row r="75" spans="1:34" x14ac:dyDescent="0.2">
      <c r="A75" s="1169" t="s">
        <v>6576</v>
      </c>
      <c r="B75" s="1167">
        <v>91</v>
      </c>
      <c r="C75" s="1167"/>
      <c r="D75" s="1169" t="s">
        <v>6787</v>
      </c>
      <c r="E75" s="1199"/>
      <c r="F75" s="1181"/>
      <c r="G75" s="1181"/>
      <c r="H75" s="1182">
        <f t="shared" si="5"/>
        <v>0</v>
      </c>
      <c r="I75" s="1164" t="str">
        <f>+REGATONES[[#This Row],[Producto]]&amp;REGATONES[[#This Row],[Numero]]</f>
        <v>REGATONES91</v>
      </c>
      <c r="K75" s="1296" t="str">
        <f t="shared" si="10"/>
        <v>REG DE GOMA 30 mm</v>
      </c>
      <c r="L75" s="38" t="str" cm="1">
        <f t="array" aca="1" ref="L75" ca="1">IFERROR(INDIRECT(VLOOKUP(_xlfn.XMATCH(MIN(P75:V75),P75:V75,0),$AD$60:$AE$64,2,0)&amp;71),"")</f>
        <v>REGAPLAS</v>
      </c>
      <c r="M75" s="1177">
        <v>125</v>
      </c>
      <c r="N75" s="1177">
        <v>300</v>
      </c>
      <c r="O75" s="38" t="s">
        <v>8123</v>
      </c>
      <c r="P75" s="1292">
        <f t="shared" si="11"/>
        <v>70500</v>
      </c>
      <c r="Q75" s="1293" t="str">
        <f t="shared" si="12"/>
        <v/>
      </c>
      <c r="R75" s="1204"/>
      <c r="S75" s="1293" t="str">
        <f t="shared" si="7"/>
        <v/>
      </c>
      <c r="T75" s="1204"/>
      <c r="U75" s="1292" t="str">
        <f t="shared" si="13"/>
        <v/>
      </c>
      <c r="V75" s="1203" t="str">
        <f t="shared" si="8"/>
        <v/>
      </c>
      <c r="X75" s="877">
        <f>IFERROR(VLOOKUP("REGATONES"&amp;M75,CODIGOS_Y_COSTOS[[ID]:[Precio]],4,0)*(1-0.46),0)</f>
        <v>347.49</v>
      </c>
      <c r="Y75" s="425">
        <f t="shared" si="9"/>
        <v>235</v>
      </c>
      <c r="Z75" s="1205">
        <f t="shared" si="14"/>
        <v>0.47868085106382985</v>
      </c>
      <c r="AA75" s="1177">
        <v>66</v>
      </c>
      <c r="AB75" s="1287">
        <v>100</v>
      </c>
      <c r="AC75" s="1290">
        <v>77520</v>
      </c>
      <c r="AD75" s="38" t="str">
        <f t="shared" si="15"/>
        <v>PERILLA C/TORNILLO  - 3/8 .</v>
      </c>
      <c r="AF75" s="38">
        <v>10</v>
      </c>
      <c r="AG75" s="1290">
        <v>500</v>
      </c>
      <c r="AH75" s="38" t="s">
        <v>6602</v>
      </c>
    </row>
    <row r="76" spans="1:34" x14ac:dyDescent="0.2">
      <c r="A76" s="1169" t="s">
        <v>6576</v>
      </c>
      <c r="B76" s="1167">
        <v>92</v>
      </c>
      <c r="C76" s="1167"/>
      <c r="D76" s="1169" t="s">
        <v>6789</v>
      </c>
      <c r="E76" s="1199"/>
      <c r="F76" s="1181"/>
      <c r="G76" s="1181"/>
      <c r="H76" s="1182">
        <f t="shared" si="5"/>
        <v>0</v>
      </c>
      <c r="I76" s="1164" t="str">
        <f>+REGATONES[[#This Row],[Producto]]&amp;REGATONES[[#This Row],[Numero]]</f>
        <v>REGATONES92</v>
      </c>
      <c r="K76" s="1296">
        <f t="shared" si="10"/>
        <v>0</v>
      </c>
      <c r="L76" s="38" t="str" cm="1">
        <f t="array" aca="1" ref="L76" ca="1">IFERROR(INDIRECT(VLOOKUP(_xlfn.XMATCH(MIN(P76:V76),P76:V76,0),$AD$60:$AE$64,2,0)&amp;71),"")</f>
        <v/>
      </c>
      <c r="N76" s="1177"/>
      <c r="P76" s="1292" t="str">
        <f t="shared" si="11"/>
        <v/>
      </c>
      <c r="Q76" s="1293" t="str">
        <f t="shared" si="12"/>
        <v/>
      </c>
      <c r="R76" s="1204"/>
      <c r="S76" s="1293" t="str">
        <f t="shared" si="7"/>
        <v/>
      </c>
      <c r="T76" s="1204"/>
      <c r="U76" s="1292" t="str">
        <f t="shared" si="13"/>
        <v/>
      </c>
      <c r="V76" s="1203" t="str">
        <f t="shared" si="8"/>
        <v/>
      </c>
      <c r="X76" s="877">
        <f>IFERROR(VLOOKUP("REGATONES"&amp;M76,CODIGOS_Y_COSTOS[[ID]:[Precio]],4,0)*(1-0.46),0)</f>
        <v>0</v>
      </c>
      <c r="Y76" s="425" t="str">
        <f t="shared" si="9"/>
        <v/>
      </c>
      <c r="Z76" s="1205">
        <f t="shared" si="14"/>
        <v>0</v>
      </c>
      <c r="AA76" s="1177"/>
      <c r="AB76" s="1287"/>
      <c r="AC76" s="1290"/>
      <c r="AD76" s="38">
        <f t="shared" si="15"/>
        <v>0</v>
      </c>
      <c r="AF76" s="38">
        <v>12</v>
      </c>
      <c r="AG76" s="1290">
        <v>250</v>
      </c>
      <c r="AH76" s="38" t="s">
        <v>6614</v>
      </c>
    </row>
    <row r="77" spans="1:34" x14ac:dyDescent="0.2">
      <c r="A77" s="1169" t="s">
        <v>6576</v>
      </c>
      <c r="B77" s="1167">
        <v>93</v>
      </c>
      <c r="C77" s="1167"/>
      <c r="D77" s="1169" t="s">
        <v>6791</v>
      </c>
      <c r="E77" s="1199"/>
      <c r="F77" s="1181"/>
      <c r="G77" s="1181"/>
      <c r="H77" s="1182">
        <f t="shared" si="5"/>
        <v>0</v>
      </c>
      <c r="I77" s="1164" t="str">
        <f>+REGATONES[[#This Row],[Producto]]&amp;REGATONES[[#This Row],[Numero]]</f>
        <v>REGATONES93</v>
      </c>
      <c r="K77" s="1296" t="str">
        <f t="shared" si="10"/>
        <v>PERILLA C/TORNILLO  - 3/8 .</v>
      </c>
      <c r="L77" s="38" t="str" cm="1">
        <f t="array" aca="1" ref="L77" ca="1">IFERROR(INDIRECT(VLOOKUP(_xlfn.XMATCH(MIN(P77:V77),P77:V77,0),$AD$60:$AE$64,2,0)&amp;71),"")</f>
        <v>CARCCIONE</v>
      </c>
      <c r="M77" s="1177">
        <v>66</v>
      </c>
      <c r="N77" s="1177">
        <v>100</v>
      </c>
      <c r="O77" s="38" t="s">
        <v>8122</v>
      </c>
      <c r="P77" s="1292" t="str">
        <f t="shared" si="11"/>
        <v/>
      </c>
      <c r="Q77" s="1293" t="str">
        <f t="shared" si="12"/>
        <v/>
      </c>
      <c r="R77" s="1204"/>
      <c r="S77" s="1293" t="str">
        <f t="shared" si="7"/>
        <v/>
      </c>
      <c r="T77" s="1204"/>
      <c r="U77" s="1292" t="str">
        <f t="shared" si="13"/>
        <v/>
      </c>
      <c r="V77" s="1203">
        <f t="shared" si="8"/>
        <v>77520</v>
      </c>
      <c r="X77" s="877">
        <f>IFERROR(VLOOKUP("REGATONES"&amp;M77,CODIGOS_Y_COSTOS[[ID]:[Precio]],4,0)*(1-0.46),0)</f>
        <v>1033.5600000000002</v>
      </c>
      <c r="Y77" s="425">
        <f t="shared" si="9"/>
        <v>775.2</v>
      </c>
      <c r="Z77" s="1205">
        <f t="shared" si="14"/>
        <v>0.33328173374613024</v>
      </c>
      <c r="AA77" s="1177"/>
      <c r="AB77" s="1287"/>
      <c r="AC77" s="1290"/>
      <c r="AD77" s="38">
        <f t="shared" si="15"/>
        <v>0</v>
      </c>
      <c r="AF77" s="38">
        <v>14</v>
      </c>
      <c r="AG77" s="1290">
        <v>1000</v>
      </c>
      <c r="AH77" s="38" t="s">
        <v>6620</v>
      </c>
    </row>
    <row r="78" spans="1:34" ht="15" x14ac:dyDescent="0.25">
      <c r="A78" s="1169" t="s">
        <v>6576</v>
      </c>
      <c r="B78" s="1167">
        <v>94</v>
      </c>
      <c r="C78" s="1167"/>
      <c r="D78" s="1169" t="s">
        <v>6793</v>
      </c>
      <c r="E78" s="1199"/>
      <c r="F78" s="1181"/>
      <c r="G78" s="1181"/>
      <c r="H78" s="1182">
        <f t="shared" si="5"/>
        <v>0</v>
      </c>
      <c r="I78" s="1164" t="str">
        <f>+REGATONES[[#This Row],[Producto]]&amp;REGATONES[[#This Row],[Numero]]</f>
        <v>REGATONES94</v>
      </c>
      <c r="K78" s="1296">
        <f t="shared" si="10"/>
        <v>0</v>
      </c>
      <c r="L78" s="38" t="str" cm="1">
        <f t="array" aca="1" ref="L78" ca="1">IFERROR(INDIRECT(VLOOKUP(_xlfn.XMATCH(MIN(P78:V78),P78:V78,0),$AD$60:$AE$64,2,0)&amp;71),"")</f>
        <v/>
      </c>
      <c r="M78" s="554"/>
      <c r="N78" s="1177"/>
      <c r="P78" s="1292" t="str">
        <f t="shared" si="11"/>
        <v/>
      </c>
      <c r="Q78" s="1293" t="str">
        <f t="shared" si="12"/>
        <v/>
      </c>
      <c r="R78" s="1204"/>
      <c r="S78" s="1293" t="str">
        <f t="shared" si="7"/>
        <v/>
      </c>
      <c r="T78" s="1204"/>
      <c r="U78" s="1292" t="str">
        <f t="shared" si="13"/>
        <v/>
      </c>
      <c r="V78" s="1203" t="str">
        <f t="shared" si="8"/>
        <v/>
      </c>
      <c r="X78" s="877">
        <f>IFERROR(VLOOKUP("REGATONES"&amp;M78,CODIGOS_Y_COSTOS[[ID]:[Precio]],4,0)*(1-0.46),0)</f>
        <v>0</v>
      </c>
      <c r="Y78" s="425" t="str">
        <f t="shared" si="9"/>
        <v/>
      </c>
      <c r="Z78" s="1205">
        <f t="shared" si="14"/>
        <v>0</v>
      </c>
      <c r="AA78" s="1177"/>
      <c r="AB78" s="1287"/>
      <c r="AC78" s="1290"/>
      <c r="AD78" s="38">
        <f t="shared" si="15"/>
        <v>0</v>
      </c>
      <c r="AF78" s="38">
        <v>17</v>
      </c>
      <c r="AG78" s="1290">
        <v>500</v>
      </c>
      <c r="AH78" s="38" t="s">
        <v>6611</v>
      </c>
    </row>
    <row r="79" spans="1:34" ht="15" x14ac:dyDescent="0.25">
      <c r="A79" s="1169" t="s">
        <v>6576</v>
      </c>
      <c r="B79" s="1167">
        <v>95</v>
      </c>
      <c r="C79" s="1167"/>
      <c r="D79" s="1169" t="s">
        <v>6795</v>
      </c>
      <c r="E79" s="1199"/>
      <c r="F79" s="1181"/>
      <c r="G79" s="1181"/>
      <c r="H79" s="1182">
        <f t="shared" si="5"/>
        <v>0</v>
      </c>
      <c r="I79" s="1164" t="str">
        <f>+REGATONES[[#This Row],[Producto]]&amp;REGATONES[[#This Row],[Numero]]</f>
        <v>REGATONES95</v>
      </c>
      <c r="K79" s="1296" t="str">
        <f t="shared" si="10"/>
        <v>RECTANGULARES  - 30x40</v>
      </c>
      <c r="L79" s="38" t="str" cm="1">
        <f t="array" aca="1" ref="L79" ca="1">IFERROR(INDIRECT(VLOOKUP(_xlfn.XMATCH(MIN(P79:V79),P79:V79,0),$AD$60:$AE$64,2,0)&amp;71),"")</f>
        <v>O Y R</v>
      </c>
      <c r="M79" s="554">
        <v>53</v>
      </c>
      <c r="N79" s="1177">
        <v>1000</v>
      </c>
      <c r="O79" s="38" t="s">
        <v>11590</v>
      </c>
      <c r="P79" s="1292" t="str">
        <f t="shared" si="11"/>
        <v/>
      </c>
      <c r="Q79" s="1293" t="str">
        <f t="shared" si="12"/>
        <v/>
      </c>
      <c r="R79" s="1204"/>
      <c r="S79" s="1293">
        <f t="shared" si="7"/>
        <v>83200</v>
      </c>
      <c r="T79" s="1204"/>
      <c r="U79" s="1292" t="str">
        <f t="shared" si="13"/>
        <v/>
      </c>
      <c r="V79" s="1203" t="str">
        <f t="shared" si="8"/>
        <v/>
      </c>
      <c r="X79" s="877">
        <f>IFERROR(VLOOKUP("REGATONES"&amp;M79,CODIGOS_Y_COSTOS[[ID]:[Precio]],4,0)*(1-0.46),0)</f>
        <v>155.92500000000001</v>
      </c>
      <c r="Y79" s="425">
        <f t="shared" si="9"/>
        <v>83.2</v>
      </c>
      <c r="Z79" s="1205">
        <f t="shared" si="14"/>
        <v>0.87409855769230771</v>
      </c>
      <c r="AA79" s="1177"/>
      <c r="AB79" s="1287"/>
      <c r="AC79" s="1290"/>
      <c r="AD79" s="38">
        <f t="shared" si="15"/>
        <v>0</v>
      </c>
      <c r="AF79" s="38">
        <v>51</v>
      </c>
      <c r="AG79" s="1290">
        <v>1000</v>
      </c>
      <c r="AH79" s="38" t="s">
        <v>6701</v>
      </c>
    </row>
    <row r="80" spans="1:34" x14ac:dyDescent="0.2">
      <c r="A80" s="1169" t="s">
        <v>6576</v>
      </c>
      <c r="B80" s="1167">
        <v>100</v>
      </c>
      <c r="C80" s="1167"/>
      <c r="D80" s="1169" t="s">
        <v>6797</v>
      </c>
      <c r="E80" s="1199"/>
      <c r="F80" s="1181"/>
      <c r="G80" s="1181"/>
      <c r="H80" s="1182">
        <f t="shared" si="5"/>
        <v>0</v>
      </c>
      <c r="I80" s="1164" t="str">
        <f>+REGATONES[[#This Row],[Producto]]&amp;REGATONES[[#This Row],[Numero]]</f>
        <v>REGATONES100</v>
      </c>
      <c r="K80" s="1296">
        <f t="shared" si="10"/>
        <v>0</v>
      </c>
      <c r="L80" s="38" t="str" cm="1">
        <f t="array" aca="1" ref="L80" ca="1">IFERROR(INDIRECT(VLOOKUP(_xlfn.XMATCH(MIN(P80:V80),P80:V80,0),$AD$60:$AE$64,2,0)&amp;71),"")</f>
        <v/>
      </c>
      <c r="N80" s="1177"/>
      <c r="P80" s="1292" t="str">
        <f t="shared" si="11"/>
        <v/>
      </c>
      <c r="Q80" s="1293" t="str">
        <f t="shared" si="12"/>
        <v/>
      </c>
      <c r="R80" s="1204"/>
      <c r="S80" s="1293" t="str">
        <f t="shared" si="7"/>
        <v/>
      </c>
      <c r="T80" s="1204"/>
      <c r="U80" s="1292" t="str">
        <f t="shared" si="13"/>
        <v/>
      </c>
      <c r="V80" s="1203" t="str">
        <f t="shared" si="8"/>
        <v/>
      </c>
      <c r="X80" s="877">
        <f>IFERROR(VLOOKUP("REGATONES"&amp;M80,CODIGOS_Y_COSTOS[[ID]:[Precio]],4,0)*(1-0.46),0)</f>
        <v>0</v>
      </c>
      <c r="Y80" s="425" t="str">
        <f t="shared" si="9"/>
        <v/>
      </c>
      <c r="Z80" s="1205">
        <f t="shared" si="14"/>
        <v>0</v>
      </c>
      <c r="AA80" s="1177"/>
      <c r="AB80" s="1287"/>
      <c r="AC80" s="1290"/>
      <c r="AD80" s="38">
        <f t="shared" si="15"/>
        <v>0</v>
      </c>
      <c r="AF80" s="38">
        <v>52</v>
      </c>
      <c r="AG80" s="1290">
        <v>500</v>
      </c>
      <c r="AH80" s="38" t="s">
        <v>6704</v>
      </c>
    </row>
    <row r="81" spans="1:34" x14ac:dyDescent="0.2">
      <c r="A81" s="1169" t="s">
        <v>6576</v>
      </c>
      <c r="B81" s="1167">
        <v>101</v>
      </c>
      <c r="C81" s="1167"/>
      <c r="D81" s="1169" t="s">
        <v>6799</v>
      </c>
      <c r="E81" s="1199"/>
      <c r="F81" s="1181"/>
      <c r="G81" s="1181"/>
      <c r="H81" s="1182">
        <f t="shared" si="5"/>
        <v>0</v>
      </c>
      <c r="I81" s="1164" t="str">
        <f>+REGATONES[[#This Row],[Producto]]&amp;REGATONES[[#This Row],[Numero]]</f>
        <v>REGATONES101</v>
      </c>
      <c r="K81" s="1296">
        <f t="shared" si="10"/>
        <v>0</v>
      </c>
      <c r="L81" s="38" t="str" cm="1">
        <f t="array" aca="1" ref="L81" ca="1">IFERROR(INDIRECT(VLOOKUP(_xlfn.XMATCH(MIN(P81:V81),P81:V81,0),$AD$60:$AE$64,2,0)&amp;71),"")</f>
        <v/>
      </c>
      <c r="N81" s="1177"/>
      <c r="P81" s="1292" t="str">
        <f t="shared" si="11"/>
        <v/>
      </c>
      <c r="Q81" s="1293" t="str">
        <f t="shared" si="12"/>
        <v/>
      </c>
      <c r="R81" s="1204"/>
      <c r="S81" s="1293" t="str">
        <f t="shared" si="7"/>
        <v/>
      </c>
      <c r="T81" s="1204"/>
      <c r="U81" s="1292" t="str">
        <f t="shared" si="13"/>
        <v/>
      </c>
      <c r="V81" s="1203" t="str">
        <f t="shared" si="8"/>
        <v/>
      </c>
      <c r="X81" s="877">
        <f>IFERROR(VLOOKUP("REGATONES"&amp;M81,CODIGOS_Y_COSTOS[[ID]:[Precio]],4,0)*(1-0.46),0)</f>
        <v>0</v>
      </c>
      <c r="Y81" s="425" t="str">
        <f t="shared" si="9"/>
        <v/>
      </c>
      <c r="Z81" s="1205">
        <f t="shared" si="14"/>
        <v>0</v>
      </c>
      <c r="AA81" s="1177"/>
      <c r="AB81" s="1287"/>
      <c r="AC81" s="1290"/>
      <c r="AD81" s="38">
        <f t="shared" si="15"/>
        <v>0</v>
      </c>
      <c r="AF81" s="38">
        <v>54</v>
      </c>
      <c r="AG81" s="1290">
        <v>1000</v>
      </c>
      <c r="AH81" s="38" t="s">
        <v>6710</v>
      </c>
    </row>
    <row r="82" spans="1:34" x14ac:dyDescent="0.2">
      <c r="A82" s="1169" t="s">
        <v>6576</v>
      </c>
      <c r="B82" s="1167">
        <v>102</v>
      </c>
      <c r="C82" s="1167"/>
      <c r="D82" s="1169" t="s">
        <v>6801</v>
      </c>
      <c r="E82" s="1199"/>
      <c r="F82" s="1181"/>
      <c r="G82" s="1181"/>
      <c r="H82" s="1182">
        <f t="shared" si="5"/>
        <v>0</v>
      </c>
      <c r="I82" s="1164" t="str">
        <f>+REGATONES[[#This Row],[Producto]]&amp;REGATONES[[#This Row],[Numero]]</f>
        <v>REGATONES102</v>
      </c>
      <c r="K82" s="1296">
        <f t="shared" si="10"/>
        <v>0</v>
      </c>
      <c r="L82" s="38" t="str" cm="1">
        <f t="array" aca="1" ref="L82" ca="1">IFERROR(INDIRECT(VLOOKUP(_xlfn.XMATCH(MIN(P82:V82),P82:V82,0),$AD$60:$AE$64,2,0)&amp;71),"")</f>
        <v/>
      </c>
      <c r="N82" s="1177"/>
      <c r="P82" s="1292" t="str">
        <f t="shared" si="11"/>
        <v/>
      </c>
      <c r="Q82" s="1293" t="str">
        <f t="shared" si="12"/>
        <v/>
      </c>
      <c r="R82" s="1204"/>
      <c r="S82" s="1293" t="str">
        <f t="shared" si="7"/>
        <v/>
      </c>
      <c r="T82" s="1204"/>
      <c r="U82" s="1292" t="str">
        <f t="shared" si="13"/>
        <v/>
      </c>
      <c r="V82" s="1203" t="str">
        <f t="shared" si="8"/>
        <v/>
      </c>
      <c r="X82" s="877">
        <f>IFERROR(VLOOKUP("REGATONES"&amp;M82,CODIGOS_Y_COSTOS[[ID]:[Precio]],4,0)*(1-0.46),0)</f>
        <v>0</v>
      </c>
      <c r="Y82" s="425" t="str">
        <f t="shared" si="9"/>
        <v/>
      </c>
      <c r="Z82" s="1205">
        <f t="shared" si="14"/>
        <v>0</v>
      </c>
      <c r="AA82" s="1177"/>
      <c r="AB82" s="1287"/>
      <c r="AC82" s="1290"/>
      <c r="AD82" s="38">
        <f t="shared" si="15"/>
        <v>0</v>
      </c>
      <c r="AF82" s="38">
        <v>60</v>
      </c>
      <c r="AG82" s="1290">
        <v>30</v>
      </c>
      <c r="AH82" s="38" t="s">
        <v>6713</v>
      </c>
    </row>
    <row r="83" spans="1:34" x14ac:dyDescent="0.2">
      <c r="A83" s="1169" t="s">
        <v>6576</v>
      </c>
      <c r="B83" s="1167">
        <v>103</v>
      </c>
      <c r="C83" s="1167"/>
      <c r="D83" s="1169" t="s">
        <v>6803</v>
      </c>
      <c r="E83" s="1199"/>
      <c r="F83" s="1181"/>
      <c r="G83" s="1181"/>
      <c r="H83" s="1182">
        <f t="shared" si="5"/>
        <v>0</v>
      </c>
      <c r="I83" s="1164" t="str">
        <f>+REGATONES[[#This Row],[Producto]]&amp;REGATONES[[#This Row],[Numero]]</f>
        <v>REGATONES103</v>
      </c>
      <c r="K83" s="1296">
        <f t="shared" si="10"/>
        <v>0</v>
      </c>
      <c r="L83" s="38" t="str" cm="1">
        <f t="array" aca="1" ref="L83" ca="1">IFERROR(INDIRECT(VLOOKUP(_xlfn.XMATCH(MIN(P83:V83),P83:V83,0),$AD$60:$AE$64,2,0)&amp;71),"")</f>
        <v/>
      </c>
      <c r="N83" s="1177"/>
      <c r="P83" s="1292" t="str">
        <f t="shared" si="11"/>
        <v/>
      </c>
      <c r="Q83" s="1293" t="str">
        <f t="shared" si="12"/>
        <v/>
      </c>
      <c r="R83" s="1204"/>
      <c r="S83" s="1293" t="str">
        <f t="shared" si="7"/>
        <v/>
      </c>
      <c r="T83" s="1204"/>
      <c r="U83" s="1292" t="str">
        <f t="shared" si="13"/>
        <v/>
      </c>
      <c r="V83" s="1203" t="str">
        <f t="shared" si="8"/>
        <v/>
      </c>
      <c r="X83" s="877">
        <f>IFERROR(VLOOKUP("REGATONES"&amp;M83,CODIGOS_Y_COSTOS[[ID]:[Precio]],4,0)*(1-0.46),0)</f>
        <v>0</v>
      </c>
      <c r="Y83" s="425" t="str">
        <f t="shared" si="9"/>
        <v/>
      </c>
      <c r="Z83" s="1205">
        <f t="shared" si="14"/>
        <v>0</v>
      </c>
      <c r="AA83" s="1177"/>
      <c r="AB83" s="1287"/>
      <c r="AC83" s="1290"/>
      <c r="AD83" s="38">
        <f t="shared" si="15"/>
        <v>0</v>
      </c>
      <c r="AF83" s="38">
        <v>61</v>
      </c>
      <c r="AG83" s="1290">
        <v>30</v>
      </c>
      <c r="AH83" s="38" t="s">
        <v>6716</v>
      </c>
    </row>
    <row r="84" spans="1:34" ht="15" x14ac:dyDescent="0.25">
      <c r="A84" s="1169" t="s">
        <v>6576</v>
      </c>
      <c r="B84" s="1167">
        <v>104</v>
      </c>
      <c r="C84" s="1167"/>
      <c r="D84" s="1169" t="s">
        <v>6805</v>
      </c>
      <c r="E84" s="1199"/>
      <c r="F84" s="1181"/>
      <c r="G84" s="1181"/>
      <c r="H84" s="1182">
        <f t="shared" si="5"/>
        <v>0</v>
      </c>
      <c r="I84" s="1164" t="str">
        <f>+REGATONES[[#This Row],[Producto]]&amp;REGATONES[[#This Row],[Numero]]</f>
        <v>REGATONES104</v>
      </c>
      <c r="K84" s="1296">
        <f t="shared" si="10"/>
        <v>0</v>
      </c>
      <c r="L84" s="38" t="str" cm="1">
        <f t="array" aca="1" ref="L84" ca="1">IFERROR(INDIRECT(VLOOKUP(_xlfn.XMATCH(MIN(P84:V84),P84:V84,0),$AD$60:$AE$64,2,0)&amp;71),"")</f>
        <v/>
      </c>
      <c r="N84" s="1177"/>
      <c r="P84" s="1292" t="str">
        <f t="shared" si="11"/>
        <v/>
      </c>
      <c r="Q84" s="1293" t="str">
        <f t="shared" si="12"/>
        <v/>
      </c>
      <c r="R84" s="1204"/>
      <c r="S84" s="1293" t="str">
        <f t="shared" si="7"/>
        <v/>
      </c>
      <c r="T84" s="1204"/>
      <c r="U84" s="1292" t="str">
        <f t="shared" si="13"/>
        <v/>
      </c>
      <c r="V84" s="1203" t="str">
        <f t="shared" si="8"/>
        <v/>
      </c>
      <c r="X84" s="877">
        <f>IFERROR(VLOOKUP("REGATONES"&amp;M84,CODIGOS_Y_COSTOS[[ID]:[Precio]],4,0)*(1-0.46),0)</f>
        <v>0</v>
      </c>
      <c r="Y84" s="425" t="str">
        <f t="shared" si="9"/>
        <v/>
      </c>
      <c r="Z84" s="1205">
        <f t="shared" si="14"/>
        <v>0</v>
      </c>
      <c r="AA84" s="1177"/>
      <c r="AB84" s="1287"/>
      <c r="AC84" s="1290"/>
      <c r="AD84" s="38">
        <f t="shared" si="15"/>
        <v>0</v>
      </c>
      <c r="AF84" s="38">
        <v>66</v>
      </c>
      <c r="AG84" s="1289">
        <v>500</v>
      </c>
      <c r="AH84" s="38" t="s">
        <v>6728</v>
      </c>
    </row>
    <row r="85" spans="1:34" x14ac:dyDescent="0.2">
      <c r="A85" s="1169" t="s">
        <v>6576</v>
      </c>
      <c r="B85" s="1167">
        <v>108</v>
      </c>
      <c r="C85" s="1167"/>
      <c r="D85" s="1169" t="s">
        <v>6807</v>
      </c>
      <c r="E85" s="1199"/>
      <c r="F85" s="1181"/>
      <c r="G85" s="1181"/>
      <c r="H85" s="1182">
        <f t="shared" si="5"/>
        <v>0</v>
      </c>
      <c r="I85" s="1164" t="str">
        <f>+REGATONES[[#This Row],[Producto]]&amp;REGATONES[[#This Row],[Numero]]</f>
        <v>REGATONES108</v>
      </c>
      <c r="K85" s="1296">
        <f t="shared" si="10"/>
        <v>0</v>
      </c>
      <c r="L85" s="38" t="str" cm="1">
        <f t="array" aca="1" ref="L85" ca="1">IFERROR(INDIRECT(VLOOKUP(_xlfn.XMATCH(MIN(P85:V85),P85:V85,0),$AD$60:$AE$64,2,0)&amp;71),"")</f>
        <v/>
      </c>
      <c r="N85" s="1177"/>
      <c r="P85" s="1292" t="str">
        <f t="shared" si="11"/>
        <v/>
      </c>
      <c r="Q85" s="1293" t="str">
        <f t="shared" si="12"/>
        <v/>
      </c>
      <c r="R85" s="1204"/>
      <c r="S85" s="1293" t="str">
        <f t="shared" si="7"/>
        <v/>
      </c>
      <c r="T85" s="1204"/>
      <c r="U85" s="1292" t="str">
        <f t="shared" si="13"/>
        <v/>
      </c>
      <c r="V85" s="1203" t="str">
        <f t="shared" si="8"/>
        <v/>
      </c>
      <c r="X85" s="877">
        <f>IFERROR(VLOOKUP("REGATONES"&amp;M85,CODIGOS_Y_COSTOS[[ID]:[Precio]],4,0)*(1-0.46),0)</f>
        <v>0</v>
      </c>
      <c r="Y85" s="425" t="str">
        <f t="shared" si="9"/>
        <v/>
      </c>
      <c r="Z85" s="1205">
        <f t="shared" si="14"/>
        <v>0</v>
      </c>
      <c r="AA85" s="1177"/>
      <c r="AB85" s="1287"/>
      <c r="AC85" s="1290"/>
      <c r="AD85" s="38">
        <f t="shared" si="15"/>
        <v>0</v>
      </c>
      <c r="AF85" s="38">
        <v>76</v>
      </c>
      <c r="AG85" s="1290">
        <v>500</v>
      </c>
      <c r="AH85" s="38" t="s">
        <v>6743</v>
      </c>
    </row>
    <row r="86" spans="1:34" x14ac:dyDescent="0.2">
      <c r="A86" s="1169" t="s">
        <v>6576</v>
      </c>
      <c r="B86" s="1167">
        <v>109</v>
      </c>
      <c r="C86" s="1167"/>
      <c r="D86" s="1169" t="s">
        <v>6809</v>
      </c>
      <c r="E86" s="1199"/>
      <c r="F86" s="1181"/>
      <c r="G86" s="1181"/>
      <c r="H86" s="1182">
        <f t="shared" si="5"/>
        <v>0</v>
      </c>
      <c r="I86" s="1164" t="str">
        <f>+REGATONES[[#This Row],[Producto]]&amp;REGATONES[[#This Row],[Numero]]</f>
        <v>REGATONES109</v>
      </c>
      <c r="K86" s="1296">
        <f t="shared" si="10"/>
        <v>0</v>
      </c>
      <c r="L86" s="38" t="str" cm="1">
        <f t="array" aca="1" ref="L86" ca="1">IFERROR(INDIRECT(VLOOKUP(_xlfn.XMATCH(MIN(P86:V86),P86:V86,0),$AD$60:$AE$64,2,0)&amp;71),"")</f>
        <v/>
      </c>
      <c r="N86" s="1177"/>
      <c r="P86" s="1292" t="str">
        <f t="shared" si="11"/>
        <v/>
      </c>
      <c r="Q86" s="1293" t="str">
        <f t="shared" si="12"/>
        <v/>
      </c>
      <c r="R86" s="1204"/>
      <c r="S86" s="1293" t="str">
        <f t="shared" si="7"/>
        <v/>
      </c>
      <c r="T86" s="1204"/>
      <c r="U86" s="1292" t="str">
        <f t="shared" si="13"/>
        <v/>
      </c>
      <c r="V86" s="1203" t="str">
        <f t="shared" si="8"/>
        <v/>
      </c>
      <c r="X86" s="877">
        <f>IFERROR(VLOOKUP("REGATONES"&amp;M86,CODIGOS_Y_COSTOS[[ID]:[Precio]],4,0)*(1-0.46),0)</f>
        <v>0</v>
      </c>
      <c r="Y86" s="425" t="str">
        <f t="shared" si="9"/>
        <v/>
      </c>
      <c r="Z86" s="1205">
        <f t="shared" si="14"/>
        <v>0</v>
      </c>
      <c r="AA86" s="1177"/>
      <c r="AB86" s="1287"/>
      <c r="AC86" s="1290"/>
      <c r="AD86" s="38">
        <f t="shared" si="15"/>
        <v>0</v>
      </c>
      <c r="AF86" s="1291">
        <v>122</v>
      </c>
      <c r="AG86" s="1288">
        <v>500</v>
      </c>
      <c r="AH86" s="1291" t="s">
        <v>8808</v>
      </c>
    </row>
    <row r="87" spans="1:34" x14ac:dyDescent="0.2">
      <c r="A87" s="1169" t="s">
        <v>6576</v>
      </c>
      <c r="B87" s="1167">
        <v>110</v>
      </c>
      <c r="C87" s="1167"/>
      <c r="D87" s="1169" t="s">
        <v>6811</v>
      </c>
      <c r="E87" s="1199"/>
      <c r="F87" s="1181"/>
      <c r="G87" s="1181"/>
      <c r="H87" s="1182">
        <f t="shared" si="5"/>
        <v>0</v>
      </c>
      <c r="I87" s="1164" t="str">
        <f>+REGATONES[[#This Row],[Producto]]&amp;REGATONES[[#This Row],[Numero]]</f>
        <v>REGATONES110</v>
      </c>
      <c r="K87" s="1296">
        <f t="shared" si="10"/>
        <v>0</v>
      </c>
      <c r="L87" s="38" t="str" cm="1">
        <f t="array" aca="1" ref="L87" ca="1">IFERROR(INDIRECT(VLOOKUP(_xlfn.XMATCH(MIN(P87:V87),P87:V87,0),$AD$60:$AE$64,2,0)&amp;71),"")</f>
        <v/>
      </c>
      <c r="N87" s="1177"/>
      <c r="P87" s="1292" t="str">
        <f t="shared" si="11"/>
        <v/>
      </c>
      <c r="Q87" s="1293" t="str">
        <f t="shared" si="12"/>
        <v/>
      </c>
      <c r="R87" s="1204"/>
      <c r="S87" s="1293" t="str">
        <f t="shared" si="7"/>
        <v/>
      </c>
      <c r="T87" s="1204"/>
      <c r="U87" s="1292" t="str">
        <f t="shared" si="13"/>
        <v/>
      </c>
      <c r="V87" s="1203" t="str">
        <f t="shared" si="8"/>
        <v/>
      </c>
      <c r="X87" s="877">
        <f>IFERROR(VLOOKUP("REGATONES"&amp;M87,CODIGOS_Y_COSTOS[[ID]:[Precio]],4,0)*(1-0.46),0)</f>
        <v>0</v>
      </c>
      <c r="Y87" s="425" t="str">
        <f t="shared" si="9"/>
        <v/>
      </c>
      <c r="Z87" s="1205">
        <f t="shared" si="14"/>
        <v>0</v>
      </c>
      <c r="AA87" s="1177"/>
      <c r="AB87" s="1287"/>
      <c r="AC87" s="1290"/>
      <c r="AD87" s="38">
        <f t="shared" si="15"/>
        <v>0</v>
      </c>
      <c r="AF87" s="1291">
        <v>125</v>
      </c>
      <c r="AG87" s="1288">
        <v>300</v>
      </c>
      <c r="AH87" s="1291" t="s">
        <v>8812</v>
      </c>
    </row>
    <row r="88" spans="1:34" x14ac:dyDescent="0.2">
      <c r="A88" s="1169" t="s">
        <v>6576</v>
      </c>
      <c r="B88" s="1167">
        <v>111</v>
      </c>
      <c r="C88" s="1167"/>
      <c r="D88" s="1169" t="s">
        <v>6813</v>
      </c>
      <c r="E88" s="1199"/>
      <c r="F88" s="1181"/>
      <c r="G88" s="1181"/>
      <c r="H88" s="1182">
        <f t="shared" si="5"/>
        <v>0</v>
      </c>
      <c r="I88" s="1164" t="str">
        <f>+REGATONES[[#This Row],[Producto]]&amp;REGATONES[[#This Row],[Numero]]</f>
        <v>REGATONES111</v>
      </c>
      <c r="K88" s="1296">
        <f t="shared" si="10"/>
        <v>0</v>
      </c>
      <c r="L88" s="38" t="str" cm="1">
        <f t="array" aca="1" ref="L88" ca="1">IFERROR(INDIRECT(VLOOKUP(_xlfn.XMATCH(MIN(P88:V88),P88:V88,0),$AD$60:$AE$64,2,0)&amp;71),"")</f>
        <v/>
      </c>
      <c r="N88" s="1177"/>
      <c r="P88" s="1292" t="str">
        <f t="shared" si="11"/>
        <v/>
      </c>
      <c r="Q88" s="1293" t="str">
        <f t="shared" si="12"/>
        <v/>
      </c>
      <c r="R88" s="1204"/>
      <c r="S88" s="1293" t="str">
        <f t="shared" si="7"/>
        <v/>
      </c>
      <c r="T88" s="1204"/>
      <c r="U88" s="1292" t="str">
        <f t="shared" si="13"/>
        <v/>
      </c>
      <c r="V88" s="1203" t="str">
        <f t="shared" si="8"/>
        <v/>
      </c>
      <c r="X88" s="877">
        <f>IFERROR(VLOOKUP("REGATONES"&amp;M88,CODIGOS_Y_COSTOS[[ID]:[Precio]],4,0)*(1-0.46),0)</f>
        <v>0</v>
      </c>
      <c r="Y88" s="425" t="str">
        <f t="shared" si="9"/>
        <v/>
      </c>
      <c r="Z88" s="1205">
        <f t="shared" si="14"/>
        <v>0</v>
      </c>
      <c r="AA88" s="1177"/>
      <c r="AB88" s="1287"/>
      <c r="AC88" s="1290"/>
    </row>
    <row r="89" spans="1:34" x14ac:dyDescent="0.2">
      <c r="A89" s="1169" t="s">
        <v>6576</v>
      </c>
      <c r="B89" s="1167">
        <v>112</v>
      </c>
      <c r="C89" s="1167"/>
      <c r="D89" s="1169" t="s">
        <v>6815</v>
      </c>
      <c r="E89" s="1199"/>
      <c r="F89" s="1162"/>
      <c r="G89" s="1181"/>
      <c r="H89" s="1163">
        <f t="shared" si="5"/>
        <v>0</v>
      </c>
      <c r="I89" s="1164" t="str">
        <f>+REGATONES[[#This Row],[Producto]]&amp;REGATONES[[#This Row],[Numero]]</f>
        <v>REGATONES112</v>
      </c>
      <c r="K89" s="1296">
        <f t="shared" si="10"/>
        <v>0</v>
      </c>
      <c r="L89" s="38" t="str" cm="1">
        <f t="array" aca="1" ref="L89" ca="1">IFERROR(INDIRECT(VLOOKUP(_xlfn.XMATCH(MIN(P89:V89),P89:V89,0),$AD$60:$AE$64,2,0)&amp;71),"")</f>
        <v/>
      </c>
      <c r="N89" s="1177"/>
      <c r="P89" s="1292" t="str">
        <f t="shared" si="11"/>
        <v/>
      </c>
      <c r="Q89" s="1293" t="str">
        <f t="shared" si="12"/>
        <v/>
      </c>
      <c r="R89" s="1204"/>
      <c r="S89" s="1293" t="str">
        <f t="shared" si="7"/>
        <v/>
      </c>
      <c r="T89" s="1204"/>
      <c r="U89" s="1292" t="str">
        <f t="shared" si="13"/>
        <v/>
      </c>
      <c r="V89" s="1203" t="str">
        <f t="shared" si="8"/>
        <v/>
      </c>
      <c r="X89" s="877">
        <f>IFERROR(VLOOKUP("REGATONES"&amp;M89,CODIGOS_Y_COSTOS[[ID]:[Precio]],4,0)*(1-0.46),0)</f>
        <v>0</v>
      </c>
      <c r="Y89" s="425" t="str">
        <f t="shared" si="9"/>
        <v/>
      </c>
      <c r="Z89" s="1205">
        <f t="shared" si="14"/>
        <v>0</v>
      </c>
      <c r="AA89" s="1177"/>
      <c r="AB89" s="1287"/>
      <c r="AC89" s="1290"/>
    </row>
    <row r="90" spans="1:34" x14ac:dyDescent="0.2">
      <c r="A90" s="1169"/>
      <c r="B90" s="1167"/>
      <c r="C90" s="1167"/>
      <c r="D90" s="1169"/>
      <c r="E90" s="1180"/>
      <c r="I90" s="1164"/>
      <c r="K90" s="1296">
        <f t="shared" si="10"/>
        <v>0</v>
      </c>
      <c r="L90" s="38" t="str" cm="1">
        <f t="array" aca="1" ref="L90" ca="1">IFERROR(INDIRECT(VLOOKUP(_xlfn.XMATCH(MIN(P90:V90),P90:V90,0),$AD$60:$AE$64,2,0)&amp;71),"")</f>
        <v/>
      </c>
      <c r="N90" s="1177"/>
      <c r="P90" s="1292" t="str">
        <f t="shared" si="11"/>
        <v/>
      </c>
      <c r="Q90" s="1293" t="str">
        <f t="shared" si="12"/>
        <v/>
      </c>
      <c r="R90" s="1204"/>
      <c r="S90" s="1293" t="str">
        <f t="shared" si="7"/>
        <v/>
      </c>
      <c r="T90" s="1204"/>
      <c r="U90" s="1292" t="str">
        <f t="shared" si="13"/>
        <v/>
      </c>
      <c r="V90" s="1203" t="str">
        <f t="shared" si="8"/>
        <v/>
      </c>
      <c r="X90" s="877">
        <f>IFERROR(VLOOKUP("REGATONES"&amp;M90,CODIGOS_Y_COSTOS[[ID]:[Precio]],4,0)*(1-0.46),0)</f>
        <v>0</v>
      </c>
      <c r="Y90" s="425" t="str">
        <f t="shared" si="9"/>
        <v/>
      </c>
      <c r="Z90" s="1205">
        <f t="shared" si="14"/>
        <v>0</v>
      </c>
      <c r="AA90" s="1177"/>
      <c r="AB90" s="1287"/>
      <c r="AC90" s="1290"/>
    </row>
    <row r="91" spans="1:34" x14ac:dyDescent="0.2">
      <c r="A91" s="1169"/>
      <c r="B91" s="1167"/>
      <c r="C91" s="1167"/>
      <c r="D91" s="1169"/>
      <c r="E91" s="1180"/>
      <c r="I91" s="1164"/>
      <c r="K91" s="1296">
        <f t="shared" si="10"/>
        <v>0</v>
      </c>
      <c r="L91" s="38" t="str" cm="1">
        <f t="array" aca="1" ref="L91" ca="1">IFERROR(INDIRECT(VLOOKUP(_xlfn.XMATCH(MIN(P91:V91),P91:V91,0),$AD$60:$AE$64,2,0)&amp;71),"")</f>
        <v/>
      </c>
      <c r="N91" s="1177"/>
      <c r="P91" s="1292" t="str">
        <f t="shared" si="11"/>
        <v/>
      </c>
      <c r="Q91" s="1293" t="str">
        <f t="shared" si="12"/>
        <v/>
      </c>
      <c r="R91" s="1204"/>
      <c r="S91" s="1293" t="str">
        <f t="shared" si="7"/>
        <v/>
      </c>
      <c r="T91" s="1204"/>
      <c r="U91" s="1292" t="str">
        <f t="shared" si="13"/>
        <v/>
      </c>
      <c r="V91" s="1203" t="str">
        <f t="shared" si="8"/>
        <v/>
      </c>
      <c r="X91" s="877">
        <f>IFERROR(VLOOKUP("REGATONES"&amp;M91,CODIGOS_Y_COSTOS[[ID]:[Precio]],4,0)*(1-0.46),0)</f>
        <v>0</v>
      </c>
      <c r="Y91" s="425" t="str">
        <f t="shared" si="9"/>
        <v/>
      </c>
      <c r="Z91" s="1205">
        <f t="shared" si="14"/>
        <v>0</v>
      </c>
      <c r="AA91" s="1177"/>
      <c r="AB91" s="1287"/>
      <c r="AC91" s="1290"/>
    </row>
    <row r="92" spans="1:34" ht="15" x14ac:dyDescent="0.25">
      <c r="A92" s="1169"/>
      <c r="B92" s="1167"/>
      <c r="C92" s="1167"/>
      <c r="D92" s="1169"/>
      <c r="E92" s="1180"/>
      <c r="I92" s="1164"/>
      <c r="K92" s="1296">
        <f t="shared" si="10"/>
        <v>0</v>
      </c>
      <c r="L92" s="38" t="str" cm="1">
        <f t="array" aca="1" ref="L92" ca="1">IFERROR(INDIRECT(VLOOKUP(_xlfn.XMATCH(MIN(P92:V92),P92:V92,0),$AD$60:$AE$64,2,0)&amp;71),"")</f>
        <v/>
      </c>
      <c r="N92" s="554"/>
      <c r="O92" s="479"/>
      <c r="P92" s="1292" t="str">
        <f t="shared" si="11"/>
        <v/>
      </c>
      <c r="Q92" s="1293" t="str">
        <f t="shared" si="12"/>
        <v/>
      </c>
      <c r="R92" s="1204"/>
      <c r="S92" s="1293" t="str">
        <f t="shared" si="7"/>
        <v/>
      </c>
      <c r="T92" s="1204"/>
      <c r="U92" s="1292" t="str">
        <f t="shared" si="13"/>
        <v/>
      </c>
      <c r="V92" s="1203" t="str">
        <f t="shared" si="8"/>
        <v/>
      </c>
      <c r="X92" s="877">
        <f>IFERROR(VLOOKUP("REGATONES"&amp;M92,CODIGOS_Y_COSTOS[[ID]:[Precio]],4,0)*(1-0.46),0)</f>
        <v>0</v>
      </c>
      <c r="Y92" s="425" t="str">
        <f t="shared" si="9"/>
        <v/>
      </c>
      <c r="Z92" s="1205">
        <f t="shared" si="14"/>
        <v>0</v>
      </c>
      <c r="AA92" s="1177"/>
      <c r="AB92" s="1287"/>
      <c r="AC92" s="1290"/>
    </row>
    <row r="93" spans="1:34" ht="15" x14ac:dyDescent="0.25">
      <c r="A93" s="1169"/>
      <c r="B93" s="1167"/>
      <c r="C93" s="1167"/>
      <c r="D93" s="1169"/>
      <c r="E93" s="1180"/>
      <c r="I93" s="1164"/>
      <c r="K93" s="1296">
        <f t="shared" si="10"/>
        <v>0</v>
      </c>
      <c r="L93" s="38" t="str" cm="1">
        <f t="array" aca="1" ref="L93" ca="1">IFERROR(INDIRECT(VLOOKUP(_xlfn.XMATCH(MIN(P93:V93),P93:V93,0),$AD$60:$AE$64,2,0)&amp;71),"")</f>
        <v/>
      </c>
      <c r="M93" s="554"/>
      <c r="N93" s="554"/>
      <c r="O93" s="479"/>
      <c r="P93" s="1276" t="str">
        <f t="shared" si="11"/>
        <v/>
      </c>
      <c r="Q93" s="1204" t="str">
        <f t="shared" si="12"/>
        <v/>
      </c>
      <c r="R93" s="1204"/>
      <c r="S93" s="1204" t="str">
        <f t="shared" si="7"/>
        <v/>
      </c>
      <c r="T93" s="1204"/>
      <c r="U93" s="1203" t="str">
        <f t="shared" si="13"/>
        <v/>
      </c>
      <c r="V93" s="1203" t="str">
        <f t="shared" si="8"/>
        <v/>
      </c>
      <c r="X93" s="877">
        <f>IFERROR(VLOOKUP("REGATONES"&amp;M93,CODIGOS_Y_COSTOS[[ID]:[Precio]],4,0)*(1-0.46),0)</f>
        <v>0</v>
      </c>
      <c r="Y93" s="425" t="str">
        <f t="shared" si="9"/>
        <v/>
      </c>
      <c r="Z93" s="1205">
        <f t="shared" si="14"/>
        <v>0</v>
      </c>
      <c r="AA93" s="1177"/>
      <c r="AB93" s="1287"/>
      <c r="AC93" s="1290"/>
    </row>
    <row r="94" spans="1:34" ht="15" thickBot="1" x14ac:dyDescent="0.25">
      <c r="A94" s="1169"/>
      <c r="B94" s="1167"/>
      <c r="C94" s="1167"/>
      <c r="D94" s="1169"/>
      <c r="E94" s="1180"/>
      <c r="I94" s="1164"/>
    </row>
    <row r="95" spans="1:34" ht="15.75" thickBot="1" x14ac:dyDescent="0.3">
      <c r="A95" s="1169"/>
      <c r="B95" s="1167"/>
      <c r="C95" s="1167"/>
      <c r="D95" s="1169"/>
      <c r="E95" s="1180"/>
      <c r="I95" s="1164"/>
      <c r="M95" s="1508" t="s">
        <v>11684</v>
      </c>
      <c r="N95" s="1509"/>
      <c r="O95" s="1510"/>
      <c r="S95" s="1201" t="s">
        <v>8123</v>
      </c>
      <c r="U95" s="1206">
        <f>+P70</f>
        <v>169500</v>
      </c>
    </row>
    <row r="96" spans="1:34" ht="15.75" thickBot="1" x14ac:dyDescent="0.3">
      <c r="A96" s="1169"/>
      <c r="B96" s="1167"/>
      <c r="C96" s="1167"/>
      <c r="D96" s="1169"/>
      <c r="E96" s="1180"/>
      <c r="I96" s="1164"/>
      <c r="K96" s="554" t="s">
        <v>8189</v>
      </c>
      <c r="M96" s="1298" t="s">
        <v>5</v>
      </c>
      <c r="N96" s="1299" t="s">
        <v>8920</v>
      </c>
      <c r="O96" s="1300" t="s">
        <v>8753</v>
      </c>
      <c r="Q96" s="479" t="s">
        <v>11685</v>
      </c>
      <c r="S96" s="1201" t="s">
        <v>11590</v>
      </c>
      <c r="U96" s="1206">
        <f>+S70</f>
        <v>83200</v>
      </c>
    </row>
    <row r="97" spans="1:25" ht="15" x14ac:dyDescent="0.25">
      <c r="A97" s="1169"/>
      <c r="B97" s="1167"/>
      <c r="C97" s="1167"/>
      <c r="D97" s="1169"/>
      <c r="E97" s="1180"/>
      <c r="I97" s="1164"/>
      <c r="K97" s="38">
        <f>+AA73</f>
        <v>15</v>
      </c>
      <c r="M97" s="1599" cm="1">
        <f t="array" aca="1" ref="M97" ca="1">IFERROR(_xlfn.XLOOKUP(K97,$K$1:$K$65,INDIRECT(VLOOKUP(Q97,$AC$2:$AD$6,2,0)&amp;"1:"&amp;VLOOKUP(Q97,$AC$2:$AD$6,2,0)&amp;"65"),0,0),"")</f>
        <v>49.02</v>
      </c>
      <c r="N97" s="1316" t="str">
        <f t="shared" ref="N97" si="16">+_xlfn.XLOOKUP(K97,$K$2:$K$65,$D$2:$D$65,0,0)</f>
        <v>EXTERIORES LARGOS  - 1"</v>
      </c>
      <c r="O97" s="1177">
        <f t="shared" ref="O97" si="17">IFERROR(VLOOKUP(K97,$M$71:$N$94,2,0),0)</f>
        <v>1000</v>
      </c>
      <c r="Q97" s="1297" t="str">
        <f>+Y70</f>
        <v>CARCCIONE</v>
      </c>
      <c r="S97" s="1201" t="s">
        <v>8120</v>
      </c>
      <c r="U97" s="1206">
        <f>+U70</f>
        <v>0</v>
      </c>
      <c r="W97" s="1207">
        <f t="shared" ref="W97" si="18">+SUM(W72:W95)</f>
        <v>0</v>
      </c>
      <c r="X97" s="554"/>
      <c r="Y97" s="172"/>
    </row>
    <row r="98" spans="1:25" ht="15" x14ac:dyDescent="0.25">
      <c r="A98" s="1169"/>
      <c r="B98" s="1167"/>
      <c r="C98" s="1167"/>
      <c r="D98" s="1169"/>
      <c r="E98" s="1180"/>
      <c r="I98" s="1164"/>
      <c r="K98" s="38">
        <f t="shared" ref="K98:K111" si="19">+AA74</f>
        <v>72</v>
      </c>
      <c r="M98" s="1599" cm="1">
        <f t="array" aca="1" ref="M98" ca="1">IFERROR(_xlfn.XLOOKUP(K98,$K$1:$K$65,INDIRECT(VLOOKUP(Q98,$AC$2:$AD$6,2,0)&amp;"1:"&amp;VLOOKUP(Q98,$AC$2:$AD$6,2,0)&amp;"65"),0,0),"")</f>
        <v>729.6</v>
      </c>
      <c r="N98" s="1316" t="str">
        <f t="shared" ref="N98:N109" si="20">+_xlfn.XLOOKUP(K98,$K$2:$K$65,$D$2:$D$65,0,0)</f>
        <v>PERILLA C/TUERCA - 3/8.</v>
      </c>
      <c r="O98" s="1177">
        <f t="shared" ref="O98:O109" si="21">IFERROR(VLOOKUP(K98,$M$71:$N$94,2,0),0)</f>
        <v>50</v>
      </c>
      <c r="Q98" s="1297" t="str">
        <f>+Q97</f>
        <v>CARCCIONE</v>
      </c>
      <c r="S98" s="1202" t="s">
        <v>8122</v>
      </c>
      <c r="U98" s="1206">
        <f>+V70</f>
        <v>163020</v>
      </c>
    </row>
    <row r="99" spans="1:25" x14ac:dyDescent="0.2">
      <c r="A99" s="1169"/>
      <c r="B99" s="1167"/>
      <c r="C99" s="1167"/>
      <c r="D99" s="1169"/>
      <c r="E99" s="1180"/>
      <c r="I99" s="1164"/>
      <c r="K99" s="38">
        <f t="shared" si="19"/>
        <v>66</v>
      </c>
      <c r="M99" s="1599" cm="1">
        <f t="array" aca="1" ref="M99" ca="1">IFERROR(_xlfn.XLOOKUP(K99,$K$1:$K$65,INDIRECT(VLOOKUP(Q99,$AC$2:$AD$6,2,0)&amp;"1:"&amp;VLOOKUP(Q99,$AC$2:$AD$6,2,0)&amp;"65"),0,0),"")</f>
        <v>775.2</v>
      </c>
      <c r="N99" s="1316" t="str">
        <f t="shared" si="20"/>
        <v>PERILLA C/TORNILLO  - 3/8 .</v>
      </c>
      <c r="O99" s="1177">
        <f t="shared" si="21"/>
        <v>100</v>
      </c>
      <c r="Q99" s="1297" t="str">
        <f t="shared" ref="Q99:Q109" si="22">+Q98</f>
        <v>CARCCIONE</v>
      </c>
    </row>
    <row r="100" spans="1:25" x14ac:dyDescent="0.2">
      <c r="A100" s="1169"/>
      <c r="B100" s="1167"/>
      <c r="C100" s="1167"/>
      <c r="D100" s="1169"/>
      <c r="E100" s="1180"/>
      <c r="I100" s="1164"/>
      <c r="K100" s="38">
        <f t="shared" si="19"/>
        <v>0</v>
      </c>
      <c r="L100" s="1177"/>
      <c r="M100" s="1599" cm="1">
        <f t="array" aca="1" ref="M100" ca="1">IFERROR(_xlfn.XLOOKUP(K100,$K$1:$K$65,INDIRECT(VLOOKUP(Q100,$AC$2:$AD$6,2,0)&amp;"1:"&amp;VLOOKUP(Q100,$AC$2:$AD$6,2,0)&amp;"65"),0,0),"")</f>
        <v>0</v>
      </c>
      <c r="N100" s="1316">
        <f t="shared" si="20"/>
        <v>0</v>
      </c>
      <c r="O100" s="1177">
        <f t="shared" si="21"/>
        <v>0</v>
      </c>
      <c r="Q100" s="1297" t="str">
        <f t="shared" si="22"/>
        <v>CARCCIONE</v>
      </c>
    </row>
    <row r="101" spans="1:25" x14ac:dyDescent="0.2">
      <c r="A101" s="1169"/>
      <c r="B101" s="1167"/>
      <c r="C101" s="1167"/>
      <c r="D101" s="1169"/>
      <c r="E101" s="1180"/>
      <c r="I101" s="1164"/>
      <c r="K101" s="38">
        <f t="shared" si="19"/>
        <v>0</v>
      </c>
      <c r="L101" s="1177"/>
      <c r="M101" s="1599" cm="1">
        <f t="array" aca="1" ref="M101" ca="1">IFERROR(_xlfn.XLOOKUP(K101,$K$1:$K$65,INDIRECT(VLOOKUP(Q101,$AC$2:$AD$6,2,0)&amp;"1:"&amp;VLOOKUP(Q101,$AC$2:$AD$6,2,0)&amp;"65"),0,0),"")</f>
        <v>0</v>
      </c>
      <c r="N101" s="1316">
        <f t="shared" si="20"/>
        <v>0</v>
      </c>
      <c r="O101" s="1177">
        <f t="shared" si="21"/>
        <v>0</v>
      </c>
      <c r="Q101" s="1297" t="str">
        <f t="shared" si="22"/>
        <v>CARCCIONE</v>
      </c>
    </row>
    <row r="102" spans="1:25" x14ac:dyDescent="0.2">
      <c r="A102" s="1169"/>
      <c r="B102" s="1167"/>
      <c r="C102" s="1167"/>
      <c r="D102" s="1169"/>
      <c r="E102" s="1180"/>
      <c r="I102" s="1164"/>
      <c r="K102" s="38">
        <f t="shared" si="19"/>
        <v>0</v>
      </c>
      <c r="L102" s="1177"/>
      <c r="M102" s="1599" cm="1">
        <f t="array" aca="1" ref="M102" ca="1">IFERROR(_xlfn.XLOOKUP(K102,$K$1:$K$65,INDIRECT(VLOOKUP(Q102,$AC$2:$AD$6,2,0)&amp;"1:"&amp;VLOOKUP(Q102,$AC$2:$AD$6,2,0)&amp;"65"),0,0),"")</f>
        <v>0</v>
      </c>
      <c r="N102" s="1316">
        <f t="shared" si="20"/>
        <v>0</v>
      </c>
      <c r="O102" s="1177">
        <f t="shared" si="21"/>
        <v>0</v>
      </c>
      <c r="Q102" s="1297" t="str">
        <f t="shared" si="22"/>
        <v>CARCCIONE</v>
      </c>
    </row>
    <row r="103" spans="1:25" ht="15.75" thickBot="1" x14ac:dyDescent="0.3">
      <c r="A103" s="1169"/>
      <c r="B103" s="1167"/>
      <c r="C103" s="1167"/>
      <c r="D103" s="1169"/>
      <c r="E103" s="1180"/>
      <c r="I103" s="1164"/>
      <c r="K103" s="38">
        <f t="shared" si="19"/>
        <v>0</v>
      </c>
      <c r="L103" s="1177"/>
      <c r="M103" s="1599" cm="1">
        <f t="array" aca="1" ref="M103" ca="1">IFERROR(_xlfn.XLOOKUP(K103,$K$1:$K$65,INDIRECT(VLOOKUP(Q103,$AC$2:$AD$6,2,0)&amp;"1:"&amp;VLOOKUP(Q103,$AC$2:$AD$6,2,0)&amp;"65"),0,0),"")</f>
        <v>0</v>
      </c>
      <c r="N103" s="1316">
        <f t="shared" si="20"/>
        <v>0</v>
      </c>
      <c r="O103" s="1177">
        <f t="shared" si="21"/>
        <v>0</v>
      </c>
      <c r="Q103" s="1297" t="str">
        <f t="shared" si="22"/>
        <v>CARCCIONE</v>
      </c>
      <c r="S103" s="1212" t="s">
        <v>8164</v>
      </c>
    </row>
    <row r="104" spans="1:25" ht="15.75" thickBot="1" x14ac:dyDescent="0.3">
      <c r="A104" s="1169"/>
      <c r="B104" s="1167"/>
      <c r="C104" s="1167"/>
      <c r="D104" s="1169"/>
      <c r="E104" s="1180"/>
      <c r="I104" s="1164"/>
      <c r="K104" s="38">
        <f t="shared" si="19"/>
        <v>0</v>
      </c>
      <c r="L104" s="1177"/>
      <c r="M104" s="1599" cm="1">
        <f t="array" aca="1" ref="M104" ca="1">IFERROR(_xlfn.XLOOKUP(K104,$K$1:$K$65,INDIRECT(VLOOKUP(Q104,$AC$2:$AD$6,2,0)&amp;"1:"&amp;VLOOKUP(Q104,$AC$2:$AD$6,2,0)&amp;"65"),0,0),"")</f>
        <v>0</v>
      </c>
      <c r="N104" s="1316">
        <f t="shared" si="20"/>
        <v>0</v>
      </c>
      <c r="O104" s="1177">
        <f t="shared" si="21"/>
        <v>0</v>
      </c>
      <c r="Q104" s="1297" t="str">
        <f t="shared" si="22"/>
        <v>CARCCIONE</v>
      </c>
      <c r="S104" s="1301">
        <f>+SUM(U95:U98)</f>
        <v>415720</v>
      </c>
    </row>
    <row r="105" spans="1:25" x14ac:dyDescent="0.2">
      <c r="A105" s="1169"/>
      <c r="B105" s="1167"/>
      <c r="C105" s="1167"/>
      <c r="D105" s="1169"/>
      <c r="E105" s="1180"/>
      <c r="I105" s="1164"/>
      <c r="K105" s="38">
        <f t="shared" si="19"/>
        <v>0</v>
      </c>
      <c r="L105" s="1177"/>
      <c r="M105" s="1599" cm="1">
        <f t="array" aca="1" ref="M105" ca="1">IFERROR(_xlfn.XLOOKUP(K105,$K$1:$K$65,INDIRECT(VLOOKUP(Q105,$AC$2:$AD$6,2,0)&amp;"1:"&amp;VLOOKUP(Q105,$AC$2:$AD$6,2,0)&amp;"65"),0,0),"")</f>
        <v>0</v>
      </c>
      <c r="N105" s="1316">
        <f t="shared" si="20"/>
        <v>0</v>
      </c>
      <c r="O105" s="1177">
        <f t="shared" si="21"/>
        <v>0</v>
      </c>
      <c r="Q105" s="1297" t="str">
        <f t="shared" si="22"/>
        <v>CARCCIONE</v>
      </c>
    </row>
    <row r="106" spans="1:25" x14ac:dyDescent="0.2">
      <c r="A106" s="1169"/>
      <c r="B106" s="1167"/>
      <c r="C106" s="1167"/>
      <c r="D106" s="1169"/>
      <c r="E106" s="1180"/>
      <c r="I106" s="1164"/>
      <c r="K106" s="38">
        <f t="shared" si="19"/>
        <v>0</v>
      </c>
      <c r="M106" s="1599" cm="1">
        <f t="array" aca="1" ref="M106" ca="1">IFERROR(_xlfn.XLOOKUP(K106,$K$1:$K$65,INDIRECT(VLOOKUP(Q106,$AC$2:$AD$6,2,0)&amp;"1:"&amp;VLOOKUP(Q106,$AC$2:$AD$6,2,0)&amp;"65"),0,0),"")</f>
        <v>0</v>
      </c>
      <c r="N106" s="1316">
        <f t="shared" si="20"/>
        <v>0</v>
      </c>
      <c r="O106" s="1177">
        <f t="shared" si="21"/>
        <v>0</v>
      </c>
      <c r="Q106" s="1297" t="str">
        <f t="shared" si="22"/>
        <v>CARCCIONE</v>
      </c>
    </row>
    <row r="107" spans="1:25" x14ac:dyDescent="0.2">
      <c r="A107" s="1169"/>
      <c r="B107" s="1167"/>
      <c r="C107" s="1167"/>
      <c r="D107" s="1169"/>
      <c r="E107" s="1180"/>
      <c r="I107" s="1164"/>
      <c r="K107" s="38">
        <f t="shared" si="19"/>
        <v>0</v>
      </c>
      <c r="M107" s="1599" cm="1">
        <f t="array" aca="1" ref="M107" ca="1">IFERROR(_xlfn.XLOOKUP(K107,$K$1:$K$65,INDIRECT(VLOOKUP(Q107,$AC$2:$AD$6,2,0)&amp;"1:"&amp;VLOOKUP(Q107,$AC$2:$AD$6,2,0)&amp;"65"),0,0),"")</f>
        <v>0</v>
      </c>
      <c r="N107" s="1316">
        <f t="shared" si="20"/>
        <v>0</v>
      </c>
      <c r="O107" s="1177">
        <f t="shared" si="21"/>
        <v>0</v>
      </c>
      <c r="Q107" s="1297" t="str">
        <f t="shared" si="22"/>
        <v>CARCCIONE</v>
      </c>
    </row>
    <row r="108" spans="1:25" x14ac:dyDescent="0.2">
      <c r="A108" s="1169"/>
      <c r="B108" s="1167"/>
      <c r="C108" s="1167"/>
      <c r="D108" s="1169"/>
      <c r="E108" s="1180"/>
      <c r="I108" s="1164"/>
      <c r="K108" s="38">
        <f t="shared" si="19"/>
        <v>0</v>
      </c>
      <c r="M108" s="1599" cm="1">
        <f t="array" aca="1" ref="M108" ca="1">IFERROR(_xlfn.XLOOKUP(K108,$K$1:$K$65,INDIRECT(VLOOKUP(Q108,$AC$2:$AD$6,2,0)&amp;"1:"&amp;VLOOKUP(Q108,$AC$2:$AD$6,2,0)&amp;"65"),0,0),"")</f>
        <v>0</v>
      </c>
      <c r="N108" s="1316">
        <f t="shared" si="20"/>
        <v>0</v>
      </c>
      <c r="O108" s="1177">
        <f t="shared" si="21"/>
        <v>0</v>
      </c>
      <c r="Q108" s="1297" t="str">
        <f t="shared" si="22"/>
        <v>CARCCIONE</v>
      </c>
    </row>
    <row r="109" spans="1:25" x14ac:dyDescent="0.2">
      <c r="A109" s="1169"/>
      <c r="B109" s="1167"/>
      <c r="C109" s="1167"/>
      <c r="D109" s="1169"/>
      <c r="E109" s="1180"/>
      <c r="I109" s="1164"/>
      <c r="K109" s="38">
        <f t="shared" si="19"/>
        <v>0</v>
      </c>
      <c r="M109" s="1599" cm="1">
        <f t="array" aca="1" ref="M109" ca="1">IFERROR(_xlfn.XLOOKUP(K109,$K$1:$K$65,INDIRECT(VLOOKUP(Q109,$AC$2:$AD$6,2,0)&amp;"1:"&amp;VLOOKUP(Q109,$AC$2:$AD$6,2,0)&amp;"65"),0,0),"")</f>
        <v>0</v>
      </c>
      <c r="N109" s="1316">
        <f t="shared" si="20"/>
        <v>0</v>
      </c>
      <c r="O109" s="1177">
        <f t="shared" si="21"/>
        <v>0</v>
      </c>
      <c r="Q109" s="1297" t="str">
        <f t="shared" si="22"/>
        <v>CARCCIONE</v>
      </c>
    </row>
    <row r="110" spans="1:25" x14ac:dyDescent="0.2">
      <c r="A110" s="1169"/>
      <c r="B110" s="1167"/>
      <c r="C110" s="1167"/>
      <c r="D110" s="1169"/>
      <c r="E110" s="1180"/>
      <c r="I110" s="1164"/>
      <c r="K110" s="38">
        <f t="shared" si="19"/>
        <v>0</v>
      </c>
    </row>
    <row r="111" spans="1:25" x14ac:dyDescent="0.2">
      <c r="A111" s="1169"/>
      <c r="B111" s="1167"/>
      <c r="C111" s="1167"/>
      <c r="D111" s="1169"/>
      <c r="E111" s="1180"/>
      <c r="I111" s="1164"/>
      <c r="K111" s="38">
        <f t="shared" si="19"/>
        <v>0</v>
      </c>
    </row>
    <row r="112" spans="1:25" x14ac:dyDescent="0.2">
      <c r="A112" s="1169"/>
      <c r="B112" s="1167"/>
      <c r="C112" s="1167"/>
      <c r="D112" s="1169"/>
      <c r="E112" s="1180"/>
      <c r="I112" s="1164"/>
    </row>
    <row r="113" spans="1:22" x14ac:dyDescent="0.2">
      <c r="A113" s="1169"/>
      <c r="B113" s="1167"/>
      <c r="C113" s="1167"/>
      <c r="D113" s="1169"/>
      <c r="E113" s="1180"/>
      <c r="I113" s="1164"/>
      <c r="N113" s="38" t="s">
        <v>11686</v>
      </c>
    </row>
    <row r="114" spans="1:22" x14ac:dyDescent="0.2">
      <c r="A114" s="1169"/>
      <c r="B114" s="1167"/>
      <c r="C114" s="1167"/>
      <c r="D114" s="1169"/>
      <c r="E114" s="1180"/>
      <c r="I114" s="1164"/>
      <c r="N114" s="38">
        <v>52</v>
      </c>
      <c r="O114" s="38">
        <v>400</v>
      </c>
      <c r="P114" s="877">
        <v>155.92500000000001</v>
      </c>
      <c r="Q114" s="1290">
        <f>+P114*O114</f>
        <v>62370.000000000007</v>
      </c>
      <c r="U114" s="1395">
        <v>8</v>
      </c>
      <c r="V114" s="425">
        <f>+VLOOKUP(U114,$N$114:$O$133,2,0)</f>
        <v>300</v>
      </c>
    </row>
    <row r="115" spans="1:22" x14ac:dyDescent="0.2">
      <c r="A115" s="1169"/>
      <c r="B115" s="1167"/>
      <c r="C115" s="1167"/>
      <c r="D115" s="1169"/>
      <c r="E115" s="1180"/>
      <c r="I115" s="1164"/>
      <c r="N115" s="38">
        <v>53</v>
      </c>
      <c r="O115" s="38">
        <v>500</v>
      </c>
      <c r="P115" s="877">
        <v>155.92500000000001</v>
      </c>
      <c r="Q115" s="1290">
        <f t="shared" ref="Q115:Q133" si="23">+P115*O115</f>
        <v>77962.5</v>
      </c>
      <c r="U115" s="1177">
        <v>10</v>
      </c>
      <c r="V115" s="425" t="e">
        <f t="shared" ref="V115:V126" si="24">+VLOOKUP(U115,$N$114:$O$133,2,0)</f>
        <v>#N/A</v>
      </c>
    </row>
    <row r="116" spans="1:22" x14ac:dyDescent="0.2">
      <c r="A116" s="1169"/>
      <c r="B116" s="1167"/>
      <c r="C116" s="1167"/>
      <c r="D116" s="1169"/>
      <c r="E116" s="1180"/>
      <c r="I116" s="1164"/>
      <c r="N116" s="38">
        <v>7</v>
      </c>
      <c r="O116" s="38">
        <v>500</v>
      </c>
      <c r="P116" s="877">
        <v>107.14626000000001</v>
      </c>
      <c r="Q116" s="1290">
        <f t="shared" si="23"/>
        <v>53573.130000000005</v>
      </c>
      <c r="U116" s="1395">
        <v>27</v>
      </c>
      <c r="V116" s="425">
        <f t="shared" si="24"/>
        <v>500</v>
      </c>
    </row>
    <row r="117" spans="1:22" x14ac:dyDescent="0.2">
      <c r="A117" s="1169"/>
      <c r="B117" s="1167"/>
      <c r="C117" s="1167"/>
      <c r="D117" s="1169"/>
      <c r="E117" s="1180"/>
      <c r="I117" s="1164"/>
      <c r="N117" s="38">
        <v>9</v>
      </c>
      <c r="O117" s="38">
        <v>400</v>
      </c>
      <c r="P117" s="877">
        <v>95.785200000000003</v>
      </c>
      <c r="Q117" s="1290">
        <f t="shared" si="23"/>
        <v>38314.080000000002</v>
      </c>
      <c r="U117" s="1395">
        <v>31</v>
      </c>
      <c r="V117" s="425">
        <f t="shared" si="24"/>
        <v>100</v>
      </c>
    </row>
    <row r="118" spans="1:22" x14ac:dyDescent="0.2">
      <c r="A118" s="1169"/>
      <c r="B118" s="1167"/>
      <c r="C118" s="1167"/>
      <c r="D118" s="1169"/>
      <c r="E118" s="1180"/>
      <c r="I118" s="1164"/>
      <c r="N118" s="38">
        <v>17</v>
      </c>
      <c r="O118" s="38">
        <v>300</v>
      </c>
      <c r="P118" s="877">
        <v>276.92280000000005</v>
      </c>
      <c r="Q118" s="1290">
        <f t="shared" si="23"/>
        <v>83076.840000000011</v>
      </c>
      <c r="U118" s="1177">
        <v>32</v>
      </c>
      <c r="V118" s="425" t="e">
        <f t="shared" si="24"/>
        <v>#N/A</v>
      </c>
    </row>
    <row r="119" spans="1:22" x14ac:dyDescent="0.2">
      <c r="A119" s="1169"/>
      <c r="B119" s="1167"/>
      <c r="C119" s="1167"/>
      <c r="D119" s="1169"/>
      <c r="E119" s="1180"/>
      <c r="I119" s="1164"/>
      <c r="L119" s="38">
        <v>27</v>
      </c>
      <c r="N119" s="38">
        <v>23</v>
      </c>
      <c r="O119" s="38">
        <v>500</v>
      </c>
      <c r="P119" s="877">
        <v>43.658999999999999</v>
      </c>
      <c r="Q119" s="1290">
        <f t="shared" si="23"/>
        <v>21829.5</v>
      </c>
      <c r="U119" s="1395">
        <v>39</v>
      </c>
      <c r="V119" s="425" t="e">
        <f t="shared" si="24"/>
        <v>#N/A</v>
      </c>
    </row>
    <row r="120" spans="1:22" x14ac:dyDescent="0.2">
      <c r="A120" s="1169"/>
      <c r="B120" s="1167"/>
      <c r="C120" s="1167"/>
      <c r="D120" s="1169"/>
      <c r="E120" s="1180"/>
      <c r="I120" s="1164"/>
      <c r="L120" s="38">
        <v>31</v>
      </c>
      <c r="N120" s="38">
        <v>26</v>
      </c>
      <c r="O120" s="38">
        <v>500</v>
      </c>
      <c r="P120" s="877">
        <v>66.825000000000003</v>
      </c>
      <c r="Q120" s="1290">
        <f t="shared" si="23"/>
        <v>33412.5</v>
      </c>
      <c r="U120" s="1395">
        <v>41</v>
      </c>
      <c r="V120" s="425" t="e">
        <f t="shared" si="24"/>
        <v>#N/A</v>
      </c>
    </row>
    <row r="121" spans="1:22" x14ac:dyDescent="0.2">
      <c r="A121" s="1169"/>
      <c r="B121" s="1167"/>
      <c r="C121" s="1167"/>
      <c r="D121" s="1169"/>
      <c r="E121" s="1180"/>
      <c r="I121" s="1164"/>
      <c r="L121" s="38">
        <v>35</v>
      </c>
      <c r="N121" s="1378">
        <v>27</v>
      </c>
      <c r="O121" s="38">
        <v>500</v>
      </c>
      <c r="P121" s="877">
        <v>127.413</v>
      </c>
      <c r="Q121" s="1383">
        <f t="shared" si="23"/>
        <v>63706.5</v>
      </c>
      <c r="U121" s="1177">
        <v>52</v>
      </c>
      <c r="V121" s="425">
        <f t="shared" si="24"/>
        <v>400</v>
      </c>
    </row>
    <row r="122" spans="1:22" x14ac:dyDescent="0.2">
      <c r="A122" s="1169"/>
      <c r="B122" s="1167"/>
      <c r="C122" s="1167"/>
      <c r="D122" s="1169"/>
      <c r="E122" s="1180"/>
      <c r="I122" s="1164"/>
      <c r="L122" s="38">
        <v>5</v>
      </c>
      <c r="N122" s="38">
        <v>30</v>
      </c>
      <c r="O122" s="38">
        <v>500</v>
      </c>
      <c r="P122" s="877">
        <v>80.462159999999997</v>
      </c>
      <c r="Q122" s="1290">
        <f t="shared" si="23"/>
        <v>40231.08</v>
      </c>
      <c r="U122" s="1395">
        <v>61</v>
      </c>
      <c r="V122" s="425" t="e">
        <f t="shared" si="24"/>
        <v>#N/A</v>
      </c>
    </row>
    <row r="123" spans="1:22" x14ac:dyDescent="0.2">
      <c r="A123" s="1169"/>
      <c r="B123" s="1167"/>
      <c r="C123" s="1167"/>
      <c r="D123" s="1169"/>
      <c r="E123" s="1180"/>
      <c r="I123" s="1164"/>
      <c r="N123" s="1378">
        <v>31</v>
      </c>
      <c r="O123" s="38">
        <v>100</v>
      </c>
      <c r="P123" s="877">
        <v>124.74000000000001</v>
      </c>
      <c r="Q123" s="1290">
        <f t="shared" si="23"/>
        <v>12474</v>
      </c>
      <c r="U123" s="1177">
        <v>72</v>
      </c>
      <c r="V123" s="425" t="e">
        <f t="shared" si="24"/>
        <v>#N/A</v>
      </c>
    </row>
    <row r="124" spans="1:22" x14ac:dyDescent="0.2">
      <c r="A124" s="1169"/>
      <c r="B124" s="1167"/>
      <c r="C124" s="1167"/>
      <c r="D124" s="1169"/>
      <c r="E124" s="1180"/>
      <c r="I124" s="1164"/>
      <c r="N124" s="1378">
        <v>35</v>
      </c>
      <c r="O124" s="38">
        <v>300</v>
      </c>
      <c r="P124" s="877">
        <v>57.915000000000006</v>
      </c>
      <c r="Q124" s="1290">
        <f t="shared" si="23"/>
        <v>17374.500000000004</v>
      </c>
      <c r="U124" s="1395">
        <v>78</v>
      </c>
      <c r="V124" s="425" t="e">
        <f t="shared" si="24"/>
        <v>#N/A</v>
      </c>
    </row>
    <row r="125" spans="1:22" x14ac:dyDescent="0.2">
      <c r="A125" s="1169"/>
      <c r="B125" s="1167"/>
      <c r="C125" s="1167"/>
      <c r="D125" s="1169"/>
      <c r="E125" s="1180"/>
      <c r="I125" s="1164"/>
      <c r="N125" s="38">
        <v>42</v>
      </c>
      <c r="O125" s="38">
        <v>400</v>
      </c>
      <c r="P125" s="877">
        <v>265.0752</v>
      </c>
      <c r="Q125" s="1290">
        <f t="shared" si="23"/>
        <v>106030.08</v>
      </c>
      <c r="U125" s="1177">
        <v>123</v>
      </c>
      <c r="V125" s="425" t="e">
        <f t="shared" si="24"/>
        <v>#N/A</v>
      </c>
    </row>
    <row r="126" spans="1:22" x14ac:dyDescent="0.2">
      <c r="A126" s="1169"/>
      <c r="B126" s="1167"/>
      <c r="C126" s="1167"/>
      <c r="D126" s="1169"/>
      <c r="E126" s="1180"/>
      <c r="I126" s="1164"/>
      <c r="N126" s="1403">
        <v>45</v>
      </c>
      <c r="O126" s="38">
        <v>300</v>
      </c>
      <c r="P126" s="877">
        <v>98.01</v>
      </c>
      <c r="Q126" s="1290">
        <f t="shared" si="23"/>
        <v>29403</v>
      </c>
      <c r="U126" s="1177">
        <v>125</v>
      </c>
      <c r="V126" s="425" t="e">
        <f t="shared" si="24"/>
        <v>#N/A</v>
      </c>
    </row>
    <row r="127" spans="1:22" x14ac:dyDescent="0.2">
      <c r="A127" s="1169"/>
      <c r="B127" s="1167"/>
      <c r="C127" s="1167"/>
      <c r="D127" s="1169"/>
      <c r="E127" s="1180"/>
      <c r="I127" s="1164"/>
      <c r="N127" s="38">
        <v>47</v>
      </c>
      <c r="O127" s="38">
        <v>500</v>
      </c>
      <c r="P127" s="877">
        <v>80.190000000000012</v>
      </c>
      <c r="Q127" s="1290">
        <f t="shared" si="23"/>
        <v>40095.000000000007</v>
      </c>
    </row>
    <row r="128" spans="1:22" ht="15" thickBot="1" x14ac:dyDescent="0.25">
      <c r="A128" s="1169"/>
      <c r="B128" s="1167"/>
      <c r="C128" s="1167"/>
      <c r="D128" s="1169"/>
      <c r="E128" s="1180"/>
      <c r="I128" s="1164"/>
      <c r="N128" s="38">
        <v>48</v>
      </c>
      <c r="O128" s="38">
        <v>100</v>
      </c>
      <c r="P128" s="877">
        <v>84.202200000000005</v>
      </c>
      <c r="Q128" s="1290">
        <f t="shared" si="23"/>
        <v>8420.2200000000012</v>
      </c>
    </row>
    <row r="129" spans="1:27" ht="15" x14ac:dyDescent="0.25">
      <c r="A129" s="1169"/>
      <c r="B129" s="1167"/>
      <c r="C129" s="1167"/>
      <c r="D129" s="1169"/>
      <c r="E129" s="1180"/>
      <c r="I129" s="1164"/>
      <c r="N129" s="1403">
        <v>50</v>
      </c>
      <c r="O129" s="38">
        <v>400</v>
      </c>
      <c r="P129" s="877">
        <v>84.202200000000005</v>
      </c>
      <c r="Q129" s="1290">
        <f t="shared" si="23"/>
        <v>33680.880000000005</v>
      </c>
      <c r="X129" s="1412" t="s">
        <v>8189</v>
      </c>
      <c r="Y129" s="1413" t="s">
        <v>8322</v>
      </c>
      <c r="Z129" s="1414"/>
      <c r="AA129" s="1415"/>
    </row>
    <row r="130" spans="1:27" x14ac:dyDescent="0.2">
      <c r="A130" s="1169"/>
      <c r="B130" s="1167"/>
      <c r="C130" s="1167"/>
      <c r="D130" s="1169"/>
      <c r="E130" s="1180"/>
      <c r="I130" s="1164"/>
      <c r="N130" s="1403">
        <v>51</v>
      </c>
      <c r="O130" s="38">
        <v>400</v>
      </c>
      <c r="P130" s="877">
        <v>88.878600000000006</v>
      </c>
      <c r="Q130" s="1290">
        <f t="shared" si="23"/>
        <v>35551.440000000002</v>
      </c>
      <c r="X130" s="1406">
        <v>27</v>
      </c>
      <c r="Y130" s="1405">
        <v>500</v>
      </c>
      <c r="Z130" s="1416" t="s">
        <v>11687</v>
      </c>
      <c r="AA130" s="1417"/>
    </row>
    <row r="131" spans="1:27" x14ac:dyDescent="0.2">
      <c r="A131" s="1169"/>
      <c r="B131" s="1167"/>
      <c r="C131" s="1167"/>
      <c r="D131" s="1169"/>
      <c r="E131" s="1180"/>
      <c r="I131" s="1164"/>
      <c r="N131" s="1378">
        <v>5</v>
      </c>
      <c r="O131" s="38">
        <v>500</v>
      </c>
      <c r="P131" s="877">
        <v>42.1038</v>
      </c>
      <c r="Q131" s="1290">
        <f t="shared" si="23"/>
        <v>21051.9</v>
      </c>
      <c r="X131" s="1406">
        <v>31</v>
      </c>
      <c r="Y131" s="1405">
        <v>100</v>
      </c>
      <c r="Z131" s="1416" t="s">
        <v>11687</v>
      </c>
      <c r="AA131" s="1417"/>
    </row>
    <row r="132" spans="1:27" x14ac:dyDescent="0.2">
      <c r="A132" s="1169"/>
      <c r="B132" s="1167"/>
      <c r="C132" s="1167"/>
      <c r="D132" s="1169"/>
      <c r="E132" s="1180"/>
      <c r="I132" s="1164"/>
      <c r="N132" s="1403">
        <v>6</v>
      </c>
      <c r="O132" s="38">
        <v>500</v>
      </c>
      <c r="P132" s="877">
        <v>46.780200000000001</v>
      </c>
      <c r="Q132" s="1290">
        <f t="shared" si="23"/>
        <v>23390.1</v>
      </c>
      <c r="X132" s="1406">
        <v>35</v>
      </c>
      <c r="Y132" s="1405">
        <v>300</v>
      </c>
      <c r="Z132" s="1416" t="s">
        <v>11687</v>
      </c>
      <c r="AA132" s="1417"/>
    </row>
    <row r="133" spans="1:27" x14ac:dyDescent="0.2">
      <c r="A133" s="1169"/>
      <c r="B133" s="1167"/>
      <c r="C133" s="1167"/>
      <c r="D133" s="1169"/>
      <c r="E133" s="1180"/>
      <c r="I133" s="1164"/>
      <c r="N133" s="1403">
        <v>8</v>
      </c>
      <c r="O133" s="38">
        <v>300</v>
      </c>
      <c r="P133" s="877">
        <v>86.875200000000007</v>
      </c>
      <c r="Q133" s="1290">
        <f t="shared" si="23"/>
        <v>26062.560000000001</v>
      </c>
      <c r="X133" s="1406">
        <v>5</v>
      </c>
      <c r="Y133" s="1405">
        <v>500</v>
      </c>
      <c r="Z133" s="1416" t="s">
        <v>11687</v>
      </c>
      <c r="AA133" s="1417"/>
    </row>
    <row r="134" spans="1:27" x14ac:dyDescent="0.2">
      <c r="A134" s="1169"/>
      <c r="B134" s="1167"/>
      <c r="C134" s="1167"/>
      <c r="D134" s="1169"/>
      <c r="E134" s="1180"/>
      <c r="I134" s="1164"/>
      <c r="X134" s="1406">
        <v>45</v>
      </c>
      <c r="Y134" s="1405">
        <v>300</v>
      </c>
      <c r="Z134" s="1404" t="s">
        <v>11688</v>
      </c>
      <c r="AA134" s="1407"/>
    </row>
    <row r="135" spans="1:27" x14ac:dyDescent="0.2">
      <c r="A135" s="1169"/>
      <c r="B135" s="1167"/>
      <c r="C135" s="1167"/>
      <c r="D135" s="1169"/>
      <c r="E135" s="1180"/>
      <c r="I135" s="1164"/>
      <c r="X135" s="1406">
        <v>50</v>
      </c>
      <c r="Y135" s="1405">
        <v>400</v>
      </c>
      <c r="Z135" s="1404" t="s">
        <v>11688</v>
      </c>
      <c r="AA135" s="1407"/>
    </row>
    <row r="136" spans="1:27" x14ac:dyDescent="0.2">
      <c r="A136" s="1169"/>
      <c r="B136" s="1167"/>
      <c r="C136" s="1167"/>
      <c r="D136" s="1169"/>
      <c r="E136" s="1180"/>
      <c r="I136" s="1164"/>
      <c r="X136" s="1406">
        <v>51</v>
      </c>
      <c r="Y136" s="1405">
        <v>400</v>
      </c>
      <c r="Z136" s="1404" t="s">
        <v>11688</v>
      </c>
      <c r="AA136" s="1407"/>
    </row>
    <row r="137" spans="1:27" x14ac:dyDescent="0.2">
      <c r="A137" s="1169"/>
      <c r="B137" s="1167"/>
      <c r="C137" s="1167"/>
      <c r="D137" s="1169"/>
      <c r="E137" s="1180"/>
      <c r="I137" s="1164"/>
      <c r="N137" s="1290">
        <v>98000</v>
      </c>
      <c r="X137" s="1406">
        <v>6</v>
      </c>
      <c r="Y137" s="1405">
        <v>500</v>
      </c>
      <c r="Z137" s="1404" t="s">
        <v>11688</v>
      </c>
      <c r="AA137" s="1407"/>
    </row>
    <row r="138" spans="1:27" ht="15" thickBot="1" x14ac:dyDescent="0.25">
      <c r="A138" s="1169"/>
      <c r="B138" s="1167"/>
      <c r="C138" s="1167"/>
      <c r="D138" s="1169"/>
      <c r="E138" s="1180"/>
      <c r="I138" s="1164"/>
      <c r="X138" s="1408">
        <v>8</v>
      </c>
      <c r="Y138" s="1409">
        <v>300</v>
      </c>
      <c r="Z138" s="1410" t="s">
        <v>11688</v>
      </c>
      <c r="AA138" s="1411"/>
    </row>
    <row r="139" spans="1:27" x14ac:dyDescent="0.2">
      <c r="A139" s="1169"/>
      <c r="B139" s="1167"/>
      <c r="C139" s="1167"/>
      <c r="D139" s="1169"/>
      <c r="E139" s="1180"/>
      <c r="I139" s="1164"/>
    </row>
    <row r="140" spans="1:27" x14ac:dyDescent="0.2">
      <c r="A140" s="1169"/>
      <c r="B140" s="1167"/>
      <c r="C140" s="1167"/>
      <c r="D140" s="1169"/>
      <c r="E140" s="1180"/>
      <c r="I140" s="1164"/>
    </row>
    <row r="141" spans="1:27" x14ac:dyDescent="0.2">
      <c r="A141" s="1169"/>
      <c r="B141" s="1167"/>
      <c r="C141" s="1167"/>
      <c r="D141" s="1169"/>
      <c r="E141" s="1180"/>
      <c r="I141" s="1164"/>
    </row>
    <row r="142" spans="1:27" x14ac:dyDescent="0.2">
      <c r="A142" s="1169"/>
      <c r="B142" s="1167"/>
      <c r="C142" s="1167"/>
      <c r="D142" s="1169"/>
      <c r="E142" s="1180"/>
      <c r="I142" s="1164"/>
    </row>
    <row r="143" spans="1:27" x14ac:dyDescent="0.2">
      <c r="A143" s="1169"/>
      <c r="B143" s="1167"/>
      <c r="C143" s="1167"/>
      <c r="D143" s="1169"/>
      <c r="E143" s="1180"/>
      <c r="I143" s="1164"/>
    </row>
    <row r="144" spans="1:27" x14ac:dyDescent="0.2">
      <c r="A144" s="1169"/>
      <c r="B144" s="1167"/>
      <c r="C144" s="1167"/>
      <c r="D144" s="1169"/>
      <c r="E144" s="1180"/>
      <c r="I144" s="1164"/>
    </row>
    <row r="145" spans="1:9" x14ac:dyDescent="0.2">
      <c r="A145" s="1169"/>
      <c r="B145" s="1167"/>
      <c r="C145" s="1167"/>
      <c r="D145" s="1169"/>
      <c r="E145" s="1180"/>
      <c r="I145" s="1164"/>
    </row>
    <row r="146" spans="1:9" x14ac:dyDescent="0.2">
      <c r="A146" s="1169"/>
      <c r="B146" s="1167"/>
      <c r="C146" s="1167"/>
      <c r="D146" s="1169"/>
      <c r="E146" s="1180"/>
      <c r="I146" s="1164"/>
    </row>
    <row r="147" spans="1:9" x14ac:dyDescent="0.2">
      <c r="A147" s="1169"/>
      <c r="B147" s="1167"/>
      <c r="C147" s="1167"/>
      <c r="D147" s="1169"/>
      <c r="E147" s="1180"/>
      <c r="I147" s="1164"/>
    </row>
    <row r="148" spans="1:9" x14ac:dyDescent="0.2">
      <c r="A148" s="1169"/>
      <c r="B148" s="1167"/>
      <c r="C148" s="1167"/>
      <c r="D148" s="1169"/>
      <c r="E148" s="1180"/>
      <c r="I148" s="1164"/>
    </row>
    <row r="149" spans="1:9" x14ac:dyDescent="0.2">
      <c r="A149" s="1169"/>
      <c r="B149" s="1167"/>
      <c r="C149" s="1167"/>
      <c r="D149" s="1169"/>
      <c r="E149" s="1180"/>
      <c r="I149" s="1164"/>
    </row>
    <row r="150" spans="1:9" x14ac:dyDescent="0.2">
      <c r="A150" s="1169"/>
      <c r="B150" s="1167"/>
      <c r="C150" s="1167"/>
      <c r="D150" s="1169"/>
      <c r="E150" s="1180"/>
      <c r="I150" s="1164"/>
    </row>
    <row r="151" spans="1:9" x14ac:dyDescent="0.2">
      <c r="A151" s="1169"/>
      <c r="B151" s="1167"/>
      <c r="C151" s="1167"/>
      <c r="D151" s="1169"/>
      <c r="E151" s="1180"/>
      <c r="I151" s="1164"/>
    </row>
    <row r="152" spans="1:9" x14ac:dyDescent="0.2">
      <c r="A152" s="1169"/>
      <c r="B152" s="1167"/>
      <c r="C152" s="1167"/>
      <c r="D152" s="1169"/>
      <c r="E152" s="1180"/>
      <c r="I152" s="1164"/>
    </row>
    <row r="153" spans="1:9" x14ac:dyDescent="0.2">
      <c r="A153" s="1169"/>
      <c r="B153" s="1167"/>
      <c r="C153" s="1167"/>
      <c r="D153" s="1169"/>
      <c r="E153" s="1180"/>
      <c r="I153" s="1164"/>
    </row>
    <row r="154" spans="1:9" x14ac:dyDescent="0.2">
      <c r="A154" s="1169"/>
      <c r="B154" s="1167"/>
      <c r="C154" s="1167"/>
      <c r="D154" s="1169"/>
      <c r="E154" s="1180"/>
      <c r="I154" s="1164"/>
    </row>
    <row r="155" spans="1:9" x14ac:dyDescent="0.2">
      <c r="A155" s="1169"/>
      <c r="B155" s="1167"/>
      <c r="C155" s="1167"/>
      <c r="D155" s="1169"/>
      <c r="E155" s="1180"/>
      <c r="I155" s="1164"/>
    </row>
    <row r="156" spans="1:9" x14ac:dyDescent="0.2">
      <c r="A156" s="1169"/>
      <c r="B156" s="1167"/>
      <c r="C156" s="1167"/>
      <c r="D156" s="1169"/>
      <c r="E156" s="1180"/>
      <c r="I156" s="1164"/>
    </row>
    <row r="157" spans="1:9" x14ac:dyDescent="0.2">
      <c r="A157" s="1169"/>
      <c r="B157" s="1167"/>
      <c r="C157" s="1167"/>
      <c r="D157" s="1169"/>
      <c r="E157" s="1180"/>
      <c r="I157" s="1164"/>
    </row>
    <row r="158" spans="1:9" x14ac:dyDescent="0.2">
      <c r="A158" s="1169"/>
      <c r="B158" s="1167"/>
      <c r="C158" s="1167"/>
      <c r="D158" s="1169"/>
      <c r="E158" s="1180"/>
      <c r="I158" s="1164"/>
    </row>
    <row r="159" spans="1:9" x14ac:dyDescent="0.2">
      <c r="A159" s="1169"/>
      <c r="B159" s="1167"/>
      <c r="C159" s="1167"/>
      <c r="D159" s="1169"/>
      <c r="E159" s="1180"/>
      <c r="I159" s="1164"/>
    </row>
    <row r="160" spans="1:9" x14ac:dyDescent="0.2">
      <c r="A160" s="1169"/>
      <c r="B160" s="1167"/>
      <c r="C160" s="1167"/>
      <c r="D160" s="1169"/>
      <c r="E160" s="1180"/>
      <c r="I160" s="1164"/>
    </row>
    <row r="161" spans="1:9" x14ac:dyDescent="0.2">
      <c r="A161" s="1169"/>
      <c r="B161" s="1167"/>
      <c r="C161" s="1167"/>
      <c r="D161" s="1169"/>
      <c r="E161" s="1180"/>
      <c r="I161" s="1164"/>
    </row>
    <row r="162" spans="1:9" x14ac:dyDescent="0.2">
      <c r="A162" s="1169"/>
      <c r="B162" s="1167"/>
      <c r="C162" s="1167"/>
      <c r="D162" s="1169"/>
      <c r="E162" s="1180"/>
      <c r="I162" s="1164"/>
    </row>
    <row r="163" spans="1:9" x14ac:dyDescent="0.2">
      <c r="A163" s="1169"/>
      <c r="B163" s="1167"/>
      <c r="C163" s="1167"/>
      <c r="D163" s="1169"/>
      <c r="E163" s="1180"/>
      <c r="I163" s="1164"/>
    </row>
    <row r="164" spans="1:9" x14ac:dyDescent="0.2">
      <c r="A164" s="1169"/>
      <c r="B164" s="1167"/>
      <c r="C164" s="1167"/>
      <c r="D164" s="1169"/>
      <c r="E164" s="1180"/>
      <c r="I164" s="1164"/>
    </row>
    <row r="165" spans="1:9" x14ac:dyDescent="0.2">
      <c r="A165" s="1169"/>
      <c r="B165" s="1167"/>
      <c r="C165" s="1167"/>
      <c r="D165" s="1169"/>
      <c r="E165" s="1180"/>
      <c r="I165" s="1164"/>
    </row>
    <row r="166" spans="1:9" x14ac:dyDescent="0.2">
      <c r="A166" s="1169"/>
      <c r="B166" s="1167"/>
      <c r="C166" s="1167"/>
      <c r="D166" s="1169"/>
      <c r="E166" s="1180"/>
      <c r="I166" s="1164"/>
    </row>
    <row r="167" spans="1:9" x14ac:dyDescent="0.2">
      <c r="A167" s="1169"/>
      <c r="B167" s="1167"/>
      <c r="C167" s="1167"/>
      <c r="D167" s="1169"/>
      <c r="E167" s="1180"/>
      <c r="I167" s="1164"/>
    </row>
    <row r="168" spans="1:9" x14ac:dyDescent="0.2">
      <c r="A168" s="1169"/>
      <c r="B168" s="1167"/>
      <c r="C168" s="1167"/>
      <c r="D168" s="1169"/>
      <c r="E168" s="1180"/>
      <c r="I168" s="1164"/>
    </row>
    <row r="169" spans="1:9" x14ac:dyDescent="0.2">
      <c r="A169" s="1169"/>
      <c r="B169" s="1167"/>
      <c r="C169" s="1167"/>
      <c r="D169" s="1169"/>
      <c r="E169" s="1180"/>
      <c r="I169" s="1164"/>
    </row>
    <row r="170" spans="1:9" x14ac:dyDescent="0.2">
      <c r="A170" s="1169"/>
      <c r="B170" s="1167"/>
      <c r="C170" s="1167"/>
      <c r="D170" s="1169"/>
      <c r="E170" s="1180"/>
      <c r="I170" s="1164"/>
    </row>
    <row r="171" spans="1:9" x14ac:dyDescent="0.2">
      <c r="A171" s="1169"/>
      <c r="B171" s="1167"/>
      <c r="C171" s="1167"/>
      <c r="D171" s="1169"/>
      <c r="E171" s="1180"/>
      <c r="I171" s="1164"/>
    </row>
    <row r="172" spans="1:9" x14ac:dyDescent="0.2">
      <c r="A172" s="1169"/>
      <c r="B172" s="1167"/>
      <c r="C172" s="1167"/>
      <c r="D172" s="1169"/>
      <c r="E172" s="1180"/>
      <c r="I172" s="1164"/>
    </row>
    <row r="173" spans="1:9" x14ac:dyDescent="0.2">
      <c r="A173" s="1169"/>
      <c r="B173" s="1167"/>
      <c r="C173" s="1167"/>
      <c r="D173" s="1169"/>
      <c r="E173" s="1180"/>
      <c r="I173" s="1164"/>
    </row>
    <row r="174" spans="1:9" x14ac:dyDescent="0.2">
      <c r="A174" s="1169"/>
      <c r="B174" s="1167"/>
      <c r="C174" s="1167"/>
      <c r="D174" s="1169"/>
      <c r="E174" s="1180"/>
      <c r="I174" s="1164"/>
    </row>
    <row r="175" spans="1:9" x14ac:dyDescent="0.2">
      <c r="A175" s="1169"/>
      <c r="B175" s="1167"/>
      <c r="C175" s="1167"/>
      <c r="D175" s="1169"/>
      <c r="E175" s="1180"/>
      <c r="I175" s="1164"/>
    </row>
    <row r="176" spans="1:9" x14ac:dyDescent="0.2">
      <c r="A176" s="1169"/>
      <c r="B176" s="1167"/>
      <c r="C176" s="1167"/>
      <c r="D176" s="1169"/>
      <c r="E176" s="1180"/>
      <c r="I176" s="1164"/>
    </row>
    <row r="177" spans="1:9" x14ac:dyDescent="0.2">
      <c r="A177" s="1169"/>
      <c r="B177" s="1167"/>
      <c r="C177" s="1167"/>
      <c r="D177" s="1169"/>
      <c r="E177" s="1180"/>
      <c r="I177" s="1164"/>
    </row>
    <row r="178" spans="1:9" x14ac:dyDescent="0.2">
      <c r="A178" s="1169"/>
      <c r="B178" s="1167"/>
      <c r="C178" s="1167"/>
      <c r="D178" s="1169"/>
      <c r="E178" s="1180"/>
      <c r="I178" s="1164"/>
    </row>
    <row r="179" spans="1:9" x14ac:dyDescent="0.2">
      <c r="A179" s="1169"/>
      <c r="B179" s="1167"/>
      <c r="C179" s="1167"/>
      <c r="D179" s="1169"/>
      <c r="E179" s="1180"/>
      <c r="I179" s="1164"/>
    </row>
    <row r="180" spans="1:9" x14ac:dyDescent="0.2">
      <c r="A180" s="1169"/>
      <c r="B180" s="1167"/>
      <c r="C180" s="1167"/>
      <c r="D180" s="1169"/>
      <c r="E180" s="1180"/>
      <c r="I180" s="1164"/>
    </row>
    <row r="181" spans="1:9" x14ac:dyDescent="0.2">
      <c r="A181" s="1169"/>
      <c r="B181" s="1167"/>
      <c r="C181" s="1167"/>
      <c r="D181" s="1169"/>
      <c r="E181" s="1180"/>
      <c r="I181" s="1164"/>
    </row>
    <row r="182" spans="1:9" x14ac:dyDescent="0.2">
      <c r="A182" s="1169"/>
      <c r="B182" s="1167"/>
      <c r="C182" s="1167"/>
      <c r="D182" s="1169"/>
      <c r="E182" s="1180"/>
      <c r="I182" s="1164"/>
    </row>
    <row r="183" spans="1:9" x14ac:dyDescent="0.2">
      <c r="A183" s="1169"/>
      <c r="B183" s="1167"/>
      <c r="C183" s="1167"/>
      <c r="D183" s="1169"/>
      <c r="E183" s="1180"/>
      <c r="I183" s="1164"/>
    </row>
    <row r="184" spans="1:9" x14ac:dyDescent="0.2">
      <c r="A184" s="1169"/>
      <c r="B184" s="1167"/>
      <c r="C184" s="1167"/>
      <c r="D184" s="1169"/>
      <c r="E184" s="1180"/>
      <c r="I184" s="1164"/>
    </row>
    <row r="185" spans="1:9" x14ac:dyDescent="0.2">
      <c r="A185" s="1169"/>
      <c r="B185" s="1167"/>
      <c r="C185" s="1167"/>
      <c r="D185" s="1169"/>
      <c r="E185" s="1180"/>
      <c r="I185" s="1164"/>
    </row>
    <row r="186" spans="1:9" x14ac:dyDescent="0.2">
      <c r="A186" s="1169"/>
      <c r="B186" s="1167"/>
      <c r="C186" s="1167"/>
      <c r="D186" s="1169"/>
      <c r="E186" s="1180"/>
      <c r="I186" s="1164"/>
    </row>
    <row r="187" spans="1:9" x14ac:dyDescent="0.2">
      <c r="A187" s="1169"/>
      <c r="B187" s="1167"/>
      <c r="C187" s="1167"/>
      <c r="D187" s="1169"/>
      <c r="E187" s="1180"/>
      <c r="I187" s="1164"/>
    </row>
    <row r="188" spans="1:9" x14ac:dyDescent="0.2">
      <c r="A188" s="1169"/>
      <c r="B188" s="1167"/>
      <c r="C188" s="1167"/>
      <c r="D188" s="1169"/>
      <c r="E188" s="1180"/>
      <c r="I188" s="1164"/>
    </row>
    <row r="189" spans="1:9" x14ac:dyDescent="0.2">
      <c r="A189" s="1169"/>
      <c r="B189" s="1167"/>
      <c r="C189" s="1167"/>
      <c r="D189" s="1169"/>
      <c r="E189" s="1180"/>
      <c r="I189" s="1164"/>
    </row>
    <row r="190" spans="1:9" x14ac:dyDescent="0.2">
      <c r="A190" s="1169"/>
      <c r="B190" s="1167"/>
      <c r="C190" s="1167"/>
      <c r="D190" s="1169"/>
      <c r="E190" s="1180"/>
      <c r="I190" s="1164"/>
    </row>
    <row r="191" spans="1:9" x14ac:dyDescent="0.2">
      <c r="A191" s="1169"/>
      <c r="B191" s="1167"/>
      <c r="C191" s="1167"/>
      <c r="D191" s="1169"/>
      <c r="E191" s="1180"/>
      <c r="I191" s="1164"/>
    </row>
    <row r="192" spans="1:9" x14ac:dyDescent="0.2">
      <c r="A192" s="1169"/>
      <c r="B192" s="1167"/>
      <c r="C192" s="1167"/>
      <c r="D192" s="1169"/>
      <c r="E192" s="1180"/>
      <c r="I192" s="1164"/>
    </row>
    <row r="193" spans="1:9" x14ac:dyDescent="0.2">
      <c r="A193" s="1169"/>
      <c r="B193" s="1167"/>
      <c r="C193" s="1167"/>
      <c r="D193" s="1169"/>
      <c r="E193" s="1180"/>
      <c r="I193" s="1164"/>
    </row>
    <row r="194" spans="1:9" x14ac:dyDescent="0.2">
      <c r="A194" s="1169"/>
      <c r="B194" s="1167"/>
      <c r="C194" s="1167"/>
      <c r="D194" s="1169"/>
      <c r="E194" s="1180"/>
      <c r="I194" s="1164"/>
    </row>
    <row r="195" spans="1:9" x14ac:dyDescent="0.2">
      <c r="A195" s="1169"/>
      <c r="B195" s="1167"/>
      <c r="C195" s="1167"/>
      <c r="D195" s="1169"/>
      <c r="E195" s="1180"/>
      <c r="I195" s="1164"/>
    </row>
    <row r="196" spans="1:9" x14ac:dyDescent="0.2">
      <c r="A196" s="1169"/>
      <c r="B196" s="1167"/>
      <c r="C196" s="1167"/>
      <c r="D196" s="1169"/>
      <c r="E196" s="1180"/>
      <c r="I196" s="1164"/>
    </row>
    <row r="197" spans="1:9" x14ac:dyDescent="0.2">
      <c r="A197" s="1169"/>
      <c r="B197" s="1167"/>
      <c r="C197" s="1167"/>
      <c r="D197" s="1169"/>
      <c r="E197" s="1180"/>
      <c r="I197" s="1164"/>
    </row>
    <row r="198" spans="1:9" x14ac:dyDescent="0.2">
      <c r="A198" s="1169"/>
      <c r="B198" s="1167"/>
      <c r="C198" s="1167"/>
      <c r="D198" s="1169"/>
      <c r="E198" s="1180"/>
      <c r="I198" s="1164"/>
    </row>
    <row r="199" spans="1:9" x14ac:dyDescent="0.2">
      <c r="A199" s="1169"/>
      <c r="B199" s="1167"/>
      <c r="C199" s="1167"/>
      <c r="D199" s="1169"/>
      <c r="E199" s="1180"/>
      <c r="I199" s="1164"/>
    </row>
    <row r="200" spans="1:9" x14ac:dyDescent="0.2">
      <c r="A200" s="1169"/>
      <c r="B200" s="1167"/>
      <c r="C200" s="1167"/>
      <c r="D200" s="1169"/>
      <c r="E200" s="1180"/>
      <c r="I200" s="1164"/>
    </row>
    <row r="201" spans="1:9" x14ac:dyDescent="0.2">
      <c r="A201" s="1169"/>
      <c r="B201" s="1167"/>
      <c r="C201" s="1167"/>
      <c r="D201" s="1169"/>
      <c r="E201" s="1180"/>
      <c r="I201" s="1164"/>
    </row>
    <row r="202" spans="1:9" x14ac:dyDescent="0.2">
      <c r="A202" s="1169"/>
      <c r="B202" s="1167"/>
      <c r="C202" s="1167"/>
      <c r="D202" s="1169"/>
      <c r="E202" s="1180"/>
      <c r="I202" s="1164"/>
    </row>
    <row r="203" spans="1:9" x14ac:dyDescent="0.2">
      <c r="A203" s="1169"/>
      <c r="B203" s="1167"/>
      <c r="C203" s="1167"/>
      <c r="D203" s="1169"/>
      <c r="E203" s="1180"/>
      <c r="I203" s="1164"/>
    </row>
    <row r="204" spans="1:9" x14ac:dyDescent="0.2">
      <c r="A204" s="1169"/>
      <c r="B204" s="1167"/>
      <c r="C204" s="1167"/>
      <c r="D204" s="1169"/>
      <c r="E204" s="1180"/>
      <c r="I204" s="1164"/>
    </row>
    <row r="205" spans="1:9" x14ac:dyDescent="0.2">
      <c r="A205" s="1169"/>
      <c r="B205" s="1167"/>
      <c r="C205" s="1167"/>
      <c r="D205" s="1169"/>
      <c r="E205" s="1180"/>
      <c r="I205" s="1164"/>
    </row>
    <row r="206" spans="1:9" x14ac:dyDescent="0.2">
      <c r="A206" s="1169"/>
      <c r="B206" s="1167"/>
      <c r="C206" s="1167"/>
      <c r="D206" s="1169"/>
      <c r="E206" s="1180"/>
      <c r="I206" s="1164"/>
    </row>
    <row r="207" spans="1:9" x14ac:dyDescent="0.2">
      <c r="A207" s="1169"/>
      <c r="B207" s="1167"/>
      <c r="C207" s="1167"/>
      <c r="D207" s="1169"/>
      <c r="E207" s="1180"/>
      <c r="I207" s="1164"/>
    </row>
    <row r="208" spans="1:9" x14ac:dyDescent="0.2">
      <c r="A208" s="1169"/>
      <c r="B208" s="1167"/>
      <c r="C208" s="1167"/>
      <c r="D208" s="1169"/>
      <c r="E208" s="1180"/>
      <c r="I208" s="1164"/>
    </row>
    <row r="209" spans="1:9" x14ac:dyDescent="0.2">
      <c r="A209" s="1169"/>
      <c r="B209" s="1167"/>
      <c r="C209" s="1167"/>
      <c r="D209" s="1169"/>
      <c r="E209" s="1180"/>
      <c r="I209" s="1164"/>
    </row>
    <row r="210" spans="1:9" x14ac:dyDescent="0.2">
      <c r="A210" s="1169"/>
      <c r="B210" s="1167"/>
      <c r="C210" s="1167"/>
      <c r="D210" s="1169"/>
      <c r="E210" s="1180"/>
      <c r="I210" s="1164"/>
    </row>
    <row r="211" spans="1:9" x14ac:dyDescent="0.2">
      <c r="A211" s="1169"/>
      <c r="B211" s="1167"/>
      <c r="C211" s="1167"/>
      <c r="D211" s="1169"/>
      <c r="E211" s="1180"/>
      <c r="I211" s="1164"/>
    </row>
    <row r="212" spans="1:9" x14ac:dyDescent="0.2">
      <c r="A212" s="1169"/>
      <c r="B212" s="1167"/>
      <c r="C212" s="1167"/>
      <c r="D212" s="1169"/>
      <c r="E212" s="1180"/>
      <c r="I212" s="1164"/>
    </row>
    <row r="213" spans="1:9" x14ac:dyDescent="0.2">
      <c r="A213" s="1169"/>
      <c r="B213" s="1167"/>
      <c r="C213" s="1167"/>
      <c r="D213" s="1169"/>
      <c r="E213" s="1180"/>
      <c r="I213" s="1164"/>
    </row>
    <row r="214" spans="1:9" x14ac:dyDescent="0.2">
      <c r="A214" s="1169"/>
      <c r="B214" s="1167"/>
      <c r="C214" s="1167"/>
      <c r="D214" s="1169"/>
      <c r="E214" s="1180"/>
      <c r="I214" s="1164"/>
    </row>
    <row r="215" spans="1:9" x14ac:dyDescent="0.2">
      <c r="A215" s="1169"/>
      <c r="B215" s="1167"/>
      <c r="C215" s="1167"/>
      <c r="D215" s="1169"/>
      <c r="E215" s="1180"/>
      <c r="I215" s="1164"/>
    </row>
    <row r="216" spans="1:9" x14ac:dyDescent="0.2">
      <c r="A216" s="1169"/>
      <c r="B216" s="1167"/>
      <c r="C216" s="1167"/>
      <c r="D216" s="1169"/>
      <c r="E216" s="1180"/>
      <c r="I216" s="1164"/>
    </row>
    <row r="217" spans="1:9" x14ac:dyDescent="0.2">
      <c r="A217" s="1169"/>
      <c r="B217" s="1167"/>
      <c r="C217" s="1167"/>
      <c r="D217" s="1169"/>
      <c r="E217" s="1180"/>
      <c r="I217" s="1164"/>
    </row>
    <row r="218" spans="1:9" x14ac:dyDescent="0.2">
      <c r="A218" s="1169"/>
      <c r="B218" s="1167"/>
      <c r="C218" s="1167"/>
      <c r="D218" s="1169"/>
      <c r="E218" s="1180"/>
      <c r="I218" s="1164"/>
    </row>
    <row r="219" spans="1:9" x14ac:dyDescent="0.2">
      <c r="A219" s="1169"/>
      <c r="B219" s="1167"/>
      <c r="C219" s="1167"/>
      <c r="D219" s="1169"/>
      <c r="E219" s="1180"/>
      <c r="I219" s="1164"/>
    </row>
    <row r="220" spans="1:9" x14ac:dyDescent="0.2">
      <c r="A220" s="1169"/>
      <c r="B220" s="1167"/>
      <c r="C220" s="1167"/>
      <c r="D220" s="1169"/>
      <c r="E220" s="1180"/>
      <c r="I220" s="1164"/>
    </row>
    <row r="221" spans="1:9" x14ac:dyDescent="0.2">
      <c r="A221" s="1169"/>
      <c r="B221" s="1167"/>
      <c r="C221" s="1167"/>
      <c r="D221" s="1169"/>
      <c r="E221" s="1180"/>
      <c r="I221" s="1164"/>
    </row>
    <row r="222" spans="1:9" x14ac:dyDescent="0.2">
      <c r="A222" s="1169"/>
      <c r="B222" s="1167"/>
      <c r="C222" s="1167"/>
      <c r="D222" s="1169"/>
      <c r="E222" s="1180"/>
      <c r="I222" s="1164"/>
    </row>
    <row r="223" spans="1:9" x14ac:dyDescent="0.2">
      <c r="A223" s="1169"/>
      <c r="B223" s="1167"/>
      <c r="C223" s="1167"/>
      <c r="D223" s="1169"/>
      <c r="E223" s="1180"/>
      <c r="I223" s="1164"/>
    </row>
    <row r="224" spans="1:9" x14ac:dyDescent="0.2">
      <c r="A224" s="1169"/>
      <c r="B224" s="1167"/>
      <c r="C224" s="1167"/>
      <c r="D224" s="1169"/>
      <c r="E224" s="1180"/>
      <c r="I224" s="1164"/>
    </row>
    <row r="225" spans="1:9" x14ac:dyDescent="0.2">
      <c r="A225" s="1169"/>
      <c r="B225" s="1167"/>
      <c r="C225" s="1167"/>
      <c r="D225" s="1169"/>
      <c r="E225" s="1180"/>
      <c r="I225" s="1164"/>
    </row>
    <row r="226" spans="1:9" x14ac:dyDescent="0.2">
      <c r="A226" s="1169"/>
      <c r="B226" s="1167"/>
      <c r="C226" s="1167"/>
      <c r="D226" s="1169"/>
      <c r="E226" s="1180"/>
      <c r="I226" s="1164"/>
    </row>
    <row r="227" spans="1:9" x14ac:dyDescent="0.2">
      <c r="A227" s="1169"/>
      <c r="B227" s="1167"/>
      <c r="C227" s="1167"/>
      <c r="D227" s="1169"/>
      <c r="E227" s="1180"/>
      <c r="I227" s="1164"/>
    </row>
    <row r="228" spans="1:9" x14ac:dyDescent="0.2">
      <c r="A228" s="1169"/>
      <c r="B228" s="1167"/>
      <c r="C228" s="1167"/>
      <c r="D228" s="1169"/>
      <c r="E228" s="1180"/>
      <c r="I228" s="1164"/>
    </row>
    <row r="229" spans="1:9" x14ac:dyDescent="0.2">
      <c r="A229" s="1169"/>
      <c r="B229" s="1167"/>
      <c r="C229" s="1167"/>
      <c r="D229" s="1169"/>
      <c r="E229" s="1180"/>
      <c r="I229" s="1164"/>
    </row>
    <row r="230" spans="1:9" x14ac:dyDescent="0.2">
      <c r="A230" s="1169"/>
      <c r="B230" s="1167"/>
      <c r="C230" s="1167"/>
      <c r="D230" s="1169"/>
      <c r="E230" s="1180"/>
      <c r="I230" s="1164"/>
    </row>
    <row r="231" spans="1:9" x14ac:dyDescent="0.2">
      <c r="A231" s="1169"/>
      <c r="B231" s="1167"/>
      <c r="C231" s="1167"/>
      <c r="D231" s="1169"/>
      <c r="E231" s="1180"/>
      <c r="I231" s="1164"/>
    </row>
    <row r="232" spans="1:9" x14ac:dyDescent="0.2">
      <c r="A232" s="1169"/>
      <c r="B232" s="1167"/>
      <c r="C232" s="1167"/>
      <c r="D232" s="1169"/>
      <c r="E232" s="1180"/>
      <c r="I232" s="1164"/>
    </row>
    <row r="233" spans="1:9" x14ac:dyDescent="0.2">
      <c r="A233" s="1169"/>
      <c r="B233" s="1167"/>
      <c r="C233" s="1167"/>
      <c r="D233" s="1169"/>
      <c r="E233" s="1180"/>
      <c r="I233" s="1164"/>
    </row>
    <row r="234" spans="1:9" x14ac:dyDescent="0.2">
      <c r="A234" s="1169"/>
      <c r="B234" s="1167"/>
      <c r="C234" s="1167"/>
      <c r="D234" s="1169"/>
      <c r="E234" s="1180"/>
      <c r="I234" s="1164"/>
    </row>
    <row r="235" spans="1:9" x14ac:dyDescent="0.2">
      <c r="A235" s="1169"/>
      <c r="B235" s="1167"/>
      <c r="C235" s="1167"/>
      <c r="D235" s="1169"/>
      <c r="E235" s="1180"/>
      <c r="I235" s="1164"/>
    </row>
    <row r="236" spans="1:9" x14ac:dyDescent="0.2">
      <c r="A236" s="1169"/>
      <c r="B236" s="1167"/>
      <c r="C236" s="1167"/>
      <c r="D236" s="1169"/>
      <c r="E236" s="1180"/>
      <c r="I236" s="1164"/>
    </row>
    <row r="237" spans="1:9" x14ac:dyDescent="0.2">
      <c r="A237" s="1169"/>
      <c r="B237" s="1167"/>
      <c r="C237" s="1167"/>
      <c r="D237" s="1169"/>
      <c r="E237" s="1180"/>
      <c r="I237" s="1164"/>
    </row>
    <row r="238" spans="1:9" x14ac:dyDescent="0.2">
      <c r="A238" s="1169"/>
      <c r="B238" s="1167"/>
      <c r="C238" s="1167"/>
      <c r="D238" s="1169"/>
      <c r="E238" s="1180"/>
      <c r="I238" s="1164"/>
    </row>
    <row r="239" spans="1:9" x14ac:dyDescent="0.2">
      <c r="A239" s="1169"/>
      <c r="B239" s="1167"/>
      <c r="C239" s="1167"/>
      <c r="D239" s="1169"/>
      <c r="E239" s="1180"/>
      <c r="I239" s="1164"/>
    </row>
    <row r="240" spans="1:9" x14ac:dyDescent="0.2">
      <c r="A240" s="1169"/>
      <c r="B240" s="1167"/>
      <c r="C240" s="1167"/>
      <c r="D240" s="1169"/>
      <c r="E240" s="1180"/>
      <c r="I240" s="1164"/>
    </row>
    <row r="241" spans="1:9" x14ac:dyDescent="0.2">
      <c r="A241" s="1169"/>
      <c r="B241" s="1167"/>
      <c r="C241" s="1167"/>
      <c r="D241" s="1169"/>
      <c r="E241" s="1180"/>
      <c r="I241" s="1164"/>
    </row>
    <row r="242" spans="1:9" x14ac:dyDescent="0.2">
      <c r="A242" s="1169"/>
      <c r="B242" s="1167"/>
      <c r="C242" s="1167"/>
      <c r="D242" s="1169"/>
      <c r="E242" s="1180"/>
      <c r="I242" s="1164"/>
    </row>
    <row r="243" spans="1:9" x14ac:dyDescent="0.2">
      <c r="A243" s="1169"/>
      <c r="B243" s="1167"/>
      <c r="C243" s="1167"/>
      <c r="D243" s="1169"/>
      <c r="E243" s="1180"/>
      <c r="I243" s="1164"/>
    </row>
    <row r="244" spans="1:9" x14ac:dyDescent="0.2">
      <c r="A244" s="1169"/>
      <c r="B244" s="1167"/>
      <c r="C244" s="1167"/>
      <c r="D244" s="1169"/>
      <c r="E244" s="1180"/>
      <c r="I244" s="1164"/>
    </row>
    <row r="245" spans="1:9" x14ac:dyDescent="0.2">
      <c r="A245" s="1169"/>
      <c r="B245" s="1167"/>
      <c r="C245" s="1167"/>
      <c r="D245" s="1169"/>
      <c r="E245" s="1180"/>
      <c r="I245" s="1164"/>
    </row>
    <row r="246" spans="1:9" x14ac:dyDescent="0.2">
      <c r="A246" s="1169"/>
      <c r="B246" s="1167"/>
      <c r="C246" s="1167"/>
      <c r="D246" s="1169"/>
      <c r="E246" s="1180"/>
      <c r="I246" s="1164"/>
    </row>
    <row r="247" spans="1:9" x14ac:dyDescent="0.2">
      <c r="A247" s="1169"/>
      <c r="B247" s="1167"/>
      <c r="C247" s="1167"/>
      <c r="D247" s="1169"/>
      <c r="E247" s="1180"/>
      <c r="I247" s="1164"/>
    </row>
    <row r="248" spans="1:9" x14ac:dyDescent="0.2">
      <c r="A248" s="1169"/>
      <c r="B248" s="1167"/>
      <c r="C248" s="1167"/>
      <c r="D248" s="1169"/>
      <c r="E248" s="1180"/>
      <c r="I248" s="1164"/>
    </row>
    <row r="249" spans="1:9" x14ac:dyDescent="0.2">
      <c r="A249" s="1169"/>
      <c r="B249" s="1167"/>
      <c r="C249" s="1167"/>
      <c r="D249" s="1169"/>
      <c r="E249" s="1180"/>
      <c r="I249" s="1164"/>
    </row>
    <row r="250" spans="1:9" x14ac:dyDescent="0.2">
      <c r="A250" s="1169"/>
      <c r="B250" s="1167"/>
      <c r="C250" s="1167"/>
      <c r="D250" s="1169"/>
      <c r="E250" s="1180"/>
      <c r="I250" s="1164"/>
    </row>
    <row r="251" spans="1:9" x14ac:dyDescent="0.2">
      <c r="A251" s="1169"/>
      <c r="B251" s="1167"/>
      <c r="C251" s="1167"/>
      <c r="D251" s="1169"/>
      <c r="E251" s="1180"/>
      <c r="I251" s="1164"/>
    </row>
    <row r="252" spans="1:9" x14ac:dyDescent="0.2">
      <c r="A252" s="1169"/>
      <c r="B252" s="1167"/>
      <c r="C252" s="1167"/>
      <c r="D252" s="1169"/>
      <c r="E252" s="1180"/>
      <c r="I252" s="1164"/>
    </row>
    <row r="253" spans="1:9" x14ac:dyDescent="0.2">
      <c r="A253" s="1169"/>
      <c r="B253" s="1167"/>
      <c r="C253" s="1167"/>
      <c r="D253" s="1169"/>
      <c r="E253" s="1180"/>
      <c r="I253" s="1164"/>
    </row>
    <row r="254" spans="1:9" x14ac:dyDescent="0.2">
      <c r="A254" s="1169"/>
      <c r="B254" s="1167"/>
      <c r="C254" s="1167"/>
      <c r="D254" s="1169"/>
      <c r="E254" s="1180"/>
      <c r="I254" s="1164"/>
    </row>
    <row r="255" spans="1:9" x14ac:dyDescent="0.2">
      <c r="A255" s="1169"/>
      <c r="B255" s="1167"/>
      <c r="C255" s="1167"/>
      <c r="D255" s="1169"/>
      <c r="E255" s="1180"/>
      <c r="I255" s="1164"/>
    </row>
    <row r="256" spans="1:9" x14ac:dyDescent="0.2">
      <c r="A256" s="1169"/>
      <c r="B256" s="1167"/>
      <c r="C256" s="1167"/>
      <c r="D256" s="1169"/>
      <c r="E256" s="1180"/>
      <c r="I256" s="1164"/>
    </row>
    <row r="257" spans="1:9" x14ac:dyDescent="0.2">
      <c r="A257" s="1169"/>
      <c r="B257" s="1167"/>
      <c r="C257" s="1167"/>
      <c r="D257" s="1169"/>
      <c r="E257" s="1180"/>
      <c r="I257" s="1164"/>
    </row>
    <row r="258" spans="1:9" x14ac:dyDescent="0.2">
      <c r="A258" s="1169"/>
      <c r="B258" s="1167"/>
      <c r="C258" s="1167"/>
      <c r="D258" s="1169"/>
      <c r="E258" s="1180"/>
      <c r="I258" s="1164"/>
    </row>
    <row r="259" spans="1:9" x14ac:dyDescent="0.2">
      <c r="A259" s="1169"/>
      <c r="B259" s="1167"/>
      <c r="C259" s="1167"/>
      <c r="D259" s="1169"/>
      <c r="E259" s="1180"/>
      <c r="I259" s="1164"/>
    </row>
    <row r="260" spans="1:9" x14ac:dyDescent="0.2">
      <c r="A260" s="1169"/>
      <c r="B260" s="1167"/>
      <c r="C260" s="1167"/>
      <c r="D260" s="1169"/>
      <c r="E260" s="1180"/>
      <c r="I260" s="1164"/>
    </row>
    <row r="261" spans="1:9" x14ac:dyDescent="0.2">
      <c r="A261" s="1169"/>
      <c r="B261" s="1167"/>
      <c r="C261" s="1167"/>
      <c r="D261" s="1169"/>
      <c r="E261" s="1180"/>
      <c r="I261" s="1164"/>
    </row>
    <row r="262" spans="1:9" x14ac:dyDescent="0.2">
      <c r="A262" s="1169"/>
      <c r="B262" s="1167"/>
      <c r="C262" s="1167"/>
      <c r="D262" s="1169"/>
      <c r="E262" s="1180"/>
      <c r="I262" s="1164"/>
    </row>
    <row r="263" spans="1:9" x14ac:dyDescent="0.2">
      <c r="A263" s="1169"/>
      <c r="B263" s="1167"/>
      <c r="C263" s="1167"/>
      <c r="D263" s="1169"/>
      <c r="E263" s="1180"/>
      <c r="I263" s="1164"/>
    </row>
    <row r="264" spans="1:9" x14ac:dyDescent="0.2">
      <c r="A264" s="1169"/>
      <c r="B264" s="1167"/>
      <c r="C264" s="1167"/>
      <c r="D264" s="1169"/>
      <c r="E264" s="1180"/>
      <c r="I264" s="1164"/>
    </row>
    <row r="265" spans="1:9" x14ac:dyDescent="0.2">
      <c r="A265" s="1169"/>
      <c r="B265" s="1167"/>
      <c r="C265" s="1167"/>
      <c r="D265" s="1169"/>
      <c r="E265" s="1180"/>
      <c r="I265" s="1164"/>
    </row>
    <row r="266" spans="1:9" x14ac:dyDescent="0.2">
      <c r="A266" s="1169"/>
      <c r="B266" s="1167"/>
      <c r="C266" s="1167"/>
      <c r="D266" s="1169"/>
      <c r="E266" s="1180"/>
      <c r="I266" s="1164"/>
    </row>
    <row r="267" spans="1:9" x14ac:dyDescent="0.2">
      <c r="A267" s="1169"/>
      <c r="B267" s="1167"/>
      <c r="C267" s="1167"/>
      <c r="D267" s="1169"/>
      <c r="E267" s="1180"/>
      <c r="I267" s="1164"/>
    </row>
    <row r="268" spans="1:9" x14ac:dyDescent="0.2">
      <c r="A268" s="1169"/>
      <c r="B268" s="1167"/>
      <c r="C268" s="1167"/>
      <c r="D268" s="1169"/>
      <c r="E268" s="1180"/>
      <c r="I268" s="1164"/>
    </row>
    <row r="269" spans="1:9" x14ac:dyDescent="0.2">
      <c r="A269" s="1169"/>
      <c r="B269" s="1167"/>
      <c r="C269" s="1167"/>
      <c r="D269" s="1169"/>
      <c r="E269" s="1180"/>
      <c r="I269" s="1164"/>
    </row>
    <row r="270" spans="1:9" x14ac:dyDescent="0.2">
      <c r="A270" s="1169"/>
      <c r="B270" s="1167"/>
      <c r="C270" s="1167"/>
      <c r="D270" s="1169"/>
      <c r="E270" s="1180"/>
      <c r="I270" s="1164"/>
    </row>
    <row r="271" spans="1:9" x14ac:dyDescent="0.2">
      <c r="A271" s="1169"/>
      <c r="B271" s="1167"/>
      <c r="C271" s="1167"/>
      <c r="D271" s="1169"/>
      <c r="E271" s="1180"/>
      <c r="I271" s="1164"/>
    </row>
    <row r="272" spans="1:9" x14ac:dyDescent="0.2">
      <c r="A272" s="1169"/>
      <c r="B272" s="1167"/>
      <c r="C272" s="1167"/>
      <c r="D272" s="1169"/>
      <c r="E272" s="1180"/>
      <c r="I272" s="1164"/>
    </row>
    <row r="273" spans="1:9" x14ac:dyDescent="0.2">
      <c r="A273" s="1169"/>
      <c r="B273" s="1167"/>
      <c r="C273" s="1167"/>
      <c r="D273" s="1169"/>
      <c r="E273" s="1180"/>
      <c r="I273" s="1164"/>
    </row>
    <row r="274" spans="1:9" x14ac:dyDescent="0.2">
      <c r="A274" s="1169"/>
      <c r="B274" s="1167"/>
      <c r="C274" s="1167"/>
      <c r="D274" s="1169"/>
      <c r="E274" s="1180"/>
      <c r="I274" s="1164"/>
    </row>
    <row r="275" spans="1:9" x14ac:dyDescent="0.2">
      <c r="A275" s="1169"/>
      <c r="B275" s="1167"/>
      <c r="C275" s="1167"/>
      <c r="D275" s="1169"/>
      <c r="E275" s="1180"/>
      <c r="I275" s="1164"/>
    </row>
    <row r="276" spans="1:9" x14ac:dyDescent="0.2">
      <c r="A276" s="1169"/>
      <c r="B276" s="1167"/>
      <c r="C276" s="1167"/>
      <c r="D276" s="1169"/>
      <c r="E276" s="1180"/>
      <c r="I276" s="1164"/>
    </row>
    <row r="277" spans="1:9" x14ac:dyDescent="0.2">
      <c r="A277" s="1169"/>
      <c r="B277" s="1167"/>
      <c r="C277" s="1167"/>
      <c r="D277" s="1169"/>
      <c r="E277" s="1180"/>
      <c r="I277" s="1164"/>
    </row>
    <row r="278" spans="1:9" x14ac:dyDescent="0.2">
      <c r="A278" s="1169"/>
      <c r="B278" s="1167"/>
      <c r="C278" s="1167"/>
      <c r="D278" s="1169"/>
      <c r="E278" s="1180"/>
      <c r="I278" s="1164"/>
    </row>
    <row r="279" spans="1:9" x14ac:dyDescent="0.2">
      <c r="A279" s="1169"/>
      <c r="B279" s="1167"/>
      <c r="C279" s="1167"/>
      <c r="D279" s="1169"/>
      <c r="E279" s="1180"/>
      <c r="I279" s="1164"/>
    </row>
    <row r="280" spans="1:9" x14ac:dyDescent="0.2">
      <c r="A280" s="1169"/>
      <c r="B280" s="1167"/>
      <c r="C280" s="1167"/>
      <c r="D280" s="1169"/>
      <c r="E280" s="1180"/>
      <c r="I280" s="1164"/>
    </row>
    <row r="281" spans="1:9" x14ac:dyDescent="0.2">
      <c r="A281" s="1169"/>
      <c r="B281" s="1167"/>
      <c r="C281" s="1167"/>
      <c r="D281" s="1169"/>
      <c r="E281" s="1180"/>
      <c r="I281" s="1164"/>
    </row>
    <row r="282" spans="1:9" x14ac:dyDescent="0.2">
      <c r="A282" s="1169"/>
      <c r="B282" s="1167"/>
      <c r="C282" s="1167"/>
      <c r="D282" s="1169"/>
      <c r="E282" s="1180"/>
      <c r="I282" s="1164"/>
    </row>
    <row r="283" spans="1:9" x14ac:dyDescent="0.2">
      <c r="A283" s="1169"/>
      <c r="B283" s="1167"/>
      <c r="C283" s="1167"/>
      <c r="D283" s="1169"/>
      <c r="E283" s="1180"/>
      <c r="I283" s="1164"/>
    </row>
    <row r="284" spans="1:9" x14ac:dyDescent="0.2">
      <c r="A284" s="1169"/>
      <c r="B284" s="1167"/>
      <c r="C284" s="1167"/>
      <c r="D284" s="1169"/>
      <c r="E284" s="1180"/>
      <c r="I284" s="1164"/>
    </row>
    <row r="285" spans="1:9" x14ac:dyDescent="0.2">
      <c r="A285" s="1169"/>
      <c r="B285" s="1167"/>
      <c r="C285" s="1167"/>
      <c r="D285" s="1169"/>
      <c r="E285" s="1180"/>
      <c r="I285" s="1164"/>
    </row>
    <row r="286" spans="1:9" x14ac:dyDescent="0.2">
      <c r="A286" s="1169"/>
      <c r="B286" s="1167"/>
      <c r="C286" s="1167"/>
      <c r="D286" s="1169"/>
      <c r="E286" s="1180"/>
      <c r="I286" s="1164"/>
    </row>
    <row r="287" spans="1:9" x14ac:dyDescent="0.2">
      <c r="A287" s="1169"/>
      <c r="B287" s="1167"/>
      <c r="C287" s="1167"/>
      <c r="D287" s="1169"/>
      <c r="E287" s="1180"/>
      <c r="I287" s="1164"/>
    </row>
    <row r="288" spans="1:9" x14ac:dyDescent="0.2">
      <c r="A288" s="1169"/>
      <c r="B288" s="1167"/>
      <c r="C288" s="1167"/>
      <c r="D288" s="1169"/>
      <c r="E288" s="1180"/>
      <c r="I288" s="1164"/>
    </row>
    <row r="289" spans="1:9" x14ac:dyDescent="0.2">
      <c r="A289" s="1169"/>
      <c r="B289" s="1167"/>
      <c r="C289" s="1167"/>
      <c r="D289" s="1169"/>
      <c r="E289" s="1180"/>
      <c r="I289" s="1164"/>
    </row>
    <row r="290" spans="1:9" x14ac:dyDescent="0.2">
      <c r="A290" s="1169"/>
      <c r="B290" s="1167"/>
      <c r="C290" s="1167"/>
      <c r="D290" s="1169"/>
      <c r="E290" s="1180"/>
      <c r="I290" s="1164"/>
    </row>
    <row r="291" spans="1:9" x14ac:dyDescent="0.2">
      <c r="A291" s="1169"/>
      <c r="B291" s="1167"/>
      <c r="C291" s="1167"/>
      <c r="D291" s="1169"/>
      <c r="E291" s="1180"/>
      <c r="I291" s="1164"/>
    </row>
    <row r="292" spans="1:9" x14ac:dyDescent="0.2">
      <c r="A292" s="1169"/>
      <c r="B292" s="1167"/>
      <c r="C292" s="1167"/>
      <c r="D292" s="1169"/>
      <c r="E292" s="1180"/>
      <c r="I292" s="1164"/>
    </row>
    <row r="293" spans="1:9" x14ac:dyDescent="0.2">
      <c r="A293" s="1169"/>
      <c r="B293" s="1167"/>
      <c r="C293" s="1167"/>
      <c r="D293" s="1169"/>
      <c r="E293" s="1180"/>
      <c r="I293" s="1164"/>
    </row>
    <row r="294" spans="1:9" x14ac:dyDescent="0.2">
      <c r="A294" s="1169"/>
      <c r="B294" s="1167"/>
      <c r="C294" s="1167"/>
      <c r="D294" s="1169"/>
      <c r="E294" s="1180"/>
      <c r="I294" s="1164"/>
    </row>
    <row r="295" spans="1:9" x14ac:dyDescent="0.2">
      <c r="A295" s="1169"/>
      <c r="B295" s="1167"/>
      <c r="C295" s="1167"/>
      <c r="D295" s="1169"/>
      <c r="E295" s="1180"/>
      <c r="I295" s="1164"/>
    </row>
    <row r="296" spans="1:9" x14ac:dyDescent="0.2">
      <c r="A296" s="1169"/>
      <c r="B296" s="1167"/>
      <c r="C296" s="1167"/>
      <c r="D296" s="1169"/>
      <c r="E296" s="1180"/>
      <c r="I296" s="1164"/>
    </row>
    <row r="297" spans="1:9" x14ac:dyDescent="0.2">
      <c r="A297" s="1169"/>
      <c r="B297" s="1167"/>
      <c r="C297" s="1167"/>
      <c r="D297" s="1169"/>
      <c r="E297" s="1180"/>
      <c r="I297" s="1164"/>
    </row>
    <row r="298" spans="1:9" x14ac:dyDescent="0.2">
      <c r="A298" s="1169"/>
      <c r="B298" s="1167"/>
      <c r="C298" s="1167"/>
      <c r="D298" s="1169"/>
      <c r="E298" s="1180"/>
      <c r="I298" s="1164"/>
    </row>
    <row r="299" spans="1:9" x14ac:dyDescent="0.2">
      <c r="A299" s="1169"/>
      <c r="B299" s="1167"/>
      <c r="C299" s="1167"/>
      <c r="D299" s="1169"/>
      <c r="E299" s="1180"/>
      <c r="I299" s="1164"/>
    </row>
    <row r="300" spans="1:9" x14ac:dyDescent="0.2">
      <c r="A300" s="1169"/>
      <c r="B300" s="1167"/>
      <c r="C300" s="1167"/>
      <c r="D300" s="1169"/>
      <c r="E300" s="1180"/>
      <c r="I300" s="1164"/>
    </row>
    <row r="301" spans="1:9" x14ac:dyDescent="0.2">
      <c r="A301" s="1169"/>
      <c r="B301" s="1167"/>
      <c r="C301" s="1167"/>
      <c r="D301" s="1169"/>
      <c r="E301" s="1180"/>
      <c r="I301" s="1164"/>
    </row>
    <row r="302" spans="1:9" x14ac:dyDescent="0.2">
      <c r="A302" s="1169"/>
      <c r="B302" s="1167"/>
      <c r="C302" s="1167"/>
      <c r="D302" s="1169"/>
      <c r="E302" s="1180"/>
      <c r="I302" s="1164"/>
    </row>
    <row r="303" spans="1:9" x14ac:dyDescent="0.2">
      <c r="A303" s="1169"/>
      <c r="B303" s="1167"/>
      <c r="C303" s="1167"/>
      <c r="D303" s="1169"/>
      <c r="E303" s="1180"/>
      <c r="I303" s="1164"/>
    </row>
    <row r="304" spans="1:9" x14ac:dyDescent="0.2">
      <c r="A304" s="1169"/>
      <c r="B304" s="1167"/>
      <c r="C304" s="1167"/>
      <c r="D304" s="1169"/>
      <c r="E304" s="1180"/>
      <c r="I304" s="1164"/>
    </row>
    <row r="305" spans="1:9" x14ac:dyDescent="0.2">
      <c r="A305" s="1169"/>
      <c r="B305" s="1167"/>
      <c r="C305" s="1167"/>
      <c r="D305" s="1169"/>
      <c r="E305" s="1180"/>
      <c r="I305" s="1164"/>
    </row>
    <row r="306" spans="1:9" x14ac:dyDescent="0.2">
      <c r="A306" s="1169"/>
      <c r="B306" s="1167"/>
      <c r="C306" s="1167"/>
      <c r="D306" s="1169"/>
      <c r="E306" s="1180"/>
      <c r="I306" s="1164"/>
    </row>
    <row r="307" spans="1:9" x14ac:dyDescent="0.2">
      <c r="A307" s="1169"/>
      <c r="B307" s="1167"/>
      <c r="C307" s="1167"/>
      <c r="D307" s="1169"/>
      <c r="E307" s="1180"/>
      <c r="I307" s="1164"/>
    </row>
    <row r="308" spans="1:9" x14ac:dyDescent="0.2">
      <c r="A308" s="1169"/>
      <c r="B308" s="1167"/>
      <c r="C308" s="1167"/>
      <c r="D308" s="1169"/>
      <c r="E308" s="1180"/>
      <c r="I308" s="1164"/>
    </row>
    <row r="309" spans="1:9" x14ac:dyDescent="0.2">
      <c r="A309" s="1169"/>
      <c r="B309" s="1167"/>
      <c r="C309" s="1167"/>
      <c r="D309" s="1169"/>
      <c r="E309" s="1180"/>
      <c r="I309" s="1164"/>
    </row>
    <row r="310" spans="1:9" x14ac:dyDescent="0.2">
      <c r="A310" s="1169"/>
      <c r="B310" s="1167"/>
      <c r="C310" s="1167"/>
      <c r="D310" s="1169"/>
      <c r="E310" s="1180"/>
      <c r="I310" s="1164"/>
    </row>
    <row r="311" spans="1:9" x14ac:dyDescent="0.2">
      <c r="A311" s="1169"/>
      <c r="B311" s="1167"/>
      <c r="C311" s="1167"/>
      <c r="D311" s="1169"/>
      <c r="E311" s="1180"/>
      <c r="I311" s="1164"/>
    </row>
    <row r="312" spans="1:9" x14ac:dyDescent="0.2">
      <c r="A312" s="1169"/>
      <c r="B312" s="1167"/>
      <c r="C312" s="1167"/>
      <c r="D312" s="1169"/>
      <c r="E312" s="1180"/>
      <c r="I312" s="1164"/>
    </row>
    <row r="313" spans="1:9" x14ac:dyDescent="0.2">
      <c r="A313" s="1169"/>
      <c r="B313" s="1167"/>
      <c r="C313" s="1167"/>
      <c r="D313" s="1169"/>
      <c r="E313" s="1180"/>
      <c r="I313" s="1164"/>
    </row>
    <row r="314" spans="1:9" x14ac:dyDescent="0.2">
      <c r="A314" s="1169"/>
      <c r="B314" s="1167"/>
      <c r="C314" s="1167"/>
      <c r="D314" s="1169"/>
      <c r="E314" s="1180"/>
      <c r="I314" s="1164"/>
    </row>
    <row r="315" spans="1:9" x14ac:dyDescent="0.2">
      <c r="A315" s="1169"/>
      <c r="B315" s="1167"/>
      <c r="C315" s="1167"/>
      <c r="D315" s="1169"/>
      <c r="E315" s="1180"/>
      <c r="I315" s="1164"/>
    </row>
    <row r="316" spans="1:9" x14ac:dyDescent="0.2">
      <c r="A316" s="1169"/>
      <c r="B316" s="1167"/>
      <c r="C316" s="1167"/>
      <c r="D316" s="1169"/>
      <c r="E316" s="1180"/>
      <c r="I316" s="1164"/>
    </row>
    <row r="317" spans="1:9" x14ac:dyDescent="0.2">
      <c r="A317" s="1169"/>
      <c r="B317" s="1167"/>
      <c r="C317" s="1167"/>
      <c r="D317" s="1169"/>
      <c r="E317" s="1180"/>
      <c r="I317" s="1164"/>
    </row>
    <row r="318" spans="1:9" x14ac:dyDescent="0.2">
      <c r="A318" s="1169"/>
      <c r="B318" s="1167"/>
      <c r="C318" s="1167"/>
      <c r="D318" s="1169"/>
      <c r="E318" s="1180"/>
      <c r="I318" s="1164"/>
    </row>
    <row r="319" spans="1:9" x14ac:dyDescent="0.2">
      <c r="A319" s="1169"/>
      <c r="B319" s="1167"/>
      <c r="C319" s="1167"/>
      <c r="D319" s="1169"/>
      <c r="E319" s="1180"/>
      <c r="I319" s="1164"/>
    </row>
    <row r="320" spans="1:9" x14ac:dyDescent="0.2">
      <c r="A320" s="1169"/>
      <c r="B320" s="1167"/>
      <c r="C320" s="1167"/>
      <c r="D320" s="1169"/>
      <c r="E320" s="1180"/>
      <c r="I320" s="1164"/>
    </row>
    <row r="321" spans="1:9" x14ac:dyDescent="0.2">
      <c r="A321" s="1169"/>
      <c r="B321" s="1167"/>
      <c r="C321" s="1167"/>
      <c r="D321" s="1169"/>
      <c r="E321" s="1180"/>
      <c r="I321" s="1164"/>
    </row>
    <row r="322" spans="1:9" x14ac:dyDescent="0.2">
      <c r="A322" s="1169"/>
      <c r="B322" s="1167"/>
      <c r="C322" s="1167"/>
      <c r="D322" s="1169"/>
      <c r="E322" s="1180"/>
      <c r="I322" s="1164"/>
    </row>
    <row r="323" spans="1:9" x14ac:dyDescent="0.2">
      <c r="A323" s="1169"/>
      <c r="B323" s="1167"/>
      <c r="C323" s="1167"/>
      <c r="D323" s="1169"/>
      <c r="E323" s="1180"/>
      <c r="I323" s="1164"/>
    </row>
    <row r="324" spans="1:9" x14ac:dyDescent="0.2">
      <c r="A324" s="1169"/>
      <c r="B324" s="1167"/>
      <c r="C324" s="1167"/>
      <c r="D324" s="1169"/>
      <c r="E324" s="1180"/>
      <c r="I324" s="1164"/>
    </row>
    <row r="325" spans="1:9" x14ac:dyDescent="0.2">
      <c r="A325" s="1169"/>
      <c r="B325" s="1167"/>
      <c r="C325" s="1167"/>
      <c r="D325" s="1169"/>
      <c r="E325" s="1180"/>
      <c r="I325" s="1164"/>
    </row>
    <row r="326" spans="1:9" x14ac:dyDescent="0.2">
      <c r="A326" s="1169"/>
      <c r="B326" s="1167"/>
      <c r="C326" s="1167"/>
      <c r="D326" s="1169"/>
      <c r="E326" s="1180"/>
      <c r="I326" s="1164"/>
    </row>
    <row r="327" spans="1:9" x14ac:dyDescent="0.2">
      <c r="A327" s="1169"/>
      <c r="B327" s="1167"/>
      <c r="C327" s="1167"/>
      <c r="D327" s="1169"/>
      <c r="E327" s="1180"/>
      <c r="I327" s="1164"/>
    </row>
    <row r="328" spans="1:9" x14ac:dyDescent="0.2">
      <c r="A328" s="1169"/>
      <c r="B328" s="1167"/>
      <c r="C328" s="1167"/>
      <c r="D328" s="1169"/>
      <c r="E328" s="1180"/>
      <c r="I328" s="1164"/>
    </row>
    <row r="329" spans="1:9" x14ac:dyDescent="0.2">
      <c r="A329" s="1169"/>
      <c r="B329" s="1167"/>
      <c r="C329" s="1167"/>
      <c r="D329" s="1169"/>
      <c r="E329" s="1180"/>
      <c r="I329" s="1164"/>
    </row>
    <row r="330" spans="1:9" x14ac:dyDescent="0.2">
      <c r="A330" s="1169"/>
      <c r="B330" s="1167"/>
      <c r="C330" s="1167"/>
      <c r="D330" s="1169"/>
      <c r="E330" s="1180"/>
      <c r="I330" s="1164"/>
    </row>
    <row r="331" spans="1:9" x14ac:dyDescent="0.2">
      <c r="A331" s="1169"/>
      <c r="B331" s="1167"/>
      <c r="C331" s="1167"/>
      <c r="D331" s="1169"/>
      <c r="E331" s="1180"/>
      <c r="I331" s="1164"/>
    </row>
    <row r="332" spans="1:9" x14ac:dyDescent="0.2">
      <c r="A332" s="1169"/>
      <c r="B332" s="1167"/>
      <c r="C332" s="1167"/>
      <c r="D332" s="1169"/>
      <c r="E332" s="1180"/>
      <c r="I332" s="1164"/>
    </row>
    <row r="333" spans="1:9" x14ac:dyDescent="0.2">
      <c r="A333" s="1169"/>
      <c r="B333" s="1167"/>
      <c r="C333" s="1167"/>
      <c r="D333" s="1169"/>
      <c r="E333" s="1180"/>
      <c r="I333" s="1164"/>
    </row>
    <row r="334" spans="1:9" x14ac:dyDescent="0.2">
      <c r="A334" s="1169"/>
      <c r="B334" s="1167"/>
      <c r="C334" s="1167"/>
      <c r="D334" s="1169"/>
      <c r="E334" s="1180"/>
      <c r="I334" s="1164"/>
    </row>
    <row r="335" spans="1:9" x14ac:dyDescent="0.2">
      <c r="A335" s="1169"/>
      <c r="B335" s="1167"/>
      <c r="C335" s="1167"/>
      <c r="D335" s="1169"/>
      <c r="E335" s="1180"/>
      <c r="I335" s="1164"/>
    </row>
    <row r="336" spans="1:9" x14ac:dyDescent="0.2">
      <c r="A336" s="1169"/>
      <c r="B336" s="1167"/>
      <c r="C336" s="1167"/>
      <c r="D336" s="1169"/>
      <c r="E336" s="1180"/>
      <c r="I336" s="1164"/>
    </row>
    <row r="337" spans="1:9" x14ac:dyDescent="0.2">
      <c r="A337" s="1169"/>
      <c r="B337" s="1167"/>
      <c r="C337" s="1167"/>
      <c r="D337" s="1169"/>
      <c r="E337" s="1180"/>
      <c r="I337" s="1164"/>
    </row>
    <row r="338" spans="1:9" x14ac:dyDescent="0.2">
      <c r="A338" s="1169"/>
      <c r="B338" s="1167"/>
      <c r="C338" s="1167"/>
      <c r="D338" s="1169"/>
      <c r="E338" s="1180"/>
      <c r="I338" s="1164"/>
    </row>
    <row r="339" spans="1:9" x14ac:dyDescent="0.2">
      <c r="A339" s="1169"/>
      <c r="B339" s="1167"/>
      <c r="C339" s="1167"/>
      <c r="D339" s="1169"/>
      <c r="E339" s="1180"/>
      <c r="I339" s="1164"/>
    </row>
    <row r="340" spans="1:9" x14ac:dyDescent="0.2">
      <c r="A340" s="1169"/>
      <c r="B340" s="1167"/>
      <c r="C340" s="1167"/>
      <c r="D340" s="1169"/>
      <c r="E340" s="1180"/>
      <c r="I340" s="1164"/>
    </row>
    <row r="341" spans="1:9" x14ac:dyDescent="0.2">
      <c r="A341" s="1169"/>
      <c r="B341" s="1167"/>
      <c r="C341" s="1167"/>
      <c r="D341" s="1169"/>
      <c r="E341" s="1180"/>
      <c r="I341" s="1164"/>
    </row>
    <row r="342" spans="1:9" x14ac:dyDescent="0.2">
      <c r="A342" s="1169"/>
      <c r="B342" s="1167"/>
      <c r="C342" s="1167"/>
      <c r="D342" s="1169"/>
      <c r="E342" s="1180"/>
      <c r="I342" s="1164"/>
    </row>
    <row r="343" spans="1:9" x14ac:dyDescent="0.2">
      <c r="A343" s="1169"/>
      <c r="B343" s="1167"/>
      <c r="C343" s="1167"/>
      <c r="D343" s="1169"/>
      <c r="E343" s="1180"/>
      <c r="I343" s="1164"/>
    </row>
    <row r="344" spans="1:9" x14ac:dyDescent="0.2">
      <c r="A344" s="1169"/>
      <c r="B344" s="1167"/>
      <c r="C344" s="1167"/>
      <c r="D344" s="1169"/>
      <c r="E344" s="1180"/>
      <c r="I344" s="1164"/>
    </row>
    <row r="345" spans="1:9" x14ac:dyDescent="0.2">
      <c r="A345" s="1169"/>
      <c r="B345" s="1167"/>
      <c r="C345" s="1167"/>
      <c r="D345" s="1169"/>
      <c r="E345" s="1180"/>
      <c r="I345" s="1164"/>
    </row>
    <row r="346" spans="1:9" x14ac:dyDescent="0.2">
      <c r="A346" s="1169"/>
      <c r="B346" s="1167"/>
      <c r="C346" s="1167"/>
      <c r="D346" s="1169"/>
      <c r="E346" s="1180"/>
      <c r="I346" s="1164"/>
    </row>
    <row r="347" spans="1:9" x14ac:dyDescent="0.2">
      <c r="A347" s="1169"/>
      <c r="B347" s="1167"/>
      <c r="C347" s="1167"/>
      <c r="D347" s="1169"/>
      <c r="E347" s="1180"/>
      <c r="I347" s="1164"/>
    </row>
    <row r="348" spans="1:9" x14ac:dyDescent="0.2">
      <c r="A348" s="1169"/>
      <c r="B348" s="1167"/>
      <c r="C348" s="1167"/>
      <c r="D348" s="1169"/>
      <c r="E348" s="1180"/>
      <c r="I348" s="1164"/>
    </row>
    <row r="349" spans="1:9" x14ac:dyDescent="0.2">
      <c r="A349" s="1169"/>
      <c r="B349" s="1167"/>
      <c r="C349" s="1167"/>
      <c r="D349" s="1169"/>
      <c r="E349" s="1180"/>
      <c r="I349" s="1164"/>
    </row>
    <row r="350" spans="1:9" x14ac:dyDescent="0.2">
      <c r="A350" s="1169"/>
      <c r="B350" s="1167"/>
      <c r="C350" s="1167"/>
      <c r="D350" s="1169"/>
      <c r="E350" s="1180"/>
      <c r="I350" s="1164"/>
    </row>
    <row r="351" spans="1:9" x14ac:dyDescent="0.2">
      <c r="A351" s="1169"/>
      <c r="B351" s="1167"/>
      <c r="C351" s="1167"/>
      <c r="D351" s="1169"/>
      <c r="E351" s="1180"/>
      <c r="I351" s="1164"/>
    </row>
    <row r="352" spans="1:9" x14ac:dyDescent="0.2">
      <c r="A352" s="1169"/>
      <c r="B352" s="1167"/>
      <c r="C352" s="1167"/>
      <c r="D352" s="1169"/>
      <c r="E352" s="1180"/>
      <c r="I352" s="1164"/>
    </row>
    <row r="353" spans="1:9" x14ac:dyDescent="0.2">
      <c r="A353" s="1169"/>
      <c r="B353" s="1167"/>
      <c r="C353" s="1167"/>
      <c r="D353" s="1169"/>
      <c r="E353" s="1180"/>
      <c r="I353" s="1164"/>
    </row>
    <row r="354" spans="1:9" x14ac:dyDescent="0.2">
      <c r="A354" s="1169"/>
      <c r="B354" s="1167"/>
      <c r="C354" s="1167"/>
      <c r="D354" s="1169"/>
      <c r="E354" s="1180"/>
      <c r="I354" s="1164"/>
    </row>
    <row r="355" spans="1:9" x14ac:dyDescent="0.2">
      <c r="A355" s="1169"/>
      <c r="B355" s="1167"/>
      <c r="C355" s="1167"/>
      <c r="D355" s="1169"/>
      <c r="E355" s="1180"/>
      <c r="I355" s="1164"/>
    </row>
    <row r="356" spans="1:9" x14ac:dyDescent="0.2">
      <c r="A356" s="1169"/>
      <c r="B356" s="1167"/>
      <c r="C356" s="1167"/>
      <c r="D356" s="1169"/>
      <c r="E356" s="1180"/>
      <c r="I356" s="1164"/>
    </row>
    <row r="357" spans="1:9" x14ac:dyDescent="0.2">
      <c r="A357" s="1169"/>
      <c r="B357" s="1167"/>
      <c r="C357" s="1167"/>
      <c r="D357" s="1169"/>
      <c r="E357" s="1180"/>
      <c r="I357" s="1164"/>
    </row>
    <row r="358" spans="1:9" x14ac:dyDescent="0.2">
      <c r="A358" s="1169"/>
      <c r="B358" s="1167"/>
      <c r="C358" s="1167"/>
      <c r="D358" s="1169"/>
      <c r="E358" s="1180"/>
      <c r="I358" s="1164"/>
    </row>
    <row r="359" spans="1:9" x14ac:dyDescent="0.2">
      <c r="A359" s="1169"/>
      <c r="B359" s="1167"/>
      <c r="C359" s="1167"/>
      <c r="D359" s="1169"/>
      <c r="E359" s="1180"/>
      <c r="I359" s="1164"/>
    </row>
    <row r="360" spans="1:9" x14ac:dyDescent="0.2">
      <c r="A360" s="1169"/>
      <c r="B360" s="1167"/>
      <c r="C360" s="1167"/>
      <c r="D360" s="1169"/>
      <c r="E360" s="1180"/>
      <c r="I360" s="1164"/>
    </row>
    <row r="361" spans="1:9" x14ac:dyDescent="0.2">
      <c r="A361" s="1169"/>
      <c r="B361" s="1167"/>
      <c r="C361" s="1167"/>
      <c r="D361" s="1169"/>
      <c r="E361" s="1180"/>
      <c r="I361" s="1164"/>
    </row>
    <row r="362" spans="1:9" x14ac:dyDescent="0.2">
      <c r="A362" s="1169"/>
      <c r="B362" s="1167"/>
      <c r="C362" s="1167"/>
      <c r="D362" s="1169"/>
      <c r="E362" s="1180"/>
      <c r="I362" s="1164"/>
    </row>
    <row r="363" spans="1:9" x14ac:dyDescent="0.2">
      <c r="A363" s="1169"/>
      <c r="B363" s="1167"/>
      <c r="C363" s="1167"/>
      <c r="D363" s="1169"/>
      <c r="E363" s="1180"/>
      <c r="I363" s="1164"/>
    </row>
    <row r="364" spans="1:9" x14ac:dyDescent="0.2">
      <c r="A364" s="1169"/>
      <c r="B364" s="1167"/>
      <c r="C364" s="1167"/>
      <c r="D364" s="1169"/>
      <c r="E364" s="1180"/>
      <c r="I364" s="1164"/>
    </row>
    <row r="365" spans="1:9" x14ac:dyDescent="0.2">
      <c r="A365" s="1169"/>
      <c r="B365" s="1167"/>
      <c r="C365" s="1167"/>
      <c r="D365" s="1169"/>
      <c r="E365" s="1180"/>
      <c r="I365" s="1164"/>
    </row>
    <row r="366" spans="1:9" x14ac:dyDescent="0.2">
      <c r="A366" s="1169"/>
      <c r="B366" s="1167"/>
      <c r="C366" s="1167"/>
      <c r="D366" s="1169"/>
      <c r="E366" s="1180"/>
      <c r="I366" s="1164"/>
    </row>
    <row r="367" spans="1:9" x14ac:dyDescent="0.2">
      <c r="A367" s="1169"/>
      <c r="B367" s="1167"/>
      <c r="C367" s="1167"/>
      <c r="D367" s="1169"/>
      <c r="E367" s="1180"/>
      <c r="I367" s="1164"/>
    </row>
    <row r="368" spans="1:9" x14ac:dyDescent="0.2">
      <c r="A368" s="1169"/>
      <c r="B368" s="1167"/>
      <c r="C368" s="1167"/>
      <c r="D368" s="1169"/>
      <c r="E368" s="1180"/>
      <c r="I368" s="1164"/>
    </row>
    <row r="369" spans="1:9" x14ac:dyDescent="0.2">
      <c r="A369" s="1169"/>
      <c r="B369" s="1167"/>
      <c r="C369" s="1167"/>
      <c r="D369" s="1169"/>
      <c r="E369" s="1180"/>
      <c r="I369" s="1164"/>
    </row>
    <row r="370" spans="1:9" x14ac:dyDescent="0.2">
      <c r="A370" s="1169"/>
      <c r="B370" s="1167"/>
      <c r="C370" s="1167"/>
      <c r="D370" s="1169"/>
      <c r="E370" s="1180"/>
      <c r="I370" s="1164"/>
    </row>
    <row r="371" spans="1:9" x14ac:dyDescent="0.2">
      <c r="A371" s="1169"/>
      <c r="B371" s="1167"/>
      <c r="C371" s="1167"/>
      <c r="D371" s="1169"/>
      <c r="E371" s="1180"/>
      <c r="I371" s="1164"/>
    </row>
    <row r="372" spans="1:9" x14ac:dyDescent="0.2">
      <c r="A372" s="1169"/>
      <c r="B372" s="1167"/>
      <c r="C372" s="1167"/>
      <c r="D372" s="1169"/>
      <c r="E372" s="1180"/>
      <c r="I372" s="1164"/>
    </row>
    <row r="373" spans="1:9" x14ac:dyDescent="0.2">
      <c r="A373" s="1169"/>
      <c r="B373" s="1167"/>
      <c r="C373" s="1167"/>
      <c r="D373" s="1169"/>
      <c r="E373" s="1180"/>
      <c r="I373" s="1164"/>
    </row>
  </sheetData>
  <sortState xmlns:xlrd2="http://schemas.microsoft.com/office/spreadsheetml/2017/richdata2" ref="C56:C67">
    <sortCondition ref="C56:C67"/>
  </sortState>
  <mergeCells count="1">
    <mergeCell ref="M95:O95"/>
  </mergeCells>
  <phoneticPr fontId="11" type="noConversion"/>
  <dataValidations count="3">
    <dataValidation type="list" allowBlank="1" showInputMessage="1" showErrorMessage="1" sqref="Y70" xr:uid="{E78F401E-7089-40E3-A4F1-AE25919ECE9D}">
      <formula1>$P$71:$V$71</formula1>
    </dataValidation>
    <dataValidation type="list" allowBlank="1" showInputMessage="1" showErrorMessage="1" sqref="Q97:Q109" xr:uid="{04F9EC85-0996-49AC-B68A-B850F4430505}">
      <formula1>$AC$2:$AC$6</formula1>
    </dataValidation>
    <dataValidation type="list" allowBlank="1" showInputMessage="1" showErrorMessage="1" sqref="O72:O93" xr:uid="{D5FE03A9-FA2B-4FD2-9144-D5723F97C6C4}">
      <formula1>$AC$60:$AC$64</formula1>
    </dataValidation>
  </dataValidations>
  <pageMargins left="0.24" right="0.24" top="0.17" bottom="0.19" header="0.17" footer="0.17"/>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42629-5615-4E3D-B2DA-6CD3056C6F14}">
  <sheetPr codeName="Hoja28"/>
  <dimension ref="A1:P72"/>
  <sheetViews>
    <sheetView zoomScaleNormal="100" workbookViewId="0">
      <selection activeCell="I2" sqref="I2"/>
    </sheetView>
  </sheetViews>
  <sheetFormatPr baseColWidth="10" defaultColWidth="11.42578125" defaultRowHeight="12.75" x14ac:dyDescent="0.2"/>
  <cols>
    <col min="1" max="1" width="17.140625" customWidth="1"/>
    <col min="3" max="3" width="13" style="387" bestFit="1" customWidth="1"/>
    <col min="7" max="7" width="12.28515625" style="13" customWidth="1"/>
    <col min="11" max="11" width="2.5703125" customWidth="1"/>
    <col min="13" max="13" width="1.85546875" bestFit="1" customWidth="1"/>
    <col min="14" max="14" width="12.5703125" customWidth="1"/>
  </cols>
  <sheetData>
    <row r="1" spans="1:14" ht="13.5" thickBot="1" x14ac:dyDescent="0.25">
      <c r="A1" s="651"/>
      <c r="B1" s="1511" t="s">
        <v>11689</v>
      </c>
      <c r="C1" s="1512"/>
      <c r="D1" s="1512"/>
      <c r="E1" s="1512"/>
      <c r="F1" s="1512"/>
      <c r="G1" s="1512"/>
      <c r="H1" s="1512"/>
      <c r="I1" s="1513"/>
      <c r="J1" s="652" t="s">
        <v>11690</v>
      </c>
      <c r="K1" s="651"/>
      <c r="L1" s="653" t="s">
        <v>8753</v>
      </c>
      <c r="M1" s="654"/>
      <c r="N1" s="651"/>
    </row>
    <row r="2" spans="1:14" ht="13.5" thickBot="1" x14ac:dyDescent="0.25">
      <c r="A2" s="651"/>
      <c r="B2" s="655" t="s">
        <v>11691</v>
      </c>
      <c r="C2" s="679" t="s">
        <v>11692</v>
      </c>
      <c r="D2" s="656"/>
      <c r="E2" s="657" t="s">
        <v>11693</v>
      </c>
      <c r="F2" s="657" t="s">
        <v>11694</v>
      </c>
      <c r="G2" s="657" t="s">
        <v>11695</v>
      </c>
      <c r="H2" s="657" t="s">
        <v>11696</v>
      </c>
      <c r="I2" s="658" t="s">
        <v>8160</v>
      </c>
      <c r="J2" s="659" t="s">
        <v>3</v>
      </c>
      <c r="K2" s="651"/>
      <c r="L2" s="651"/>
      <c r="M2" s="654"/>
      <c r="N2" s="660">
        <f>+N5+N8+N9+N10+N17+N18+N20+N21+N22+N23+N24+N25</f>
        <v>38410.480000000003</v>
      </c>
    </row>
    <row r="3" spans="1:14" ht="15" thickBot="1" x14ac:dyDescent="0.25">
      <c r="A3" s="651"/>
      <c r="B3" s="1514" t="s">
        <v>11697</v>
      </c>
      <c r="C3" s="1515"/>
      <c r="D3" s="1515"/>
      <c r="E3" s="1515"/>
      <c r="F3" s="1515"/>
      <c r="G3" s="1515"/>
      <c r="H3" s="1515"/>
      <c r="I3" s="1516"/>
      <c r="J3" s="659"/>
      <c r="K3" s="651"/>
      <c r="L3" s="651"/>
      <c r="M3" s="654"/>
      <c r="N3" s="651"/>
    </row>
    <row r="4" spans="1:14" x14ac:dyDescent="0.2">
      <c r="A4" s="651" t="s">
        <v>3470</v>
      </c>
      <c r="B4" s="661" t="s">
        <v>11698</v>
      </c>
      <c r="C4" s="680" t="s">
        <v>11699</v>
      </c>
      <c r="D4" s="662">
        <v>0</v>
      </c>
      <c r="E4" s="662" t="s">
        <v>11700</v>
      </c>
      <c r="F4" s="662" t="s">
        <v>11701</v>
      </c>
      <c r="G4" s="678" t="s">
        <v>11702</v>
      </c>
      <c r="H4" s="663">
        <v>0.1</v>
      </c>
      <c r="I4" s="664">
        <v>1167.0796459777357</v>
      </c>
      <c r="J4" s="665">
        <v>1421.12</v>
      </c>
      <c r="K4" s="651"/>
      <c r="L4" s="651"/>
      <c r="M4" s="654"/>
      <c r="N4" s="651"/>
    </row>
    <row r="5" spans="1:14" x14ac:dyDescent="0.2">
      <c r="A5" s="651" t="s">
        <v>3473</v>
      </c>
      <c r="B5" s="666" t="s">
        <v>11703</v>
      </c>
      <c r="C5" s="681" t="s">
        <v>11704</v>
      </c>
      <c r="D5" s="667">
        <v>0</v>
      </c>
      <c r="E5" s="667" t="s">
        <v>11700</v>
      </c>
      <c r="F5" s="667" t="s">
        <v>11701</v>
      </c>
      <c r="G5" s="670" t="s">
        <v>11702</v>
      </c>
      <c r="H5" s="668">
        <v>0.1</v>
      </c>
      <c r="I5" s="669">
        <v>719.40534211100521</v>
      </c>
      <c r="J5" s="665">
        <v>1394.08</v>
      </c>
      <c r="K5" s="651"/>
      <c r="L5" s="670" t="s">
        <v>11705</v>
      </c>
      <c r="M5" s="654">
        <v>4</v>
      </c>
      <c r="N5" s="671">
        <f t="shared" ref="N5:N10" si="0">+M5*J5</f>
        <v>5576.32</v>
      </c>
    </row>
    <row r="6" spans="1:14" x14ac:dyDescent="0.2">
      <c r="A6" s="651" t="s">
        <v>3476</v>
      </c>
      <c r="B6" s="666" t="s">
        <v>11706</v>
      </c>
      <c r="C6" s="681" t="s">
        <v>11707</v>
      </c>
      <c r="D6" s="667">
        <v>0</v>
      </c>
      <c r="E6" s="667" t="s">
        <v>11700</v>
      </c>
      <c r="F6" s="667" t="s">
        <v>11701</v>
      </c>
      <c r="G6" s="670" t="s">
        <v>11702</v>
      </c>
      <c r="H6" s="668">
        <v>0.1</v>
      </c>
      <c r="I6" s="669">
        <v>563.06889761643458</v>
      </c>
      <c r="J6" s="665">
        <v>1376.65</v>
      </c>
      <c r="K6" s="651"/>
      <c r="L6" s="670" t="s">
        <v>11705</v>
      </c>
      <c r="M6" s="654">
        <v>4</v>
      </c>
      <c r="N6" s="671">
        <f t="shared" si="0"/>
        <v>5506.6</v>
      </c>
    </row>
    <row r="7" spans="1:14" x14ac:dyDescent="0.2">
      <c r="A7" s="651" t="s">
        <v>3479</v>
      </c>
      <c r="B7" s="666" t="s">
        <v>11708</v>
      </c>
      <c r="C7" s="681" t="s">
        <v>11709</v>
      </c>
      <c r="D7" s="667">
        <v>0</v>
      </c>
      <c r="E7" s="667" t="s">
        <v>11700</v>
      </c>
      <c r="F7" s="667" t="s">
        <v>11701</v>
      </c>
      <c r="G7" s="670" t="s">
        <v>11702</v>
      </c>
      <c r="H7" s="668">
        <v>0.1</v>
      </c>
      <c r="I7" s="669">
        <v>465.74834741112494</v>
      </c>
      <c r="J7" s="665">
        <v>1459.2</v>
      </c>
      <c r="K7" s="651"/>
      <c r="L7" s="670" t="s">
        <v>11705</v>
      </c>
      <c r="M7" s="654">
        <v>4</v>
      </c>
      <c r="N7" s="671">
        <f t="shared" si="0"/>
        <v>5836.8</v>
      </c>
    </row>
    <row r="8" spans="1:14" x14ac:dyDescent="0.2">
      <c r="A8" s="651" t="s">
        <v>3482</v>
      </c>
      <c r="B8" s="666" t="s">
        <v>11710</v>
      </c>
      <c r="C8" s="681" t="s">
        <v>11711</v>
      </c>
      <c r="D8" s="667">
        <v>0</v>
      </c>
      <c r="E8" s="667" t="s">
        <v>11700</v>
      </c>
      <c r="F8" s="667" t="s">
        <v>11701</v>
      </c>
      <c r="G8" s="670" t="s">
        <v>11702</v>
      </c>
      <c r="H8" s="668">
        <v>0.1</v>
      </c>
      <c r="I8" s="669">
        <v>320.79605561480543</v>
      </c>
      <c r="J8" s="665">
        <v>1446.27</v>
      </c>
      <c r="K8" s="651"/>
      <c r="L8" s="670" t="s">
        <v>11705</v>
      </c>
      <c r="M8" s="654">
        <v>4</v>
      </c>
      <c r="N8" s="671">
        <f t="shared" si="0"/>
        <v>5785.08</v>
      </c>
    </row>
    <row r="9" spans="1:14" x14ac:dyDescent="0.2">
      <c r="A9" s="651" t="s">
        <v>3485</v>
      </c>
      <c r="B9" s="666" t="s">
        <v>11712</v>
      </c>
      <c r="C9" s="681" t="s">
        <v>11713</v>
      </c>
      <c r="D9" s="667">
        <v>0</v>
      </c>
      <c r="E9" s="667" t="s">
        <v>11700</v>
      </c>
      <c r="F9" s="667" t="s">
        <v>11701</v>
      </c>
      <c r="G9" s="670" t="s">
        <v>11702</v>
      </c>
      <c r="H9" s="668">
        <v>0.1</v>
      </c>
      <c r="I9" s="669">
        <v>287.96773394506766</v>
      </c>
      <c r="J9" s="665">
        <v>1520.03</v>
      </c>
      <c r="K9" s="651"/>
      <c r="L9" s="670" t="s">
        <v>11705</v>
      </c>
      <c r="M9" s="654">
        <v>4</v>
      </c>
      <c r="N9" s="671">
        <f t="shared" si="0"/>
        <v>6080.12</v>
      </c>
    </row>
    <row r="10" spans="1:14" ht="13.5" thickBot="1" x14ac:dyDescent="0.25">
      <c r="A10" s="651" t="s">
        <v>3488</v>
      </c>
      <c r="B10" s="666" t="s">
        <v>11714</v>
      </c>
      <c r="C10" s="681" t="s">
        <v>11715</v>
      </c>
      <c r="D10" s="667">
        <v>0</v>
      </c>
      <c r="E10" s="667" t="s">
        <v>11700</v>
      </c>
      <c r="F10" s="667" t="s">
        <v>11701</v>
      </c>
      <c r="G10" s="670" t="s">
        <v>11702</v>
      </c>
      <c r="H10" s="668">
        <v>0.1</v>
      </c>
      <c r="I10" s="669">
        <v>129.26814741057129</v>
      </c>
      <c r="J10" s="665">
        <v>1478.86</v>
      </c>
      <c r="K10" s="651"/>
      <c r="L10" s="670" t="s">
        <v>11705</v>
      </c>
      <c r="M10" s="654">
        <v>4</v>
      </c>
      <c r="N10" s="671">
        <f t="shared" si="0"/>
        <v>5915.44</v>
      </c>
    </row>
    <row r="11" spans="1:14" ht="15" thickBot="1" x14ac:dyDescent="0.25">
      <c r="A11" s="651"/>
      <c r="B11" s="1514" t="s">
        <v>11716</v>
      </c>
      <c r="C11" s="1515"/>
      <c r="D11" s="1515"/>
      <c r="E11" s="1515"/>
      <c r="F11" s="1515"/>
      <c r="G11" s="1515"/>
      <c r="H11" s="1515"/>
      <c r="I11" s="1515"/>
      <c r="J11" s="665"/>
      <c r="K11" s="651"/>
      <c r="L11" s="654"/>
      <c r="M11" s="654"/>
      <c r="N11" s="651"/>
    </row>
    <row r="12" spans="1:14" x14ac:dyDescent="0.2">
      <c r="A12" s="651" t="s">
        <v>3534</v>
      </c>
      <c r="B12" s="666" t="s">
        <v>11698</v>
      </c>
      <c r="C12" s="681" t="s">
        <v>11699</v>
      </c>
      <c r="D12" s="667">
        <v>0</v>
      </c>
      <c r="E12" s="667" t="s">
        <v>11700</v>
      </c>
      <c r="F12" s="667" t="s">
        <v>11701</v>
      </c>
      <c r="G12" s="670" t="s">
        <v>11702</v>
      </c>
      <c r="H12" s="668">
        <v>0.1</v>
      </c>
      <c r="I12" s="669">
        <v>2423.9346493383741</v>
      </c>
      <c r="J12" s="665">
        <v>2404.5100000000002</v>
      </c>
      <c r="K12" s="651"/>
      <c r="L12" s="670" t="s">
        <v>11702</v>
      </c>
      <c r="M12" s="654"/>
      <c r="N12" s="651"/>
    </row>
    <row r="13" spans="1:14" x14ac:dyDescent="0.2">
      <c r="A13" s="651" t="s">
        <v>3536</v>
      </c>
      <c r="B13" s="666" t="s">
        <v>11703</v>
      </c>
      <c r="C13" s="681" t="s">
        <v>11704</v>
      </c>
      <c r="D13" s="667">
        <v>0</v>
      </c>
      <c r="E13" s="667" t="s">
        <v>11700</v>
      </c>
      <c r="F13" s="667" t="s">
        <v>11701</v>
      </c>
      <c r="G13" s="670" t="s">
        <v>11702</v>
      </c>
      <c r="H13" s="668">
        <v>0.1</v>
      </c>
      <c r="I13" s="669">
        <v>1494.1495566920878</v>
      </c>
      <c r="J13" s="665">
        <v>2345.1999999999998</v>
      </c>
      <c r="K13" s="651"/>
      <c r="L13" s="670" t="s">
        <v>11702</v>
      </c>
      <c r="M13" s="654">
        <v>2</v>
      </c>
      <c r="N13" s="671">
        <f t="shared" ref="N13:N18" si="1">+M13*J13</f>
        <v>4690.3999999999996</v>
      </c>
    </row>
    <row r="14" spans="1:14" x14ac:dyDescent="0.2">
      <c r="A14" s="651" t="s">
        <v>3538</v>
      </c>
      <c r="B14" s="666" t="s">
        <v>11706</v>
      </c>
      <c r="C14" s="681" t="s">
        <v>11707</v>
      </c>
      <c r="D14" s="667">
        <v>0</v>
      </c>
      <c r="E14" s="667" t="s">
        <v>11700</v>
      </c>
      <c r="F14" s="667" t="s">
        <v>11701</v>
      </c>
      <c r="G14" s="670" t="s">
        <v>11702</v>
      </c>
      <c r="H14" s="668">
        <v>0.1</v>
      </c>
      <c r="I14" s="669">
        <v>1169.4507873572102</v>
      </c>
      <c r="J14" s="665">
        <v>2307.08</v>
      </c>
      <c r="K14" s="651"/>
      <c r="L14" s="670" t="s">
        <v>11702</v>
      </c>
      <c r="M14" s="654">
        <v>2</v>
      </c>
      <c r="N14" s="671">
        <f t="shared" si="1"/>
        <v>4614.16</v>
      </c>
    </row>
    <row r="15" spans="1:14" x14ac:dyDescent="0.2">
      <c r="A15" s="651" t="s">
        <v>3540</v>
      </c>
      <c r="B15" s="666" t="s">
        <v>11708</v>
      </c>
      <c r="C15" s="681" t="s">
        <v>11709</v>
      </c>
      <c r="D15" s="667">
        <v>0</v>
      </c>
      <c r="E15" s="667" t="s">
        <v>11700</v>
      </c>
      <c r="F15" s="667" t="s">
        <v>11701</v>
      </c>
      <c r="G15" s="670" t="s">
        <v>11702</v>
      </c>
      <c r="H15" s="668">
        <v>0.1</v>
      </c>
      <c r="I15" s="669">
        <v>967.32349077695164</v>
      </c>
      <c r="J15" s="665">
        <v>2479.2600000000002</v>
      </c>
      <c r="K15" s="651"/>
      <c r="L15" s="670" t="s">
        <v>11702</v>
      </c>
      <c r="M15" s="654">
        <v>2</v>
      </c>
      <c r="N15" s="671">
        <f t="shared" si="1"/>
        <v>4958.5200000000004</v>
      </c>
    </row>
    <row r="16" spans="1:14" x14ac:dyDescent="0.2">
      <c r="A16" s="651" t="s">
        <v>3542</v>
      </c>
      <c r="B16" s="666" t="s">
        <v>11710</v>
      </c>
      <c r="C16" s="681" t="s">
        <v>11711</v>
      </c>
      <c r="D16" s="667">
        <v>0</v>
      </c>
      <c r="E16" s="667" t="s">
        <v>11700</v>
      </c>
      <c r="F16" s="667" t="s">
        <v>11701</v>
      </c>
      <c r="G16" s="670" t="s">
        <v>11702</v>
      </c>
      <c r="H16" s="668">
        <v>0.1</v>
      </c>
      <c r="I16" s="669">
        <v>666.2687308922882</v>
      </c>
      <c r="J16" s="665">
        <v>2451.0700000000002</v>
      </c>
      <c r="K16" s="651"/>
      <c r="L16" s="670" t="s">
        <v>11702</v>
      </c>
      <c r="M16" s="654">
        <v>2</v>
      </c>
      <c r="N16" s="671">
        <f t="shared" si="1"/>
        <v>4902.1400000000003</v>
      </c>
    </row>
    <row r="17" spans="1:16" x14ac:dyDescent="0.2">
      <c r="A17" s="651" t="s">
        <v>3544</v>
      </c>
      <c r="B17" s="666" t="s">
        <v>11712</v>
      </c>
      <c r="C17" s="681" t="s">
        <v>11713</v>
      </c>
      <c r="D17" s="667">
        <v>0</v>
      </c>
      <c r="E17" s="667" t="s">
        <v>11700</v>
      </c>
      <c r="F17" s="667" t="s">
        <v>11701</v>
      </c>
      <c r="G17" s="670" t="s">
        <v>11702</v>
      </c>
      <c r="H17" s="668">
        <v>0.1</v>
      </c>
      <c r="I17" s="669">
        <v>598.0868320397559</v>
      </c>
      <c r="J17" s="665">
        <v>2605.63</v>
      </c>
      <c r="K17" s="651"/>
      <c r="L17" s="670" t="s">
        <v>11702</v>
      </c>
      <c r="M17" s="654">
        <v>1</v>
      </c>
      <c r="N17" s="671">
        <f t="shared" si="1"/>
        <v>2605.63</v>
      </c>
    </row>
    <row r="18" spans="1:16" ht="13.5" thickBot="1" x14ac:dyDescent="0.25">
      <c r="A18" s="651" t="s">
        <v>3546</v>
      </c>
      <c r="B18" s="666" t="s">
        <v>11714</v>
      </c>
      <c r="C18" s="681" t="s">
        <v>11715</v>
      </c>
      <c r="D18" s="667">
        <v>0</v>
      </c>
      <c r="E18" s="667" t="s">
        <v>11700</v>
      </c>
      <c r="F18" s="667" t="s">
        <v>11701</v>
      </c>
      <c r="G18" s="670" t="s">
        <v>11702</v>
      </c>
      <c r="H18" s="668">
        <v>0.1</v>
      </c>
      <c r="I18" s="669">
        <v>268.47999846810956</v>
      </c>
      <c r="J18" s="665">
        <v>2517.5</v>
      </c>
      <c r="K18" s="651"/>
      <c r="L18" s="670" t="s">
        <v>11702</v>
      </c>
      <c r="M18" s="654">
        <v>1</v>
      </c>
      <c r="N18" s="671">
        <f t="shared" si="1"/>
        <v>2517.5</v>
      </c>
    </row>
    <row r="19" spans="1:16" ht="15" thickBot="1" x14ac:dyDescent="0.25">
      <c r="A19" s="651"/>
      <c r="B19" s="1514" t="s">
        <v>11717</v>
      </c>
      <c r="C19" s="1515"/>
      <c r="D19" s="1515"/>
      <c r="E19" s="1515"/>
      <c r="F19" s="1515"/>
      <c r="G19" s="1515"/>
      <c r="H19" s="1515"/>
      <c r="I19" s="1515"/>
      <c r="J19" s="1516"/>
      <c r="K19" s="651"/>
      <c r="L19" s="651"/>
      <c r="M19" s="654"/>
      <c r="N19" s="651"/>
      <c r="P19" t="s">
        <v>11718</v>
      </c>
    </row>
    <row r="20" spans="1:16" x14ac:dyDescent="0.2">
      <c r="A20" s="651" t="s">
        <v>3601</v>
      </c>
      <c r="B20" s="666" t="s">
        <v>11698</v>
      </c>
      <c r="C20" s="681" t="s">
        <v>11719</v>
      </c>
      <c r="D20" s="667">
        <v>0</v>
      </c>
      <c r="E20" s="667" t="s">
        <v>11700</v>
      </c>
      <c r="F20" s="667" t="s">
        <v>11701</v>
      </c>
      <c r="G20" s="670" t="s">
        <v>11720</v>
      </c>
      <c r="H20" s="668">
        <v>5.8312691674561025E-2</v>
      </c>
      <c r="I20" s="669">
        <v>1000</v>
      </c>
      <c r="J20" s="665">
        <v>981.72</v>
      </c>
      <c r="K20" s="651"/>
      <c r="L20" s="670">
        <v>1000</v>
      </c>
      <c r="M20" s="654">
        <v>1</v>
      </c>
      <c r="N20" s="671">
        <f t="shared" ref="N20:N25" si="2">+M20*J20</f>
        <v>981.72</v>
      </c>
      <c r="O20" t="s">
        <v>11721</v>
      </c>
      <c r="P20" s="1120">
        <f>+C35</f>
        <v>3522.37</v>
      </c>
    </row>
    <row r="21" spans="1:16" x14ac:dyDescent="0.2">
      <c r="A21" s="651" t="s">
        <v>3603</v>
      </c>
      <c r="B21" s="666" t="s">
        <v>11703</v>
      </c>
      <c r="C21" s="681" t="s">
        <v>11722</v>
      </c>
      <c r="D21" s="667">
        <v>0</v>
      </c>
      <c r="E21" s="667" t="s">
        <v>11700</v>
      </c>
      <c r="F21" s="667" t="s">
        <v>11701</v>
      </c>
      <c r="G21" s="670" t="s">
        <v>11720</v>
      </c>
      <c r="H21" s="668">
        <v>9.459973615966627E-2</v>
      </c>
      <c r="I21" s="669">
        <v>1000</v>
      </c>
      <c r="J21" s="665">
        <v>1234.26</v>
      </c>
      <c r="K21" s="651"/>
      <c r="L21" s="670">
        <v>1000</v>
      </c>
      <c r="M21" s="654">
        <v>1</v>
      </c>
      <c r="N21" s="671">
        <f t="shared" si="2"/>
        <v>1234.26</v>
      </c>
      <c r="O21" t="s">
        <v>11721</v>
      </c>
      <c r="P21" s="1120">
        <f>+C37</f>
        <v>4275.1000000000004</v>
      </c>
    </row>
    <row r="22" spans="1:16" x14ac:dyDescent="0.2">
      <c r="A22" s="651" t="s">
        <v>3605</v>
      </c>
      <c r="B22" s="666" t="s">
        <v>11706</v>
      </c>
      <c r="C22" s="681" t="s">
        <v>11723</v>
      </c>
      <c r="D22" s="667">
        <v>0</v>
      </c>
      <c r="E22" s="667" t="s">
        <v>11700</v>
      </c>
      <c r="F22" s="667" t="s">
        <v>11701</v>
      </c>
      <c r="G22" s="670" t="s">
        <v>11720</v>
      </c>
      <c r="H22" s="668">
        <v>0.12086541423908545</v>
      </c>
      <c r="I22" s="669">
        <v>1000</v>
      </c>
      <c r="J22" s="665">
        <v>1401.94</v>
      </c>
      <c r="K22" s="651"/>
      <c r="L22" s="670">
        <v>1000</v>
      </c>
      <c r="M22" s="654">
        <v>1</v>
      </c>
      <c r="N22" s="671">
        <f t="shared" si="2"/>
        <v>1401.94</v>
      </c>
      <c r="P22" s="1120">
        <f>+C39</f>
        <v>4785.8999999999996</v>
      </c>
    </row>
    <row r="23" spans="1:16" x14ac:dyDescent="0.2">
      <c r="A23" s="651" t="s">
        <v>3607</v>
      </c>
      <c r="B23" s="666" t="s">
        <v>11708</v>
      </c>
      <c r="C23" s="681" t="s">
        <v>11724</v>
      </c>
      <c r="D23" s="667">
        <v>0</v>
      </c>
      <c r="E23" s="667" t="s">
        <v>11700</v>
      </c>
      <c r="F23" s="667" t="s">
        <v>11701</v>
      </c>
      <c r="G23" s="670" t="s">
        <v>11720</v>
      </c>
      <c r="H23" s="668">
        <v>0.14612087393083459</v>
      </c>
      <c r="I23" s="669">
        <v>1000</v>
      </c>
      <c r="J23" s="665">
        <v>1673.03</v>
      </c>
      <c r="K23" s="651"/>
      <c r="L23" s="670">
        <v>1000</v>
      </c>
      <c r="M23" s="654">
        <v>1</v>
      </c>
      <c r="N23" s="671">
        <f t="shared" si="2"/>
        <v>1673.03</v>
      </c>
      <c r="P23" s="1120">
        <f>+C42</f>
        <v>5587.08</v>
      </c>
    </row>
    <row r="24" spans="1:16" x14ac:dyDescent="0.2">
      <c r="A24" s="651" t="s">
        <v>3609</v>
      </c>
      <c r="B24" s="666" t="s">
        <v>11710</v>
      </c>
      <c r="C24" s="681" t="s">
        <v>11725</v>
      </c>
      <c r="D24" s="667">
        <v>0</v>
      </c>
      <c r="E24" s="667" t="s">
        <v>11700</v>
      </c>
      <c r="F24" s="667" t="s">
        <v>11701</v>
      </c>
      <c r="G24" s="670" t="s">
        <v>11720</v>
      </c>
      <c r="H24" s="668">
        <v>0.21214586141069325</v>
      </c>
      <c r="I24" s="669">
        <v>1000</v>
      </c>
      <c r="J24" s="665">
        <v>2157.0700000000002</v>
      </c>
      <c r="K24" s="651"/>
      <c r="L24" s="670">
        <v>1000</v>
      </c>
      <c r="M24" s="654">
        <v>1</v>
      </c>
      <c r="N24" s="671">
        <f t="shared" si="2"/>
        <v>2157.0700000000002</v>
      </c>
      <c r="O24" t="s">
        <v>11721</v>
      </c>
      <c r="P24" s="1120">
        <f>+C43</f>
        <v>7038.93</v>
      </c>
    </row>
    <row r="25" spans="1:16" ht="13.5" thickBot="1" x14ac:dyDescent="0.25">
      <c r="A25" s="651" t="s">
        <v>3611</v>
      </c>
      <c r="B25" s="672" t="s">
        <v>11712</v>
      </c>
      <c r="C25" s="682" t="s">
        <v>11726</v>
      </c>
      <c r="D25" s="673">
        <v>0</v>
      </c>
      <c r="E25" s="673" t="s">
        <v>11700</v>
      </c>
      <c r="F25" s="673" t="s">
        <v>11701</v>
      </c>
      <c r="G25" s="677" t="s">
        <v>11720</v>
      </c>
      <c r="H25" s="674">
        <v>0.23633048961151232</v>
      </c>
      <c r="I25" s="675">
        <v>1000</v>
      </c>
      <c r="J25" s="676">
        <v>2482.37</v>
      </c>
      <c r="K25" s="651"/>
      <c r="L25" s="677">
        <v>1000</v>
      </c>
      <c r="M25" s="654">
        <v>1</v>
      </c>
      <c r="N25" s="671">
        <f t="shared" si="2"/>
        <v>2482.37</v>
      </c>
      <c r="O25" t="s">
        <v>11721</v>
      </c>
      <c r="P25" s="1120">
        <f>+C45</f>
        <v>5863.39</v>
      </c>
    </row>
    <row r="31" spans="1:16" x14ac:dyDescent="0.2">
      <c r="B31" t="s">
        <v>11727</v>
      </c>
      <c r="E31" t="s">
        <v>11728</v>
      </c>
      <c r="F31" s="13"/>
      <c r="G31"/>
      <c r="I31" t="s">
        <v>11729</v>
      </c>
      <c r="N31" t="s">
        <v>11730</v>
      </c>
    </row>
    <row r="32" spans="1:16" x14ac:dyDescent="0.2">
      <c r="A32" s="30" t="s">
        <v>8977</v>
      </c>
      <c r="B32" s="30" t="s">
        <v>8160</v>
      </c>
      <c r="C32" s="30" t="s">
        <v>3</v>
      </c>
      <c r="D32" s="30"/>
      <c r="E32" s="30" t="s">
        <v>8977</v>
      </c>
      <c r="F32" s="30" t="s">
        <v>8160</v>
      </c>
      <c r="G32" s="30" t="s">
        <v>3</v>
      </c>
      <c r="H32" s="30"/>
      <c r="I32" s="30" t="s">
        <v>8977</v>
      </c>
      <c r="J32" s="30" t="s">
        <v>8160</v>
      </c>
      <c r="K32" s="30"/>
      <c r="L32" s="30" t="s">
        <v>3</v>
      </c>
      <c r="M32" s="30"/>
      <c r="N32" s="30" t="s">
        <v>8977</v>
      </c>
      <c r="O32" s="30" t="s">
        <v>8160</v>
      </c>
      <c r="P32" s="30" t="s">
        <v>3</v>
      </c>
    </row>
    <row r="33" spans="1:16" x14ac:dyDescent="0.2">
      <c r="A33" t="s">
        <v>11731</v>
      </c>
      <c r="B33">
        <v>1000</v>
      </c>
      <c r="C33" s="665">
        <v>3090.92</v>
      </c>
      <c r="E33" t="s">
        <v>11703</v>
      </c>
      <c r="F33" s="13">
        <v>1000</v>
      </c>
      <c r="G33" s="665">
        <v>35114.58</v>
      </c>
      <c r="I33" t="s">
        <v>11698</v>
      </c>
      <c r="J33">
        <v>1000</v>
      </c>
      <c r="L33" s="665">
        <v>3456.52</v>
      </c>
      <c r="N33" t="s">
        <v>11731</v>
      </c>
      <c r="O33">
        <v>5049.0516260009472</v>
      </c>
      <c r="P33" s="665">
        <v>9418.7099999999991</v>
      </c>
    </row>
    <row r="34" spans="1:16" x14ac:dyDescent="0.2">
      <c r="A34" t="s">
        <v>11698</v>
      </c>
      <c r="B34">
        <v>1000</v>
      </c>
      <c r="C34" s="665">
        <v>3074.05</v>
      </c>
      <c r="E34" t="s">
        <v>11698</v>
      </c>
      <c r="F34" s="13">
        <v>3540.5787012807718</v>
      </c>
      <c r="G34" s="665">
        <v>55164.32</v>
      </c>
      <c r="I34" t="s">
        <v>11698</v>
      </c>
      <c r="J34">
        <v>2446.1572868231351</v>
      </c>
      <c r="L34" s="665">
        <v>5493.7</v>
      </c>
      <c r="N34" t="s">
        <v>11731</v>
      </c>
      <c r="O34">
        <v>4081.2360797219089</v>
      </c>
      <c r="P34" s="665">
        <v>8431.24</v>
      </c>
    </row>
    <row r="35" spans="1:16" x14ac:dyDescent="0.2">
      <c r="A35" t="s">
        <v>11698</v>
      </c>
      <c r="B35">
        <v>1000</v>
      </c>
      <c r="C35" s="665">
        <v>3522.37</v>
      </c>
      <c r="E35" t="s">
        <v>11698</v>
      </c>
      <c r="F35" s="13">
        <v>1000</v>
      </c>
      <c r="G35" s="665">
        <v>17050.04</v>
      </c>
      <c r="I35" t="s">
        <v>11698</v>
      </c>
      <c r="J35">
        <v>1000</v>
      </c>
      <c r="L35" s="665">
        <v>4281.45</v>
      </c>
      <c r="N35" t="s">
        <v>11731</v>
      </c>
      <c r="O35">
        <v>2170.4007321979871</v>
      </c>
      <c r="P35" s="665">
        <v>7628.22</v>
      </c>
    </row>
    <row r="36" spans="1:16" x14ac:dyDescent="0.2">
      <c r="A36" t="s">
        <v>11703</v>
      </c>
      <c r="B36">
        <v>1000</v>
      </c>
      <c r="C36" s="665">
        <v>3662.42</v>
      </c>
      <c r="E36" t="s">
        <v>11698</v>
      </c>
      <c r="F36" s="13">
        <v>2029.8621272446849</v>
      </c>
      <c r="G36" s="665">
        <v>52097.16</v>
      </c>
      <c r="I36" t="s">
        <v>11698</v>
      </c>
      <c r="J36">
        <v>1167.0796459777357</v>
      </c>
      <c r="L36" s="665">
        <v>4654.6400000000003</v>
      </c>
      <c r="N36" t="s">
        <v>11698</v>
      </c>
      <c r="O36">
        <v>5080.4805187865113</v>
      </c>
      <c r="P36" s="665">
        <v>9450.7800000000007</v>
      </c>
    </row>
    <row r="37" spans="1:16" x14ac:dyDescent="0.2">
      <c r="A37" t="s">
        <v>11703</v>
      </c>
      <c r="B37">
        <v>1000</v>
      </c>
      <c r="C37" s="665">
        <v>4275.1000000000004</v>
      </c>
      <c r="E37" t="s">
        <v>11698</v>
      </c>
      <c r="F37" s="13">
        <v>1000</v>
      </c>
      <c r="G37" s="665">
        <v>26704.35</v>
      </c>
      <c r="I37" t="s">
        <v>11698</v>
      </c>
      <c r="J37">
        <v>1000</v>
      </c>
      <c r="L37" s="665">
        <v>5660.05</v>
      </c>
      <c r="N37" t="s">
        <v>11698</v>
      </c>
      <c r="O37">
        <v>2423.9346493383741</v>
      </c>
      <c r="P37" s="665">
        <v>8020.85</v>
      </c>
    </row>
    <row r="38" spans="1:16" x14ac:dyDescent="0.2">
      <c r="A38" t="s">
        <v>11706</v>
      </c>
      <c r="B38">
        <v>1000</v>
      </c>
      <c r="C38" s="665">
        <v>4247.95</v>
      </c>
      <c r="E38" t="s">
        <v>11703</v>
      </c>
      <c r="F38" s="13">
        <v>4032.3756413538208</v>
      </c>
      <c r="G38" s="665">
        <v>61269.71</v>
      </c>
      <c r="I38" t="s">
        <v>11698</v>
      </c>
      <c r="J38">
        <v>669.1027012028776</v>
      </c>
      <c r="L38" s="665">
        <v>4464.78</v>
      </c>
      <c r="N38" t="s">
        <v>11698</v>
      </c>
      <c r="O38">
        <v>1389.6748409598226</v>
      </c>
      <c r="P38" s="665">
        <v>7695.78</v>
      </c>
    </row>
    <row r="39" spans="1:16" x14ac:dyDescent="0.2">
      <c r="A39" t="s">
        <v>11706</v>
      </c>
      <c r="B39">
        <v>1000</v>
      </c>
      <c r="C39" s="665">
        <v>4785.8999999999996</v>
      </c>
      <c r="E39" t="s">
        <v>11703</v>
      </c>
      <c r="F39" s="13">
        <v>1000</v>
      </c>
      <c r="G39" s="665">
        <v>16734.43</v>
      </c>
      <c r="I39" t="s">
        <v>11703</v>
      </c>
      <c r="J39">
        <v>1000</v>
      </c>
      <c r="L39" s="665">
        <v>4251.8500000000004</v>
      </c>
      <c r="N39" t="s">
        <v>11703</v>
      </c>
      <c r="O39">
        <v>2760.6264006191541</v>
      </c>
      <c r="P39" s="665">
        <v>8542.25</v>
      </c>
    </row>
    <row r="40" spans="1:16" x14ac:dyDescent="0.2">
      <c r="A40" t="s">
        <v>11706</v>
      </c>
      <c r="B40">
        <v>1000</v>
      </c>
      <c r="C40" s="665">
        <v>5568.84</v>
      </c>
      <c r="E40" t="s">
        <v>11703</v>
      </c>
      <c r="F40" s="13">
        <v>2182.4656446064205</v>
      </c>
      <c r="G40" s="665">
        <v>55171.03</v>
      </c>
      <c r="I40" t="s">
        <v>11703</v>
      </c>
      <c r="J40">
        <v>1329.1904891870001</v>
      </c>
      <c r="L40" s="665">
        <v>4977.3900000000003</v>
      </c>
      <c r="N40" t="s">
        <v>11703</v>
      </c>
      <c r="O40">
        <v>1494.1495566920878</v>
      </c>
      <c r="P40" s="665">
        <v>7953.54</v>
      </c>
    </row>
    <row r="41" spans="1:16" x14ac:dyDescent="0.2">
      <c r="A41" t="s">
        <v>11706</v>
      </c>
      <c r="B41">
        <v>1000</v>
      </c>
      <c r="C41" s="665">
        <v>5648.36</v>
      </c>
      <c r="E41" t="s">
        <v>11703</v>
      </c>
      <c r="F41" s="13">
        <v>1000</v>
      </c>
      <c r="G41" s="665">
        <v>26388.74</v>
      </c>
      <c r="I41" t="s">
        <v>11703</v>
      </c>
      <c r="J41">
        <v>1000</v>
      </c>
      <c r="L41" s="665">
        <v>5630.45</v>
      </c>
      <c r="N41" t="s">
        <v>11703</v>
      </c>
      <c r="O41">
        <v>1072.1565784473603</v>
      </c>
      <c r="P41" s="665">
        <v>7589.62</v>
      </c>
    </row>
    <row r="42" spans="1:16" x14ac:dyDescent="0.2">
      <c r="A42" t="s">
        <v>11708</v>
      </c>
      <c r="B42">
        <v>1000</v>
      </c>
      <c r="C42" s="665">
        <v>5587.08</v>
      </c>
      <c r="E42" t="s">
        <v>11703</v>
      </c>
      <c r="F42" s="13">
        <v>1566.0714067208633</v>
      </c>
      <c r="G42" s="665">
        <v>51441.77</v>
      </c>
      <c r="I42" t="s">
        <v>11703</v>
      </c>
      <c r="J42">
        <v>719.40534211100521</v>
      </c>
      <c r="L42" s="665">
        <v>4625.1899999999996</v>
      </c>
      <c r="N42" t="s">
        <v>11703</v>
      </c>
      <c r="O42">
        <v>356.99472732336932</v>
      </c>
      <c r="P42" s="665">
        <v>7527.58</v>
      </c>
    </row>
    <row r="43" spans="1:16" x14ac:dyDescent="0.2">
      <c r="A43" t="s">
        <v>11710</v>
      </c>
      <c r="B43">
        <v>1000</v>
      </c>
      <c r="C43" s="665">
        <v>7038.93</v>
      </c>
      <c r="E43" t="s">
        <v>11703</v>
      </c>
      <c r="F43" s="13">
        <v>1000</v>
      </c>
      <c r="G43" s="665">
        <v>33587.86</v>
      </c>
      <c r="I43" t="s">
        <v>11703</v>
      </c>
      <c r="J43">
        <v>1000</v>
      </c>
      <c r="L43" s="665">
        <v>6620</v>
      </c>
      <c r="N43" t="s">
        <v>11706</v>
      </c>
      <c r="O43">
        <v>1690.1035969140012</v>
      </c>
      <c r="P43" s="665">
        <v>8437.01</v>
      </c>
    </row>
    <row r="44" spans="1:16" x14ac:dyDescent="0.2">
      <c r="A44" t="s">
        <v>11710</v>
      </c>
      <c r="B44">
        <v>1000</v>
      </c>
      <c r="C44" s="665">
        <v>9619.7099999999991</v>
      </c>
      <c r="E44" t="s">
        <v>11706</v>
      </c>
      <c r="F44" s="13">
        <v>2468.6906471777543</v>
      </c>
      <c r="G44" s="665">
        <v>60936.42</v>
      </c>
      <c r="I44" t="s">
        <v>11703</v>
      </c>
      <c r="J44">
        <v>516.22353777095122</v>
      </c>
      <c r="L44" s="665">
        <v>4408.1000000000004</v>
      </c>
      <c r="N44" t="s">
        <v>11706</v>
      </c>
      <c r="O44">
        <v>1169.4507873572102</v>
      </c>
      <c r="P44" s="665">
        <v>7891.13</v>
      </c>
    </row>
    <row r="45" spans="1:16" x14ac:dyDescent="0.2">
      <c r="A45" t="s">
        <v>11712</v>
      </c>
      <c r="B45">
        <v>1000</v>
      </c>
      <c r="C45" s="665">
        <v>5863.39</v>
      </c>
      <c r="E45" t="s">
        <v>11706</v>
      </c>
      <c r="F45" s="13">
        <v>1000</v>
      </c>
      <c r="G45" s="665">
        <v>25902.01</v>
      </c>
      <c r="I45" t="s">
        <v>11706</v>
      </c>
      <c r="J45">
        <v>1000</v>
      </c>
      <c r="L45" s="665">
        <v>5584.81</v>
      </c>
      <c r="N45" t="s">
        <v>11706</v>
      </c>
      <c r="O45">
        <v>827.2086439287699</v>
      </c>
      <c r="P45" s="665">
        <v>7683.54</v>
      </c>
    </row>
    <row r="46" spans="1:16" x14ac:dyDescent="0.2">
      <c r="A46" t="s">
        <v>11712</v>
      </c>
      <c r="B46">
        <v>1000</v>
      </c>
      <c r="C46" s="665">
        <v>7985.93</v>
      </c>
      <c r="E46" t="s">
        <v>11706</v>
      </c>
      <c r="F46" s="13">
        <v>1708.1865433307564</v>
      </c>
      <c r="G46" s="665">
        <v>55092.65</v>
      </c>
      <c r="I46" t="s">
        <v>11706</v>
      </c>
      <c r="J46">
        <v>813.75358369933394</v>
      </c>
      <c r="L46" s="665">
        <v>4926.0600000000004</v>
      </c>
      <c r="N46" t="s">
        <v>11708</v>
      </c>
      <c r="O46">
        <v>967.32349077695164</v>
      </c>
      <c r="P46" s="665">
        <v>8262.23</v>
      </c>
    </row>
    <row r="47" spans="1:16" x14ac:dyDescent="0.2">
      <c r="B47">
        <v>1000</v>
      </c>
      <c r="C47" s="665">
        <v>3669.33</v>
      </c>
      <c r="E47" t="s">
        <v>11706</v>
      </c>
      <c r="F47" s="13">
        <v>1000</v>
      </c>
      <c r="G47" s="665">
        <v>33101.129999999997</v>
      </c>
      <c r="I47" t="s">
        <v>11706</v>
      </c>
      <c r="J47">
        <v>295.91039407248502</v>
      </c>
      <c r="L47" s="665">
        <v>5049.2</v>
      </c>
      <c r="N47" t="s">
        <v>11710</v>
      </c>
      <c r="O47">
        <v>666.2687308922882</v>
      </c>
      <c r="P47" s="665">
        <v>8220.74</v>
      </c>
    </row>
    <row r="48" spans="1:16" x14ac:dyDescent="0.2">
      <c r="B48">
        <v>1000</v>
      </c>
      <c r="C48" s="665">
        <v>4285.46</v>
      </c>
      <c r="E48" t="s">
        <v>11706</v>
      </c>
      <c r="F48" s="13">
        <v>1208.2822888847202</v>
      </c>
      <c r="G48" s="665">
        <v>52884.639999999999</v>
      </c>
      <c r="I48" t="s">
        <v>11706</v>
      </c>
      <c r="J48">
        <v>1000</v>
      </c>
      <c r="L48" s="665">
        <v>6574.36</v>
      </c>
      <c r="N48" t="s">
        <v>11712</v>
      </c>
      <c r="O48">
        <v>1316.7366223167753</v>
      </c>
      <c r="P48" s="665">
        <v>10371.39</v>
      </c>
    </row>
    <row r="49" spans="2:16" x14ac:dyDescent="0.2">
      <c r="B49">
        <v>1000</v>
      </c>
      <c r="C49" s="665">
        <v>3677.94</v>
      </c>
      <c r="E49" t="s">
        <v>11706</v>
      </c>
      <c r="F49" s="13">
        <v>1000</v>
      </c>
      <c r="G49" s="665">
        <v>44121.45</v>
      </c>
      <c r="I49" t="s">
        <v>11706</v>
      </c>
      <c r="J49">
        <v>563.06889761643458</v>
      </c>
      <c r="L49" s="665">
        <v>4596.58</v>
      </c>
      <c r="N49" t="s">
        <v>11712</v>
      </c>
      <c r="O49">
        <v>598.0868320397559</v>
      </c>
      <c r="P49" s="665">
        <v>8548.5</v>
      </c>
    </row>
    <row r="50" spans="2:16" x14ac:dyDescent="0.2">
      <c r="B50">
        <v>1000</v>
      </c>
      <c r="C50" s="665">
        <v>5617.27</v>
      </c>
      <c r="E50" t="s">
        <v>11708</v>
      </c>
      <c r="F50" s="13">
        <v>1412.9444247303791</v>
      </c>
      <c r="G50" s="665">
        <v>59943.61</v>
      </c>
      <c r="I50" t="s">
        <v>11706</v>
      </c>
      <c r="J50">
        <v>1000</v>
      </c>
      <c r="L50" s="665">
        <v>8133.09</v>
      </c>
      <c r="N50" t="s">
        <v>11714</v>
      </c>
      <c r="O50">
        <v>268.47999846810956</v>
      </c>
      <c r="P50" s="665">
        <v>8380.9699999999993</v>
      </c>
    </row>
    <row r="51" spans="2:16" x14ac:dyDescent="0.2">
      <c r="E51" t="s">
        <v>11708</v>
      </c>
      <c r="F51" s="13">
        <v>1000</v>
      </c>
      <c r="G51" s="665">
        <v>43023.1</v>
      </c>
      <c r="I51" t="s">
        <v>11706</v>
      </c>
      <c r="J51">
        <v>398.28564337311138</v>
      </c>
      <c r="L51" s="665">
        <v>4471.51</v>
      </c>
      <c r="N51" t="s">
        <v>11732</v>
      </c>
      <c r="O51">
        <v>892.82852414051627</v>
      </c>
      <c r="P51" s="665">
        <v>7954.56</v>
      </c>
    </row>
    <row r="52" spans="2:16" x14ac:dyDescent="0.2">
      <c r="E52" t="s">
        <v>11710</v>
      </c>
      <c r="F52" s="13">
        <v>973.20151703367935</v>
      </c>
      <c r="G52" s="665">
        <v>59846.94</v>
      </c>
      <c r="I52" t="s">
        <v>11708</v>
      </c>
      <c r="J52">
        <v>1000</v>
      </c>
      <c r="L52" s="665">
        <v>8030.09</v>
      </c>
      <c r="N52" t="s">
        <v>11731</v>
      </c>
      <c r="O52">
        <v>5049.0516260009472</v>
      </c>
      <c r="P52" s="665">
        <v>7529.79</v>
      </c>
    </row>
    <row r="53" spans="2:16" x14ac:dyDescent="0.2">
      <c r="E53" t="s">
        <v>11710</v>
      </c>
      <c r="F53" s="13">
        <v>1000</v>
      </c>
      <c r="G53" s="665">
        <v>61438.52</v>
      </c>
      <c r="I53" t="s">
        <v>11708</v>
      </c>
      <c r="J53">
        <v>465.74834741112494</v>
      </c>
      <c r="L53" s="665">
        <v>4834.0600000000004</v>
      </c>
      <c r="N53" t="s">
        <v>11731</v>
      </c>
      <c r="O53">
        <v>4081.2360797219089</v>
      </c>
      <c r="P53" s="665">
        <v>6542.32</v>
      </c>
    </row>
    <row r="54" spans="2:16" x14ac:dyDescent="0.2">
      <c r="E54" t="s">
        <v>11712</v>
      </c>
      <c r="F54" s="13">
        <v>1923.3231561930425</v>
      </c>
      <c r="G54" s="665">
        <v>85406.9</v>
      </c>
      <c r="I54" t="s">
        <v>11710</v>
      </c>
      <c r="J54">
        <v>1000</v>
      </c>
      <c r="L54" s="665">
        <v>10671.77</v>
      </c>
      <c r="N54" t="s">
        <v>11731</v>
      </c>
      <c r="O54">
        <v>2170.4007321979871</v>
      </c>
      <c r="P54" s="665">
        <v>5739.3</v>
      </c>
    </row>
    <row r="55" spans="2:16" x14ac:dyDescent="0.2">
      <c r="E55" t="s">
        <v>11712</v>
      </c>
      <c r="F55" s="13">
        <v>873.60997938391301</v>
      </c>
      <c r="G55" s="665">
        <v>63797.66</v>
      </c>
      <c r="I55" t="s">
        <v>11710</v>
      </c>
      <c r="J55">
        <v>320.79605561480543</v>
      </c>
      <c r="L55" s="665">
        <v>4814.3599999999997</v>
      </c>
      <c r="N55" t="s">
        <v>11698</v>
      </c>
      <c r="O55">
        <v>5080.4805187865113</v>
      </c>
      <c r="P55" s="665">
        <v>7561.86</v>
      </c>
    </row>
    <row r="56" spans="2:16" x14ac:dyDescent="0.2">
      <c r="E56" t="s">
        <v>11712</v>
      </c>
      <c r="F56" s="13">
        <v>1000</v>
      </c>
      <c r="G56" s="665">
        <v>72731.350000000006</v>
      </c>
      <c r="I56" t="s">
        <v>11712</v>
      </c>
      <c r="J56">
        <v>1000</v>
      </c>
      <c r="L56" s="665">
        <v>8520.51</v>
      </c>
      <c r="N56" t="s">
        <v>11698</v>
      </c>
      <c r="O56">
        <v>2423.9346493383741</v>
      </c>
      <c r="P56" s="665">
        <v>6131.93</v>
      </c>
    </row>
    <row r="57" spans="2:16" x14ac:dyDescent="0.2">
      <c r="E57" t="s">
        <v>11714</v>
      </c>
      <c r="F57" s="13">
        <v>392.16179551521623</v>
      </c>
      <c r="G57" s="665">
        <v>62583.44</v>
      </c>
      <c r="I57" t="s">
        <v>11712</v>
      </c>
      <c r="J57">
        <v>633.98429963400292</v>
      </c>
      <c r="L57" s="665">
        <v>6151.41</v>
      </c>
      <c r="N57" t="s">
        <v>11698</v>
      </c>
      <c r="O57">
        <v>1389.6748409598226</v>
      </c>
      <c r="P57" s="665">
        <v>5806.86</v>
      </c>
    </row>
    <row r="58" spans="2:16" x14ac:dyDescent="0.2">
      <c r="E58" t="s">
        <v>11714</v>
      </c>
      <c r="F58" s="13">
        <v>1000</v>
      </c>
      <c r="G58" s="665">
        <v>156411.69</v>
      </c>
      <c r="I58" t="s">
        <v>11712</v>
      </c>
      <c r="J58">
        <v>1000</v>
      </c>
      <c r="L58" s="665">
        <v>12365.45</v>
      </c>
      <c r="N58" t="s">
        <v>11703</v>
      </c>
      <c r="O58">
        <v>2760.6264006191541</v>
      </c>
      <c r="P58" s="665">
        <v>6653.33</v>
      </c>
    </row>
    <row r="59" spans="2:16" x14ac:dyDescent="0.2">
      <c r="E59" t="s">
        <v>11703</v>
      </c>
      <c r="F59" s="13">
        <v>1000</v>
      </c>
      <c r="G59" s="665">
        <v>35114.58</v>
      </c>
      <c r="I59" t="s">
        <v>11712</v>
      </c>
      <c r="J59">
        <v>287.96773394506766</v>
      </c>
      <c r="L59" s="665">
        <v>5018.9799999999996</v>
      </c>
      <c r="N59" t="s">
        <v>11703</v>
      </c>
      <c r="O59">
        <v>1000</v>
      </c>
      <c r="P59" s="665">
        <v>4766.96</v>
      </c>
    </row>
    <row r="60" spans="2:16" x14ac:dyDescent="0.2">
      <c r="F60" s="13"/>
      <c r="G60"/>
      <c r="I60" t="s">
        <v>11714</v>
      </c>
      <c r="J60">
        <v>1000</v>
      </c>
      <c r="L60" s="665">
        <v>24318.79</v>
      </c>
      <c r="N60" t="s">
        <v>11703</v>
      </c>
      <c r="O60">
        <v>1494.1495566920878</v>
      </c>
      <c r="P60" s="665">
        <v>6064.62</v>
      </c>
    </row>
    <row r="61" spans="2:16" x14ac:dyDescent="0.2">
      <c r="F61" s="13"/>
      <c r="G61"/>
      <c r="I61" t="s">
        <v>11714</v>
      </c>
      <c r="J61">
        <v>129.26814741057129</v>
      </c>
      <c r="L61" s="665">
        <v>4926.76</v>
      </c>
      <c r="N61" t="s">
        <v>11703</v>
      </c>
      <c r="O61">
        <v>1072.1565784473603</v>
      </c>
      <c r="P61" s="665">
        <v>5700.7</v>
      </c>
    </row>
    <row r="62" spans="2:16" x14ac:dyDescent="0.2">
      <c r="F62" s="13"/>
      <c r="G62"/>
      <c r="I62" t="s">
        <v>11703</v>
      </c>
      <c r="J62">
        <v>1000</v>
      </c>
      <c r="L62" s="665">
        <v>4445.12</v>
      </c>
      <c r="N62" t="s">
        <v>11703</v>
      </c>
      <c r="O62">
        <v>356.99472732336932</v>
      </c>
      <c r="P62" s="665">
        <v>5638.66</v>
      </c>
    </row>
    <row r="63" spans="2:16" x14ac:dyDescent="0.2">
      <c r="F63" s="13"/>
      <c r="G63"/>
      <c r="N63" t="s">
        <v>11706</v>
      </c>
      <c r="O63">
        <v>1690.1035969140012</v>
      </c>
      <c r="P63" s="665">
        <v>6548.09</v>
      </c>
    </row>
    <row r="64" spans="2:16" x14ac:dyDescent="0.2">
      <c r="F64" s="13"/>
      <c r="G64"/>
      <c r="N64" t="s">
        <v>11706</v>
      </c>
      <c r="O64">
        <v>1169.4507873572102</v>
      </c>
      <c r="P64" s="665">
        <v>6002.21</v>
      </c>
    </row>
    <row r="65" spans="6:16" x14ac:dyDescent="0.2">
      <c r="F65" s="13"/>
      <c r="G65"/>
      <c r="N65" t="s">
        <v>11706</v>
      </c>
      <c r="O65">
        <v>827.2086439287699</v>
      </c>
      <c r="P65" s="665">
        <v>5794.62</v>
      </c>
    </row>
    <row r="66" spans="6:16" x14ac:dyDescent="0.2">
      <c r="F66" s="13"/>
      <c r="G66"/>
      <c r="N66" t="s">
        <v>11708</v>
      </c>
      <c r="O66">
        <v>967.32349077695164</v>
      </c>
      <c r="P66" s="665">
        <v>6373.31</v>
      </c>
    </row>
    <row r="67" spans="6:16" x14ac:dyDescent="0.2">
      <c r="F67" s="13"/>
      <c r="G67"/>
      <c r="N67" t="s">
        <v>11710</v>
      </c>
      <c r="O67">
        <v>666.2687308922882</v>
      </c>
      <c r="P67" s="665">
        <v>6331.82</v>
      </c>
    </row>
    <row r="68" spans="6:16" x14ac:dyDescent="0.2">
      <c r="F68" s="13"/>
      <c r="G68"/>
      <c r="N68" t="s">
        <v>11712</v>
      </c>
      <c r="O68">
        <v>1316.7366223167753</v>
      </c>
      <c r="P68" s="665">
        <v>8482.4699999999993</v>
      </c>
    </row>
    <row r="69" spans="6:16" x14ac:dyDescent="0.2">
      <c r="F69" s="13"/>
      <c r="G69"/>
      <c r="N69" t="s">
        <v>11712</v>
      </c>
      <c r="O69">
        <v>598.0868320397559</v>
      </c>
      <c r="P69" s="665">
        <v>6659.58</v>
      </c>
    </row>
    <row r="70" spans="6:16" x14ac:dyDescent="0.2">
      <c r="F70" s="13"/>
      <c r="G70"/>
    </row>
    <row r="71" spans="6:16" x14ac:dyDescent="0.2">
      <c r="F71" s="13"/>
      <c r="G71"/>
    </row>
    <row r="72" spans="6:16" x14ac:dyDescent="0.2">
      <c r="F72" s="13"/>
      <c r="G72"/>
    </row>
  </sheetData>
  <mergeCells count="4">
    <mergeCell ref="B1:I1"/>
    <mergeCell ref="B3:I3"/>
    <mergeCell ref="B11:I11"/>
    <mergeCell ref="B19:J19"/>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E027B-1D2F-45C1-BE44-0ED1AB4C07BD}">
  <sheetPr codeName="Hoja14"/>
  <dimension ref="A1:S3564"/>
  <sheetViews>
    <sheetView view="pageBreakPreview" zoomScale="130" zoomScaleNormal="100" zoomScaleSheetLayoutView="130" workbookViewId="0">
      <pane ySplit="2" topLeftCell="A3" activePane="bottomLeft" state="frozen"/>
      <selection activeCell="I12" sqref="I12"/>
      <selection pane="bottomLeft" sqref="A1:C8"/>
    </sheetView>
  </sheetViews>
  <sheetFormatPr baseColWidth="10" defaultColWidth="11.28515625" defaultRowHeight="12.75" x14ac:dyDescent="0.2"/>
  <cols>
    <col min="1" max="1" width="16" style="9" bestFit="1" customWidth="1"/>
    <col min="2" max="2" width="39.5703125" style="9" customWidth="1"/>
    <col min="3" max="3" width="11.28515625" style="9" bestFit="1" customWidth="1"/>
    <col min="4" max="4" width="3" style="9" customWidth="1"/>
    <col min="5" max="5" width="8.7109375" style="636" customWidth="1"/>
    <col min="6" max="6" width="28.7109375" style="276" customWidth="1"/>
    <col min="7" max="7" width="11" style="276" customWidth="1"/>
    <col min="8" max="8" width="14.28515625" style="9" customWidth="1"/>
    <col min="9" max="9" width="12.7109375" style="9" bestFit="1" customWidth="1"/>
    <col min="10" max="10" width="14.5703125" style="9" customWidth="1"/>
    <col min="11" max="11" width="11.28515625" style="9"/>
    <col min="12" max="12" width="9.28515625" style="4" bestFit="1" customWidth="1"/>
    <col min="13" max="14" width="11.85546875" style="9" bestFit="1" customWidth="1"/>
    <col min="15" max="15" width="11.28515625" style="9"/>
    <col min="16" max="16" width="41.85546875" style="9" bestFit="1" customWidth="1"/>
    <col min="17" max="16384" width="11.28515625" style="9"/>
  </cols>
  <sheetData>
    <row r="1" spans="1:17" ht="21" thickBot="1" x14ac:dyDescent="0.25">
      <c r="A1" s="1517" t="s">
        <v>11733</v>
      </c>
      <c r="B1" s="1518"/>
      <c r="C1" s="1519"/>
      <c r="F1" s="601" t="s">
        <v>11734</v>
      </c>
      <c r="H1" s="280">
        <f>+SUM(H3:H55)</f>
        <v>162431.99999999997</v>
      </c>
      <c r="I1" s="26">
        <f>+H1*0.21</f>
        <v>34110.719999999994</v>
      </c>
      <c r="J1" s="474">
        <f>+H1+I1</f>
        <v>196542.71999999997</v>
      </c>
      <c r="L1" s="4" cm="1">
        <f t="array" ref="L1">+_xlfn._xlws.FILTER(CODIGOS_Y_COSTOS[Numero],ISNUMBER(SEARCH(J1,CODIGOS_Y_COSTOS[Producto])),1)</f>
        <v>1</v>
      </c>
    </row>
    <row r="2" spans="1:17" ht="16.5" thickBot="1" x14ac:dyDescent="0.25">
      <c r="A2" s="272" t="s">
        <v>8751</v>
      </c>
      <c r="B2" s="273" t="s">
        <v>8756</v>
      </c>
      <c r="C2" s="274" t="s">
        <v>8322</v>
      </c>
      <c r="D2" s="275"/>
      <c r="E2" s="271" t="s">
        <v>8189</v>
      </c>
      <c r="F2" s="271" t="s">
        <v>1</v>
      </c>
      <c r="G2" s="271" t="s">
        <v>6</v>
      </c>
      <c r="H2" s="271" t="s">
        <v>8162</v>
      </c>
      <c r="J2" s="82" t="s">
        <v>2096</v>
      </c>
      <c r="O2" s="169" t="s">
        <v>11735</v>
      </c>
      <c r="P2" s="169" t="s">
        <v>11736</v>
      </c>
      <c r="Q2" s="943" t="s">
        <v>11737</v>
      </c>
    </row>
    <row r="3" spans="1:17" x14ac:dyDescent="0.2">
      <c r="A3" s="277" t="str">
        <f>+_xlfn.XLOOKUP(F3&amp;E3,CODIGOS_Y_COSTOS[ID],CODIGOS_Y_COSTOS[CODIGO],"-",0)</f>
        <v>04207H</v>
      </c>
      <c r="B3" s="278" t="str">
        <f>+_xlfn.XLOOKUP(F3&amp;E3,CODIGOS_Y_COSTOS[ID],CODIGOS_Y_COSTOS[Descripción - FABRICA],"-",0)</f>
        <v>D6799 RETEN SEGUR.   7 RS</v>
      </c>
      <c r="C3" s="279">
        <v>1000</v>
      </c>
      <c r="D3" s="275"/>
      <c r="E3" s="1216">
        <v>7</v>
      </c>
      <c r="F3" s="396" t="s">
        <v>5540</v>
      </c>
      <c r="G3" s="26">
        <f>+_xlfn.XLOOKUP(F3&amp;E3,CODIGOS_Y_COSTOS[ID],CODIGOS_Y_COSTOS[COSTO],0,0)</f>
        <v>24.03</v>
      </c>
      <c r="H3" s="26">
        <f t="shared" ref="H3:H34" si="0">+G3*C3</f>
        <v>24030</v>
      </c>
      <c r="J3" s="82" t="s">
        <v>2281</v>
      </c>
      <c r="O3" s="169" t="s">
        <v>8952</v>
      </c>
      <c r="P3" s="169" t="s">
        <v>11738</v>
      </c>
      <c r="Q3" s="387" t="s">
        <v>11739</v>
      </c>
    </row>
    <row r="4" spans="1:17" x14ac:dyDescent="0.2">
      <c r="A4" s="277" t="str">
        <f>+_xlfn.XLOOKUP(F4&amp;E4,CODIGOS_Y_COSTOS[ID],CODIGOS_Y_COSTOS[CODIGO],"-",0)</f>
        <v>04208H</v>
      </c>
      <c r="B4" s="278" t="str">
        <f>+_xlfn.XLOOKUP(F4&amp;E4,CODIGOS_Y_COSTOS[ID],CODIGOS_Y_COSTOS[Descripción - FABRICA],"-",0)</f>
        <v>D6799 RETEN SEGUR.   8 RS</v>
      </c>
      <c r="C4" s="279">
        <v>1000</v>
      </c>
      <c r="D4" s="275"/>
      <c r="E4" s="1110">
        <v>8</v>
      </c>
      <c r="F4" s="396" t="s">
        <v>5540</v>
      </c>
      <c r="G4" s="26">
        <f>+_xlfn.XLOOKUP(F4&amp;E4,CODIGOS_Y_COSTOS[ID],CODIGOS_Y_COSTOS[COSTO],0,0)</f>
        <v>31.158000000000001</v>
      </c>
      <c r="H4" s="26">
        <f t="shared" si="0"/>
        <v>31158</v>
      </c>
      <c r="J4" s="82" t="s">
        <v>5242</v>
      </c>
      <c r="O4" s="9" t="s">
        <v>11740</v>
      </c>
      <c r="P4" s="169" t="s">
        <v>11741</v>
      </c>
      <c r="Q4" s="9">
        <v>13.52</v>
      </c>
    </row>
    <row r="5" spans="1:17" x14ac:dyDescent="0.2">
      <c r="A5" s="277" t="str">
        <f>+_xlfn.XLOOKUP(F5&amp;E5,CODIGOS_Y_COSTOS[ID],CODIGOS_Y_COSTOS[CODIGO],"-",0)</f>
        <v>04209H</v>
      </c>
      <c r="B5" s="278" t="str">
        <f>+_xlfn.XLOOKUP(F5&amp;E5,CODIGOS_Y_COSTOS[ID],CODIGOS_Y_COSTOS[Descripción - FABRICA],"-",0)</f>
        <v>D6799 RETEN SEGUR.   9 RS</v>
      </c>
      <c r="C5" s="279">
        <v>500</v>
      </c>
      <c r="D5" s="275"/>
      <c r="E5" s="1110">
        <v>9</v>
      </c>
      <c r="F5" s="396" t="s">
        <v>5540</v>
      </c>
      <c r="G5" s="26">
        <f>+_xlfn.XLOOKUP(F5&amp;E5,CODIGOS_Y_COSTOS[ID],CODIGOS_Y_COSTOS[COSTO],0,0)</f>
        <v>42.508800000000001</v>
      </c>
      <c r="H5" s="26">
        <f t="shared" si="0"/>
        <v>21254.400000000001</v>
      </c>
      <c r="J5" s="82" t="s">
        <v>5540</v>
      </c>
      <c r="O5" s="9" t="s">
        <v>11742</v>
      </c>
      <c r="P5" s="169" t="s">
        <v>11743</v>
      </c>
      <c r="Q5" s="9">
        <v>13.52</v>
      </c>
    </row>
    <row r="6" spans="1:17" x14ac:dyDescent="0.2">
      <c r="A6" s="277" t="str">
        <f>+_xlfn.XLOOKUP(F6&amp;E6,CODIGOS_Y_COSTOS[ID],CODIGOS_Y_COSTOS[CODIGO],"-",0)</f>
        <v>042010</v>
      </c>
      <c r="B6" s="278" t="str">
        <f>+_xlfn.XLOOKUP(F6&amp;E6,CODIGOS_Y_COSTOS[ID],CODIGOS_Y_COSTOS[Descripción - FABRICA],"-",0)</f>
        <v>D6799 RETEN SEGUR.  10 RS</v>
      </c>
      <c r="C6" s="279">
        <v>500</v>
      </c>
      <c r="D6" s="275"/>
      <c r="E6" s="1110">
        <v>10</v>
      </c>
      <c r="F6" s="396" t="s">
        <v>5540</v>
      </c>
      <c r="G6" s="26">
        <f>+_xlfn.XLOOKUP(F6&amp;E6,CODIGOS_Y_COSTOS[ID],CODIGOS_Y_COSTOS[COSTO],0,0)</f>
        <v>59.4</v>
      </c>
      <c r="H6" s="26">
        <f t="shared" si="0"/>
        <v>29700</v>
      </c>
      <c r="J6" s="82" t="s">
        <v>5586</v>
      </c>
      <c r="O6" s="9" t="s">
        <v>11744</v>
      </c>
      <c r="P6" s="169" t="s">
        <v>11745</v>
      </c>
      <c r="Q6" s="9">
        <v>33.82</v>
      </c>
    </row>
    <row r="7" spans="1:17" x14ac:dyDescent="0.2">
      <c r="A7" s="277" t="str">
        <f>+_xlfn.XLOOKUP(F7&amp;E7,CODIGOS_Y_COSTOS[ID],CODIGOS_Y_COSTOS[CODIGO],"-",0)</f>
        <v>042015</v>
      </c>
      <c r="B7" s="278" t="str">
        <f>+_xlfn.XLOOKUP(F7&amp;E7,CODIGOS_Y_COSTOS[ID],CODIGOS_Y_COSTOS[Descripción - FABRICA],"-",0)</f>
        <v>D6799 RETEN SEGUR.  15 RS</v>
      </c>
      <c r="C7" s="279">
        <v>200</v>
      </c>
      <c r="D7" s="275"/>
      <c r="E7" s="1110">
        <v>15</v>
      </c>
      <c r="F7" s="396" t="s">
        <v>5540</v>
      </c>
      <c r="G7" s="26">
        <f>+_xlfn.XLOOKUP(F7&amp;E7,CODIGOS_Y_COSTOS[ID],CODIGOS_Y_COSTOS[COSTO],0,0)</f>
        <v>152.06399999999999</v>
      </c>
      <c r="H7" s="26">
        <f t="shared" si="0"/>
        <v>30412.799999999999</v>
      </c>
      <c r="J7" s="9" t="s">
        <v>5939</v>
      </c>
      <c r="O7" s="9" t="s">
        <v>11746</v>
      </c>
      <c r="P7" s="169" t="s">
        <v>11747</v>
      </c>
      <c r="Q7" s="9">
        <v>62.77</v>
      </c>
    </row>
    <row r="8" spans="1:17" x14ac:dyDescent="0.2">
      <c r="A8" s="277" t="str">
        <f>+_xlfn.XLOOKUP(F8&amp;E8,CODIGOS_Y_COSTOS[ID],CODIGOS_Y_COSTOS[CODIGO],"-",0)</f>
        <v>07507-15</v>
      </c>
      <c r="B8" s="278" t="str">
        <f>+_xlfn.XLOOKUP(F8&amp;E8,CODIGOS_Y_COSTOS[ID],CODIGOS_Y_COSTOS[Descripción - FABRICA],"-",0)</f>
        <v>ARANLOCK         7x15x0,3</v>
      </c>
      <c r="C8" s="279">
        <v>1000</v>
      </c>
      <c r="D8" s="275"/>
      <c r="E8" s="1110" t="s">
        <v>21618</v>
      </c>
      <c r="F8" s="396" t="s">
        <v>5586</v>
      </c>
      <c r="G8" s="26">
        <f>+_xlfn.XLOOKUP(F8&amp;E8,CODIGOS_Y_COSTOS[ID],CODIGOS_Y_COSTOS[COSTO],0,0)</f>
        <v>25.876799999999999</v>
      </c>
      <c r="H8" s="26">
        <f t="shared" si="0"/>
        <v>25876.799999999999</v>
      </c>
      <c r="J8" s="9" t="s">
        <v>3369</v>
      </c>
      <c r="O8" s="9" t="s">
        <v>11748</v>
      </c>
      <c r="P8" s="169" t="s">
        <v>11749</v>
      </c>
      <c r="Q8" s="9">
        <v>2218.3000000000002</v>
      </c>
    </row>
    <row r="9" spans="1:17" x14ac:dyDescent="0.2">
      <c r="A9" s="277" t="str">
        <f>+_xlfn.XLOOKUP(F9&amp;E9,CODIGOS_Y_COSTOS[ID],CODIGOS_Y_COSTOS[CODIGO],"-",0)</f>
        <v>-</v>
      </c>
      <c r="B9" s="278" t="str">
        <f>+_xlfn.XLOOKUP(F9&amp;E9,CODIGOS_Y_COSTOS[ID],CODIGOS_Y_COSTOS[Descripción - FABRICA],"-",0)</f>
        <v>-</v>
      </c>
      <c r="C9" s="279"/>
      <c r="D9" s="275"/>
      <c r="E9" s="1110"/>
      <c r="F9" s="396"/>
      <c r="G9" s="26">
        <f>+_xlfn.XLOOKUP(F9&amp;E9,CODIGOS_Y_COSTOS[ID],CODIGOS_Y_COSTOS[COSTO],0,0)</f>
        <v>0</v>
      </c>
      <c r="H9" s="26">
        <f t="shared" si="0"/>
        <v>0</v>
      </c>
      <c r="J9" s="9" t="s">
        <v>3468</v>
      </c>
      <c r="O9" s="9" t="s">
        <v>11750</v>
      </c>
      <c r="P9" s="169" t="s">
        <v>11751</v>
      </c>
      <c r="Q9" s="9">
        <v>2425.9699999999998</v>
      </c>
    </row>
    <row r="10" spans="1:17" x14ac:dyDescent="0.2">
      <c r="A10" s="277" t="str">
        <f>+_xlfn.XLOOKUP(F10&amp;E10,CODIGOS_Y_COSTOS[ID],CODIGOS_Y_COSTOS[CODIGO],"-",0)</f>
        <v>-</v>
      </c>
      <c r="B10" s="278" t="str">
        <f>+_xlfn.XLOOKUP(F10&amp;E10,CODIGOS_Y_COSTOS[ID],CODIGOS_Y_COSTOS[Descripción - FABRICA],"-",0)</f>
        <v>-</v>
      </c>
      <c r="C10" s="279"/>
      <c r="D10" s="275"/>
      <c r="E10" s="1110"/>
      <c r="F10" s="396"/>
      <c r="G10" s="26">
        <f>+_xlfn.XLOOKUP(F10&amp;E10,CODIGOS_Y_COSTOS[ID],CODIGOS_Y_COSTOS[COSTO],0,0)</f>
        <v>0</v>
      </c>
      <c r="H10" s="26">
        <f t="shared" si="0"/>
        <v>0</v>
      </c>
      <c r="J10" s="9" t="s">
        <v>3533</v>
      </c>
      <c r="O10" s="9" t="s">
        <v>11752</v>
      </c>
      <c r="P10" s="169" t="s">
        <v>11753</v>
      </c>
      <c r="Q10" s="9">
        <v>412</v>
      </c>
    </row>
    <row r="11" spans="1:17" x14ac:dyDescent="0.2">
      <c r="A11" s="277" t="str">
        <f>+_xlfn.XLOOKUP(F11&amp;E11,CODIGOS_Y_COSTOS[ID],CODIGOS_Y_COSTOS[CODIGO],"-",0)</f>
        <v>-</v>
      </c>
      <c r="B11" s="278" t="str">
        <f>+_xlfn.XLOOKUP(F11&amp;E11,CODIGOS_Y_COSTOS[ID],CODIGOS_Y_COSTOS[Descripción - FABRICA],"-",0)</f>
        <v>-</v>
      </c>
      <c r="C11" s="279"/>
      <c r="D11" s="275"/>
      <c r="E11" s="1110"/>
      <c r="F11" s="396"/>
      <c r="G11" s="26">
        <f>+_xlfn.XLOOKUP(F11&amp;E11,CODIGOS_Y_COSTOS[ID],CODIGOS_Y_COSTOS[COSTO],0,0)</f>
        <v>0</v>
      </c>
      <c r="H11" s="26">
        <f t="shared" si="0"/>
        <v>0</v>
      </c>
      <c r="J11" s="9" t="s">
        <v>3613</v>
      </c>
      <c r="O11" s="9" t="s">
        <v>11754</v>
      </c>
      <c r="P11" s="169" t="s">
        <v>11755</v>
      </c>
      <c r="Q11" s="9">
        <v>2633.64</v>
      </c>
    </row>
    <row r="12" spans="1:17" x14ac:dyDescent="0.2">
      <c r="A12" s="277" t="str">
        <f>+_xlfn.XLOOKUP(F12&amp;E12,CODIGOS_Y_COSTOS[ID],CODIGOS_Y_COSTOS[CODIGO],"-",0)</f>
        <v>-</v>
      </c>
      <c r="B12" s="278" t="str">
        <f>+_xlfn.XLOOKUP(F12&amp;E12,CODIGOS_Y_COSTOS[ID],CODIGOS_Y_COSTOS[Descripción - FABRICA],"-",0)</f>
        <v>-</v>
      </c>
      <c r="C12" s="279"/>
      <c r="D12" s="275"/>
      <c r="E12" s="1110"/>
      <c r="F12" s="396"/>
      <c r="G12" s="26">
        <f>+_xlfn.XLOOKUP(F12&amp;E12,CODIGOS_Y_COSTOS[ID],CODIGOS_Y_COSTOS[COSTO],0,0)</f>
        <v>0</v>
      </c>
      <c r="H12" s="26">
        <f t="shared" si="0"/>
        <v>0</v>
      </c>
      <c r="J12" s="9" t="s">
        <v>4139</v>
      </c>
      <c r="O12" s="9" t="s">
        <v>11756</v>
      </c>
      <c r="P12" s="169" t="s">
        <v>11757</v>
      </c>
      <c r="Q12" s="9">
        <v>3048.99</v>
      </c>
    </row>
    <row r="13" spans="1:17" x14ac:dyDescent="0.2">
      <c r="A13" s="277" t="str">
        <f>+_xlfn.XLOOKUP(F13&amp;E13,CODIGOS_Y_COSTOS[ID],CODIGOS_Y_COSTOS[CODIGO],"-",0)</f>
        <v>-</v>
      </c>
      <c r="B13" s="278" t="str">
        <f>+_xlfn.XLOOKUP(F13&amp;E13,CODIGOS_Y_COSTOS[ID],CODIGOS_Y_COSTOS[Descripción - FABRICA],"-",0)</f>
        <v>-</v>
      </c>
      <c r="C13" s="279"/>
      <c r="D13" s="275"/>
      <c r="E13" s="1110"/>
      <c r="F13" s="396"/>
      <c r="G13" s="26">
        <f>+_xlfn.XLOOKUP(F13&amp;E13,CODIGOS_Y_COSTOS[ID],CODIGOS_Y_COSTOS[COSTO],0,0)</f>
        <v>0</v>
      </c>
      <c r="H13" s="26">
        <f t="shared" si="0"/>
        <v>0</v>
      </c>
      <c r="O13" s="9" t="s">
        <v>11758</v>
      </c>
      <c r="P13" s="169" t="s">
        <v>11759</v>
      </c>
      <c r="Q13" s="9">
        <v>491</v>
      </c>
    </row>
    <row r="14" spans="1:17" x14ac:dyDescent="0.2">
      <c r="A14" s="277" t="str">
        <f>+_xlfn.XLOOKUP(F14&amp;E14,CODIGOS_Y_COSTOS[ID],CODIGOS_Y_COSTOS[CODIGO],"-",0)</f>
        <v>-</v>
      </c>
      <c r="B14" s="278" t="str">
        <f>+_xlfn.XLOOKUP(F14&amp;E14,CODIGOS_Y_COSTOS[ID],CODIGOS_Y_COSTOS[Descripción - FABRICA],"-",0)</f>
        <v>-</v>
      </c>
      <c r="C14" s="279"/>
      <c r="D14" s="275"/>
      <c r="E14" s="1110"/>
      <c r="F14" s="396"/>
      <c r="G14" s="26">
        <f>+_xlfn.XLOOKUP(F14&amp;E14,CODIGOS_Y_COSTOS[ID],CODIGOS_Y_COSTOS[COSTO],0,0)</f>
        <v>0</v>
      </c>
      <c r="H14" s="26">
        <f t="shared" ref="H14:H19" si="1">+G14*C14</f>
        <v>0</v>
      </c>
      <c r="O14" s="9" t="s">
        <v>11760</v>
      </c>
      <c r="P14" s="169" t="s">
        <v>11761</v>
      </c>
      <c r="Q14" s="9">
        <v>3360.63</v>
      </c>
    </row>
    <row r="15" spans="1:17" x14ac:dyDescent="0.2">
      <c r="A15" s="277" t="str">
        <f>+_xlfn.XLOOKUP(F15&amp;E15,CODIGOS_Y_COSTOS[ID],CODIGOS_Y_COSTOS[CODIGO],"-",0)</f>
        <v>-</v>
      </c>
      <c r="B15" s="278" t="str">
        <f>+_xlfn.XLOOKUP(F15&amp;E15,CODIGOS_Y_COSTOS[ID],CODIGOS_Y_COSTOS[Descripción - FABRICA],"-",0)</f>
        <v>-</v>
      </c>
      <c r="C15" s="279"/>
      <c r="D15" s="275"/>
      <c r="E15" s="1110"/>
      <c r="F15" s="396"/>
      <c r="G15" s="26">
        <f>+_xlfn.XLOOKUP(F15&amp;E15,CODIGOS_Y_COSTOS[ID],CODIGOS_Y_COSTOS[COSTO],0,0)</f>
        <v>0</v>
      </c>
      <c r="H15" s="26">
        <f t="shared" si="1"/>
        <v>0</v>
      </c>
      <c r="O15" s="9" t="s">
        <v>11762</v>
      </c>
      <c r="P15" s="169" t="s">
        <v>11763</v>
      </c>
      <c r="Q15" s="9">
        <v>571</v>
      </c>
    </row>
    <row r="16" spans="1:17" x14ac:dyDescent="0.2">
      <c r="A16" s="277" t="str">
        <f>+_xlfn.XLOOKUP(F16&amp;E16,CODIGOS_Y_COSTOS[ID],CODIGOS_Y_COSTOS[CODIGO],"-",0)</f>
        <v>-</v>
      </c>
      <c r="B16" s="278" t="str">
        <f>+_xlfn.XLOOKUP(F16&amp;E16,CODIGOS_Y_COSTOS[ID],CODIGOS_Y_COSTOS[Descripción - FABRICA],"-",0)</f>
        <v>-</v>
      </c>
      <c r="C16" s="279"/>
      <c r="D16" s="275"/>
      <c r="E16" s="1110"/>
      <c r="F16" s="396"/>
      <c r="G16" s="26">
        <f>+_xlfn.XLOOKUP(F16&amp;E16,CODIGOS_Y_COSTOS[ID],CODIGOS_Y_COSTOS[COSTO],0,0)</f>
        <v>0</v>
      </c>
      <c r="H16" s="26">
        <f t="shared" si="1"/>
        <v>0</v>
      </c>
      <c r="O16" s="9" t="s">
        <v>11764</v>
      </c>
      <c r="P16" s="169" t="s">
        <v>11765</v>
      </c>
      <c r="Q16" s="9">
        <v>611</v>
      </c>
    </row>
    <row r="17" spans="1:17" ht="13.5" thickBot="1" x14ac:dyDescent="0.25">
      <c r="A17" s="277" t="str">
        <f>+_xlfn.XLOOKUP(F17&amp;E17,CODIGOS_Y_COSTOS[ID],CODIGOS_Y_COSTOS[CODIGO],"-",0)</f>
        <v>-</v>
      </c>
      <c r="B17" s="278" t="str">
        <f>+_xlfn.XLOOKUP(F17&amp;E17,CODIGOS_Y_COSTOS[ID],CODIGOS_Y_COSTOS[Descripción - FABRICA],"-",0)</f>
        <v>-</v>
      </c>
      <c r="C17" s="279"/>
      <c r="D17" s="275"/>
      <c r="E17" s="1110"/>
      <c r="F17" s="396"/>
      <c r="G17" s="26">
        <f>+_xlfn.XLOOKUP(F17&amp;E17,CODIGOS_Y_COSTOS[ID],CODIGOS_Y_COSTOS[COSTO],0,0)</f>
        <v>0</v>
      </c>
      <c r="H17" s="26">
        <f t="shared" si="1"/>
        <v>0</v>
      </c>
      <c r="O17" s="9" t="s">
        <v>11766</v>
      </c>
      <c r="P17" s="169" t="s">
        <v>11767</v>
      </c>
      <c r="Q17" s="9">
        <v>650</v>
      </c>
    </row>
    <row r="18" spans="1:17" ht="13.5" thickBot="1" x14ac:dyDescent="0.25">
      <c r="A18" s="277" t="str">
        <f>+_xlfn.XLOOKUP(F18&amp;E18,CODIGOS_Y_COSTOS[ID],CODIGOS_Y_COSTOS[CODIGO],"-",0)</f>
        <v>-</v>
      </c>
      <c r="B18" s="278" t="str">
        <f>+_xlfn.XLOOKUP(F18&amp;E18,CODIGOS_Y_COSTOS[ID],CODIGOS_Y_COSTOS[Descripción - FABRICA],"-",0)</f>
        <v>-</v>
      </c>
      <c r="C18" s="279"/>
      <c r="D18" s="275"/>
      <c r="E18" s="1110"/>
      <c r="F18" s="396"/>
      <c r="G18" s="26">
        <f>+_xlfn.XLOOKUP(F18&amp;E18,CODIGOS_Y_COSTOS[ID],CODIGOS_Y_COSTOS[COSTO],0,0)</f>
        <v>0</v>
      </c>
      <c r="H18" s="26">
        <f t="shared" si="1"/>
        <v>0</v>
      </c>
      <c r="J18" s="33" t="s">
        <v>5242</v>
      </c>
      <c r="L18" s="4" t="str" cm="1">
        <f t="array" ref="L18:L73">+_xlfn._xlws.FILTER(CODIGOS_Y_COSTOS[Numero],CODIGOS_Y_COSTOS[Producto]=J18)</f>
        <v>2 x 12</v>
      </c>
      <c r="O18" s="9" t="s">
        <v>11768</v>
      </c>
      <c r="P18" s="169" t="s">
        <v>11769</v>
      </c>
      <c r="Q18" s="9">
        <v>670</v>
      </c>
    </row>
    <row r="19" spans="1:17" x14ac:dyDescent="0.2">
      <c r="A19" s="277" t="str">
        <f>+_xlfn.XLOOKUP(F19&amp;E19,CODIGOS_Y_COSTOS[ID],CODIGOS_Y_COSTOS[CODIGO],"-",0)</f>
        <v>-</v>
      </c>
      <c r="B19" s="278" t="str">
        <f>+_xlfn.XLOOKUP(F19&amp;E19,CODIGOS_Y_COSTOS[ID],CODIGOS_Y_COSTOS[Descripción - FABRICA],"-",0)</f>
        <v>-</v>
      </c>
      <c r="C19" s="279"/>
      <c r="D19" s="275"/>
      <c r="E19" s="1110"/>
      <c r="F19" s="396"/>
      <c r="G19" s="26">
        <f>+_xlfn.XLOOKUP(F19&amp;E19,CODIGOS_Y_COSTOS[ID],CODIGOS_Y_COSTOS[COSTO],0,0)</f>
        <v>0</v>
      </c>
      <c r="H19" s="26">
        <f t="shared" si="1"/>
        <v>0</v>
      </c>
      <c r="L19" s="4" t="str">
        <v>2 x 16</v>
      </c>
      <c r="O19" s="9" t="s">
        <v>11770</v>
      </c>
      <c r="P19" s="169" t="s">
        <v>11771</v>
      </c>
      <c r="Q19" s="9">
        <v>690</v>
      </c>
    </row>
    <row r="20" spans="1:17" x14ac:dyDescent="0.2">
      <c r="A20" s="277" t="str">
        <f>+_xlfn.XLOOKUP(F20&amp;E20,CODIGOS_Y_COSTOS[ID],CODIGOS_Y_COSTOS[CODIGO],"-",0)</f>
        <v>-</v>
      </c>
      <c r="B20" s="278" t="str">
        <f>+_xlfn.XLOOKUP(F20&amp;E20,CODIGOS_Y_COSTOS[ID],CODIGOS_Y_COSTOS[Descripción - FABRICA],"-",0)</f>
        <v>-</v>
      </c>
      <c r="C20" s="279"/>
      <c r="D20" s="275"/>
      <c r="E20" s="637"/>
      <c r="F20" s="396"/>
      <c r="G20" s="26">
        <f>+_xlfn.XLOOKUP(F20&amp;E20,CODIGOS_Y_COSTOS[ID],CODIGOS_Y_COSTOS[COSTO],0,0)</f>
        <v>0</v>
      </c>
      <c r="H20" s="26">
        <f t="shared" si="0"/>
        <v>0</v>
      </c>
      <c r="L20" s="4" t="str">
        <v>2 x 20</v>
      </c>
      <c r="O20" s="9" t="s">
        <v>11772</v>
      </c>
      <c r="P20" s="169" t="s">
        <v>11773</v>
      </c>
      <c r="Q20" s="9">
        <v>730</v>
      </c>
    </row>
    <row r="21" spans="1:17" x14ac:dyDescent="0.2">
      <c r="A21" s="277" t="str">
        <f>+_xlfn.XLOOKUP(F21&amp;E21,CODIGOS_Y_COSTOS[ID],CODIGOS_Y_COSTOS[CODIGO],"-",0)</f>
        <v>-</v>
      </c>
      <c r="B21" s="278" t="str">
        <f>+_xlfn.XLOOKUP(F21&amp;E21,CODIGOS_Y_COSTOS[ID],CODIGOS_Y_COSTOS[Descripción - FABRICA],"-",0)</f>
        <v>-</v>
      </c>
      <c r="C21" s="279"/>
      <c r="D21" s="275"/>
      <c r="E21" s="637"/>
      <c r="F21" s="396"/>
      <c r="G21" s="26">
        <f>+_xlfn.XLOOKUP(F21&amp;E21,CODIGOS_Y_COSTOS[ID],CODIGOS_Y_COSTOS[COSTO],0,0)</f>
        <v>0</v>
      </c>
      <c r="H21" s="26">
        <f t="shared" si="0"/>
        <v>0</v>
      </c>
      <c r="L21" s="4" t="str">
        <v>2,5 x 14</v>
      </c>
      <c r="O21" s="9" t="s">
        <v>11774</v>
      </c>
      <c r="P21" s="169" t="s">
        <v>11775</v>
      </c>
      <c r="Q21" s="9">
        <v>769</v>
      </c>
    </row>
    <row r="22" spans="1:17" x14ac:dyDescent="0.2">
      <c r="A22" s="277" t="str">
        <f>+_xlfn.XLOOKUP(F22&amp;E22,CODIGOS_Y_COSTOS[ID],CODIGOS_Y_COSTOS[CODIGO],"-",0)</f>
        <v>-</v>
      </c>
      <c r="B22" s="278" t="str">
        <f>+_xlfn.XLOOKUP(F22&amp;E22,CODIGOS_Y_COSTOS[ID],CODIGOS_Y_COSTOS[Descripción - FABRICA],"-",0)</f>
        <v>-</v>
      </c>
      <c r="C22" s="279"/>
      <c r="D22" s="275"/>
      <c r="E22" s="637"/>
      <c r="F22" s="396"/>
      <c r="G22" s="26">
        <f>+_xlfn.XLOOKUP(F22&amp;E22,CODIGOS_Y_COSTOS[ID],CODIGOS_Y_COSTOS[COSTO],0,0)</f>
        <v>0</v>
      </c>
      <c r="H22" s="26">
        <f t="shared" si="0"/>
        <v>0</v>
      </c>
      <c r="L22" s="4" t="str">
        <v>2,5 x 16</v>
      </c>
      <c r="O22" s="9" t="s">
        <v>11776</v>
      </c>
      <c r="P22" s="169" t="s">
        <v>11777</v>
      </c>
      <c r="Q22" s="9">
        <v>809</v>
      </c>
    </row>
    <row r="23" spans="1:17" x14ac:dyDescent="0.2">
      <c r="A23" s="277" t="str">
        <f>+_xlfn.XLOOKUP(F23&amp;E23,CODIGOS_Y_COSTOS[ID],CODIGOS_Y_COSTOS[CODIGO],"-",0)</f>
        <v>-</v>
      </c>
      <c r="B23" s="278" t="str">
        <f>+_xlfn.XLOOKUP(F23&amp;E23,CODIGOS_Y_COSTOS[ID],CODIGOS_Y_COSTOS[Descripción - FABRICA],"-",0)</f>
        <v>-</v>
      </c>
      <c r="C23" s="279"/>
      <c r="D23" s="275"/>
      <c r="E23" s="637"/>
      <c r="F23" s="396"/>
      <c r="G23" s="26">
        <f>+_xlfn.XLOOKUP(F23&amp;E23,CODIGOS_Y_COSTOS[ID],CODIGOS_Y_COSTOS[COSTO],0,0)</f>
        <v>0</v>
      </c>
      <c r="H23" s="26">
        <f t="shared" si="0"/>
        <v>0</v>
      </c>
      <c r="L23" s="4" t="str">
        <v xml:space="preserve">2,5 x 26 </v>
      </c>
      <c r="O23" s="9" t="s">
        <v>11778</v>
      </c>
      <c r="P23" s="169" t="s">
        <v>11779</v>
      </c>
      <c r="Q23" s="9">
        <v>849</v>
      </c>
    </row>
    <row r="24" spans="1:17" x14ac:dyDescent="0.2">
      <c r="A24" s="277" t="str">
        <f>+_xlfn.XLOOKUP(F24&amp;E24,CODIGOS_Y_COSTOS[ID],CODIGOS_Y_COSTOS[CODIGO],"-",0)</f>
        <v>-</v>
      </c>
      <c r="B24" s="278" t="str">
        <f>+_xlfn.XLOOKUP(F24&amp;E24,CODIGOS_Y_COSTOS[ID],CODIGOS_Y_COSTOS[Descripción - FABRICA],"-",0)</f>
        <v>-</v>
      </c>
      <c r="C24" s="279"/>
      <c r="D24" s="275"/>
      <c r="E24" s="637"/>
      <c r="F24" s="396"/>
      <c r="G24" s="26">
        <f>+_xlfn.XLOOKUP(F24&amp;E24,CODIGOS_Y_COSTOS[ID],CODIGOS_Y_COSTOS[COSTO],0,0)</f>
        <v>0</v>
      </c>
      <c r="H24" s="26">
        <f t="shared" si="0"/>
        <v>0</v>
      </c>
      <c r="L24" s="4" t="str">
        <v>2,5 x 30</v>
      </c>
      <c r="O24" s="9" t="s">
        <v>11780</v>
      </c>
      <c r="P24" s="169" t="s">
        <v>11781</v>
      </c>
      <c r="Q24" s="9">
        <v>889</v>
      </c>
    </row>
    <row r="25" spans="1:17" x14ac:dyDescent="0.2">
      <c r="A25" s="277" t="str">
        <f>+_xlfn.XLOOKUP(F25&amp;E25,CODIGOS_Y_COSTOS[ID],CODIGOS_Y_COSTOS[CODIGO],"-",0)</f>
        <v>-</v>
      </c>
      <c r="B25" s="278" t="str">
        <f>+_xlfn.XLOOKUP(F25&amp;E25,CODIGOS_Y_COSTOS[ID],CODIGOS_Y_COSTOS[Descripción - FABRICA],"-",0)</f>
        <v>-</v>
      </c>
      <c r="C25" s="279"/>
      <c r="D25" s="275"/>
      <c r="E25" s="637"/>
      <c r="F25" s="396"/>
      <c r="G25" s="26">
        <f>+_xlfn.XLOOKUP(F25&amp;E25,CODIGOS_Y_COSTOS[ID],CODIGOS_Y_COSTOS[COSTO],0,0)</f>
        <v>0</v>
      </c>
      <c r="H25" s="26">
        <f t="shared" si="0"/>
        <v>0</v>
      </c>
      <c r="L25" s="4" t="str">
        <v>3 x 14</v>
      </c>
      <c r="O25" s="9" t="s">
        <v>11782</v>
      </c>
      <c r="P25" s="169" t="s">
        <v>11783</v>
      </c>
      <c r="Q25" s="9">
        <v>928</v>
      </c>
    </row>
    <row r="26" spans="1:17" x14ac:dyDescent="0.2">
      <c r="A26" s="277" t="str">
        <f>+_xlfn.XLOOKUP(F26&amp;E26,CODIGOS_Y_COSTOS[ID],CODIGOS_Y_COSTOS[CODIGO],"-",0)</f>
        <v>-</v>
      </c>
      <c r="B26" s="278" t="str">
        <f>+_xlfn.XLOOKUP(F26&amp;E26,CODIGOS_Y_COSTOS[ID],CODIGOS_Y_COSTOS[Descripción - FABRICA],"-",0)</f>
        <v>-</v>
      </c>
      <c r="C26" s="279"/>
      <c r="E26" s="637"/>
      <c r="F26" s="396"/>
      <c r="G26" s="26">
        <f>+_xlfn.XLOOKUP(F26&amp;E26,CODIGOS_Y_COSTOS[ID],CODIGOS_Y_COSTOS[COSTO],0,0)</f>
        <v>0</v>
      </c>
      <c r="H26" s="26">
        <f t="shared" si="0"/>
        <v>0</v>
      </c>
      <c r="L26" s="4" t="str">
        <v>3 x 16</v>
      </c>
      <c r="O26" s="9" t="s">
        <v>11784</v>
      </c>
      <c r="P26" s="169" t="s">
        <v>11785</v>
      </c>
      <c r="Q26" s="9">
        <v>968</v>
      </c>
    </row>
    <row r="27" spans="1:17" x14ac:dyDescent="0.2">
      <c r="A27" s="277" t="str">
        <f>+_xlfn.XLOOKUP(F27&amp;E27,CODIGOS_Y_COSTOS[ID],CODIGOS_Y_COSTOS[CODIGO],"-",0)</f>
        <v>-</v>
      </c>
      <c r="B27" s="278" t="str">
        <f>+_xlfn.XLOOKUP(F27&amp;E27,CODIGOS_Y_COSTOS[ID],CODIGOS_Y_COSTOS[Descripción - FABRICA],"-",0)</f>
        <v>-</v>
      </c>
      <c r="C27" s="279"/>
      <c r="E27" s="637"/>
      <c r="F27" s="396"/>
      <c r="G27" s="26">
        <f>+_xlfn.XLOOKUP(F27&amp;E27,CODIGOS_Y_COSTOS[ID],CODIGOS_Y_COSTOS[COSTO],0,0)</f>
        <v>0</v>
      </c>
      <c r="H27" s="26">
        <f t="shared" si="0"/>
        <v>0</v>
      </c>
      <c r="L27" s="4" t="str">
        <v>3 x 20</v>
      </c>
      <c r="O27" s="9" t="s">
        <v>11786</v>
      </c>
      <c r="P27" s="169" t="s">
        <v>11787</v>
      </c>
      <c r="Q27" s="9">
        <v>1067</v>
      </c>
    </row>
    <row r="28" spans="1:17" x14ac:dyDescent="0.2">
      <c r="A28" s="277" t="str">
        <f>+_xlfn.XLOOKUP(F28&amp;E28,CODIGOS_Y_COSTOS[ID],CODIGOS_Y_COSTOS[CODIGO],"-",0)</f>
        <v>-</v>
      </c>
      <c r="B28" s="278" t="str">
        <f>+_xlfn.XLOOKUP(F28&amp;E28,CODIGOS_Y_COSTOS[ID],CODIGOS_Y_COSTOS[Descripción - FABRICA],"-",0)</f>
        <v>-</v>
      </c>
      <c r="C28" s="287"/>
      <c r="E28" s="637"/>
      <c r="F28" s="396"/>
      <c r="G28" s="26">
        <f>+_xlfn.XLOOKUP(F28&amp;E28,CODIGOS_Y_COSTOS[ID],CODIGOS_Y_COSTOS[COSTO],0,0)</f>
        <v>0</v>
      </c>
      <c r="H28" s="26">
        <f t="shared" si="0"/>
        <v>0</v>
      </c>
      <c r="I28" s="28"/>
      <c r="L28" s="4" t="str">
        <v>3 x 26</v>
      </c>
      <c r="O28" s="9" t="s">
        <v>5447</v>
      </c>
      <c r="P28" s="169" t="s">
        <v>5448</v>
      </c>
      <c r="Q28" s="9">
        <v>1179.94</v>
      </c>
    </row>
    <row r="29" spans="1:17" x14ac:dyDescent="0.2">
      <c r="A29" s="277" t="str">
        <f>+_xlfn.XLOOKUP(F29&amp;E29,CODIGOS_Y_COSTOS[ID],CODIGOS_Y_COSTOS[CODIGO],"-",0)</f>
        <v>-</v>
      </c>
      <c r="B29" s="278" t="str">
        <f>+_xlfn.XLOOKUP(F29&amp;E29,CODIGOS_Y_COSTOS[ID],CODIGOS_Y_COSTOS[Descripción - FABRICA],"-",0)</f>
        <v>-</v>
      </c>
      <c r="C29" s="424"/>
      <c r="E29" s="637"/>
      <c r="F29" s="396"/>
      <c r="G29" s="26">
        <f>+_xlfn.XLOOKUP(F29&amp;E29,CODIGOS_Y_COSTOS[ID],CODIGOS_Y_COSTOS[COSTO],0,0)</f>
        <v>0</v>
      </c>
      <c r="H29" s="26">
        <f t="shared" si="0"/>
        <v>0</v>
      </c>
      <c r="L29" s="4" t="str">
        <v>3 x 30</v>
      </c>
      <c r="O29" s="9" t="s">
        <v>11788</v>
      </c>
      <c r="P29" s="169" t="s">
        <v>11789</v>
      </c>
      <c r="Q29" s="9">
        <v>1283.78</v>
      </c>
    </row>
    <row r="30" spans="1:17" x14ac:dyDescent="0.2">
      <c r="A30" s="277" t="str">
        <f>+_xlfn.XLOOKUP(F30&amp;E30,CODIGOS_Y_COSTOS[ID],CODIGOS_Y_COSTOS[CODIGO],"-",0)</f>
        <v>-</v>
      </c>
      <c r="B30" s="278" t="str">
        <f>+_xlfn.XLOOKUP(F30&amp;E30,CODIGOS_Y_COSTOS[ID],CODIGOS_Y_COSTOS[Descripción - FABRICA],"-",0)</f>
        <v>-</v>
      </c>
      <c r="C30" s="424"/>
      <c r="E30" s="637"/>
      <c r="F30" s="396"/>
      <c r="G30" s="26">
        <f>+_xlfn.XLOOKUP(F30&amp;E30,CODIGOS_Y_COSTOS[ID],CODIGOS_Y_COSTOS[COSTO],0,0)</f>
        <v>0</v>
      </c>
      <c r="H30" s="26">
        <f t="shared" si="0"/>
        <v>0</v>
      </c>
      <c r="L30" s="4" t="str">
        <v>3 x 36</v>
      </c>
      <c r="O30" s="9" t="s">
        <v>11790</v>
      </c>
      <c r="P30" s="169" t="s">
        <v>11791</v>
      </c>
      <c r="Q30" s="9">
        <v>1325.31</v>
      </c>
    </row>
    <row r="31" spans="1:17" x14ac:dyDescent="0.2">
      <c r="A31" s="277" t="str">
        <f>+_xlfn.XLOOKUP(F31&amp;E31,CODIGOS_Y_COSTOS[ID],CODIGOS_Y_COSTOS[CODIGO],"-",0)</f>
        <v>-</v>
      </c>
      <c r="B31" s="278" t="str">
        <f>+_xlfn.XLOOKUP(F31&amp;E31,CODIGOS_Y_COSTOS[ID],CODIGOS_Y_COSTOS[Descripción - FABRICA],"-",0)</f>
        <v>-</v>
      </c>
      <c r="C31" s="424"/>
      <c r="E31" s="637"/>
      <c r="F31" s="396"/>
      <c r="G31" s="26">
        <f>+_xlfn.XLOOKUP(F31&amp;E31,CODIGOS_Y_COSTOS[ID],CODIGOS_Y_COSTOS[COSTO],0,0)</f>
        <v>0</v>
      </c>
      <c r="H31" s="26">
        <f t="shared" si="0"/>
        <v>0</v>
      </c>
      <c r="L31" s="4" t="str">
        <v>3 x 40</v>
      </c>
      <c r="O31" s="9" t="s">
        <v>5451</v>
      </c>
      <c r="P31" s="169" t="s">
        <v>5452</v>
      </c>
      <c r="Q31" s="9">
        <v>1387.62</v>
      </c>
    </row>
    <row r="32" spans="1:17" x14ac:dyDescent="0.2">
      <c r="A32" s="277" t="str">
        <f>+_xlfn.XLOOKUP(F32&amp;E32,CODIGOS_Y_COSTOS[ID],CODIGOS_Y_COSTOS[CODIGO],"-",0)</f>
        <v>-</v>
      </c>
      <c r="B32" s="278" t="str">
        <f>+_xlfn.XLOOKUP(F32&amp;E32,CODIGOS_Y_COSTOS[ID],CODIGOS_Y_COSTOS[Descripción - FABRICA],"-",0)</f>
        <v>-</v>
      </c>
      <c r="C32" s="424"/>
      <c r="E32" s="637"/>
      <c r="F32" s="396"/>
      <c r="G32" s="26">
        <f>+_xlfn.XLOOKUP(F32&amp;E32,CODIGOS_Y_COSTOS[ID],CODIGOS_Y_COSTOS[COSTO],0,0)</f>
        <v>0</v>
      </c>
      <c r="H32" s="26">
        <f t="shared" si="0"/>
        <v>0</v>
      </c>
      <c r="L32" s="4" t="str">
        <v>3 x 45</v>
      </c>
      <c r="O32" s="9" t="s">
        <v>11792</v>
      </c>
      <c r="P32" s="169" t="s">
        <v>11793</v>
      </c>
      <c r="Q32" s="9">
        <v>1491.46</v>
      </c>
    </row>
    <row r="33" spans="1:17" x14ac:dyDescent="0.2">
      <c r="A33" s="277" t="str">
        <f>+_xlfn.XLOOKUP(F33&amp;E33,CODIGOS_Y_COSTOS[ID],CODIGOS_Y_COSTOS[CODIGO],"-",0)</f>
        <v>-</v>
      </c>
      <c r="B33" s="278" t="str">
        <f>+_xlfn.XLOOKUP(F33&amp;E33,CODIGOS_Y_COSTOS[ID],CODIGOS_Y_COSTOS[Descripción - FABRICA],"-",0)</f>
        <v>-</v>
      </c>
      <c r="C33" s="424"/>
      <c r="E33" s="637"/>
      <c r="F33" s="396"/>
      <c r="G33" s="26">
        <f>+_xlfn.XLOOKUP(F33&amp;E33,CODIGOS_Y_COSTOS[ID],CODIGOS_Y_COSTOS[COSTO],0,0)</f>
        <v>0</v>
      </c>
      <c r="H33" s="26">
        <f t="shared" si="0"/>
        <v>0</v>
      </c>
      <c r="L33" s="4" t="str">
        <v>3 x 50</v>
      </c>
      <c r="O33" s="9" t="s">
        <v>5455</v>
      </c>
      <c r="P33" s="169" t="s">
        <v>5456</v>
      </c>
      <c r="Q33" s="9">
        <v>1595.28</v>
      </c>
    </row>
    <row r="34" spans="1:17" x14ac:dyDescent="0.2">
      <c r="A34" s="277" t="str">
        <f>+_xlfn.XLOOKUP(F34&amp;E34,CODIGOS_Y_COSTOS[ID],CODIGOS_Y_COSTOS[CODIGO],"-",0)</f>
        <v>-</v>
      </c>
      <c r="B34" s="278" t="str">
        <f>+_xlfn.XLOOKUP(F34&amp;E34,CODIGOS_Y_COSTOS[ID],CODIGOS_Y_COSTOS[Descripción - FABRICA],"-",0)</f>
        <v>-</v>
      </c>
      <c r="C34" s="424"/>
      <c r="E34" s="637"/>
      <c r="F34" s="396"/>
      <c r="G34" s="26">
        <f>+_xlfn.XLOOKUP(F34&amp;E34,CODIGOS_Y_COSTOS[ID],CODIGOS_Y_COSTOS[COSTO],0,0)</f>
        <v>0</v>
      </c>
      <c r="H34" s="26">
        <f t="shared" si="0"/>
        <v>0</v>
      </c>
      <c r="L34" s="4" t="str">
        <v>3,5 x 20</v>
      </c>
      <c r="O34" s="9" t="s">
        <v>11794</v>
      </c>
      <c r="P34" s="169" t="s">
        <v>11795</v>
      </c>
      <c r="Q34" s="9">
        <v>1699.12</v>
      </c>
    </row>
    <row r="35" spans="1:17" x14ac:dyDescent="0.2">
      <c r="A35" s="277" t="str">
        <f>+_xlfn.XLOOKUP(F35&amp;E35,CODIGOS_Y_COSTOS[ID],CODIGOS_Y_COSTOS[CODIGO],"-",0)</f>
        <v>-</v>
      </c>
      <c r="B35" s="278" t="str">
        <f>+_xlfn.XLOOKUP(F35&amp;E35,CODIGOS_Y_COSTOS[ID],CODIGOS_Y_COSTOS[Descripción - FABRICA],"-",0)</f>
        <v>-</v>
      </c>
      <c r="C35" s="424"/>
      <c r="E35" s="637"/>
      <c r="F35" s="396"/>
      <c r="G35" s="26">
        <f>+_xlfn.XLOOKUP(F35&amp;E35,CODIGOS_Y_COSTOS[ID],CODIGOS_Y_COSTOS[COSTO],0,0)</f>
        <v>0</v>
      </c>
      <c r="H35" s="26">
        <f t="shared" ref="H35:H55" si="2">+G35*C35</f>
        <v>0</v>
      </c>
      <c r="L35" s="4" t="str">
        <v>3,5 x 30</v>
      </c>
      <c r="O35" s="9" t="s">
        <v>5459</v>
      </c>
      <c r="P35" s="169" t="s">
        <v>5460</v>
      </c>
      <c r="Q35" s="9">
        <v>1802.96</v>
      </c>
    </row>
    <row r="36" spans="1:17" x14ac:dyDescent="0.2">
      <c r="A36" s="277" t="str">
        <f>+_xlfn.XLOOKUP(F36&amp;E36,CODIGOS_Y_COSTOS[ID],CODIGOS_Y_COSTOS[CODIGO],"-",0)</f>
        <v>-</v>
      </c>
      <c r="B36" s="278" t="str">
        <f>+_xlfn.XLOOKUP(F36&amp;E36,CODIGOS_Y_COSTOS[ID],CODIGOS_Y_COSTOS[Descripción - FABRICA],"-",0)</f>
        <v>-</v>
      </c>
      <c r="C36" s="424"/>
      <c r="E36" s="637"/>
      <c r="G36" s="26">
        <f>+_xlfn.XLOOKUP(F36&amp;E36,CODIGOS_Y_COSTOS[ID],CODIGOS_Y_COSTOS[COSTO],0,0)</f>
        <v>0</v>
      </c>
      <c r="H36" s="26">
        <f t="shared" si="2"/>
        <v>0</v>
      </c>
      <c r="L36" s="4" t="str">
        <v>3,5 x 40</v>
      </c>
      <c r="O36" s="9" t="s">
        <v>11796</v>
      </c>
      <c r="P36" s="169" t="s">
        <v>11797</v>
      </c>
      <c r="Q36" s="9">
        <v>1906.79</v>
      </c>
    </row>
    <row r="37" spans="1:17" x14ac:dyDescent="0.2">
      <c r="A37" s="277" t="str">
        <f>+_xlfn.XLOOKUP(F37&amp;E37,CODIGOS_Y_COSTOS[ID],CODIGOS_Y_COSTOS[CODIGO],"-",0)</f>
        <v>-</v>
      </c>
      <c r="B37" s="278" t="str">
        <f>+_xlfn.XLOOKUP(F37&amp;E37,CODIGOS_Y_COSTOS[ID],CODIGOS_Y_COSTOS[Descripción - FABRICA],"-",0)</f>
        <v>-</v>
      </c>
      <c r="C37" s="424"/>
      <c r="E37" s="637"/>
      <c r="G37" s="26">
        <f>+_xlfn.XLOOKUP(F37&amp;E37,CODIGOS_Y_COSTOS[ID],CODIGOS_Y_COSTOS[COSTO],0,0)</f>
        <v>0</v>
      </c>
      <c r="H37" s="26">
        <f t="shared" si="2"/>
        <v>0</v>
      </c>
      <c r="L37" s="4" t="str">
        <v>3,5 x 50</v>
      </c>
      <c r="O37" s="9" t="s">
        <v>11798</v>
      </c>
      <c r="P37" s="169" t="s">
        <v>11799</v>
      </c>
      <c r="Q37" s="9">
        <v>2010.64</v>
      </c>
    </row>
    <row r="38" spans="1:17" x14ac:dyDescent="0.2">
      <c r="A38" s="277" t="str">
        <f>+_xlfn.XLOOKUP(F38&amp;E38,CODIGOS_Y_COSTOS[ID],CODIGOS_Y_COSTOS[CODIGO],"-",0)</f>
        <v>-</v>
      </c>
      <c r="B38" s="278" t="str">
        <f>+_xlfn.XLOOKUP(F38&amp;E38,CODIGOS_Y_COSTOS[ID],CODIGOS_Y_COSTOS[Descripción - FABRICA],"-",0)</f>
        <v>-</v>
      </c>
      <c r="C38" s="424"/>
      <c r="E38" s="637"/>
      <c r="G38" s="26">
        <f>+_xlfn.XLOOKUP(F38&amp;E38,CODIGOS_Y_COSTOS[ID],CODIGOS_Y_COSTOS[COSTO],0,0)</f>
        <v>0</v>
      </c>
      <c r="H38" s="26">
        <f t="shared" si="2"/>
        <v>0</v>
      </c>
      <c r="L38" s="4" t="str">
        <v>4 x 20</v>
      </c>
      <c r="O38" s="9" t="s">
        <v>11800</v>
      </c>
      <c r="P38" s="169" t="s">
        <v>11801</v>
      </c>
      <c r="Q38" s="9">
        <v>2114.4699999999998</v>
      </c>
    </row>
    <row r="39" spans="1:17" x14ac:dyDescent="0.2">
      <c r="A39" s="277" t="str">
        <f>+_xlfn.XLOOKUP(F39&amp;E39,CODIGOS_Y_COSTOS[ID],CODIGOS_Y_COSTOS[CODIGO],"-",0)</f>
        <v>-</v>
      </c>
      <c r="B39" s="278" t="str">
        <f>+_xlfn.XLOOKUP(F39&amp;E39,CODIGOS_Y_COSTOS[ID],CODIGOS_Y_COSTOS[Descripción - FABRICA],"-",0)</f>
        <v>-</v>
      </c>
      <c r="C39" s="424"/>
      <c r="E39" s="637"/>
      <c r="G39" s="26">
        <f>+_xlfn.XLOOKUP(F39&amp;E39,CODIGOS_Y_COSTOS[ID],CODIGOS_Y_COSTOS[COSTO],0,0)</f>
        <v>0</v>
      </c>
      <c r="H39" s="26">
        <f t="shared" si="2"/>
        <v>0</v>
      </c>
      <c r="L39" s="4" t="str">
        <v>4 x 26</v>
      </c>
      <c r="O39" s="9" t="s">
        <v>11802</v>
      </c>
      <c r="P39" s="169" t="s">
        <v>11803</v>
      </c>
      <c r="Q39" s="9">
        <v>4112.6400000000003</v>
      </c>
    </row>
    <row r="40" spans="1:17" x14ac:dyDescent="0.2">
      <c r="A40" s="277" t="str">
        <f>+_xlfn.XLOOKUP(F40&amp;E40,CODIGOS_Y_COSTOS[ID],CODIGOS_Y_COSTOS[CODIGO],"-",0)</f>
        <v>-</v>
      </c>
      <c r="B40" s="278" t="str">
        <f>+_xlfn.XLOOKUP(F40&amp;E40,CODIGOS_Y_COSTOS[ID],CODIGOS_Y_COSTOS[Descripción - FABRICA],"-",0)</f>
        <v>-</v>
      </c>
      <c r="C40" s="424"/>
      <c r="E40" s="637"/>
      <c r="G40" s="26">
        <f>+_xlfn.XLOOKUP(F40&amp;E40,CODIGOS_Y_COSTOS[ID],CODIGOS_Y_COSTOS[COSTO],0,0)</f>
        <v>0</v>
      </c>
      <c r="H40" s="26">
        <f t="shared" si="2"/>
        <v>0</v>
      </c>
      <c r="L40" s="4" t="str">
        <v>4 x 30</v>
      </c>
      <c r="O40" s="9" t="s">
        <v>11804</v>
      </c>
      <c r="P40" s="169" t="s">
        <v>11805</v>
      </c>
      <c r="Q40" s="9">
        <v>4343</v>
      </c>
    </row>
    <row r="41" spans="1:17" x14ac:dyDescent="0.2">
      <c r="A41" s="277" t="str">
        <f>+_xlfn.XLOOKUP(F41&amp;E41,CODIGOS_Y_COSTOS[ID],CODIGOS_Y_COSTOS[CODIGO],"-",0)</f>
        <v>-</v>
      </c>
      <c r="B41" s="278" t="str">
        <f>+_xlfn.XLOOKUP(F41&amp;E41,CODIGOS_Y_COSTOS[ID],CODIGOS_Y_COSTOS[Descripción - FABRICA],"-",0)</f>
        <v>-</v>
      </c>
      <c r="C41" s="424"/>
      <c r="E41" s="637"/>
      <c r="G41" s="26">
        <f>+_xlfn.XLOOKUP(F41&amp;E41,CODIGOS_Y_COSTOS[ID],CODIGOS_Y_COSTOS[COSTO],0,0)</f>
        <v>0</v>
      </c>
      <c r="H41" s="26">
        <f t="shared" si="2"/>
        <v>0</v>
      </c>
      <c r="L41" s="4" t="str">
        <v>4 x 40</v>
      </c>
      <c r="O41" s="9" t="s">
        <v>11806</v>
      </c>
      <c r="P41" s="169" t="s">
        <v>11807</v>
      </c>
      <c r="Q41" s="9">
        <v>4632.32</v>
      </c>
    </row>
    <row r="42" spans="1:17" x14ac:dyDescent="0.2">
      <c r="A42" s="277" t="str">
        <f>+_xlfn.XLOOKUP(F42&amp;E42,CODIGOS_Y_COSTOS[ID],CODIGOS_Y_COSTOS[CODIGO],"-",0)</f>
        <v>-</v>
      </c>
      <c r="B42" s="278" t="str">
        <f>+_xlfn.XLOOKUP(F42&amp;E42,CODIGOS_Y_COSTOS[ID],CODIGOS_Y_COSTOS[Descripción - FABRICA],"-",0)</f>
        <v>-</v>
      </c>
      <c r="C42" s="424"/>
      <c r="E42" s="637"/>
      <c r="H42" s="26">
        <f t="shared" si="2"/>
        <v>0</v>
      </c>
      <c r="L42" s="4" t="str">
        <v>4 x 50</v>
      </c>
      <c r="O42" s="9" t="s">
        <v>11808</v>
      </c>
      <c r="P42" s="169" t="s">
        <v>11809</v>
      </c>
      <c r="Q42" s="9">
        <v>6148.8</v>
      </c>
    </row>
    <row r="43" spans="1:17" x14ac:dyDescent="0.2">
      <c r="A43" s="277" t="str">
        <f>+_xlfn.XLOOKUP(F43&amp;E43,CODIGOS_Y_COSTOS[ID],CODIGOS_Y_COSTOS[CODIGO],"-",0)</f>
        <v>-</v>
      </c>
      <c r="B43" s="278" t="str">
        <f>+_xlfn.XLOOKUP(F43&amp;E43,CODIGOS_Y_COSTOS[ID],CODIGOS_Y_COSTOS[Descripción - FABRICA],"-",0)</f>
        <v>-</v>
      </c>
      <c r="C43" s="424"/>
      <c r="E43" s="637"/>
      <c r="H43" s="26">
        <f t="shared" si="2"/>
        <v>0</v>
      </c>
      <c r="L43" s="4" t="str">
        <v>4,5 x 20</v>
      </c>
      <c r="O43" s="9" t="s">
        <v>11810</v>
      </c>
      <c r="P43" s="169" t="s">
        <v>11811</v>
      </c>
      <c r="Q43" s="9">
        <v>2098</v>
      </c>
    </row>
    <row r="44" spans="1:17" x14ac:dyDescent="0.2">
      <c r="A44" s="277" t="str">
        <f>+_xlfn.XLOOKUP(F44&amp;E44,CODIGOS_Y_COSTOS[ID],CODIGOS_Y_COSTOS[CODIGO],"-",0)</f>
        <v>-</v>
      </c>
      <c r="B44" s="278" t="str">
        <f>+_xlfn.XLOOKUP(F44&amp;E44,CODIGOS_Y_COSTOS[ID],CODIGOS_Y_COSTOS[Descripción - FABRICA],"-",0)</f>
        <v>-</v>
      </c>
      <c r="C44" s="424"/>
      <c r="E44" s="637"/>
      <c r="H44" s="26">
        <f t="shared" si="2"/>
        <v>0</v>
      </c>
      <c r="L44" s="4" t="str">
        <v>4,5 x 30</v>
      </c>
      <c r="O44" s="9" t="s">
        <v>11812</v>
      </c>
      <c r="P44" s="169" t="s">
        <v>11813</v>
      </c>
      <c r="Q44" s="9">
        <v>2347</v>
      </c>
    </row>
    <row r="45" spans="1:17" x14ac:dyDescent="0.2">
      <c r="A45" s="277" t="str">
        <f>+_xlfn.XLOOKUP(F45&amp;E45,CODIGOS_Y_COSTOS[ID],CODIGOS_Y_COSTOS[CODIGO],"-",0)</f>
        <v>-</v>
      </c>
      <c r="B45" s="278" t="str">
        <f>+_xlfn.XLOOKUP(F45&amp;E45,CODIGOS_Y_COSTOS[ID],CODIGOS_Y_COSTOS[Descripción - FABRICA],"-",0)</f>
        <v>-</v>
      </c>
      <c r="C45" s="424"/>
      <c r="E45" s="637"/>
      <c r="H45" s="26">
        <f t="shared" si="2"/>
        <v>0</v>
      </c>
      <c r="L45" s="4" t="str">
        <v>4,5 x 40</v>
      </c>
      <c r="O45" s="9" t="s">
        <v>11814</v>
      </c>
      <c r="P45" s="169" t="s">
        <v>11815</v>
      </c>
      <c r="Q45" s="9">
        <v>2397</v>
      </c>
    </row>
    <row r="46" spans="1:17" x14ac:dyDescent="0.2">
      <c r="A46" s="277" t="str">
        <f>+_xlfn.XLOOKUP(F46&amp;E46,CODIGOS_Y_COSTOS[ID],CODIGOS_Y_COSTOS[CODIGO],"-",0)</f>
        <v>-</v>
      </c>
      <c r="B46" s="278" t="str">
        <f>+_xlfn.XLOOKUP(F46&amp;E46,CODIGOS_Y_COSTOS[ID],CODIGOS_Y_COSTOS[Descripción - FABRICA],"-",0)</f>
        <v>-</v>
      </c>
      <c r="C46" s="424"/>
      <c r="E46" s="637"/>
      <c r="H46" s="26">
        <f t="shared" si="2"/>
        <v>0</v>
      </c>
      <c r="L46" s="4" t="str">
        <v>4,5 x 50</v>
      </c>
      <c r="O46" s="9" t="s">
        <v>11816</v>
      </c>
      <c r="P46" s="169" t="s">
        <v>11817</v>
      </c>
      <c r="Q46" s="9">
        <v>2497</v>
      </c>
    </row>
    <row r="47" spans="1:17" x14ac:dyDescent="0.2">
      <c r="A47" s="277" t="str">
        <f>+_xlfn.XLOOKUP(F47&amp;E47,CODIGOS_Y_COSTOS[ID],CODIGOS_Y_COSTOS[CODIGO],"-",0)</f>
        <v>-</v>
      </c>
      <c r="B47" s="278" t="str">
        <f>+_xlfn.XLOOKUP(F47&amp;E47,CODIGOS_Y_COSTOS[ID],CODIGOS_Y_COSTOS[Descripción - FABRICA],"-",0)</f>
        <v>-</v>
      </c>
      <c r="C47" s="424"/>
      <c r="E47" s="637"/>
      <c r="H47" s="26">
        <f t="shared" si="2"/>
        <v>0</v>
      </c>
      <c r="L47" s="4" t="str">
        <v>5 x 24</v>
      </c>
      <c r="O47" s="9" t="s">
        <v>11818</v>
      </c>
      <c r="P47" s="169" t="s">
        <v>11819</v>
      </c>
      <c r="Q47" s="9">
        <v>2597</v>
      </c>
    </row>
    <row r="48" spans="1:17" x14ac:dyDescent="0.2">
      <c r="A48" s="277" t="str">
        <f>+_xlfn.XLOOKUP(F48&amp;E48,CODIGOS_Y_COSTOS[ID],CODIGOS_Y_COSTOS[CODIGO],"-",0)</f>
        <v>-</v>
      </c>
      <c r="B48" s="278" t="str">
        <f>+_xlfn.XLOOKUP(F48&amp;E48,CODIGOS_Y_COSTOS[ID],CODIGOS_Y_COSTOS[Descripción - FABRICA],"-",0)</f>
        <v>-</v>
      </c>
      <c r="C48" s="424"/>
      <c r="E48" s="637"/>
      <c r="H48" s="26">
        <f t="shared" si="2"/>
        <v>0</v>
      </c>
      <c r="L48" s="4" t="str">
        <v>5 x 30</v>
      </c>
      <c r="O48" s="9" t="s">
        <v>11820</v>
      </c>
      <c r="P48" s="169" t="s">
        <v>11821</v>
      </c>
      <c r="Q48" s="9">
        <v>2685.76</v>
      </c>
    </row>
    <row r="49" spans="1:17" x14ac:dyDescent="0.2">
      <c r="A49" s="277" t="str">
        <f>+_xlfn.XLOOKUP(F49&amp;E49,CODIGOS_Y_COSTOS[ID],CODIGOS_Y_COSTOS[CODIGO],"-",0)</f>
        <v>-</v>
      </c>
      <c r="B49" s="278" t="str">
        <f>+_xlfn.XLOOKUP(F49&amp;E49,CODIGOS_Y_COSTOS[ID],CODIGOS_Y_COSTOS[Descripción - FABRICA],"-",0)</f>
        <v>-</v>
      </c>
      <c r="C49" s="424"/>
      <c r="E49" s="637"/>
      <c r="H49" s="26">
        <f t="shared" si="2"/>
        <v>0</v>
      </c>
      <c r="L49" s="4" t="str">
        <v>5 x 40</v>
      </c>
      <c r="O49" s="9" t="s">
        <v>11822</v>
      </c>
      <c r="P49" s="169" t="s">
        <v>11823</v>
      </c>
      <c r="Q49" s="9">
        <v>2815.68</v>
      </c>
    </row>
    <row r="50" spans="1:17" x14ac:dyDescent="0.2">
      <c r="A50" s="277" t="str">
        <f>+_xlfn.XLOOKUP(F50&amp;E50,CODIGOS_Y_COSTOS[ID],CODIGOS_Y_COSTOS[CODIGO],"-",0)</f>
        <v>-</v>
      </c>
      <c r="B50" s="278" t="str">
        <f>+_xlfn.XLOOKUP(F50&amp;E50,CODIGOS_Y_COSTOS[ID],CODIGOS_Y_COSTOS[Descripción - FABRICA],"-",0)</f>
        <v>-</v>
      </c>
      <c r="C50" s="424"/>
      <c r="E50" s="637"/>
      <c r="H50" s="26">
        <f t="shared" si="2"/>
        <v>0</v>
      </c>
      <c r="L50" s="4" t="str">
        <v>5 x 50</v>
      </c>
      <c r="O50" s="9" t="s">
        <v>11824</v>
      </c>
      <c r="P50" s="169" t="s">
        <v>11825</v>
      </c>
      <c r="Q50" s="9">
        <v>2945.6</v>
      </c>
    </row>
    <row r="51" spans="1:17" x14ac:dyDescent="0.2">
      <c r="A51" s="277" t="str">
        <f>+_xlfn.XLOOKUP(F51&amp;E51,CODIGOS_Y_COSTOS[ID],CODIGOS_Y_COSTOS[CODIGO],"-",0)</f>
        <v>-</v>
      </c>
      <c r="B51" s="278" t="str">
        <f>+_xlfn.XLOOKUP(F51&amp;E51,CODIGOS_Y_COSTOS[ID],CODIGOS_Y_COSTOS[Descripción - FABRICA],"-",0)</f>
        <v>-</v>
      </c>
      <c r="C51" s="424"/>
      <c r="E51" s="637"/>
      <c r="H51" s="26">
        <f t="shared" si="2"/>
        <v>0</v>
      </c>
      <c r="L51" s="4" t="str">
        <v>5 x 60</v>
      </c>
      <c r="O51" s="9" t="s">
        <v>11826</v>
      </c>
      <c r="P51" s="169" t="s">
        <v>11827</v>
      </c>
      <c r="Q51" s="9">
        <v>3075.52</v>
      </c>
    </row>
    <row r="52" spans="1:17" x14ac:dyDescent="0.2">
      <c r="A52" s="277" t="str">
        <f>+_xlfn.XLOOKUP(F52&amp;E52,CODIGOS_Y_COSTOS[ID],CODIGOS_Y_COSTOS[CODIGO],"-",0)</f>
        <v>-</v>
      </c>
      <c r="B52" s="278" t="str">
        <f>+_xlfn.XLOOKUP(F52&amp;E52,CODIGOS_Y_COSTOS[ID],CODIGOS_Y_COSTOS[Descripción - FABRICA],"-",0)</f>
        <v>-</v>
      </c>
      <c r="C52" s="424"/>
      <c r="E52" s="637"/>
      <c r="H52" s="26">
        <f t="shared" si="2"/>
        <v>0</v>
      </c>
      <c r="L52" s="4" t="str">
        <v>5 X 70</v>
      </c>
      <c r="O52" s="9" t="s">
        <v>11828</v>
      </c>
      <c r="P52" s="169" t="s">
        <v>11829</v>
      </c>
      <c r="Q52" s="9">
        <v>3205.44</v>
      </c>
    </row>
    <row r="53" spans="1:17" x14ac:dyDescent="0.2">
      <c r="A53" s="277" t="str">
        <f>+_xlfn.XLOOKUP(F53&amp;E53,CODIGOS_Y_COSTOS[ID],CODIGOS_Y_COSTOS[CODIGO],"-",0)</f>
        <v>-</v>
      </c>
      <c r="B53" s="278" t="str">
        <f>+_xlfn.XLOOKUP(F53&amp;E53,CODIGOS_Y_COSTOS[ID],CODIGOS_Y_COSTOS[Descripción - FABRICA],"-",0)</f>
        <v>-</v>
      </c>
      <c r="C53" s="424"/>
      <c r="E53" s="637"/>
      <c r="H53" s="26">
        <f t="shared" si="2"/>
        <v>0</v>
      </c>
      <c r="L53" s="4" t="str">
        <v>5X 80</v>
      </c>
      <c r="O53" s="9" t="s">
        <v>11830</v>
      </c>
      <c r="P53" s="169" t="s">
        <v>11831</v>
      </c>
      <c r="Q53" s="9">
        <v>3335.36</v>
      </c>
    </row>
    <row r="54" spans="1:17" x14ac:dyDescent="0.2">
      <c r="A54" s="277" t="str">
        <f>+_xlfn.XLOOKUP(F54&amp;E54,CODIGOS_Y_COSTOS[ID],CODIGOS_Y_COSTOS[CODIGO],"-",0)</f>
        <v>-</v>
      </c>
      <c r="B54" s="278" t="str">
        <f>+_xlfn.XLOOKUP(F54&amp;E54,CODIGOS_Y_COSTOS[ID],CODIGOS_Y_COSTOS[Descripción - FABRICA],"-",0)</f>
        <v>-</v>
      </c>
      <c r="C54" s="424"/>
      <c r="E54" s="637"/>
      <c r="H54" s="26">
        <f t="shared" si="2"/>
        <v>0</v>
      </c>
      <c r="L54" s="4" t="str">
        <v>6 x 30</v>
      </c>
      <c r="O54" s="9" t="s">
        <v>11832</v>
      </c>
      <c r="P54" s="169" t="s">
        <v>11833</v>
      </c>
      <c r="Q54" s="9">
        <v>3465.28</v>
      </c>
    </row>
    <row r="55" spans="1:17" x14ac:dyDescent="0.2">
      <c r="A55" s="277" t="str">
        <f>+_xlfn.XLOOKUP(F55&amp;E55,CODIGOS_Y_COSTOS[ID],CODIGOS_Y_COSTOS[CODIGO],"-",0)</f>
        <v>-</v>
      </c>
      <c r="B55" s="278" t="str">
        <f>+_xlfn.XLOOKUP(F55&amp;E55,CODIGOS_Y_COSTOS[ID],CODIGOS_Y_COSTOS[Descripción - FABRICA],"-",0)</f>
        <v>-</v>
      </c>
      <c r="C55" s="424"/>
      <c r="E55" s="637"/>
      <c r="H55" s="26">
        <f t="shared" si="2"/>
        <v>0</v>
      </c>
      <c r="L55" s="4" t="str">
        <v>6 x 40</v>
      </c>
      <c r="O55" s="9" t="s">
        <v>11834</v>
      </c>
      <c r="P55" s="169" t="s">
        <v>11835</v>
      </c>
      <c r="Q55" s="9">
        <v>3592.96</v>
      </c>
    </row>
    <row r="56" spans="1:17" x14ac:dyDescent="0.2">
      <c r="L56" s="4" t="str">
        <v>6 x 50</v>
      </c>
      <c r="O56" s="9" t="s">
        <v>11836</v>
      </c>
      <c r="P56" s="169" t="s">
        <v>11837</v>
      </c>
      <c r="Q56" s="9">
        <v>3722.88</v>
      </c>
    </row>
    <row r="57" spans="1:17" x14ac:dyDescent="0.2">
      <c r="L57" s="4" t="str">
        <v>6 x 60</v>
      </c>
      <c r="O57" s="9" t="s">
        <v>11838</v>
      </c>
      <c r="P57" s="169" t="s">
        <v>11839</v>
      </c>
      <c r="Q57" s="9">
        <v>3852.8</v>
      </c>
    </row>
    <row r="58" spans="1:17" x14ac:dyDescent="0.2">
      <c r="L58" s="4" t="str">
        <v>6 x 70</v>
      </c>
      <c r="O58" s="9" t="s">
        <v>11840</v>
      </c>
      <c r="P58" s="169" t="s">
        <v>11841</v>
      </c>
      <c r="Q58" s="9">
        <v>3982.72</v>
      </c>
    </row>
    <row r="59" spans="1:17" x14ac:dyDescent="0.2">
      <c r="L59" s="4" t="str">
        <v>6 x 80</v>
      </c>
      <c r="O59" s="9" t="s">
        <v>11842</v>
      </c>
      <c r="P59" s="169" t="s">
        <v>11843</v>
      </c>
      <c r="Q59" s="9">
        <v>3922</v>
      </c>
    </row>
    <row r="60" spans="1:17" x14ac:dyDescent="0.2">
      <c r="L60" s="4" t="str">
        <v>7 x 40</v>
      </c>
      <c r="O60" s="9" t="s">
        <v>11844</v>
      </c>
      <c r="P60" s="169" t="s">
        <v>11845</v>
      </c>
      <c r="Q60" s="9">
        <v>4224.0200000000004</v>
      </c>
    </row>
    <row r="61" spans="1:17" x14ac:dyDescent="0.2">
      <c r="L61" s="4" t="str">
        <v>7 x 50</v>
      </c>
      <c r="O61" s="9" t="s">
        <v>11846</v>
      </c>
      <c r="P61" s="169" t="s">
        <v>11847</v>
      </c>
      <c r="Q61" s="9">
        <v>1499.4</v>
      </c>
    </row>
    <row r="62" spans="1:17" x14ac:dyDescent="0.2">
      <c r="L62" s="4" t="str">
        <v>7 x 60</v>
      </c>
      <c r="O62" s="9" t="s">
        <v>11848</v>
      </c>
      <c r="P62" s="169" t="s">
        <v>11849</v>
      </c>
      <c r="Q62" s="9">
        <v>1571.16</v>
      </c>
    </row>
    <row r="63" spans="1:17" x14ac:dyDescent="0.2">
      <c r="L63" s="4" t="str">
        <v>8 x 40</v>
      </c>
      <c r="O63" s="9" t="s">
        <v>11850</v>
      </c>
      <c r="P63" s="169" t="s">
        <v>11851</v>
      </c>
      <c r="Q63" s="9">
        <v>1606.5</v>
      </c>
    </row>
    <row r="64" spans="1:17" x14ac:dyDescent="0.2">
      <c r="L64" s="4" t="str">
        <v>8 x 50</v>
      </c>
      <c r="O64" s="9" t="s">
        <v>11852</v>
      </c>
      <c r="P64" s="169" t="s">
        <v>11853</v>
      </c>
      <c r="Q64" s="9">
        <v>1996.34</v>
      </c>
    </row>
    <row r="65" spans="12:17" x14ac:dyDescent="0.2">
      <c r="L65" s="4" t="str">
        <v>8 x 60</v>
      </c>
      <c r="O65" s="9" t="s">
        <v>11854</v>
      </c>
      <c r="P65" s="169" t="s">
        <v>11855</v>
      </c>
      <c r="Q65" s="9">
        <v>2437.6</v>
      </c>
    </row>
    <row r="66" spans="12:17" x14ac:dyDescent="0.2">
      <c r="L66" s="4" t="str">
        <v>8 x 70</v>
      </c>
      <c r="O66" s="9" t="s">
        <v>11856</v>
      </c>
      <c r="P66" s="169" t="s">
        <v>11857</v>
      </c>
      <c r="Q66" s="9">
        <v>2876.71</v>
      </c>
    </row>
    <row r="67" spans="12:17" x14ac:dyDescent="0.2">
      <c r="L67" s="4" t="str">
        <v>8 x 80</v>
      </c>
      <c r="O67" s="9" t="s">
        <v>11858</v>
      </c>
      <c r="P67" s="169" t="s">
        <v>11859</v>
      </c>
      <c r="Q67" s="9">
        <v>3015.94</v>
      </c>
    </row>
    <row r="68" spans="12:17" x14ac:dyDescent="0.2">
      <c r="L68" s="4" t="str">
        <v>8 x 100</v>
      </c>
      <c r="O68" s="9" t="s">
        <v>11860</v>
      </c>
      <c r="P68" s="169" t="s">
        <v>11861</v>
      </c>
      <c r="Q68" s="9">
        <v>3316.89</v>
      </c>
    </row>
    <row r="69" spans="12:17" x14ac:dyDescent="0.2">
      <c r="L69" s="4" t="str">
        <v>10 x 50</v>
      </c>
      <c r="O69" s="9" t="s">
        <v>11862</v>
      </c>
      <c r="P69" s="169" t="s">
        <v>11863</v>
      </c>
      <c r="Q69" s="9">
        <v>3617.84</v>
      </c>
    </row>
    <row r="70" spans="12:17" x14ac:dyDescent="0.2">
      <c r="L70" s="4" t="str">
        <v>10 x 60</v>
      </c>
      <c r="O70" s="9" t="s">
        <v>11864</v>
      </c>
      <c r="P70" s="169" t="s">
        <v>11865</v>
      </c>
      <c r="Q70" s="9">
        <v>7239.96</v>
      </c>
    </row>
    <row r="71" spans="12:17" x14ac:dyDescent="0.2">
      <c r="L71" s="4" t="str">
        <v>10 x 70</v>
      </c>
      <c r="O71" s="9" t="s">
        <v>11866</v>
      </c>
      <c r="P71" s="169" t="s">
        <v>11867</v>
      </c>
      <c r="Q71" s="9">
        <v>10722.85</v>
      </c>
    </row>
    <row r="72" spans="12:17" x14ac:dyDescent="0.2">
      <c r="L72" s="4" t="str">
        <v>10 x 80</v>
      </c>
      <c r="O72" s="9" t="s">
        <v>11868</v>
      </c>
      <c r="P72" s="169" t="s">
        <v>11869</v>
      </c>
      <c r="Q72" s="9">
        <v>3519.31</v>
      </c>
    </row>
    <row r="73" spans="12:17" x14ac:dyDescent="0.2">
      <c r="L73" s="4" t="str">
        <v>Gaveta</v>
      </c>
      <c r="O73" s="9" t="s">
        <v>11870</v>
      </c>
      <c r="P73" s="169" t="s">
        <v>11871</v>
      </c>
      <c r="Q73" s="9">
        <v>4269.01</v>
      </c>
    </row>
    <row r="74" spans="12:17" x14ac:dyDescent="0.2">
      <c r="O74" s="9" t="s">
        <v>11872</v>
      </c>
      <c r="P74" s="169" t="s">
        <v>11873</v>
      </c>
      <c r="Q74" s="9">
        <v>4975.87</v>
      </c>
    </row>
    <row r="75" spans="12:17" x14ac:dyDescent="0.2">
      <c r="O75" s="9" t="s">
        <v>11874</v>
      </c>
      <c r="P75" s="169" t="s">
        <v>11875</v>
      </c>
      <c r="Q75" s="9">
        <v>5025.13</v>
      </c>
    </row>
    <row r="76" spans="12:17" x14ac:dyDescent="0.2">
      <c r="O76" s="9" t="s">
        <v>11876</v>
      </c>
      <c r="P76" s="169" t="s">
        <v>11877</v>
      </c>
      <c r="Q76" s="9">
        <v>5065.83</v>
      </c>
    </row>
    <row r="77" spans="12:17" x14ac:dyDescent="0.2">
      <c r="O77" s="9" t="s">
        <v>11878</v>
      </c>
      <c r="P77" s="169" t="s">
        <v>11879</v>
      </c>
      <c r="Q77" s="9">
        <v>5331.44</v>
      </c>
    </row>
    <row r="78" spans="12:17" x14ac:dyDescent="0.2">
      <c r="O78" s="9" t="s">
        <v>11880</v>
      </c>
      <c r="P78" s="169" t="s">
        <v>11881</v>
      </c>
      <c r="Q78" s="9">
        <v>7239.96</v>
      </c>
    </row>
    <row r="79" spans="12:17" x14ac:dyDescent="0.2">
      <c r="O79" s="9" t="s">
        <v>11882</v>
      </c>
      <c r="P79" s="169" t="s">
        <v>11883</v>
      </c>
      <c r="Q79" s="9">
        <v>14379.25</v>
      </c>
    </row>
    <row r="80" spans="12:17" x14ac:dyDescent="0.2">
      <c r="O80" s="9" t="s">
        <v>11884</v>
      </c>
      <c r="P80" s="169" t="s">
        <v>11885</v>
      </c>
      <c r="Q80" s="9">
        <v>4500</v>
      </c>
    </row>
    <row r="81" spans="15:17" x14ac:dyDescent="0.2">
      <c r="O81" s="9" t="s">
        <v>11886</v>
      </c>
      <c r="P81" s="169" t="s">
        <v>11887</v>
      </c>
      <c r="Q81" s="9">
        <v>5374.28</v>
      </c>
    </row>
    <row r="82" spans="15:17" x14ac:dyDescent="0.2">
      <c r="O82" s="9" t="s">
        <v>11888</v>
      </c>
      <c r="P82" s="169" t="s">
        <v>11889</v>
      </c>
      <c r="Q82" s="9">
        <v>6601.64</v>
      </c>
    </row>
    <row r="83" spans="15:17" x14ac:dyDescent="0.2">
      <c r="O83" s="9" t="s">
        <v>11890</v>
      </c>
      <c r="P83" s="169" t="s">
        <v>11891</v>
      </c>
      <c r="Q83" s="9">
        <v>7700.49</v>
      </c>
    </row>
    <row r="84" spans="15:17" x14ac:dyDescent="0.2">
      <c r="O84" s="9" t="s">
        <v>11892</v>
      </c>
      <c r="P84" s="169" t="s">
        <v>11893</v>
      </c>
      <c r="Q84" s="9">
        <v>8925.7099999999991</v>
      </c>
    </row>
    <row r="85" spans="15:17" x14ac:dyDescent="0.2">
      <c r="O85" s="9" t="s">
        <v>11894</v>
      </c>
      <c r="P85" s="169" t="s">
        <v>11895</v>
      </c>
      <c r="Q85" s="9">
        <v>10148.799999999999</v>
      </c>
    </row>
    <row r="86" spans="15:17" x14ac:dyDescent="0.2">
      <c r="O86" s="9" t="s">
        <v>11896</v>
      </c>
      <c r="P86" s="169" t="s">
        <v>11897</v>
      </c>
      <c r="Q86" s="9">
        <v>12050.89</v>
      </c>
    </row>
    <row r="87" spans="15:17" x14ac:dyDescent="0.2">
      <c r="O87" s="9" t="s">
        <v>11898</v>
      </c>
      <c r="P87" s="169" t="s">
        <v>11899</v>
      </c>
      <c r="Q87" s="9">
        <v>16.920000000000002</v>
      </c>
    </row>
    <row r="88" spans="15:17" x14ac:dyDescent="0.2">
      <c r="O88" s="9" t="s">
        <v>11900</v>
      </c>
      <c r="P88" s="169" t="s">
        <v>11901</v>
      </c>
      <c r="Q88" s="9">
        <v>16.920000000000002</v>
      </c>
    </row>
    <row r="89" spans="15:17" x14ac:dyDescent="0.2">
      <c r="O89" s="9" t="s">
        <v>11902</v>
      </c>
      <c r="P89" s="169" t="s">
        <v>11903</v>
      </c>
      <c r="Q89" s="9">
        <v>16.920000000000002</v>
      </c>
    </row>
    <row r="90" spans="15:17" x14ac:dyDescent="0.2">
      <c r="O90" s="9" t="s">
        <v>11904</v>
      </c>
      <c r="P90" s="169" t="s">
        <v>11905</v>
      </c>
      <c r="Q90" s="9">
        <v>20.38</v>
      </c>
    </row>
    <row r="91" spans="15:17" x14ac:dyDescent="0.2">
      <c r="O91" s="9" t="s">
        <v>11906</v>
      </c>
      <c r="P91" s="169" t="s">
        <v>11907</v>
      </c>
      <c r="Q91" s="9">
        <v>23.05</v>
      </c>
    </row>
    <row r="92" spans="15:17" x14ac:dyDescent="0.2">
      <c r="O92" s="9" t="s">
        <v>5256</v>
      </c>
      <c r="P92" s="169" t="s">
        <v>11908</v>
      </c>
      <c r="Q92" s="9">
        <v>26.97</v>
      </c>
    </row>
    <row r="93" spans="15:17" x14ac:dyDescent="0.2">
      <c r="O93" s="9" t="s">
        <v>5260</v>
      </c>
      <c r="P93" s="169" t="s">
        <v>11909</v>
      </c>
      <c r="Q93" s="9">
        <v>30.81</v>
      </c>
    </row>
    <row r="94" spans="15:17" x14ac:dyDescent="0.2">
      <c r="O94" s="9" t="s">
        <v>11910</v>
      </c>
      <c r="P94" s="169" t="s">
        <v>11911</v>
      </c>
      <c r="Q94" s="9">
        <v>34.68</v>
      </c>
    </row>
    <row r="95" spans="15:17" x14ac:dyDescent="0.2">
      <c r="O95" s="9" t="s">
        <v>11912</v>
      </c>
      <c r="P95" s="169" t="s">
        <v>11913</v>
      </c>
      <c r="Q95" s="9">
        <v>38.54</v>
      </c>
    </row>
    <row r="96" spans="15:17" x14ac:dyDescent="0.2">
      <c r="O96" s="9" t="s">
        <v>11914</v>
      </c>
      <c r="P96" s="169" t="s">
        <v>11915</v>
      </c>
      <c r="Q96" s="9">
        <v>42.39</v>
      </c>
    </row>
    <row r="97" spans="15:17" x14ac:dyDescent="0.2">
      <c r="O97" s="9" t="s">
        <v>11916</v>
      </c>
      <c r="P97" s="169" t="s">
        <v>11917</v>
      </c>
      <c r="Q97" s="9">
        <v>46.23</v>
      </c>
    </row>
    <row r="98" spans="15:17" x14ac:dyDescent="0.2">
      <c r="O98" s="9" t="s">
        <v>5264</v>
      </c>
      <c r="P98" s="169" t="s">
        <v>11918</v>
      </c>
      <c r="Q98" s="9">
        <v>50.08</v>
      </c>
    </row>
    <row r="99" spans="15:17" x14ac:dyDescent="0.2">
      <c r="O99" s="9" t="s">
        <v>11919</v>
      </c>
      <c r="P99" s="169" t="s">
        <v>11920</v>
      </c>
      <c r="Q99" s="9">
        <v>53.96</v>
      </c>
    </row>
    <row r="100" spans="15:17" x14ac:dyDescent="0.2">
      <c r="O100" s="9" t="s">
        <v>5268</v>
      </c>
      <c r="P100" s="169" t="s">
        <v>11921</v>
      </c>
      <c r="Q100" s="9">
        <v>57.81</v>
      </c>
    </row>
    <row r="101" spans="15:17" x14ac:dyDescent="0.2">
      <c r="O101" s="9" t="s">
        <v>11922</v>
      </c>
      <c r="P101" s="169" t="s">
        <v>11923</v>
      </c>
      <c r="Q101" s="9">
        <v>12.34</v>
      </c>
    </row>
    <row r="102" spans="15:17" x14ac:dyDescent="0.2">
      <c r="O102" s="9" t="s">
        <v>11924</v>
      </c>
      <c r="P102" s="169" t="s">
        <v>11925</v>
      </c>
      <c r="Q102" s="9">
        <v>12.34</v>
      </c>
    </row>
    <row r="103" spans="15:17" x14ac:dyDescent="0.2">
      <c r="O103" s="9" t="s">
        <v>11926</v>
      </c>
      <c r="P103" s="169" t="s">
        <v>11927</v>
      </c>
      <c r="Q103" s="9">
        <v>12.34</v>
      </c>
    </row>
    <row r="104" spans="15:17" x14ac:dyDescent="0.2">
      <c r="O104" s="9" t="s">
        <v>11928</v>
      </c>
      <c r="P104" s="169" t="s">
        <v>11929</v>
      </c>
      <c r="Q104" s="9">
        <v>12.34</v>
      </c>
    </row>
    <row r="105" spans="15:17" x14ac:dyDescent="0.2">
      <c r="O105" s="9" t="s">
        <v>11930</v>
      </c>
      <c r="P105" s="169" t="s">
        <v>11931</v>
      </c>
      <c r="Q105" s="9">
        <v>15.23</v>
      </c>
    </row>
    <row r="106" spans="15:17" x14ac:dyDescent="0.2">
      <c r="O106" s="9" t="s">
        <v>5244</v>
      </c>
      <c r="P106" s="169" t="s">
        <v>5245</v>
      </c>
      <c r="Q106" s="9">
        <v>18.27</v>
      </c>
    </row>
    <row r="107" spans="15:17" x14ac:dyDescent="0.2">
      <c r="O107" s="9" t="s">
        <v>11932</v>
      </c>
      <c r="P107" s="169" t="s">
        <v>11933</v>
      </c>
      <c r="Q107" s="9">
        <v>21.31</v>
      </c>
    </row>
    <row r="108" spans="15:17" x14ac:dyDescent="0.2">
      <c r="O108" s="9" t="s">
        <v>5248</v>
      </c>
      <c r="P108" s="169" t="s">
        <v>5249</v>
      </c>
      <c r="Q108" s="9">
        <v>24.36</v>
      </c>
    </row>
    <row r="109" spans="15:17" x14ac:dyDescent="0.2">
      <c r="O109" s="9" t="s">
        <v>11934</v>
      </c>
      <c r="P109" s="169" t="s">
        <v>11935</v>
      </c>
      <c r="Q109" s="9">
        <v>27.38</v>
      </c>
    </row>
    <row r="110" spans="15:17" x14ac:dyDescent="0.2">
      <c r="O110" s="9" t="s">
        <v>5252</v>
      </c>
      <c r="P110" s="169" t="s">
        <v>5253</v>
      </c>
      <c r="Q110" s="9">
        <v>30.45</v>
      </c>
    </row>
    <row r="111" spans="15:17" x14ac:dyDescent="0.2">
      <c r="O111" s="9" t="s">
        <v>11936</v>
      </c>
      <c r="P111" s="169" t="s">
        <v>11937</v>
      </c>
      <c r="Q111" s="9">
        <v>33.49</v>
      </c>
    </row>
    <row r="112" spans="15:17" x14ac:dyDescent="0.2">
      <c r="O112" s="9" t="s">
        <v>11938</v>
      </c>
      <c r="P112" s="169" t="s">
        <v>11939</v>
      </c>
      <c r="Q112" s="9">
        <v>36.54</v>
      </c>
    </row>
    <row r="113" spans="15:17" x14ac:dyDescent="0.2">
      <c r="O113" s="9" t="s">
        <v>11940</v>
      </c>
      <c r="P113" s="169" t="s">
        <v>11941</v>
      </c>
      <c r="Q113" s="9">
        <v>39.6</v>
      </c>
    </row>
    <row r="114" spans="15:17" x14ac:dyDescent="0.2">
      <c r="O114" s="9" t="s">
        <v>11942</v>
      </c>
      <c r="P114" s="169" t="s">
        <v>11943</v>
      </c>
      <c r="Q114" s="9">
        <v>42.63</v>
      </c>
    </row>
    <row r="115" spans="15:17" x14ac:dyDescent="0.2">
      <c r="O115" s="9" t="s">
        <v>11944</v>
      </c>
      <c r="P115" s="169" t="s">
        <v>11945</v>
      </c>
      <c r="Q115" s="9">
        <v>45.67</v>
      </c>
    </row>
    <row r="116" spans="15:17" x14ac:dyDescent="0.2">
      <c r="O116" s="9" t="s">
        <v>11946</v>
      </c>
      <c r="P116" s="169" t="s">
        <v>11947</v>
      </c>
      <c r="Q116" s="9">
        <v>34.54</v>
      </c>
    </row>
    <row r="117" spans="15:17" x14ac:dyDescent="0.2">
      <c r="O117" s="9" t="s">
        <v>11948</v>
      </c>
      <c r="P117" s="169" t="s">
        <v>11949</v>
      </c>
      <c r="Q117" s="9">
        <v>34.54</v>
      </c>
    </row>
    <row r="118" spans="15:17" x14ac:dyDescent="0.2">
      <c r="O118" s="9" t="s">
        <v>11950</v>
      </c>
      <c r="P118" s="169" t="s">
        <v>11951</v>
      </c>
      <c r="Q118" s="9">
        <v>34.54</v>
      </c>
    </row>
    <row r="119" spans="15:17" x14ac:dyDescent="0.2">
      <c r="O119" s="9" t="s">
        <v>11952</v>
      </c>
      <c r="P119" s="169" t="s">
        <v>11953</v>
      </c>
      <c r="Q119" s="9">
        <v>31.38</v>
      </c>
    </row>
    <row r="120" spans="15:17" x14ac:dyDescent="0.2">
      <c r="O120" s="9" t="s">
        <v>11954</v>
      </c>
      <c r="P120" s="169" t="s">
        <v>11955</v>
      </c>
      <c r="Q120" s="9">
        <v>35.35</v>
      </c>
    </row>
    <row r="121" spans="15:17" x14ac:dyDescent="0.2">
      <c r="O121" s="9" t="s">
        <v>11956</v>
      </c>
      <c r="P121" s="169" t="s">
        <v>11957</v>
      </c>
      <c r="Q121" s="9">
        <v>25</v>
      </c>
    </row>
    <row r="122" spans="15:17" x14ac:dyDescent="0.2">
      <c r="O122" s="9" t="s">
        <v>11958</v>
      </c>
      <c r="P122" s="169" t="s">
        <v>11959</v>
      </c>
      <c r="Q122" s="9">
        <v>39.14</v>
      </c>
    </row>
    <row r="123" spans="15:17" x14ac:dyDescent="0.2">
      <c r="O123" s="9" t="s">
        <v>11960</v>
      </c>
      <c r="P123" s="169" t="s">
        <v>11961</v>
      </c>
      <c r="Q123" s="9">
        <v>358.94</v>
      </c>
    </row>
    <row r="124" spans="15:17" x14ac:dyDescent="0.2">
      <c r="O124" s="9" t="s">
        <v>11962</v>
      </c>
      <c r="P124" s="169" t="s">
        <v>11963</v>
      </c>
      <c r="Q124" s="9">
        <v>43.81</v>
      </c>
    </row>
    <row r="125" spans="15:17" x14ac:dyDescent="0.2">
      <c r="O125" s="9" t="s">
        <v>11964</v>
      </c>
      <c r="P125" s="169" t="s">
        <v>11965</v>
      </c>
      <c r="Q125" s="9">
        <v>47.83</v>
      </c>
    </row>
    <row r="126" spans="15:17" x14ac:dyDescent="0.2">
      <c r="O126" s="9" t="s">
        <v>11966</v>
      </c>
      <c r="P126" s="169" t="s">
        <v>11967</v>
      </c>
      <c r="Q126" s="9">
        <v>40</v>
      </c>
    </row>
    <row r="127" spans="15:17" x14ac:dyDescent="0.2">
      <c r="O127" s="9" t="s">
        <v>11968</v>
      </c>
      <c r="P127" s="169" t="s">
        <v>11969</v>
      </c>
      <c r="Q127" s="9">
        <v>53.98</v>
      </c>
    </row>
    <row r="128" spans="15:17" x14ac:dyDescent="0.2">
      <c r="O128" s="9" t="s">
        <v>11970</v>
      </c>
      <c r="P128" s="169" t="s">
        <v>11971</v>
      </c>
      <c r="Q128" s="9">
        <v>45</v>
      </c>
    </row>
    <row r="129" spans="15:17" x14ac:dyDescent="0.2">
      <c r="O129" s="9" t="s">
        <v>11972</v>
      </c>
      <c r="P129" s="169" t="s">
        <v>11973</v>
      </c>
      <c r="Q129" s="9">
        <v>59.98</v>
      </c>
    </row>
    <row r="130" spans="15:17" x14ac:dyDescent="0.2">
      <c r="O130" s="9" t="s">
        <v>5307</v>
      </c>
      <c r="P130" s="169" t="s">
        <v>11974</v>
      </c>
      <c r="Q130" s="9">
        <v>50</v>
      </c>
    </row>
    <row r="131" spans="15:17" x14ac:dyDescent="0.2">
      <c r="O131" s="9" t="s">
        <v>11975</v>
      </c>
      <c r="P131" s="169" t="s">
        <v>11976</v>
      </c>
      <c r="Q131" s="9">
        <v>65.97</v>
      </c>
    </row>
    <row r="132" spans="15:17" x14ac:dyDescent="0.2">
      <c r="O132" s="9" t="s">
        <v>11977</v>
      </c>
      <c r="P132" s="169" t="s">
        <v>11978</v>
      </c>
      <c r="Q132" s="9">
        <v>55</v>
      </c>
    </row>
    <row r="133" spans="15:17" x14ac:dyDescent="0.2">
      <c r="O133" s="9" t="s">
        <v>11979</v>
      </c>
      <c r="P133" s="169" t="s">
        <v>11980</v>
      </c>
      <c r="Q133" s="9">
        <v>71.97</v>
      </c>
    </row>
    <row r="134" spans="15:17" x14ac:dyDescent="0.2">
      <c r="O134" s="9" t="s">
        <v>11981</v>
      </c>
      <c r="P134" s="169" t="s">
        <v>11982</v>
      </c>
      <c r="Q134" s="9">
        <v>77.98</v>
      </c>
    </row>
    <row r="135" spans="15:17" x14ac:dyDescent="0.2">
      <c r="O135" s="9" t="s">
        <v>11983</v>
      </c>
      <c r="P135" s="169" t="s">
        <v>11984</v>
      </c>
      <c r="Q135" s="9">
        <v>64.98</v>
      </c>
    </row>
    <row r="136" spans="15:17" x14ac:dyDescent="0.2">
      <c r="O136" s="9" t="s">
        <v>11985</v>
      </c>
      <c r="P136" s="169" t="s">
        <v>11986</v>
      </c>
      <c r="Q136" s="9">
        <v>83.97</v>
      </c>
    </row>
    <row r="137" spans="15:17" x14ac:dyDescent="0.2">
      <c r="O137" s="9" t="s">
        <v>5311</v>
      </c>
      <c r="P137" s="169" t="s">
        <v>11987</v>
      </c>
      <c r="Q137" s="9">
        <v>89.96</v>
      </c>
    </row>
    <row r="138" spans="15:17" x14ac:dyDescent="0.2">
      <c r="O138" s="9" t="s">
        <v>11988</v>
      </c>
      <c r="P138" s="169" t="s">
        <v>11989</v>
      </c>
      <c r="Q138" s="9">
        <v>95.95</v>
      </c>
    </row>
    <row r="139" spans="15:17" x14ac:dyDescent="0.2">
      <c r="O139" s="9" t="s">
        <v>11990</v>
      </c>
      <c r="P139" s="169" t="s">
        <v>11991</v>
      </c>
      <c r="Q139" s="9">
        <v>101.96</v>
      </c>
    </row>
    <row r="140" spans="15:17" x14ac:dyDescent="0.2">
      <c r="O140" s="9" t="s">
        <v>11992</v>
      </c>
      <c r="P140" s="169" t="s">
        <v>11993</v>
      </c>
      <c r="Q140" s="9">
        <v>107.98</v>
      </c>
    </row>
    <row r="141" spans="15:17" x14ac:dyDescent="0.2">
      <c r="O141" s="9" t="s">
        <v>11994</v>
      </c>
      <c r="P141" s="169" t="s">
        <v>11995</v>
      </c>
      <c r="Q141" s="9">
        <v>113.95</v>
      </c>
    </row>
    <row r="142" spans="15:17" x14ac:dyDescent="0.2">
      <c r="O142" s="9" t="s">
        <v>5315</v>
      </c>
      <c r="P142" s="169" t="s">
        <v>11996</v>
      </c>
      <c r="Q142" s="9">
        <v>119.97</v>
      </c>
    </row>
    <row r="143" spans="15:17" x14ac:dyDescent="0.2">
      <c r="O143" s="9" t="s">
        <v>11997</v>
      </c>
      <c r="P143" s="169" t="s">
        <v>11998</v>
      </c>
      <c r="Q143" s="9">
        <v>134.96</v>
      </c>
    </row>
    <row r="144" spans="15:17" x14ac:dyDescent="0.2">
      <c r="O144" s="9" t="s">
        <v>5319</v>
      </c>
      <c r="P144" s="169" t="s">
        <v>11999</v>
      </c>
      <c r="Q144" s="9">
        <v>149.94999999999999</v>
      </c>
    </row>
    <row r="145" spans="15:17" x14ac:dyDescent="0.2">
      <c r="O145" s="9" t="s">
        <v>12000</v>
      </c>
      <c r="P145" s="169" t="s">
        <v>12001</v>
      </c>
      <c r="Q145" s="9">
        <v>164.95</v>
      </c>
    </row>
    <row r="146" spans="15:17" x14ac:dyDescent="0.2">
      <c r="O146" s="9" t="s">
        <v>12002</v>
      </c>
      <c r="P146" s="169" t="s">
        <v>12003</v>
      </c>
      <c r="Q146" s="9">
        <v>179.95</v>
      </c>
    </row>
    <row r="147" spans="15:17" x14ac:dyDescent="0.2">
      <c r="O147" s="9" t="s">
        <v>12004</v>
      </c>
      <c r="P147" s="169" t="s">
        <v>12005</v>
      </c>
      <c r="Q147" s="9">
        <v>269.2</v>
      </c>
    </row>
    <row r="148" spans="15:17" x14ac:dyDescent="0.2">
      <c r="O148" s="9" t="s">
        <v>12006</v>
      </c>
      <c r="P148" s="169" t="s">
        <v>12007</v>
      </c>
      <c r="Q148" s="9">
        <v>59.98</v>
      </c>
    </row>
    <row r="149" spans="15:17" x14ac:dyDescent="0.2">
      <c r="O149" s="9" t="s">
        <v>12008</v>
      </c>
      <c r="P149" s="169" t="s">
        <v>12009</v>
      </c>
      <c r="Q149" s="9">
        <v>21.93</v>
      </c>
    </row>
    <row r="150" spans="15:17" x14ac:dyDescent="0.2">
      <c r="O150" s="9" t="s">
        <v>12010</v>
      </c>
      <c r="P150" s="169" t="s">
        <v>12011</v>
      </c>
      <c r="Q150" s="9">
        <v>21.93</v>
      </c>
    </row>
    <row r="151" spans="15:17" x14ac:dyDescent="0.2">
      <c r="O151" s="9" t="s">
        <v>12012</v>
      </c>
      <c r="P151" s="169" t="s">
        <v>12013</v>
      </c>
      <c r="Q151" s="9">
        <v>21.93</v>
      </c>
    </row>
    <row r="152" spans="15:17" x14ac:dyDescent="0.2">
      <c r="O152" s="9" t="s">
        <v>12014</v>
      </c>
      <c r="P152" s="169" t="s">
        <v>12015</v>
      </c>
      <c r="Q152" s="9">
        <v>24.88</v>
      </c>
    </row>
    <row r="153" spans="15:17" x14ac:dyDescent="0.2">
      <c r="O153" s="9" t="s">
        <v>12016</v>
      </c>
      <c r="P153" s="169" t="s">
        <v>12017</v>
      </c>
      <c r="Q153" s="9">
        <v>20.170000000000002</v>
      </c>
    </row>
    <row r="154" spans="15:17" x14ac:dyDescent="0.2">
      <c r="O154" s="9" t="s">
        <v>12018</v>
      </c>
      <c r="P154" s="169" t="s">
        <v>12019</v>
      </c>
      <c r="Q154" s="9">
        <v>28.54</v>
      </c>
    </row>
    <row r="155" spans="15:17" x14ac:dyDescent="0.2">
      <c r="O155" s="9" t="s">
        <v>12020</v>
      </c>
      <c r="P155" s="169" t="s">
        <v>12021</v>
      </c>
      <c r="Q155" s="9">
        <v>24.2</v>
      </c>
    </row>
    <row r="156" spans="15:17" x14ac:dyDescent="0.2">
      <c r="O156" s="9" t="s">
        <v>5272</v>
      </c>
      <c r="P156" s="169" t="s">
        <v>5273</v>
      </c>
      <c r="Q156" s="9">
        <v>33.299999999999997</v>
      </c>
    </row>
    <row r="157" spans="15:17" x14ac:dyDescent="0.2">
      <c r="O157" s="9" t="s">
        <v>12022</v>
      </c>
      <c r="P157" s="169" t="s">
        <v>5277</v>
      </c>
      <c r="Q157" s="9">
        <v>38.049999999999997</v>
      </c>
    </row>
    <row r="158" spans="15:17" x14ac:dyDescent="0.2">
      <c r="O158" s="9" t="s">
        <v>12023</v>
      </c>
      <c r="P158" s="169" t="s">
        <v>12024</v>
      </c>
      <c r="Q158" s="9">
        <v>32.28</v>
      </c>
    </row>
    <row r="159" spans="15:17" x14ac:dyDescent="0.2">
      <c r="O159" s="9" t="s">
        <v>5276</v>
      </c>
      <c r="P159" s="169" t="s">
        <v>12025</v>
      </c>
      <c r="Q159" s="9">
        <v>42.82</v>
      </c>
    </row>
    <row r="160" spans="15:17" x14ac:dyDescent="0.2">
      <c r="O160" s="9" t="s">
        <v>5279</v>
      </c>
      <c r="P160" s="169" t="s">
        <v>5280</v>
      </c>
      <c r="Q160" s="9">
        <v>47.59</v>
      </c>
    </row>
    <row r="161" spans="15:17" x14ac:dyDescent="0.2">
      <c r="O161" s="9" t="s">
        <v>12026</v>
      </c>
      <c r="P161" s="169" t="s">
        <v>12027</v>
      </c>
      <c r="Q161" s="9">
        <v>52.35</v>
      </c>
    </row>
    <row r="162" spans="15:17" x14ac:dyDescent="0.2">
      <c r="O162" s="9" t="s">
        <v>12028</v>
      </c>
      <c r="P162" s="169" t="s">
        <v>12029</v>
      </c>
      <c r="Q162" s="9">
        <v>57.1</v>
      </c>
    </row>
    <row r="163" spans="15:17" x14ac:dyDescent="0.2">
      <c r="O163" s="9" t="s">
        <v>12030</v>
      </c>
      <c r="P163" s="169" t="s">
        <v>12031</v>
      </c>
      <c r="Q163" s="9">
        <v>57.1</v>
      </c>
    </row>
    <row r="164" spans="15:17" x14ac:dyDescent="0.2">
      <c r="O164" s="9" t="s">
        <v>5283</v>
      </c>
      <c r="P164" s="169" t="s">
        <v>5284</v>
      </c>
      <c r="Q164" s="9">
        <v>61.87</v>
      </c>
    </row>
    <row r="165" spans="15:17" x14ac:dyDescent="0.2">
      <c r="O165" s="9" t="s">
        <v>12032</v>
      </c>
      <c r="P165" s="169" t="s">
        <v>12033</v>
      </c>
      <c r="Q165" s="9">
        <v>66.599999999999994</v>
      </c>
    </row>
    <row r="166" spans="15:17" x14ac:dyDescent="0.2">
      <c r="O166" s="9" t="s">
        <v>5287</v>
      </c>
      <c r="P166" s="169" t="s">
        <v>5288</v>
      </c>
      <c r="Q166" s="9">
        <v>71.37</v>
      </c>
    </row>
    <row r="167" spans="15:17" x14ac:dyDescent="0.2">
      <c r="O167" s="9" t="s">
        <v>12034</v>
      </c>
      <c r="P167" s="169" t="s">
        <v>12035</v>
      </c>
      <c r="Q167" s="9">
        <v>60.52</v>
      </c>
    </row>
    <row r="168" spans="15:17" x14ac:dyDescent="0.2">
      <c r="O168" s="9" t="s">
        <v>12036</v>
      </c>
      <c r="P168" s="169" t="s">
        <v>12037</v>
      </c>
      <c r="Q168" s="9">
        <v>76.16</v>
      </c>
    </row>
    <row r="169" spans="15:17" x14ac:dyDescent="0.2">
      <c r="O169" s="9" t="s">
        <v>12038</v>
      </c>
      <c r="P169" s="169" t="s">
        <v>12039</v>
      </c>
      <c r="Q169" s="9">
        <v>76.16</v>
      </c>
    </row>
    <row r="170" spans="15:17" x14ac:dyDescent="0.2">
      <c r="O170" s="9" t="s">
        <v>12040</v>
      </c>
      <c r="P170" s="169" t="s">
        <v>12041</v>
      </c>
      <c r="Q170" s="9">
        <v>80.900000000000006</v>
      </c>
    </row>
    <row r="171" spans="15:17" x14ac:dyDescent="0.2">
      <c r="O171" s="9" t="s">
        <v>5291</v>
      </c>
      <c r="P171" s="169" t="s">
        <v>5292</v>
      </c>
      <c r="Q171" s="9">
        <v>85.67</v>
      </c>
    </row>
    <row r="172" spans="15:17" x14ac:dyDescent="0.2">
      <c r="O172" s="9" t="s">
        <v>12042</v>
      </c>
      <c r="P172" s="169" t="s">
        <v>12043</v>
      </c>
      <c r="Q172" s="9">
        <v>72.62</v>
      </c>
    </row>
    <row r="173" spans="15:17" x14ac:dyDescent="0.2">
      <c r="O173" s="9" t="s">
        <v>12044</v>
      </c>
      <c r="P173" s="169" t="s">
        <v>12045</v>
      </c>
      <c r="Q173" s="9">
        <v>90.41</v>
      </c>
    </row>
    <row r="174" spans="15:17" x14ac:dyDescent="0.2">
      <c r="O174" s="9" t="s">
        <v>12046</v>
      </c>
      <c r="P174" s="169" t="s">
        <v>12047</v>
      </c>
      <c r="Q174" s="9">
        <v>76.64</v>
      </c>
    </row>
    <row r="175" spans="15:17" x14ac:dyDescent="0.2">
      <c r="O175" s="9" t="s">
        <v>5295</v>
      </c>
      <c r="P175" s="169" t="s">
        <v>5296</v>
      </c>
      <c r="Q175" s="9">
        <v>95.18</v>
      </c>
    </row>
    <row r="176" spans="15:17" x14ac:dyDescent="0.2">
      <c r="O176" s="9" t="s">
        <v>12048</v>
      </c>
      <c r="P176" s="169" t="s">
        <v>12049</v>
      </c>
      <c r="Q176" s="9">
        <v>80.680000000000007</v>
      </c>
    </row>
    <row r="177" spans="15:17" x14ac:dyDescent="0.2">
      <c r="O177" s="9" t="s">
        <v>5299</v>
      </c>
      <c r="P177" s="169" t="s">
        <v>5300</v>
      </c>
      <c r="Q177" s="9">
        <v>107.08</v>
      </c>
    </row>
    <row r="178" spans="15:17" x14ac:dyDescent="0.2">
      <c r="O178" s="9" t="s">
        <v>5303</v>
      </c>
      <c r="P178" s="169" t="s">
        <v>5304</v>
      </c>
      <c r="Q178" s="9">
        <v>121.57</v>
      </c>
    </row>
    <row r="179" spans="15:17" x14ac:dyDescent="0.2">
      <c r="O179" s="9" t="s">
        <v>12050</v>
      </c>
      <c r="P179" s="169" t="s">
        <v>12051</v>
      </c>
      <c r="Q179" s="9">
        <v>100.86</v>
      </c>
    </row>
    <row r="180" spans="15:17" x14ac:dyDescent="0.2">
      <c r="O180" s="9" t="s">
        <v>12052</v>
      </c>
      <c r="P180" s="169" t="s">
        <v>12053</v>
      </c>
      <c r="Q180" s="9">
        <v>69.25</v>
      </c>
    </row>
    <row r="181" spans="15:17" x14ac:dyDescent="0.2">
      <c r="O181" s="9" t="s">
        <v>12054</v>
      </c>
      <c r="P181" s="169" t="s">
        <v>12055</v>
      </c>
      <c r="Q181" s="9">
        <v>69.25</v>
      </c>
    </row>
    <row r="182" spans="15:17" x14ac:dyDescent="0.2">
      <c r="O182" s="9" t="s">
        <v>12056</v>
      </c>
      <c r="P182" s="169" t="s">
        <v>12057</v>
      </c>
      <c r="Q182" s="9">
        <v>74.989999999999995</v>
      </c>
    </row>
    <row r="183" spans="15:17" x14ac:dyDescent="0.2">
      <c r="O183" s="9" t="s">
        <v>12058</v>
      </c>
      <c r="P183" s="169" t="s">
        <v>12059</v>
      </c>
      <c r="Q183" s="9">
        <v>80.73</v>
      </c>
    </row>
    <row r="184" spans="15:17" x14ac:dyDescent="0.2">
      <c r="O184" s="9" t="s">
        <v>12060</v>
      </c>
      <c r="P184" s="169" t="s">
        <v>12061</v>
      </c>
      <c r="Q184" s="9">
        <v>80.73</v>
      </c>
    </row>
    <row r="185" spans="15:17" x14ac:dyDescent="0.2">
      <c r="O185" s="9" t="s">
        <v>12062</v>
      </c>
      <c r="P185" s="169" t="s">
        <v>12063</v>
      </c>
      <c r="Q185" s="9">
        <v>86.46</v>
      </c>
    </row>
    <row r="186" spans="15:17" x14ac:dyDescent="0.2">
      <c r="O186" s="9" t="s">
        <v>12064</v>
      </c>
      <c r="P186" s="169" t="s">
        <v>12065</v>
      </c>
      <c r="Q186" s="9">
        <v>92.31</v>
      </c>
    </row>
    <row r="187" spans="15:17" x14ac:dyDescent="0.2">
      <c r="O187" s="9" t="s">
        <v>5343</v>
      </c>
      <c r="P187" s="169" t="s">
        <v>12066</v>
      </c>
      <c r="Q187" s="9">
        <v>98.06</v>
      </c>
    </row>
    <row r="188" spans="15:17" x14ac:dyDescent="0.2">
      <c r="O188" s="9" t="s">
        <v>12067</v>
      </c>
      <c r="P188" s="169" t="s">
        <v>12068</v>
      </c>
      <c r="Q188" s="9">
        <v>103.57</v>
      </c>
    </row>
    <row r="189" spans="15:17" x14ac:dyDescent="0.2">
      <c r="O189" s="9" t="s">
        <v>12069</v>
      </c>
      <c r="P189" s="169" t="s">
        <v>12070</v>
      </c>
      <c r="Q189" s="9">
        <v>109.32</v>
      </c>
    </row>
    <row r="190" spans="15:17" x14ac:dyDescent="0.2">
      <c r="O190" s="9" t="s">
        <v>12071</v>
      </c>
      <c r="P190" s="169" t="s">
        <v>12072</v>
      </c>
      <c r="Q190" s="9">
        <v>115.05</v>
      </c>
    </row>
    <row r="191" spans="15:17" x14ac:dyDescent="0.2">
      <c r="O191" s="9" t="s">
        <v>12073</v>
      </c>
      <c r="P191" s="169" t="s">
        <v>12074</v>
      </c>
      <c r="Q191" s="9">
        <v>120.79</v>
      </c>
    </row>
    <row r="192" spans="15:17" x14ac:dyDescent="0.2">
      <c r="O192" s="9" t="s">
        <v>5347</v>
      </c>
      <c r="P192" s="169" t="s">
        <v>12075</v>
      </c>
      <c r="Q192" s="9">
        <v>126.56</v>
      </c>
    </row>
    <row r="193" spans="15:17" x14ac:dyDescent="0.2">
      <c r="O193" s="9" t="s">
        <v>12076</v>
      </c>
      <c r="P193" s="169" t="s">
        <v>12077</v>
      </c>
      <c r="Q193" s="9">
        <v>132.27000000000001</v>
      </c>
    </row>
    <row r="194" spans="15:17" x14ac:dyDescent="0.2">
      <c r="O194" s="9" t="s">
        <v>12078</v>
      </c>
      <c r="P194" s="169" t="s">
        <v>12079</v>
      </c>
      <c r="Q194" s="9">
        <v>138.02000000000001</v>
      </c>
    </row>
    <row r="195" spans="15:17" x14ac:dyDescent="0.2">
      <c r="O195" s="9" t="s">
        <v>12080</v>
      </c>
      <c r="P195" s="169" t="s">
        <v>12081</v>
      </c>
      <c r="Q195" s="9">
        <v>143.87</v>
      </c>
    </row>
    <row r="196" spans="15:17" x14ac:dyDescent="0.2">
      <c r="O196" s="9" t="s">
        <v>12082</v>
      </c>
      <c r="P196" s="169" t="s">
        <v>12083</v>
      </c>
      <c r="Q196" s="9">
        <v>151.56</v>
      </c>
    </row>
    <row r="197" spans="15:17" x14ac:dyDescent="0.2">
      <c r="O197" s="9" t="s">
        <v>5351</v>
      </c>
      <c r="P197" s="169" t="s">
        <v>12084</v>
      </c>
      <c r="Q197" s="9">
        <v>159.55000000000001</v>
      </c>
    </row>
    <row r="198" spans="15:17" x14ac:dyDescent="0.2">
      <c r="O198" s="9" t="s">
        <v>12085</v>
      </c>
      <c r="P198" s="169" t="s">
        <v>12086</v>
      </c>
      <c r="Q198" s="9">
        <v>179.49</v>
      </c>
    </row>
    <row r="199" spans="15:17" x14ac:dyDescent="0.2">
      <c r="O199" s="9" t="s">
        <v>5355</v>
      </c>
      <c r="P199" s="169" t="s">
        <v>12087</v>
      </c>
      <c r="Q199" s="9">
        <v>199.44</v>
      </c>
    </row>
    <row r="200" spans="15:17" x14ac:dyDescent="0.2">
      <c r="O200" s="9" t="s">
        <v>12088</v>
      </c>
      <c r="P200" s="169" t="s">
        <v>12089</v>
      </c>
      <c r="Q200" s="9">
        <v>219.38</v>
      </c>
    </row>
    <row r="201" spans="15:17" x14ac:dyDescent="0.2">
      <c r="O201" s="9" t="s">
        <v>12090</v>
      </c>
      <c r="P201" s="169" t="s">
        <v>12091</v>
      </c>
      <c r="Q201" s="9">
        <v>239.31</v>
      </c>
    </row>
    <row r="202" spans="15:17" x14ac:dyDescent="0.2">
      <c r="O202" s="9" t="s">
        <v>12092</v>
      </c>
      <c r="P202" s="169" t="s">
        <v>12093</v>
      </c>
      <c r="Q202" s="9">
        <v>259.27999999999997</v>
      </c>
    </row>
    <row r="203" spans="15:17" x14ac:dyDescent="0.2">
      <c r="O203" s="9" t="s">
        <v>12094</v>
      </c>
      <c r="P203" s="169" t="s">
        <v>12095</v>
      </c>
      <c r="Q203" s="9">
        <v>279.23</v>
      </c>
    </row>
    <row r="204" spans="15:17" x14ac:dyDescent="0.2">
      <c r="O204" s="9" t="s">
        <v>12096</v>
      </c>
      <c r="P204" s="169" t="s">
        <v>12097</v>
      </c>
      <c r="Q204" s="9">
        <v>279.23</v>
      </c>
    </row>
    <row r="205" spans="15:17" x14ac:dyDescent="0.2">
      <c r="O205" s="9" t="s">
        <v>12098</v>
      </c>
      <c r="P205" s="169" t="s">
        <v>12099</v>
      </c>
      <c r="Q205" s="9">
        <v>299.14999999999998</v>
      </c>
    </row>
    <row r="206" spans="15:17" x14ac:dyDescent="0.2">
      <c r="O206" s="9" t="s">
        <v>12100</v>
      </c>
      <c r="P206" s="169" t="s">
        <v>12101</v>
      </c>
      <c r="Q206" s="9">
        <v>311.95999999999998</v>
      </c>
    </row>
    <row r="207" spans="15:17" x14ac:dyDescent="0.2">
      <c r="O207" s="9" t="s">
        <v>12102</v>
      </c>
      <c r="P207" s="169" t="s">
        <v>12103</v>
      </c>
      <c r="Q207" s="9">
        <v>38.4</v>
      </c>
    </row>
    <row r="208" spans="15:17" x14ac:dyDescent="0.2">
      <c r="O208" s="9" t="s">
        <v>12104</v>
      </c>
      <c r="P208" s="169" t="s">
        <v>12105</v>
      </c>
      <c r="Q208" s="9">
        <v>38.4</v>
      </c>
    </row>
    <row r="209" spans="15:17" x14ac:dyDescent="0.2">
      <c r="O209" s="9" t="s">
        <v>12106</v>
      </c>
      <c r="P209" s="169" t="s">
        <v>12107</v>
      </c>
      <c r="Q209" s="9">
        <v>38.4</v>
      </c>
    </row>
    <row r="210" spans="15:17" x14ac:dyDescent="0.2">
      <c r="O210" s="9" t="s">
        <v>12108</v>
      </c>
      <c r="P210" s="169" t="s">
        <v>12109</v>
      </c>
      <c r="Q210" s="9">
        <v>38.4</v>
      </c>
    </row>
    <row r="211" spans="15:17" x14ac:dyDescent="0.2">
      <c r="O211" s="9" t="s">
        <v>12110</v>
      </c>
      <c r="P211" s="169" t="s">
        <v>12111</v>
      </c>
      <c r="Q211" s="9">
        <v>34.86</v>
      </c>
    </row>
    <row r="212" spans="15:17" x14ac:dyDescent="0.2">
      <c r="O212" s="9" t="s">
        <v>12112</v>
      </c>
      <c r="P212" s="169" t="s">
        <v>12113</v>
      </c>
      <c r="Q212" s="9">
        <v>34.86</v>
      </c>
    </row>
    <row r="213" spans="15:17" x14ac:dyDescent="0.2">
      <c r="O213" s="9" t="s">
        <v>12114</v>
      </c>
      <c r="P213" s="169" t="s">
        <v>12115</v>
      </c>
      <c r="Q213" s="9">
        <v>39.799999999999997</v>
      </c>
    </row>
    <row r="214" spans="15:17" x14ac:dyDescent="0.2">
      <c r="O214" s="9" t="s">
        <v>12116</v>
      </c>
      <c r="P214" s="169" t="s">
        <v>12117</v>
      </c>
      <c r="Q214" s="9">
        <v>44.74</v>
      </c>
    </row>
    <row r="215" spans="15:17" x14ac:dyDescent="0.2">
      <c r="O215" s="9" t="s">
        <v>12118</v>
      </c>
      <c r="P215" s="169" t="s">
        <v>12119</v>
      </c>
      <c r="Q215" s="9">
        <v>49.69</v>
      </c>
    </row>
    <row r="216" spans="15:17" x14ac:dyDescent="0.2">
      <c r="O216" s="9" t="s">
        <v>12120</v>
      </c>
      <c r="P216" s="169" t="s">
        <v>12121</v>
      </c>
      <c r="Q216" s="9">
        <v>55.3</v>
      </c>
    </row>
    <row r="217" spans="15:17" x14ac:dyDescent="0.2">
      <c r="O217" s="9" t="s">
        <v>12122</v>
      </c>
      <c r="P217" s="169" t="s">
        <v>12123</v>
      </c>
      <c r="Q217" s="9">
        <v>62.21</v>
      </c>
    </row>
    <row r="218" spans="15:17" x14ac:dyDescent="0.2">
      <c r="O218" s="9" t="s">
        <v>5323</v>
      </c>
      <c r="P218" s="169" t="s">
        <v>5324</v>
      </c>
      <c r="Q218" s="9">
        <v>69.11</v>
      </c>
    </row>
    <row r="219" spans="15:17" x14ac:dyDescent="0.2">
      <c r="O219" s="9" t="s">
        <v>12124</v>
      </c>
      <c r="P219" s="169" t="s">
        <v>12125</v>
      </c>
      <c r="Q219" s="9">
        <v>69.11</v>
      </c>
    </row>
    <row r="220" spans="15:17" x14ac:dyDescent="0.2">
      <c r="O220" s="9" t="s">
        <v>12126</v>
      </c>
      <c r="P220" s="169" t="s">
        <v>12127</v>
      </c>
      <c r="Q220" s="9">
        <v>76.03</v>
      </c>
    </row>
    <row r="221" spans="15:17" x14ac:dyDescent="0.2">
      <c r="O221" s="9" t="s">
        <v>12128</v>
      </c>
      <c r="P221" s="169" t="s">
        <v>12129</v>
      </c>
      <c r="Q221" s="9">
        <v>79.47</v>
      </c>
    </row>
    <row r="222" spans="15:17" x14ac:dyDescent="0.2">
      <c r="O222" s="9" t="s">
        <v>12130</v>
      </c>
      <c r="P222" s="169" t="s">
        <v>12131</v>
      </c>
      <c r="Q222" s="9">
        <v>82.94</v>
      </c>
    </row>
    <row r="223" spans="15:17" x14ac:dyDescent="0.2">
      <c r="O223" s="9" t="s">
        <v>5327</v>
      </c>
      <c r="P223" s="169" t="s">
        <v>5328</v>
      </c>
      <c r="Q223" s="9">
        <v>89.83</v>
      </c>
    </row>
    <row r="224" spans="15:17" x14ac:dyDescent="0.2">
      <c r="O224" s="9" t="s">
        <v>12132</v>
      </c>
      <c r="P224" s="169" t="s">
        <v>12133</v>
      </c>
      <c r="Q224" s="9">
        <v>93.28</v>
      </c>
    </row>
    <row r="225" spans="15:17" x14ac:dyDescent="0.2">
      <c r="O225" s="9" t="s">
        <v>12134</v>
      </c>
      <c r="P225" s="169" t="s">
        <v>12135</v>
      </c>
      <c r="Q225" s="9">
        <v>96.76</v>
      </c>
    </row>
    <row r="226" spans="15:17" x14ac:dyDescent="0.2">
      <c r="O226" s="9" t="s">
        <v>5331</v>
      </c>
      <c r="P226" s="169" t="s">
        <v>5332</v>
      </c>
      <c r="Q226" s="9">
        <v>103.66</v>
      </c>
    </row>
    <row r="227" spans="15:17" x14ac:dyDescent="0.2">
      <c r="O227" s="9" t="s">
        <v>12136</v>
      </c>
      <c r="P227" s="169" t="s">
        <v>12137</v>
      </c>
      <c r="Q227" s="9">
        <v>85.36</v>
      </c>
    </row>
    <row r="228" spans="15:17" x14ac:dyDescent="0.2">
      <c r="O228" s="9" t="s">
        <v>12138</v>
      </c>
      <c r="P228" s="169" t="s">
        <v>12139</v>
      </c>
      <c r="Q228" s="9">
        <v>110.57</v>
      </c>
    </row>
    <row r="229" spans="15:17" x14ac:dyDescent="0.2">
      <c r="O229" s="9" t="s">
        <v>12140</v>
      </c>
      <c r="P229" s="169" t="s">
        <v>12141</v>
      </c>
      <c r="Q229" s="9">
        <v>117.49</v>
      </c>
    </row>
    <row r="230" spans="15:17" x14ac:dyDescent="0.2">
      <c r="O230" s="9" t="s">
        <v>12142</v>
      </c>
      <c r="P230" s="169" t="s">
        <v>12143</v>
      </c>
      <c r="Q230" s="9">
        <v>124.39</v>
      </c>
    </row>
    <row r="231" spans="15:17" x14ac:dyDescent="0.2">
      <c r="O231" s="9" t="s">
        <v>12144</v>
      </c>
      <c r="P231" s="169" t="s">
        <v>12145</v>
      </c>
      <c r="Q231" s="9">
        <v>131.31</v>
      </c>
    </row>
    <row r="232" spans="15:17" x14ac:dyDescent="0.2">
      <c r="O232" s="9" t="s">
        <v>12146</v>
      </c>
      <c r="P232" s="169" t="s">
        <v>5336</v>
      </c>
      <c r="Q232" s="9">
        <v>138.22</v>
      </c>
    </row>
    <row r="233" spans="15:17" x14ac:dyDescent="0.2">
      <c r="O233" s="9" t="s">
        <v>5335</v>
      </c>
      <c r="P233" s="169" t="s">
        <v>12147</v>
      </c>
      <c r="Q233" s="9">
        <v>111.46</v>
      </c>
    </row>
    <row r="234" spans="15:17" x14ac:dyDescent="0.2">
      <c r="O234" s="9" t="s">
        <v>12148</v>
      </c>
      <c r="P234" s="169" t="s">
        <v>12149</v>
      </c>
      <c r="Q234" s="9">
        <v>155.5</v>
      </c>
    </row>
    <row r="235" spans="15:17" x14ac:dyDescent="0.2">
      <c r="O235" s="9" t="s">
        <v>5339</v>
      </c>
      <c r="P235" s="169" t="s">
        <v>5340</v>
      </c>
      <c r="Q235" s="9">
        <v>172.78</v>
      </c>
    </row>
    <row r="236" spans="15:17" x14ac:dyDescent="0.2">
      <c r="O236" s="9" t="s">
        <v>12150</v>
      </c>
      <c r="P236" s="169" t="s">
        <v>12151</v>
      </c>
      <c r="Q236" s="9">
        <v>142.26</v>
      </c>
    </row>
    <row r="237" spans="15:17" x14ac:dyDescent="0.2">
      <c r="O237" s="9" t="s">
        <v>12152</v>
      </c>
      <c r="P237" s="169" t="s">
        <v>12153</v>
      </c>
      <c r="Q237" s="9">
        <v>190.06</v>
      </c>
    </row>
    <row r="238" spans="15:17" x14ac:dyDescent="0.2">
      <c r="O238" s="9" t="s">
        <v>12154</v>
      </c>
      <c r="P238" s="169" t="s">
        <v>12155</v>
      </c>
      <c r="Q238" s="9">
        <v>208.08</v>
      </c>
    </row>
    <row r="239" spans="15:17" x14ac:dyDescent="0.2">
      <c r="O239" s="9" t="s">
        <v>12156</v>
      </c>
      <c r="P239" s="169" t="s">
        <v>12157</v>
      </c>
      <c r="Q239" s="9">
        <v>241.59</v>
      </c>
    </row>
    <row r="240" spans="15:17" x14ac:dyDescent="0.2">
      <c r="O240" s="9" t="s">
        <v>12158</v>
      </c>
      <c r="P240" s="169" t="s">
        <v>12159</v>
      </c>
      <c r="Q240" s="9">
        <v>69.569999999999993</v>
      </c>
    </row>
    <row r="241" spans="15:17" x14ac:dyDescent="0.2">
      <c r="O241" s="9" t="s">
        <v>12160</v>
      </c>
      <c r="P241" s="169" t="s">
        <v>12161</v>
      </c>
      <c r="Q241" s="9">
        <v>69.569999999999993</v>
      </c>
    </row>
    <row r="242" spans="15:17" x14ac:dyDescent="0.2">
      <c r="O242" s="9" t="s">
        <v>12162</v>
      </c>
      <c r="P242" s="169" t="s">
        <v>12163</v>
      </c>
      <c r="Q242" s="9">
        <v>62.83</v>
      </c>
    </row>
    <row r="243" spans="15:17" x14ac:dyDescent="0.2">
      <c r="O243" s="9" t="s">
        <v>12164</v>
      </c>
      <c r="P243" s="169" t="s">
        <v>12165</v>
      </c>
      <c r="Q243" s="9">
        <v>68.88</v>
      </c>
    </row>
    <row r="244" spans="15:17" x14ac:dyDescent="0.2">
      <c r="O244" s="9" t="s">
        <v>12166</v>
      </c>
      <c r="P244" s="169" t="s">
        <v>12167</v>
      </c>
      <c r="Q244" s="9">
        <v>74.7</v>
      </c>
    </row>
    <row r="245" spans="15:17" x14ac:dyDescent="0.2">
      <c r="O245" s="9" t="s">
        <v>12168</v>
      </c>
      <c r="P245" s="169" t="s">
        <v>12169</v>
      </c>
      <c r="Q245" s="9">
        <v>80.75</v>
      </c>
    </row>
    <row r="246" spans="15:17" x14ac:dyDescent="0.2">
      <c r="O246" s="9" t="s">
        <v>12170</v>
      </c>
      <c r="P246" s="169" t="s">
        <v>12171</v>
      </c>
      <c r="Q246" s="9">
        <v>86.55</v>
      </c>
    </row>
    <row r="247" spans="15:17" x14ac:dyDescent="0.2">
      <c r="O247" s="9" t="s">
        <v>12172</v>
      </c>
      <c r="P247" s="169" t="s">
        <v>12173</v>
      </c>
      <c r="Q247" s="9">
        <v>90.51</v>
      </c>
    </row>
    <row r="248" spans="15:17" x14ac:dyDescent="0.2">
      <c r="O248" s="9" t="s">
        <v>12174</v>
      </c>
      <c r="P248" s="169" t="s">
        <v>12175</v>
      </c>
      <c r="Q248" s="9">
        <v>74.2</v>
      </c>
    </row>
    <row r="249" spans="15:17" x14ac:dyDescent="0.2">
      <c r="O249" s="9" t="s">
        <v>12176</v>
      </c>
      <c r="P249" s="169" t="s">
        <v>12177</v>
      </c>
      <c r="Q249" s="9">
        <v>99.56</v>
      </c>
    </row>
    <row r="250" spans="15:17" x14ac:dyDescent="0.2">
      <c r="O250" s="9" t="s">
        <v>12178</v>
      </c>
      <c r="P250" s="169" t="s">
        <v>12179</v>
      </c>
      <c r="Q250" s="9">
        <v>81.599999999999994</v>
      </c>
    </row>
    <row r="251" spans="15:17" x14ac:dyDescent="0.2">
      <c r="O251" s="9" t="s">
        <v>12180</v>
      </c>
      <c r="P251" s="169" t="s">
        <v>12181</v>
      </c>
      <c r="Q251" s="9">
        <v>99.56</v>
      </c>
    </row>
    <row r="252" spans="15:17" x14ac:dyDescent="0.2">
      <c r="O252" s="9" t="s">
        <v>5359</v>
      </c>
      <c r="P252" s="169" t="s">
        <v>5360</v>
      </c>
      <c r="Q252" s="9">
        <v>108.62</v>
      </c>
    </row>
    <row r="253" spans="15:17" x14ac:dyDescent="0.2">
      <c r="O253" s="9" t="s">
        <v>12182</v>
      </c>
      <c r="P253" s="169" t="s">
        <v>12183</v>
      </c>
      <c r="Q253" s="9">
        <v>117.68</v>
      </c>
    </row>
    <row r="254" spans="15:17" x14ac:dyDescent="0.2">
      <c r="O254" s="9" t="s">
        <v>12184</v>
      </c>
      <c r="P254" s="169" t="s">
        <v>12185</v>
      </c>
      <c r="Q254" s="9">
        <v>126.72</v>
      </c>
    </row>
    <row r="255" spans="15:17" x14ac:dyDescent="0.2">
      <c r="O255" s="9" t="s">
        <v>5363</v>
      </c>
      <c r="P255" s="169" t="s">
        <v>5364</v>
      </c>
      <c r="Q255" s="9">
        <v>135.77000000000001</v>
      </c>
    </row>
    <row r="256" spans="15:17" x14ac:dyDescent="0.2">
      <c r="O256" s="9" t="s">
        <v>12186</v>
      </c>
      <c r="P256" s="169" t="s">
        <v>12187</v>
      </c>
      <c r="Q256" s="9">
        <v>144.82</v>
      </c>
    </row>
    <row r="257" spans="15:17" x14ac:dyDescent="0.2">
      <c r="O257" s="9" t="s">
        <v>12188</v>
      </c>
      <c r="P257" s="169" t="s">
        <v>12189</v>
      </c>
      <c r="Q257" s="9">
        <v>153.88</v>
      </c>
    </row>
    <row r="258" spans="15:17" x14ac:dyDescent="0.2">
      <c r="O258" s="9" t="s">
        <v>12190</v>
      </c>
      <c r="P258" s="169" t="s">
        <v>12191</v>
      </c>
      <c r="Q258" s="9">
        <v>162.91999999999999</v>
      </c>
    </row>
    <row r="259" spans="15:17" x14ac:dyDescent="0.2">
      <c r="O259" s="9" t="s">
        <v>12192</v>
      </c>
      <c r="P259" s="169" t="s">
        <v>12193</v>
      </c>
      <c r="Q259" s="9">
        <v>171.97</v>
      </c>
    </row>
    <row r="260" spans="15:17" x14ac:dyDescent="0.2">
      <c r="O260" s="9" t="s">
        <v>12194</v>
      </c>
      <c r="P260" s="169" t="s">
        <v>12195</v>
      </c>
      <c r="Q260" s="9">
        <v>140.96</v>
      </c>
    </row>
    <row r="261" spans="15:17" x14ac:dyDescent="0.2">
      <c r="O261" s="9" t="s">
        <v>5367</v>
      </c>
      <c r="P261" s="169" t="s">
        <v>5368</v>
      </c>
      <c r="Q261" s="9">
        <v>181.03</v>
      </c>
    </row>
    <row r="262" spans="15:17" x14ac:dyDescent="0.2">
      <c r="O262" s="9" t="s">
        <v>12196</v>
      </c>
      <c r="P262" s="169" t="s">
        <v>12197</v>
      </c>
      <c r="Q262" s="9">
        <v>148.38</v>
      </c>
    </row>
    <row r="263" spans="15:17" x14ac:dyDescent="0.2">
      <c r="O263" s="9" t="s">
        <v>12198</v>
      </c>
      <c r="P263" s="169" t="s">
        <v>12199</v>
      </c>
      <c r="Q263" s="9">
        <v>203.66</v>
      </c>
    </row>
    <row r="264" spans="15:17" x14ac:dyDescent="0.2">
      <c r="O264" s="9" t="s">
        <v>5371</v>
      </c>
      <c r="P264" s="169" t="s">
        <v>5372</v>
      </c>
      <c r="Q264" s="9">
        <v>226.28</v>
      </c>
    </row>
    <row r="265" spans="15:17" x14ac:dyDescent="0.2">
      <c r="O265" s="9" t="s">
        <v>12200</v>
      </c>
      <c r="P265" s="169" t="s">
        <v>12201</v>
      </c>
      <c r="Q265" s="9">
        <v>248.92</v>
      </c>
    </row>
    <row r="266" spans="15:17" x14ac:dyDescent="0.2">
      <c r="O266" s="9" t="s">
        <v>5375</v>
      </c>
      <c r="P266" s="169" t="s">
        <v>5376</v>
      </c>
      <c r="Q266" s="9">
        <v>271.55</v>
      </c>
    </row>
    <row r="267" spans="15:17" x14ac:dyDescent="0.2">
      <c r="O267" s="9" t="s">
        <v>12202</v>
      </c>
      <c r="P267" s="169" t="s">
        <v>12203</v>
      </c>
      <c r="Q267" s="9">
        <v>222.56</v>
      </c>
    </row>
    <row r="268" spans="15:17" x14ac:dyDescent="0.2">
      <c r="O268" s="9" t="s">
        <v>12204</v>
      </c>
      <c r="P268" s="169" t="s">
        <v>12205</v>
      </c>
      <c r="Q268" s="9">
        <v>294.18</v>
      </c>
    </row>
    <row r="269" spans="15:17" x14ac:dyDescent="0.2">
      <c r="O269" s="9" t="s">
        <v>5379</v>
      </c>
      <c r="P269" s="169" t="s">
        <v>5380</v>
      </c>
      <c r="Q269" s="9">
        <v>316.81</v>
      </c>
    </row>
    <row r="270" spans="15:17" x14ac:dyDescent="0.2">
      <c r="O270" s="9" t="s">
        <v>12206</v>
      </c>
      <c r="P270" s="169" t="s">
        <v>12207</v>
      </c>
      <c r="Q270" s="9">
        <v>339.44</v>
      </c>
    </row>
    <row r="271" spans="15:17" x14ac:dyDescent="0.2">
      <c r="O271" s="9" t="s">
        <v>5383</v>
      </c>
      <c r="P271" s="169" t="s">
        <v>5384</v>
      </c>
      <c r="Q271" s="9">
        <v>362.08</v>
      </c>
    </row>
    <row r="272" spans="15:17" x14ac:dyDescent="0.2">
      <c r="O272" s="9" t="s">
        <v>12208</v>
      </c>
      <c r="P272" s="169" t="s">
        <v>12209</v>
      </c>
      <c r="Q272" s="9">
        <v>296.74</v>
      </c>
    </row>
    <row r="273" spans="15:17" x14ac:dyDescent="0.2">
      <c r="O273" s="9" t="s">
        <v>12210</v>
      </c>
      <c r="P273" s="169" t="s">
        <v>12211</v>
      </c>
      <c r="Q273" s="9">
        <v>114</v>
      </c>
    </row>
    <row r="274" spans="15:17" x14ac:dyDescent="0.2">
      <c r="O274" s="9" t="s">
        <v>12212</v>
      </c>
      <c r="P274" s="169" t="s">
        <v>12213</v>
      </c>
      <c r="Q274" s="9">
        <v>879.54</v>
      </c>
    </row>
    <row r="275" spans="15:17" x14ac:dyDescent="0.2">
      <c r="O275" s="9" t="s">
        <v>12214</v>
      </c>
      <c r="P275" s="169" t="s">
        <v>12215</v>
      </c>
      <c r="Q275" s="9">
        <v>95.71</v>
      </c>
    </row>
    <row r="276" spans="15:17" x14ac:dyDescent="0.2">
      <c r="O276" s="9" t="s">
        <v>12216</v>
      </c>
      <c r="P276" s="169" t="s">
        <v>12217</v>
      </c>
      <c r="Q276" s="9">
        <v>130.78</v>
      </c>
    </row>
    <row r="277" spans="15:17" x14ac:dyDescent="0.2">
      <c r="O277" s="9" t="s">
        <v>12218</v>
      </c>
      <c r="P277" s="169" t="s">
        <v>12219</v>
      </c>
      <c r="Q277" s="9">
        <v>147.58000000000001</v>
      </c>
    </row>
    <row r="278" spans="15:17" x14ac:dyDescent="0.2">
      <c r="O278" s="9" t="s">
        <v>12220</v>
      </c>
      <c r="P278" s="169" t="s">
        <v>12221</v>
      </c>
      <c r="Q278" s="9">
        <v>164.38</v>
      </c>
    </row>
    <row r="279" spans="15:17" x14ac:dyDescent="0.2">
      <c r="O279" s="9" t="s">
        <v>12222</v>
      </c>
      <c r="P279" s="169" t="s">
        <v>12223</v>
      </c>
      <c r="Q279" s="9">
        <v>181</v>
      </c>
    </row>
    <row r="280" spans="15:17" x14ac:dyDescent="0.2">
      <c r="O280" s="9" t="s">
        <v>12224</v>
      </c>
      <c r="P280" s="169" t="s">
        <v>12225</v>
      </c>
      <c r="Q280" s="9">
        <v>198</v>
      </c>
    </row>
    <row r="281" spans="15:17" x14ac:dyDescent="0.2">
      <c r="O281" s="9" t="s">
        <v>12226</v>
      </c>
      <c r="P281" s="169" t="s">
        <v>12227</v>
      </c>
      <c r="Q281" s="9">
        <v>198</v>
      </c>
    </row>
    <row r="282" spans="15:17" x14ac:dyDescent="0.2">
      <c r="O282" s="9" t="s">
        <v>12228</v>
      </c>
      <c r="P282" s="169" t="s">
        <v>12229</v>
      </c>
      <c r="Q282" s="9">
        <v>214.76</v>
      </c>
    </row>
    <row r="283" spans="15:17" x14ac:dyDescent="0.2">
      <c r="O283" s="9" t="s">
        <v>12230</v>
      </c>
      <c r="P283" s="169" t="s">
        <v>12231</v>
      </c>
      <c r="Q283" s="9">
        <v>214.76</v>
      </c>
    </row>
    <row r="284" spans="15:17" x14ac:dyDescent="0.2">
      <c r="O284" s="9" t="s">
        <v>12232</v>
      </c>
      <c r="P284" s="169" t="s">
        <v>12233</v>
      </c>
      <c r="Q284" s="9">
        <v>214.76</v>
      </c>
    </row>
    <row r="285" spans="15:17" x14ac:dyDescent="0.2">
      <c r="O285" s="9" t="s">
        <v>12234</v>
      </c>
      <c r="P285" s="169" t="s">
        <v>12235</v>
      </c>
      <c r="Q285" s="9">
        <v>231.56</v>
      </c>
    </row>
    <row r="286" spans="15:17" x14ac:dyDescent="0.2">
      <c r="O286" s="9" t="s">
        <v>12236</v>
      </c>
      <c r="P286" s="169" t="s">
        <v>12237</v>
      </c>
      <c r="Q286" s="9">
        <v>248.36</v>
      </c>
    </row>
    <row r="287" spans="15:17" x14ac:dyDescent="0.2">
      <c r="O287" s="9" t="s">
        <v>12238</v>
      </c>
      <c r="P287" s="169" t="s">
        <v>12239</v>
      </c>
      <c r="Q287" s="9">
        <v>248.36</v>
      </c>
    </row>
    <row r="288" spans="15:17" x14ac:dyDescent="0.2">
      <c r="O288" s="9" t="s">
        <v>12240</v>
      </c>
      <c r="P288" s="169" t="s">
        <v>12241</v>
      </c>
      <c r="Q288" s="9">
        <v>265.16000000000003</v>
      </c>
    </row>
    <row r="289" spans="15:17" x14ac:dyDescent="0.2">
      <c r="O289" s="9" t="s">
        <v>12242</v>
      </c>
      <c r="P289" s="169" t="s">
        <v>12243</v>
      </c>
      <c r="Q289" s="9">
        <v>265.26</v>
      </c>
    </row>
    <row r="290" spans="15:17" x14ac:dyDescent="0.2">
      <c r="O290" s="9" t="s">
        <v>5387</v>
      </c>
      <c r="P290" s="169" t="s">
        <v>5388</v>
      </c>
      <c r="Q290" s="9">
        <v>279.52</v>
      </c>
    </row>
    <row r="291" spans="15:17" x14ac:dyDescent="0.2">
      <c r="O291" s="9" t="s">
        <v>12244</v>
      </c>
      <c r="P291" s="169" t="s">
        <v>12245</v>
      </c>
      <c r="Q291" s="9">
        <v>227</v>
      </c>
    </row>
    <row r="292" spans="15:17" x14ac:dyDescent="0.2">
      <c r="O292" s="9" t="s">
        <v>12246</v>
      </c>
      <c r="P292" s="169" t="s">
        <v>12247</v>
      </c>
      <c r="Q292" s="9">
        <v>296.36</v>
      </c>
    </row>
    <row r="293" spans="15:17" x14ac:dyDescent="0.2">
      <c r="O293" s="9" t="s">
        <v>12248</v>
      </c>
      <c r="P293" s="169" t="s">
        <v>12249</v>
      </c>
      <c r="Q293" s="9">
        <v>240</v>
      </c>
    </row>
    <row r="294" spans="15:17" x14ac:dyDescent="0.2">
      <c r="O294" s="9" t="s">
        <v>12250</v>
      </c>
      <c r="P294" s="169" t="s">
        <v>12251</v>
      </c>
      <c r="Q294" s="9">
        <v>313.24</v>
      </c>
    </row>
    <row r="295" spans="15:17" x14ac:dyDescent="0.2">
      <c r="O295" s="9" t="s">
        <v>12252</v>
      </c>
      <c r="P295" s="169" t="s">
        <v>12253</v>
      </c>
      <c r="Q295" s="9">
        <v>253</v>
      </c>
    </row>
    <row r="296" spans="15:17" x14ac:dyDescent="0.2">
      <c r="O296" s="9" t="s">
        <v>12254</v>
      </c>
      <c r="P296" s="169" t="s">
        <v>12255</v>
      </c>
      <c r="Q296" s="9">
        <v>328.74</v>
      </c>
    </row>
    <row r="297" spans="15:17" x14ac:dyDescent="0.2">
      <c r="O297" s="9" t="s">
        <v>12256</v>
      </c>
      <c r="P297" s="169" t="s">
        <v>12257</v>
      </c>
      <c r="Q297" s="9">
        <v>266.55</v>
      </c>
    </row>
    <row r="298" spans="15:17" x14ac:dyDescent="0.2">
      <c r="O298" s="9" t="s">
        <v>12258</v>
      </c>
      <c r="P298" s="169" t="s">
        <v>12259</v>
      </c>
      <c r="Q298" s="9">
        <v>345.81</v>
      </c>
    </row>
    <row r="299" spans="15:17" x14ac:dyDescent="0.2">
      <c r="O299" s="9" t="s">
        <v>12260</v>
      </c>
      <c r="P299" s="169" t="s">
        <v>12261</v>
      </c>
      <c r="Q299" s="9">
        <v>279.7</v>
      </c>
    </row>
    <row r="300" spans="15:17" x14ac:dyDescent="0.2">
      <c r="O300" s="9" t="s">
        <v>5391</v>
      </c>
      <c r="P300" s="169" t="s">
        <v>5392</v>
      </c>
      <c r="Q300" s="9">
        <v>365.22</v>
      </c>
    </row>
    <row r="301" spans="15:17" x14ac:dyDescent="0.2">
      <c r="O301" s="9" t="s">
        <v>12262</v>
      </c>
      <c r="P301" s="169" t="s">
        <v>12263</v>
      </c>
      <c r="Q301" s="9">
        <v>292.83999999999997</v>
      </c>
    </row>
    <row r="302" spans="15:17" x14ac:dyDescent="0.2">
      <c r="O302" s="9" t="s">
        <v>12264</v>
      </c>
      <c r="P302" s="169" t="s">
        <v>12265</v>
      </c>
      <c r="Q302" s="9">
        <v>406.27</v>
      </c>
    </row>
    <row r="303" spans="15:17" x14ac:dyDescent="0.2">
      <c r="O303" s="9" t="s">
        <v>12266</v>
      </c>
      <c r="P303" s="169" t="s">
        <v>12267</v>
      </c>
      <c r="Q303" s="9">
        <v>325.7</v>
      </c>
    </row>
    <row r="304" spans="15:17" x14ac:dyDescent="0.2">
      <c r="O304" s="9" t="s">
        <v>12268</v>
      </c>
      <c r="P304" s="169" t="s">
        <v>5396</v>
      </c>
      <c r="Q304" s="9">
        <v>454.77</v>
      </c>
    </row>
    <row r="305" spans="15:17" x14ac:dyDescent="0.2">
      <c r="O305" s="9" t="s">
        <v>5395</v>
      </c>
      <c r="P305" s="169" t="s">
        <v>12269</v>
      </c>
      <c r="Q305" s="9">
        <v>358.54</v>
      </c>
    </row>
    <row r="306" spans="15:17" x14ac:dyDescent="0.2">
      <c r="O306" s="9" t="s">
        <v>12270</v>
      </c>
      <c r="P306" s="169" t="s">
        <v>12271</v>
      </c>
      <c r="Q306" s="9">
        <v>496.54</v>
      </c>
    </row>
    <row r="307" spans="15:17" x14ac:dyDescent="0.2">
      <c r="O307" s="9" t="s">
        <v>12272</v>
      </c>
      <c r="P307" s="169" t="s">
        <v>12273</v>
      </c>
      <c r="Q307" s="9">
        <v>391.4</v>
      </c>
    </row>
    <row r="308" spans="15:17" x14ac:dyDescent="0.2">
      <c r="O308" s="9" t="s">
        <v>5399</v>
      </c>
      <c r="P308" s="169" t="s">
        <v>5400</v>
      </c>
      <c r="Q308" s="9">
        <v>539.28</v>
      </c>
    </row>
    <row r="309" spans="15:17" x14ac:dyDescent="0.2">
      <c r="O309" s="9" t="s">
        <v>12274</v>
      </c>
      <c r="P309" s="169" t="s">
        <v>12275</v>
      </c>
      <c r="Q309" s="9">
        <v>425</v>
      </c>
    </row>
    <row r="310" spans="15:17" x14ac:dyDescent="0.2">
      <c r="O310" s="9" t="s">
        <v>12276</v>
      </c>
      <c r="P310" s="169" t="s">
        <v>12277</v>
      </c>
      <c r="Q310" s="9">
        <v>581.09</v>
      </c>
    </row>
    <row r="311" spans="15:17" x14ac:dyDescent="0.2">
      <c r="O311" s="9" t="s">
        <v>12278</v>
      </c>
      <c r="P311" s="169" t="s">
        <v>12279</v>
      </c>
      <c r="Q311" s="9">
        <v>457</v>
      </c>
    </row>
    <row r="312" spans="15:17" x14ac:dyDescent="0.2">
      <c r="O312" s="9" t="s">
        <v>5403</v>
      </c>
      <c r="P312" s="169" t="s">
        <v>5404</v>
      </c>
      <c r="Q312" s="9">
        <v>622.91</v>
      </c>
    </row>
    <row r="313" spans="15:17" x14ac:dyDescent="0.2">
      <c r="O313" s="9" t="s">
        <v>12280</v>
      </c>
      <c r="P313" s="169" t="s">
        <v>12281</v>
      </c>
      <c r="Q313" s="9">
        <v>664.73</v>
      </c>
    </row>
    <row r="314" spans="15:17" x14ac:dyDescent="0.2">
      <c r="O314" s="9" t="s">
        <v>5407</v>
      </c>
      <c r="P314" s="169" t="s">
        <v>5408</v>
      </c>
      <c r="Q314" s="9">
        <v>706.56</v>
      </c>
    </row>
    <row r="315" spans="15:17" x14ac:dyDescent="0.2">
      <c r="O315" s="9" t="s">
        <v>12282</v>
      </c>
      <c r="P315" s="169" t="s">
        <v>12283</v>
      </c>
      <c r="Q315" s="9">
        <v>555.66</v>
      </c>
    </row>
    <row r="316" spans="15:17" x14ac:dyDescent="0.2">
      <c r="O316" s="9" t="s">
        <v>12284</v>
      </c>
      <c r="P316" s="169" t="s">
        <v>12285</v>
      </c>
      <c r="Q316" s="9">
        <v>748.37</v>
      </c>
    </row>
    <row r="317" spans="15:17" x14ac:dyDescent="0.2">
      <c r="O317" s="9" t="s">
        <v>12286</v>
      </c>
      <c r="P317" s="169" t="s">
        <v>12287</v>
      </c>
      <c r="Q317" s="9">
        <v>794.13</v>
      </c>
    </row>
    <row r="318" spans="15:17" x14ac:dyDescent="0.2">
      <c r="O318" s="9" t="s">
        <v>12288</v>
      </c>
      <c r="P318" s="169" t="s">
        <v>12289</v>
      </c>
      <c r="Q318" s="9">
        <v>836.82</v>
      </c>
    </row>
    <row r="319" spans="15:17" x14ac:dyDescent="0.2">
      <c r="O319" s="9" t="s">
        <v>12290</v>
      </c>
      <c r="P319" s="169" t="s">
        <v>12291</v>
      </c>
      <c r="Q319" s="9">
        <v>1189.17</v>
      </c>
    </row>
    <row r="320" spans="15:17" x14ac:dyDescent="0.2">
      <c r="O320" s="9" t="s">
        <v>12292</v>
      </c>
      <c r="P320" s="169" t="s">
        <v>12293</v>
      </c>
      <c r="Q320" s="9">
        <v>174</v>
      </c>
    </row>
    <row r="321" spans="15:17" x14ac:dyDescent="0.2">
      <c r="O321" s="9" t="s">
        <v>12294</v>
      </c>
      <c r="P321" s="169" t="s">
        <v>12295</v>
      </c>
      <c r="Q321" s="9">
        <v>219</v>
      </c>
    </row>
    <row r="322" spans="15:17" x14ac:dyDescent="0.2">
      <c r="O322" s="9" t="s">
        <v>12296</v>
      </c>
      <c r="P322" s="169" t="s">
        <v>12297</v>
      </c>
      <c r="Q322" s="9">
        <v>241</v>
      </c>
    </row>
    <row r="323" spans="15:17" x14ac:dyDescent="0.2">
      <c r="O323" s="9" t="s">
        <v>12298</v>
      </c>
      <c r="P323" s="169" t="s">
        <v>12299</v>
      </c>
      <c r="Q323" s="9">
        <v>263</v>
      </c>
    </row>
    <row r="324" spans="15:17" x14ac:dyDescent="0.2">
      <c r="O324" s="9" t="s">
        <v>12300</v>
      </c>
      <c r="P324" s="169" t="s">
        <v>12301</v>
      </c>
      <c r="Q324" s="9">
        <v>286</v>
      </c>
    </row>
    <row r="325" spans="15:17" x14ac:dyDescent="0.2">
      <c r="O325" s="9" t="s">
        <v>12302</v>
      </c>
      <c r="P325" s="169" t="s">
        <v>12303</v>
      </c>
      <c r="Q325" s="9">
        <v>308</v>
      </c>
    </row>
    <row r="326" spans="15:17" x14ac:dyDescent="0.2">
      <c r="O326" s="9" t="s">
        <v>12304</v>
      </c>
      <c r="P326" s="169" t="s">
        <v>12305</v>
      </c>
      <c r="Q326" s="9">
        <v>331</v>
      </c>
    </row>
    <row r="327" spans="15:17" x14ac:dyDescent="0.2">
      <c r="O327" s="9" t="s">
        <v>12306</v>
      </c>
      <c r="P327" s="169" t="s">
        <v>12307</v>
      </c>
      <c r="Q327" s="9">
        <v>351.17</v>
      </c>
    </row>
    <row r="328" spans="15:17" x14ac:dyDescent="0.2">
      <c r="O328" s="9" t="s">
        <v>12308</v>
      </c>
      <c r="P328" s="169" t="s">
        <v>12309</v>
      </c>
      <c r="Q328" s="9">
        <v>374.28</v>
      </c>
    </row>
    <row r="329" spans="15:17" x14ac:dyDescent="0.2">
      <c r="O329" s="9" t="s">
        <v>12310</v>
      </c>
      <c r="P329" s="169" t="s">
        <v>12311</v>
      </c>
      <c r="Q329" s="9">
        <v>443.66</v>
      </c>
    </row>
    <row r="330" spans="15:17" x14ac:dyDescent="0.2">
      <c r="O330" s="9" t="s">
        <v>12312</v>
      </c>
      <c r="P330" s="169" t="s">
        <v>12313</v>
      </c>
      <c r="Q330" s="9">
        <v>466.78</v>
      </c>
    </row>
    <row r="331" spans="15:17" x14ac:dyDescent="0.2">
      <c r="O331" s="9" t="s">
        <v>5411</v>
      </c>
      <c r="P331" s="169" t="s">
        <v>5412</v>
      </c>
      <c r="Q331" s="9">
        <v>489.91</v>
      </c>
    </row>
    <row r="332" spans="15:17" x14ac:dyDescent="0.2">
      <c r="O332" s="9" t="s">
        <v>12314</v>
      </c>
      <c r="P332" s="169" t="s">
        <v>12315</v>
      </c>
      <c r="Q332" s="9">
        <v>550.82000000000005</v>
      </c>
    </row>
    <row r="333" spans="15:17" x14ac:dyDescent="0.2">
      <c r="O333" s="9" t="s">
        <v>5415</v>
      </c>
      <c r="P333" s="169" t="s">
        <v>5416</v>
      </c>
      <c r="Q333" s="9">
        <v>615.97</v>
      </c>
    </row>
    <row r="334" spans="15:17" x14ac:dyDescent="0.2">
      <c r="O334" s="9" t="s">
        <v>12316</v>
      </c>
      <c r="P334" s="169" t="s">
        <v>12317</v>
      </c>
      <c r="Q334" s="9">
        <v>671.2</v>
      </c>
    </row>
    <row r="335" spans="15:17" x14ac:dyDescent="0.2">
      <c r="O335" s="9" t="s">
        <v>5419</v>
      </c>
      <c r="P335" s="169" t="s">
        <v>5420</v>
      </c>
      <c r="Q335" s="9">
        <v>726.41</v>
      </c>
    </row>
    <row r="336" spans="15:17" x14ac:dyDescent="0.2">
      <c r="O336" s="9" t="s">
        <v>12318</v>
      </c>
      <c r="P336" s="169" t="s">
        <v>12319</v>
      </c>
      <c r="Q336" s="9">
        <v>785.41</v>
      </c>
    </row>
    <row r="337" spans="15:17" x14ac:dyDescent="0.2">
      <c r="O337" s="9" t="s">
        <v>12320</v>
      </c>
      <c r="P337" s="169" t="s">
        <v>12321</v>
      </c>
      <c r="Q337" s="9">
        <v>842.01</v>
      </c>
    </row>
    <row r="338" spans="15:17" x14ac:dyDescent="0.2">
      <c r="O338" s="9" t="s">
        <v>12322</v>
      </c>
      <c r="P338" s="169" t="s">
        <v>12323</v>
      </c>
      <c r="Q338" s="9">
        <v>898.66</v>
      </c>
    </row>
    <row r="339" spans="15:17" x14ac:dyDescent="0.2">
      <c r="O339" s="9" t="s">
        <v>12324</v>
      </c>
      <c r="P339" s="169" t="s">
        <v>12325</v>
      </c>
      <c r="Q339" s="9">
        <v>955.28</v>
      </c>
    </row>
    <row r="340" spans="15:17" x14ac:dyDescent="0.2">
      <c r="O340" s="9" t="s">
        <v>12326</v>
      </c>
      <c r="P340" s="169" t="s">
        <v>12327</v>
      </c>
      <c r="Q340" s="9">
        <v>1011.88</v>
      </c>
    </row>
    <row r="341" spans="15:17" x14ac:dyDescent="0.2">
      <c r="O341" s="9" t="s">
        <v>12328</v>
      </c>
      <c r="P341" s="169" t="s">
        <v>12329</v>
      </c>
      <c r="Q341" s="9">
        <v>1068.53</v>
      </c>
    </row>
    <row r="342" spans="15:17" x14ac:dyDescent="0.2">
      <c r="O342" s="9" t="s">
        <v>12330</v>
      </c>
      <c r="P342" s="169" t="s">
        <v>12331</v>
      </c>
      <c r="Q342" s="9">
        <v>1131.06</v>
      </c>
    </row>
    <row r="343" spans="15:17" x14ac:dyDescent="0.2">
      <c r="O343" s="9" t="s">
        <v>5443</v>
      </c>
      <c r="P343" s="169" t="s">
        <v>5444</v>
      </c>
      <c r="Q343" s="9">
        <v>1327.13</v>
      </c>
    </row>
    <row r="344" spans="15:17" x14ac:dyDescent="0.2">
      <c r="O344" s="9" t="s">
        <v>12332</v>
      </c>
      <c r="P344" s="169" t="s">
        <v>12333</v>
      </c>
      <c r="Q344" s="9">
        <v>1456.67</v>
      </c>
    </row>
    <row r="345" spans="15:17" x14ac:dyDescent="0.2">
      <c r="O345" s="9" t="s">
        <v>12334</v>
      </c>
      <c r="P345" s="169" t="s">
        <v>12335</v>
      </c>
      <c r="Q345" s="9">
        <v>194</v>
      </c>
    </row>
    <row r="346" spans="15:17" x14ac:dyDescent="0.2">
      <c r="O346" s="9" t="s">
        <v>12336</v>
      </c>
      <c r="P346" s="169" t="s">
        <v>12337</v>
      </c>
      <c r="Q346" s="9">
        <v>1586.22</v>
      </c>
    </row>
    <row r="347" spans="15:17" x14ac:dyDescent="0.2">
      <c r="O347" s="9" t="s">
        <v>12338</v>
      </c>
      <c r="P347" s="169" t="s">
        <v>12339</v>
      </c>
      <c r="Q347" s="9">
        <v>196</v>
      </c>
    </row>
    <row r="348" spans="15:17" x14ac:dyDescent="0.2">
      <c r="O348" s="9" t="s">
        <v>12340</v>
      </c>
      <c r="P348" s="169" t="s">
        <v>12341</v>
      </c>
      <c r="Q348" s="9">
        <v>1818.57</v>
      </c>
    </row>
    <row r="349" spans="15:17" x14ac:dyDescent="0.2">
      <c r="O349" s="9" t="s">
        <v>12342</v>
      </c>
      <c r="P349" s="169" t="s">
        <v>12343</v>
      </c>
      <c r="Q349" s="9">
        <v>245</v>
      </c>
    </row>
    <row r="350" spans="15:17" x14ac:dyDescent="0.2">
      <c r="O350" s="9" t="s">
        <v>12344</v>
      </c>
      <c r="P350" s="169" t="s">
        <v>12345</v>
      </c>
      <c r="Q350" s="9">
        <v>271</v>
      </c>
    </row>
    <row r="351" spans="15:17" x14ac:dyDescent="0.2">
      <c r="O351" s="9" t="s">
        <v>12346</v>
      </c>
      <c r="P351" s="169" t="s">
        <v>12347</v>
      </c>
      <c r="Q351" s="9">
        <v>280</v>
      </c>
    </row>
    <row r="352" spans="15:17" x14ac:dyDescent="0.2">
      <c r="O352" s="9" t="s">
        <v>12348</v>
      </c>
      <c r="P352" s="169" t="s">
        <v>12349</v>
      </c>
      <c r="Q352" s="9">
        <v>296</v>
      </c>
    </row>
    <row r="353" spans="15:17" x14ac:dyDescent="0.2">
      <c r="O353" s="9" t="s">
        <v>12350</v>
      </c>
      <c r="P353" s="169" t="s">
        <v>12351</v>
      </c>
      <c r="Q353" s="9">
        <v>322</v>
      </c>
    </row>
    <row r="354" spans="15:17" x14ac:dyDescent="0.2">
      <c r="O354" s="9" t="s">
        <v>12352</v>
      </c>
      <c r="P354" s="169" t="s">
        <v>12353</v>
      </c>
      <c r="Q354" s="9">
        <v>348</v>
      </c>
    </row>
    <row r="355" spans="15:17" x14ac:dyDescent="0.2">
      <c r="O355" s="9" t="s">
        <v>12354</v>
      </c>
      <c r="P355" s="169" t="s">
        <v>12355</v>
      </c>
      <c r="Q355" s="9">
        <v>374</v>
      </c>
    </row>
    <row r="356" spans="15:17" x14ac:dyDescent="0.2">
      <c r="O356" s="9" t="s">
        <v>12356</v>
      </c>
      <c r="P356" s="169" t="s">
        <v>12357</v>
      </c>
      <c r="Q356" s="9">
        <v>399</v>
      </c>
    </row>
    <row r="357" spans="15:17" x14ac:dyDescent="0.2">
      <c r="O357" s="9" t="s">
        <v>12358</v>
      </c>
      <c r="P357" s="169" t="s">
        <v>12359</v>
      </c>
      <c r="Q357" s="9">
        <v>425</v>
      </c>
    </row>
    <row r="358" spans="15:17" x14ac:dyDescent="0.2">
      <c r="O358" s="9" t="s">
        <v>12360</v>
      </c>
      <c r="P358" s="169" t="s">
        <v>12361</v>
      </c>
      <c r="Q358" s="9">
        <v>451</v>
      </c>
    </row>
    <row r="359" spans="15:17" x14ac:dyDescent="0.2">
      <c r="O359" s="9" t="s">
        <v>12362</v>
      </c>
      <c r="P359" s="169" t="s">
        <v>12363</v>
      </c>
      <c r="Q359" s="9">
        <v>476</v>
      </c>
    </row>
    <row r="360" spans="15:17" x14ac:dyDescent="0.2">
      <c r="O360" s="9" t="s">
        <v>12364</v>
      </c>
      <c r="P360" s="169" t="s">
        <v>12365</v>
      </c>
      <c r="Q360" s="9">
        <v>476</v>
      </c>
    </row>
    <row r="361" spans="15:17" x14ac:dyDescent="0.2">
      <c r="O361" s="9" t="s">
        <v>12366</v>
      </c>
      <c r="P361" s="169" t="s">
        <v>12367</v>
      </c>
      <c r="Q361" s="9">
        <v>502</v>
      </c>
    </row>
    <row r="362" spans="15:17" x14ac:dyDescent="0.2">
      <c r="O362" s="9" t="s">
        <v>12368</v>
      </c>
      <c r="P362" s="169" t="s">
        <v>12369</v>
      </c>
      <c r="Q362" s="9">
        <v>528</v>
      </c>
    </row>
    <row r="363" spans="15:17" x14ac:dyDescent="0.2">
      <c r="O363" s="9" t="s">
        <v>5423</v>
      </c>
      <c r="P363" s="169" t="s">
        <v>5424</v>
      </c>
      <c r="Q363" s="9">
        <v>553</v>
      </c>
    </row>
    <row r="364" spans="15:17" x14ac:dyDescent="0.2">
      <c r="O364" s="9" t="s">
        <v>12370</v>
      </c>
      <c r="P364" s="169" t="s">
        <v>12371</v>
      </c>
      <c r="Q364" s="9">
        <v>618</v>
      </c>
    </row>
    <row r="365" spans="15:17" x14ac:dyDescent="0.2">
      <c r="O365" s="9" t="s">
        <v>12372</v>
      </c>
      <c r="P365" s="169" t="s">
        <v>5428</v>
      </c>
      <c r="Q365" s="9">
        <v>678.6</v>
      </c>
    </row>
    <row r="366" spans="15:17" x14ac:dyDescent="0.2">
      <c r="O366" s="9" t="s">
        <v>5427</v>
      </c>
      <c r="P366" s="169" t="s">
        <v>12373</v>
      </c>
      <c r="Q366" s="9">
        <v>529</v>
      </c>
    </row>
    <row r="367" spans="15:17" x14ac:dyDescent="0.2">
      <c r="O367" s="9" t="s">
        <v>12374</v>
      </c>
      <c r="P367" s="169" t="s">
        <v>12375</v>
      </c>
      <c r="Q367" s="9">
        <v>743.65</v>
      </c>
    </row>
    <row r="368" spans="15:17" x14ac:dyDescent="0.2">
      <c r="O368" s="9" t="s">
        <v>5431</v>
      </c>
      <c r="P368" s="169" t="s">
        <v>5432</v>
      </c>
      <c r="Q368" s="9">
        <v>806.93</v>
      </c>
    </row>
    <row r="369" spans="15:17" x14ac:dyDescent="0.2">
      <c r="O369" s="9" t="s">
        <v>12376</v>
      </c>
      <c r="P369" s="169" t="s">
        <v>12377</v>
      </c>
      <c r="Q369" s="9">
        <v>870.19</v>
      </c>
    </row>
    <row r="370" spans="15:17" x14ac:dyDescent="0.2">
      <c r="O370" s="9" t="s">
        <v>5435</v>
      </c>
      <c r="P370" s="169" t="s">
        <v>5436</v>
      </c>
      <c r="Q370" s="9">
        <v>938.51</v>
      </c>
    </row>
    <row r="371" spans="15:17" x14ac:dyDescent="0.2">
      <c r="O371" s="9" t="s">
        <v>12378</v>
      </c>
      <c r="P371" s="169" t="s">
        <v>12379</v>
      </c>
      <c r="Q371" s="9">
        <v>1003.27</v>
      </c>
    </row>
    <row r="372" spans="15:17" x14ac:dyDescent="0.2">
      <c r="O372" s="9" t="s">
        <v>5439</v>
      </c>
      <c r="P372" s="169" t="s">
        <v>5440</v>
      </c>
      <c r="Q372" s="9">
        <v>1068.05</v>
      </c>
    </row>
    <row r="373" spans="15:17" x14ac:dyDescent="0.2">
      <c r="O373" s="9" t="s">
        <v>12380</v>
      </c>
      <c r="P373" s="169" t="s">
        <v>12381</v>
      </c>
      <c r="Q373" s="9">
        <v>1132.83</v>
      </c>
    </row>
    <row r="374" spans="15:17" x14ac:dyDescent="0.2">
      <c r="O374" s="9" t="s">
        <v>12382</v>
      </c>
      <c r="P374" s="169" t="s">
        <v>12383</v>
      </c>
      <c r="Q374" s="9">
        <v>1197.5999999999999</v>
      </c>
    </row>
    <row r="375" spans="15:17" x14ac:dyDescent="0.2">
      <c r="O375" s="9" t="s">
        <v>12384</v>
      </c>
      <c r="P375" s="169" t="s">
        <v>12385</v>
      </c>
      <c r="Q375" s="9">
        <v>1262.3599999999999</v>
      </c>
    </row>
    <row r="376" spans="15:17" x14ac:dyDescent="0.2">
      <c r="O376" s="9" t="s">
        <v>12386</v>
      </c>
      <c r="P376" s="169" t="s">
        <v>12387</v>
      </c>
      <c r="Q376" s="9">
        <v>2069.11</v>
      </c>
    </row>
    <row r="377" spans="15:17" x14ac:dyDescent="0.2">
      <c r="O377" s="9" t="s">
        <v>12388</v>
      </c>
      <c r="P377" s="169" t="s">
        <v>12389</v>
      </c>
      <c r="Q377" s="9">
        <v>2261.61</v>
      </c>
    </row>
    <row r="378" spans="15:17" x14ac:dyDescent="0.2">
      <c r="O378" s="9" t="s">
        <v>12390</v>
      </c>
      <c r="P378" s="169" t="s">
        <v>12391</v>
      </c>
      <c r="Q378" s="9">
        <v>2454.09</v>
      </c>
    </row>
    <row r="379" spans="15:17" x14ac:dyDescent="0.2">
      <c r="O379" s="9" t="s">
        <v>12392</v>
      </c>
      <c r="P379" s="169" t="s">
        <v>12393</v>
      </c>
      <c r="Q379" s="9">
        <v>609</v>
      </c>
    </row>
    <row r="380" spans="15:17" x14ac:dyDescent="0.2">
      <c r="O380" s="9" t="s">
        <v>12394</v>
      </c>
      <c r="P380" s="169" t="s">
        <v>12395</v>
      </c>
      <c r="Q380" s="9">
        <v>628</v>
      </c>
    </row>
    <row r="381" spans="15:17" x14ac:dyDescent="0.2">
      <c r="O381" s="9" t="s">
        <v>12396</v>
      </c>
      <c r="P381" s="169" t="s">
        <v>12397</v>
      </c>
      <c r="Q381" s="9">
        <v>628</v>
      </c>
    </row>
    <row r="382" spans="15:17" x14ac:dyDescent="0.2">
      <c r="O382" s="9" t="s">
        <v>12398</v>
      </c>
      <c r="P382" s="169" t="s">
        <v>12399</v>
      </c>
      <c r="Q382" s="9">
        <v>718</v>
      </c>
    </row>
    <row r="383" spans="15:17" x14ac:dyDescent="0.2">
      <c r="O383" s="9" t="s">
        <v>12400</v>
      </c>
      <c r="P383" s="169" t="s">
        <v>12401</v>
      </c>
      <c r="Q383" s="9">
        <v>772.42</v>
      </c>
    </row>
    <row r="384" spans="15:17" x14ac:dyDescent="0.2">
      <c r="O384" s="9" t="s">
        <v>12402</v>
      </c>
      <c r="P384" s="169" t="s">
        <v>12403</v>
      </c>
      <c r="Q384" s="9">
        <v>864</v>
      </c>
    </row>
    <row r="385" spans="15:17" x14ac:dyDescent="0.2">
      <c r="O385" s="9" t="s">
        <v>12404</v>
      </c>
      <c r="P385" s="169" t="s">
        <v>12405</v>
      </c>
      <c r="Q385" s="9">
        <v>882</v>
      </c>
    </row>
    <row r="386" spans="15:17" x14ac:dyDescent="0.2">
      <c r="O386" s="9" t="s">
        <v>12406</v>
      </c>
      <c r="P386" s="169" t="s">
        <v>12407</v>
      </c>
      <c r="Q386" s="9">
        <v>900</v>
      </c>
    </row>
    <row r="387" spans="15:17" x14ac:dyDescent="0.2">
      <c r="O387" s="9" t="s">
        <v>12408</v>
      </c>
      <c r="P387" s="169" t="s">
        <v>12409</v>
      </c>
      <c r="Q387" s="9">
        <v>1106.69</v>
      </c>
    </row>
    <row r="388" spans="15:17" x14ac:dyDescent="0.2">
      <c r="O388" s="9" t="s">
        <v>12410</v>
      </c>
      <c r="P388" s="169" t="s">
        <v>12411</v>
      </c>
      <c r="Q388" s="9">
        <v>1210.3399999999999</v>
      </c>
    </row>
    <row r="389" spans="15:17" x14ac:dyDescent="0.2">
      <c r="O389" s="9" t="s">
        <v>12412</v>
      </c>
      <c r="P389" s="169" t="s">
        <v>12413</v>
      </c>
      <c r="Q389" s="9">
        <v>1299.17</v>
      </c>
    </row>
    <row r="390" spans="15:17" x14ac:dyDescent="0.2">
      <c r="O390" s="9" t="s">
        <v>12414</v>
      </c>
      <c r="P390" s="169" t="s">
        <v>12415</v>
      </c>
      <c r="Q390" s="9">
        <v>1491.65</v>
      </c>
    </row>
    <row r="391" spans="15:17" x14ac:dyDescent="0.2">
      <c r="O391" s="9" t="s">
        <v>12416</v>
      </c>
      <c r="P391" s="169" t="s">
        <v>12417</v>
      </c>
      <c r="Q391" s="9">
        <v>1578.19</v>
      </c>
    </row>
    <row r="392" spans="15:17" x14ac:dyDescent="0.2">
      <c r="O392" s="9" t="s">
        <v>12418</v>
      </c>
      <c r="P392" s="169" t="s">
        <v>12419</v>
      </c>
      <c r="Q392" s="9">
        <v>1684.15</v>
      </c>
    </row>
    <row r="393" spans="15:17" x14ac:dyDescent="0.2">
      <c r="O393" s="9" t="s">
        <v>12420</v>
      </c>
      <c r="P393" s="169" t="s">
        <v>12421</v>
      </c>
      <c r="Q393" s="9">
        <v>1876.62</v>
      </c>
    </row>
    <row r="394" spans="15:17" x14ac:dyDescent="0.2">
      <c r="O394" s="9" t="s">
        <v>12422</v>
      </c>
      <c r="P394" s="169" t="s">
        <v>12423</v>
      </c>
      <c r="Q394" s="9">
        <v>246.1</v>
      </c>
    </row>
    <row r="395" spans="15:17" x14ac:dyDescent="0.2">
      <c r="O395" s="9" t="s">
        <v>12424</v>
      </c>
      <c r="P395" s="169" t="s">
        <v>12425</v>
      </c>
      <c r="Q395" s="9">
        <v>392</v>
      </c>
    </row>
    <row r="396" spans="15:17" x14ac:dyDescent="0.2">
      <c r="O396" s="9" t="s">
        <v>12426</v>
      </c>
      <c r="P396" s="169" t="s">
        <v>12427</v>
      </c>
      <c r="Q396" s="9">
        <v>604</v>
      </c>
    </row>
    <row r="397" spans="15:17" x14ac:dyDescent="0.2">
      <c r="O397" s="9" t="s">
        <v>12428</v>
      </c>
      <c r="P397" s="169" t="s">
        <v>12429</v>
      </c>
      <c r="Q397" s="9">
        <v>714.21</v>
      </c>
    </row>
    <row r="398" spans="15:17" x14ac:dyDescent="0.2">
      <c r="O398" s="9" t="s">
        <v>12430</v>
      </c>
      <c r="P398" s="169" t="s">
        <v>12431</v>
      </c>
      <c r="Q398" s="9">
        <v>886.43</v>
      </c>
    </row>
    <row r="399" spans="15:17" x14ac:dyDescent="0.2">
      <c r="O399" s="9" t="s">
        <v>12432</v>
      </c>
      <c r="P399" s="169" t="s">
        <v>12433</v>
      </c>
      <c r="Q399" s="9">
        <v>288.3</v>
      </c>
    </row>
    <row r="400" spans="15:17" x14ac:dyDescent="0.2">
      <c r="O400" s="9" t="s">
        <v>12434</v>
      </c>
      <c r="P400" s="169" t="s">
        <v>12435</v>
      </c>
      <c r="Q400" s="9">
        <v>390</v>
      </c>
    </row>
    <row r="401" spans="15:17" x14ac:dyDescent="0.2">
      <c r="O401" s="9" t="s">
        <v>12436</v>
      </c>
      <c r="P401" s="169" t="s">
        <v>12437</v>
      </c>
      <c r="Q401" s="9">
        <v>601</v>
      </c>
    </row>
    <row r="402" spans="15:17" x14ac:dyDescent="0.2">
      <c r="O402" s="9" t="s">
        <v>12438</v>
      </c>
      <c r="P402" s="169" t="s">
        <v>12439</v>
      </c>
      <c r="Q402" s="9">
        <v>437</v>
      </c>
    </row>
    <row r="403" spans="15:17" x14ac:dyDescent="0.2">
      <c r="O403" s="9" t="s">
        <v>12440</v>
      </c>
      <c r="P403" s="169" t="s">
        <v>12441</v>
      </c>
      <c r="Q403" s="9">
        <v>538</v>
      </c>
    </row>
    <row r="404" spans="15:17" x14ac:dyDescent="0.2">
      <c r="O404" s="9" t="s">
        <v>12442</v>
      </c>
      <c r="P404" s="169" t="s">
        <v>12443</v>
      </c>
      <c r="Q404" s="9">
        <v>648</v>
      </c>
    </row>
    <row r="405" spans="15:17" x14ac:dyDescent="0.2">
      <c r="O405" s="9" t="s">
        <v>12444</v>
      </c>
      <c r="P405" s="169" t="s">
        <v>12445</v>
      </c>
      <c r="Q405" s="9">
        <v>789</v>
      </c>
    </row>
    <row r="406" spans="15:17" x14ac:dyDescent="0.2">
      <c r="O406" s="9" t="s">
        <v>12446</v>
      </c>
      <c r="P406" s="169" t="s">
        <v>12447</v>
      </c>
      <c r="Q406" s="9">
        <v>360</v>
      </c>
    </row>
    <row r="407" spans="15:17" x14ac:dyDescent="0.2">
      <c r="O407" s="9" t="s">
        <v>12448</v>
      </c>
      <c r="P407" s="169" t="s">
        <v>12449</v>
      </c>
      <c r="Q407" s="9">
        <v>692</v>
      </c>
    </row>
    <row r="408" spans="15:17" x14ac:dyDescent="0.2">
      <c r="O408" s="9" t="s">
        <v>12450</v>
      </c>
      <c r="P408" s="169" t="s">
        <v>12451</v>
      </c>
      <c r="Q408" s="9">
        <v>1456</v>
      </c>
    </row>
    <row r="409" spans="15:17" x14ac:dyDescent="0.2">
      <c r="O409" s="9" t="s">
        <v>12452</v>
      </c>
      <c r="P409" s="169" t="s">
        <v>12453</v>
      </c>
      <c r="Q409" s="9">
        <v>1684</v>
      </c>
    </row>
    <row r="410" spans="15:17" x14ac:dyDescent="0.2">
      <c r="O410" s="9" t="s">
        <v>12454</v>
      </c>
      <c r="P410" s="169" t="s">
        <v>12455</v>
      </c>
      <c r="Q410" s="9">
        <v>18.29</v>
      </c>
    </row>
    <row r="411" spans="15:17" x14ac:dyDescent="0.2">
      <c r="O411" s="9" t="s">
        <v>12456</v>
      </c>
      <c r="P411" s="169" t="s">
        <v>12457</v>
      </c>
      <c r="Q411" s="9">
        <v>38.61</v>
      </c>
    </row>
    <row r="412" spans="15:17" x14ac:dyDescent="0.2">
      <c r="O412" s="9" t="s">
        <v>12458</v>
      </c>
      <c r="P412" s="169" t="s">
        <v>12459</v>
      </c>
      <c r="Q412" s="9">
        <v>18.86</v>
      </c>
    </row>
    <row r="413" spans="15:17" x14ac:dyDescent="0.2">
      <c r="O413" s="9" t="s">
        <v>12460</v>
      </c>
      <c r="P413" s="169" t="s">
        <v>12461</v>
      </c>
      <c r="Q413" s="9">
        <v>22.64</v>
      </c>
    </row>
    <row r="414" spans="15:17" x14ac:dyDescent="0.2">
      <c r="O414" s="9" t="s">
        <v>12462</v>
      </c>
      <c r="P414" s="169" t="s">
        <v>12463</v>
      </c>
      <c r="Q414" s="9">
        <v>39.94</v>
      </c>
    </row>
    <row r="415" spans="15:17" x14ac:dyDescent="0.2">
      <c r="O415" s="9" t="s">
        <v>12464</v>
      </c>
      <c r="P415" s="169" t="s">
        <v>12465</v>
      </c>
      <c r="Q415" s="9">
        <v>117</v>
      </c>
    </row>
    <row r="416" spans="15:17" x14ac:dyDescent="0.2">
      <c r="O416" s="9" t="s">
        <v>12466</v>
      </c>
      <c r="P416" s="169" t="s">
        <v>12467</v>
      </c>
      <c r="Q416" s="9">
        <v>130</v>
      </c>
    </row>
    <row r="417" spans="15:17" x14ac:dyDescent="0.2">
      <c r="O417" s="9" t="s">
        <v>12468</v>
      </c>
      <c r="P417" s="169" t="s">
        <v>12469</v>
      </c>
      <c r="Q417" s="9">
        <v>196</v>
      </c>
    </row>
    <row r="418" spans="15:17" x14ac:dyDescent="0.2">
      <c r="O418" s="9" t="s">
        <v>12470</v>
      </c>
      <c r="P418" s="169" t="s">
        <v>12471</v>
      </c>
      <c r="Q418" s="9">
        <v>203</v>
      </c>
    </row>
    <row r="419" spans="15:17" x14ac:dyDescent="0.2">
      <c r="O419" s="9" t="s">
        <v>12472</v>
      </c>
      <c r="P419" s="169" t="s">
        <v>12473</v>
      </c>
      <c r="Q419" s="9">
        <v>288</v>
      </c>
    </row>
    <row r="420" spans="15:17" x14ac:dyDescent="0.2">
      <c r="O420" s="9" t="s">
        <v>12474</v>
      </c>
      <c r="P420" s="169" t="s">
        <v>12475</v>
      </c>
      <c r="Q420" s="9">
        <v>553.29999999999995</v>
      </c>
    </row>
    <row r="421" spans="15:17" x14ac:dyDescent="0.2">
      <c r="O421" s="9" t="s">
        <v>12476</v>
      </c>
      <c r="P421" s="169" t="s">
        <v>12477</v>
      </c>
      <c r="Q421" s="9">
        <v>173</v>
      </c>
    </row>
    <row r="422" spans="15:17" x14ac:dyDescent="0.2">
      <c r="O422" s="9" t="s">
        <v>12478</v>
      </c>
      <c r="P422" s="169" t="s">
        <v>12479</v>
      </c>
      <c r="Q422" s="9">
        <v>222</v>
      </c>
    </row>
    <row r="423" spans="15:17" x14ac:dyDescent="0.2">
      <c r="O423" s="9" t="s">
        <v>12480</v>
      </c>
      <c r="P423" s="169" t="s">
        <v>12481</v>
      </c>
      <c r="Q423" s="9">
        <v>272</v>
      </c>
    </row>
    <row r="424" spans="15:17" x14ac:dyDescent="0.2">
      <c r="O424" s="9" t="s">
        <v>12482</v>
      </c>
      <c r="P424" s="169" t="s">
        <v>12483</v>
      </c>
      <c r="Q424" s="9">
        <v>354</v>
      </c>
    </row>
    <row r="425" spans="15:17" x14ac:dyDescent="0.2">
      <c r="O425" s="9" t="s">
        <v>12484</v>
      </c>
      <c r="P425" s="169" t="s">
        <v>12485</v>
      </c>
      <c r="Q425" s="9">
        <v>477</v>
      </c>
    </row>
    <row r="426" spans="15:17" x14ac:dyDescent="0.2">
      <c r="O426" s="9" t="s">
        <v>12486</v>
      </c>
      <c r="P426" s="169" t="s">
        <v>12487</v>
      </c>
      <c r="Q426" s="9">
        <v>498</v>
      </c>
    </row>
    <row r="427" spans="15:17" x14ac:dyDescent="0.2">
      <c r="O427" s="9" t="s">
        <v>12488</v>
      </c>
      <c r="P427" s="169" t="s">
        <v>12489</v>
      </c>
      <c r="Q427" s="9">
        <v>14.42</v>
      </c>
    </row>
    <row r="428" spans="15:17" x14ac:dyDescent="0.2">
      <c r="O428" s="9" t="s">
        <v>12490</v>
      </c>
      <c r="P428" s="169" t="s">
        <v>12491</v>
      </c>
      <c r="Q428" s="9">
        <v>18.46</v>
      </c>
    </row>
    <row r="429" spans="15:17" x14ac:dyDescent="0.2">
      <c r="O429" s="9" t="s">
        <v>12492</v>
      </c>
      <c r="P429" s="169" t="s">
        <v>12493</v>
      </c>
      <c r="Q429" s="9">
        <v>19.34</v>
      </c>
    </row>
    <row r="430" spans="15:17" x14ac:dyDescent="0.2">
      <c r="O430" s="9" t="s">
        <v>12494</v>
      </c>
      <c r="P430" s="169" t="s">
        <v>12495</v>
      </c>
      <c r="Q430" s="9">
        <v>20.93</v>
      </c>
    </row>
    <row r="431" spans="15:17" x14ac:dyDescent="0.2">
      <c r="O431" s="9" t="s">
        <v>12496</v>
      </c>
      <c r="P431" s="169" t="s">
        <v>12497</v>
      </c>
      <c r="Q431" s="9">
        <v>23.28</v>
      </c>
    </row>
    <row r="432" spans="15:17" x14ac:dyDescent="0.2">
      <c r="O432" s="9" t="s">
        <v>12498</v>
      </c>
      <c r="P432" s="169" t="s">
        <v>12499</v>
      </c>
      <c r="Q432" s="9">
        <v>25.39</v>
      </c>
    </row>
    <row r="433" spans="15:17" x14ac:dyDescent="0.2">
      <c r="O433" s="9" t="s">
        <v>12500</v>
      </c>
      <c r="P433" s="169" t="s">
        <v>12501</v>
      </c>
      <c r="Q433" s="9">
        <v>25.39</v>
      </c>
    </row>
    <row r="434" spans="15:17" x14ac:dyDescent="0.2">
      <c r="O434" s="9" t="s">
        <v>12502</v>
      </c>
      <c r="P434" s="169" t="s">
        <v>12503</v>
      </c>
      <c r="Q434" s="9">
        <v>27.71</v>
      </c>
    </row>
    <row r="435" spans="15:17" x14ac:dyDescent="0.2">
      <c r="O435" s="9" t="s">
        <v>12504</v>
      </c>
      <c r="P435" s="169" t="s">
        <v>12505</v>
      </c>
      <c r="Q435" s="9">
        <v>30.01</v>
      </c>
    </row>
    <row r="436" spans="15:17" x14ac:dyDescent="0.2">
      <c r="O436" s="9" t="s">
        <v>12506</v>
      </c>
      <c r="P436" s="169" t="s">
        <v>12507</v>
      </c>
      <c r="Q436" s="9">
        <v>32.33</v>
      </c>
    </row>
    <row r="437" spans="15:17" x14ac:dyDescent="0.2">
      <c r="O437" s="9" t="s">
        <v>12508</v>
      </c>
      <c r="P437" s="169" t="s">
        <v>12509</v>
      </c>
      <c r="Q437" s="9">
        <v>55.43</v>
      </c>
    </row>
    <row r="438" spans="15:17" x14ac:dyDescent="0.2">
      <c r="O438" s="9" t="s">
        <v>12510</v>
      </c>
      <c r="P438" s="169" t="s">
        <v>12511</v>
      </c>
      <c r="Q438" s="9">
        <v>14.42</v>
      </c>
    </row>
    <row r="439" spans="15:17" x14ac:dyDescent="0.2">
      <c r="O439" s="9" t="s">
        <v>12512</v>
      </c>
      <c r="P439" s="169" t="s">
        <v>12513</v>
      </c>
      <c r="Q439" s="9">
        <v>14.43</v>
      </c>
    </row>
    <row r="440" spans="15:17" x14ac:dyDescent="0.2">
      <c r="O440" s="9" t="s">
        <v>12514</v>
      </c>
      <c r="P440" s="169" t="s">
        <v>12515</v>
      </c>
      <c r="Q440" s="9">
        <v>15.85</v>
      </c>
    </row>
    <row r="441" spans="15:17" x14ac:dyDescent="0.2">
      <c r="O441" s="9" t="s">
        <v>12516</v>
      </c>
      <c r="P441" s="169" t="s">
        <v>12517</v>
      </c>
      <c r="Q441" s="9">
        <v>19.190000000000001</v>
      </c>
    </row>
    <row r="442" spans="15:17" x14ac:dyDescent="0.2">
      <c r="O442" s="9" t="s">
        <v>12518</v>
      </c>
      <c r="P442" s="169" t="s">
        <v>12519</v>
      </c>
      <c r="Q442" s="9">
        <v>19.190000000000001</v>
      </c>
    </row>
    <row r="443" spans="15:17" x14ac:dyDescent="0.2">
      <c r="O443" s="9" t="s">
        <v>12520</v>
      </c>
      <c r="P443" s="169" t="s">
        <v>12521</v>
      </c>
      <c r="Q443" s="9">
        <v>21.45</v>
      </c>
    </row>
    <row r="444" spans="15:17" x14ac:dyDescent="0.2">
      <c r="O444" s="9" t="s">
        <v>12522</v>
      </c>
      <c r="P444" s="169" t="s">
        <v>12523</v>
      </c>
      <c r="Q444" s="9">
        <v>24.14</v>
      </c>
    </row>
    <row r="445" spans="15:17" x14ac:dyDescent="0.2">
      <c r="O445" s="9" t="s">
        <v>12524</v>
      </c>
      <c r="P445" s="169" t="s">
        <v>12525</v>
      </c>
      <c r="Q445" s="9">
        <v>24.14</v>
      </c>
    </row>
    <row r="446" spans="15:17" x14ac:dyDescent="0.2">
      <c r="O446" s="9" t="s">
        <v>12526</v>
      </c>
      <c r="P446" s="169" t="s">
        <v>12527</v>
      </c>
      <c r="Q446" s="9">
        <v>26.83</v>
      </c>
    </row>
    <row r="447" spans="15:17" x14ac:dyDescent="0.2">
      <c r="O447" s="9" t="s">
        <v>12528</v>
      </c>
      <c r="P447" s="169" t="s">
        <v>12529</v>
      </c>
      <c r="Q447" s="9">
        <v>29.48</v>
      </c>
    </row>
    <row r="448" spans="15:17" x14ac:dyDescent="0.2">
      <c r="O448" s="9" t="s">
        <v>12530</v>
      </c>
      <c r="P448" s="169" t="s">
        <v>12531</v>
      </c>
      <c r="Q448" s="9">
        <v>29.48</v>
      </c>
    </row>
    <row r="449" spans="15:17" x14ac:dyDescent="0.2">
      <c r="O449" s="9" t="s">
        <v>12532</v>
      </c>
      <c r="P449" s="169" t="s">
        <v>12533</v>
      </c>
      <c r="Q449" s="9">
        <v>32.17</v>
      </c>
    </row>
    <row r="450" spans="15:17" x14ac:dyDescent="0.2">
      <c r="O450" s="9" t="s">
        <v>12534</v>
      </c>
      <c r="P450" s="169" t="s">
        <v>12535</v>
      </c>
      <c r="Q450" s="9">
        <v>34.840000000000003</v>
      </c>
    </row>
    <row r="451" spans="15:17" x14ac:dyDescent="0.2">
      <c r="O451" s="9" t="s">
        <v>12536</v>
      </c>
      <c r="P451" s="169" t="s">
        <v>12537</v>
      </c>
      <c r="Q451" s="9">
        <v>37.520000000000003</v>
      </c>
    </row>
    <row r="452" spans="15:17" x14ac:dyDescent="0.2">
      <c r="O452" s="9" t="s">
        <v>12538</v>
      </c>
      <c r="P452" s="169" t="s">
        <v>12539</v>
      </c>
      <c r="Q452" s="9">
        <v>40.21</v>
      </c>
    </row>
    <row r="453" spans="15:17" x14ac:dyDescent="0.2">
      <c r="O453" s="9" t="s">
        <v>12540</v>
      </c>
      <c r="P453" s="169" t="s">
        <v>12541</v>
      </c>
      <c r="Q453" s="9">
        <v>42.91</v>
      </c>
    </row>
    <row r="454" spans="15:17" x14ac:dyDescent="0.2">
      <c r="O454" s="9" t="s">
        <v>12542</v>
      </c>
      <c r="P454" s="169" t="s">
        <v>12543</v>
      </c>
      <c r="Q454" s="9">
        <v>48.27</v>
      </c>
    </row>
    <row r="455" spans="15:17" x14ac:dyDescent="0.2">
      <c r="O455" s="9" t="s">
        <v>12544</v>
      </c>
      <c r="P455" s="169" t="s">
        <v>12545</v>
      </c>
      <c r="Q455" s="9">
        <v>53.63</v>
      </c>
    </row>
    <row r="456" spans="15:17" x14ac:dyDescent="0.2">
      <c r="O456" s="9" t="s">
        <v>12546</v>
      </c>
      <c r="P456" s="169" t="s">
        <v>12547</v>
      </c>
      <c r="Q456" s="9">
        <v>15.61</v>
      </c>
    </row>
    <row r="457" spans="15:17" x14ac:dyDescent="0.2">
      <c r="O457" s="9" t="s">
        <v>12548</v>
      </c>
      <c r="P457" s="169" t="s">
        <v>12549</v>
      </c>
      <c r="Q457" s="9">
        <v>15.61</v>
      </c>
    </row>
    <row r="458" spans="15:17" x14ac:dyDescent="0.2">
      <c r="O458" s="9" t="s">
        <v>12550</v>
      </c>
      <c r="P458" s="169" t="s">
        <v>12551</v>
      </c>
      <c r="Q458" s="9">
        <v>15.56</v>
      </c>
    </row>
    <row r="459" spans="15:17" x14ac:dyDescent="0.2">
      <c r="O459" s="9" t="s">
        <v>12552</v>
      </c>
      <c r="P459" s="169" t="s">
        <v>12553</v>
      </c>
      <c r="Q459" s="9">
        <v>15.61</v>
      </c>
    </row>
    <row r="460" spans="15:17" x14ac:dyDescent="0.2">
      <c r="O460" s="9" t="s">
        <v>12554</v>
      </c>
      <c r="P460" s="169" t="s">
        <v>12555</v>
      </c>
      <c r="Q460" s="9">
        <v>17.309999999999999</v>
      </c>
    </row>
    <row r="461" spans="15:17" x14ac:dyDescent="0.2">
      <c r="O461" s="9" t="s">
        <v>12556</v>
      </c>
      <c r="P461" s="169" t="s">
        <v>12557</v>
      </c>
      <c r="Q461" s="9">
        <v>961.4</v>
      </c>
    </row>
    <row r="462" spans="15:17" x14ac:dyDescent="0.2">
      <c r="O462" s="9" t="s">
        <v>12558</v>
      </c>
      <c r="P462" s="169" t="s">
        <v>12559</v>
      </c>
      <c r="Q462" s="9">
        <v>1048.8</v>
      </c>
    </row>
    <row r="463" spans="15:17" x14ac:dyDescent="0.2">
      <c r="O463" s="9" t="s">
        <v>12560</v>
      </c>
      <c r="P463" s="169" t="s">
        <v>12561</v>
      </c>
      <c r="Q463" s="9">
        <v>1495</v>
      </c>
    </row>
    <row r="464" spans="15:17" x14ac:dyDescent="0.2">
      <c r="O464" s="9" t="s">
        <v>12562</v>
      </c>
      <c r="P464" s="169" t="s">
        <v>12563</v>
      </c>
      <c r="Q464" s="9">
        <v>1727.3</v>
      </c>
    </row>
    <row r="465" spans="15:17" x14ac:dyDescent="0.2">
      <c r="O465" s="9" t="s">
        <v>12564</v>
      </c>
      <c r="P465" s="169" t="s">
        <v>12565</v>
      </c>
      <c r="Q465" s="9">
        <v>1989.5</v>
      </c>
    </row>
    <row r="466" spans="15:17" x14ac:dyDescent="0.2">
      <c r="O466" s="9" t="s">
        <v>12566</v>
      </c>
      <c r="P466" s="169" t="s">
        <v>12567</v>
      </c>
      <c r="Q466" s="9">
        <v>2159.6999999999998</v>
      </c>
    </row>
    <row r="467" spans="15:17" x14ac:dyDescent="0.2">
      <c r="O467" s="9" t="s">
        <v>12568</v>
      </c>
      <c r="P467" s="169" t="s">
        <v>12569</v>
      </c>
      <c r="Q467" s="9">
        <v>2247.1</v>
      </c>
    </row>
    <row r="468" spans="15:17" x14ac:dyDescent="0.2">
      <c r="O468" s="9" t="s">
        <v>12570</v>
      </c>
      <c r="P468" s="169" t="s">
        <v>12571</v>
      </c>
      <c r="Q468" s="9">
        <v>2417.3000000000002</v>
      </c>
    </row>
    <row r="469" spans="15:17" x14ac:dyDescent="0.2">
      <c r="O469" s="9" t="s">
        <v>12572</v>
      </c>
      <c r="P469" s="169" t="s">
        <v>12573</v>
      </c>
      <c r="Q469" s="9">
        <v>2762.3</v>
      </c>
    </row>
    <row r="470" spans="15:17" x14ac:dyDescent="0.2">
      <c r="O470" s="9" t="s">
        <v>12574</v>
      </c>
      <c r="P470" s="169" t="s">
        <v>12575</v>
      </c>
      <c r="Q470" s="9">
        <v>2934.8</v>
      </c>
    </row>
    <row r="471" spans="15:17" x14ac:dyDescent="0.2">
      <c r="O471" s="9" t="s">
        <v>12576</v>
      </c>
      <c r="P471" s="169" t="s">
        <v>12577</v>
      </c>
      <c r="Q471" s="9">
        <v>3270.6</v>
      </c>
    </row>
    <row r="472" spans="15:17" x14ac:dyDescent="0.2">
      <c r="O472" s="9" t="s">
        <v>12578</v>
      </c>
      <c r="P472" s="169" t="s">
        <v>12579</v>
      </c>
      <c r="Q472" s="9">
        <v>2894</v>
      </c>
    </row>
    <row r="473" spans="15:17" x14ac:dyDescent="0.2">
      <c r="O473" s="9" t="s">
        <v>12580</v>
      </c>
      <c r="P473" s="169" t="s">
        <v>12581</v>
      </c>
      <c r="Q473" s="9">
        <v>22.57</v>
      </c>
    </row>
    <row r="474" spans="15:17" x14ac:dyDescent="0.2">
      <c r="O474" s="9" t="s">
        <v>12582</v>
      </c>
      <c r="P474" s="169" t="s">
        <v>12583</v>
      </c>
      <c r="Q474" s="9">
        <v>25.8</v>
      </c>
    </row>
    <row r="475" spans="15:17" x14ac:dyDescent="0.2">
      <c r="O475" s="9" t="s">
        <v>12584</v>
      </c>
      <c r="P475" s="169" t="s">
        <v>12585</v>
      </c>
      <c r="Q475" s="9">
        <v>29.03</v>
      </c>
    </row>
    <row r="476" spans="15:17" x14ac:dyDescent="0.2">
      <c r="O476" s="9" t="s">
        <v>12586</v>
      </c>
      <c r="P476" s="169" t="s">
        <v>12587</v>
      </c>
      <c r="Q476" s="9">
        <v>32.26</v>
      </c>
    </row>
    <row r="477" spans="15:17" x14ac:dyDescent="0.2">
      <c r="O477" s="9" t="s">
        <v>12588</v>
      </c>
      <c r="P477" s="169" t="s">
        <v>12589</v>
      </c>
      <c r="Q477" s="9">
        <v>35.49</v>
      </c>
    </row>
    <row r="478" spans="15:17" x14ac:dyDescent="0.2">
      <c r="O478" s="9" t="s">
        <v>12590</v>
      </c>
      <c r="P478" s="169" t="s">
        <v>12591</v>
      </c>
      <c r="Q478" s="9">
        <v>38.700000000000003</v>
      </c>
    </row>
    <row r="479" spans="15:17" x14ac:dyDescent="0.2">
      <c r="O479" s="9" t="s">
        <v>12592</v>
      </c>
      <c r="P479" s="169" t="s">
        <v>12593</v>
      </c>
      <c r="Q479" s="9">
        <v>41.91</v>
      </c>
    </row>
    <row r="480" spans="15:17" x14ac:dyDescent="0.2">
      <c r="O480" s="9" t="s">
        <v>12594</v>
      </c>
      <c r="P480" s="169" t="s">
        <v>12595</v>
      </c>
      <c r="Q480" s="9">
        <v>45.13</v>
      </c>
    </row>
    <row r="481" spans="15:17" x14ac:dyDescent="0.2">
      <c r="O481" s="9" t="s">
        <v>12596</v>
      </c>
      <c r="P481" s="169" t="s">
        <v>12597</v>
      </c>
      <c r="Q481" s="9">
        <v>48.37</v>
      </c>
    </row>
    <row r="482" spans="15:17" x14ac:dyDescent="0.2">
      <c r="O482" s="9" t="s">
        <v>12598</v>
      </c>
      <c r="P482" s="169" t="s">
        <v>12599</v>
      </c>
      <c r="Q482" s="9">
        <v>51.61</v>
      </c>
    </row>
    <row r="483" spans="15:17" x14ac:dyDescent="0.2">
      <c r="O483" s="9" t="s">
        <v>12600</v>
      </c>
      <c r="P483" s="169" t="s">
        <v>12601</v>
      </c>
      <c r="Q483" s="9">
        <v>57.08</v>
      </c>
    </row>
    <row r="484" spans="15:17" x14ac:dyDescent="0.2">
      <c r="O484" s="9" t="s">
        <v>12602</v>
      </c>
      <c r="P484" s="169" t="s">
        <v>12603</v>
      </c>
      <c r="Q484" s="9">
        <v>58.05</v>
      </c>
    </row>
    <row r="485" spans="15:17" x14ac:dyDescent="0.2">
      <c r="O485" s="9" t="s">
        <v>12604</v>
      </c>
      <c r="P485" s="169" t="s">
        <v>12605</v>
      </c>
      <c r="Q485" s="9">
        <v>60.95</v>
      </c>
    </row>
    <row r="486" spans="15:17" x14ac:dyDescent="0.2">
      <c r="O486" s="9" t="s">
        <v>12606</v>
      </c>
      <c r="P486" s="169" t="s">
        <v>12607</v>
      </c>
      <c r="Q486" s="9">
        <v>67.05</v>
      </c>
    </row>
    <row r="487" spans="15:17" x14ac:dyDescent="0.2">
      <c r="O487" s="9" t="s">
        <v>12608</v>
      </c>
      <c r="P487" s="169" t="s">
        <v>12609</v>
      </c>
      <c r="Q487" s="9">
        <v>17.79</v>
      </c>
    </row>
    <row r="488" spans="15:17" x14ac:dyDescent="0.2">
      <c r="O488" s="9" t="s">
        <v>12610</v>
      </c>
      <c r="P488" s="169" t="s">
        <v>12611</v>
      </c>
      <c r="Q488" s="9">
        <v>17.79</v>
      </c>
    </row>
    <row r="489" spans="15:17" x14ac:dyDescent="0.2">
      <c r="O489" s="9" t="s">
        <v>12612</v>
      </c>
      <c r="P489" s="169" t="s">
        <v>12613</v>
      </c>
      <c r="Q489" s="9">
        <v>19.78</v>
      </c>
    </row>
    <row r="490" spans="15:17" x14ac:dyDescent="0.2">
      <c r="O490" s="9" t="s">
        <v>12614</v>
      </c>
      <c r="P490" s="169" t="s">
        <v>12615</v>
      </c>
      <c r="Q490" s="9">
        <v>31.65</v>
      </c>
    </row>
    <row r="491" spans="15:17" x14ac:dyDescent="0.2">
      <c r="O491" s="9" t="s">
        <v>12616</v>
      </c>
      <c r="P491" s="169" t="s">
        <v>12617</v>
      </c>
      <c r="Q491" s="9">
        <v>36.19</v>
      </c>
    </row>
    <row r="492" spans="15:17" x14ac:dyDescent="0.2">
      <c r="O492" s="9" t="s">
        <v>12618</v>
      </c>
      <c r="P492" s="169" t="s">
        <v>12619</v>
      </c>
      <c r="Q492" s="9">
        <v>40.72</v>
      </c>
    </row>
    <row r="493" spans="15:17" x14ac:dyDescent="0.2">
      <c r="O493" s="9" t="s">
        <v>12620</v>
      </c>
      <c r="P493" s="169" t="s">
        <v>12621</v>
      </c>
      <c r="Q493" s="9">
        <v>45.27</v>
      </c>
    </row>
    <row r="494" spans="15:17" x14ac:dyDescent="0.2">
      <c r="O494" s="9" t="s">
        <v>12622</v>
      </c>
      <c r="P494" s="169" t="s">
        <v>12623</v>
      </c>
      <c r="Q494" s="9">
        <v>47.46</v>
      </c>
    </row>
    <row r="495" spans="15:17" x14ac:dyDescent="0.2">
      <c r="O495" s="9" t="s">
        <v>12624</v>
      </c>
      <c r="P495" s="169" t="s">
        <v>12625</v>
      </c>
      <c r="Q495" s="9">
        <v>46.2</v>
      </c>
    </row>
    <row r="496" spans="15:17" x14ac:dyDescent="0.2">
      <c r="O496" s="9" t="s">
        <v>12626</v>
      </c>
      <c r="P496" s="169" t="s">
        <v>12627</v>
      </c>
      <c r="Q496" s="9">
        <v>49.76</v>
      </c>
    </row>
    <row r="497" spans="15:17" x14ac:dyDescent="0.2">
      <c r="O497" s="9" t="s">
        <v>12628</v>
      </c>
      <c r="P497" s="169" t="s">
        <v>12629</v>
      </c>
      <c r="Q497" s="9">
        <v>54.31</v>
      </c>
    </row>
    <row r="498" spans="15:17" x14ac:dyDescent="0.2">
      <c r="O498" s="9" t="s">
        <v>12630</v>
      </c>
      <c r="P498" s="169" t="s">
        <v>12631</v>
      </c>
      <c r="Q498" s="9">
        <v>58.81</v>
      </c>
    </row>
    <row r="499" spans="15:17" x14ac:dyDescent="0.2">
      <c r="O499" s="9" t="s">
        <v>12632</v>
      </c>
      <c r="P499" s="169" t="s">
        <v>12633</v>
      </c>
      <c r="Q499" s="9">
        <v>63.34</v>
      </c>
    </row>
    <row r="500" spans="15:17" x14ac:dyDescent="0.2">
      <c r="O500" s="9" t="s">
        <v>12634</v>
      </c>
      <c r="P500" s="169" t="s">
        <v>12635</v>
      </c>
      <c r="Q500" s="9">
        <v>63.34</v>
      </c>
    </row>
    <row r="501" spans="15:17" x14ac:dyDescent="0.2">
      <c r="O501" s="9" t="s">
        <v>12636</v>
      </c>
      <c r="P501" s="169" t="s">
        <v>12637</v>
      </c>
      <c r="Q501" s="9">
        <v>67.87</v>
      </c>
    </row>
    <row r="502" spans="15:17" x14ac:dyDescent="0.2">
      <c r="O502" s="9" t="s">
        <v>12638</v>
      </c>
      <c r="P502" s="169" t="s">
        <v>12639</v>
      </c>
      <c r="Q502" s="9">
        <v>72.42</v>
      </c>
    </row>
    <row r="503" spans="15:17" x14ac:dyDescent="0.2">
      <c r="O503" s="9" t="s">
        <v>12640</v>
      </c>
      <c r="P503" s="169" t="s">
        <v>12641</v>
      </c>
      <c r="Q503" s="9">
        <v>81.45</v>
      </c>
    </row>
    <row r="504" spans="15:17" x14ac:dyDescent="0.2">
      <c r="O504" s="9" t="s">
        <v>12642</v>
      </c>
      <c r="P504" s="169" t="s">
        <v>12643</v>
      </c>
      <c r="Q504" s="9">
        <v>90.5</v>
      </c>
    </row>
    <row r="505" spans="15:17" x14ac:dyDescent="0.2">
      <c r="O505" s="9" t="s">
        <v>12644</v>
      </c>
      <c r="P505" s="169" t="s">
        <v>12645</v>
      </c>
      <c r="Q505" s="9">
        <v>99.54</v>
      </c>
    </row>
    <row r="506" spans="15:17" x14ac:dyDescent="0.2">
      <c r="O506" s="9" t="s">
        <v>12646</v>
      </c>
      <c r="P506" s="169" t="s">
        <v>12647</v>
      </c>
      <c r="Q506" s="9">
        <v>108.61</v>
      </c>
    </row>
    <row r="507" spans="15:17" x14ac:dyDescent="0.2">
      <c r="O507" s="9" t="s">
        <v>12648</v>
      </c>
      <c r="P507" s="169" t="s">
        <v>12649</v>
      </c>
      <c r="Q507" s="9">
        <v>117.65</v>
      </c>
    </row>
    <row r="508" spans="15:17" x14ac:dyDescent="0.2">
      <c r="O508" s="9" t="s">
        <v>12650</v>
      </c>
      <c r="P508" s="169" t="s">
        <v>12651</v>
      </c>
      <c r="Q508" s="9">
        <v>122.59</v>
      </c>
    </row>
    <row r="509" spans="15:17" x14ac:dyDescent="0.2">
      <c r="O509" s="9" t="s">
        <v>12652</v>
      </c>
      <c r="P509" s="169" t="s">
        <v>12653</v>
      </c>
      <c r="Q509" s="9">
        <v>126.72</v>
      </c>
    </row>
    <row r="510" spans="15:17" x14ac:dyDescent="0.2">
      <c r="O510" s="9" t="s">
        <v>12654</v>
      </c>
      <c r="P510" s="169" t="s">
        <v>12655</v>
      </c>
      <c r="Q510" s="9">
        <v>126.72</v>
      </c>
    </row>
    <row r="511" spans="15:17" x14ac:dyDescent="0.2">
      <c r="O511" s="9" t="s">
        <v>12656</v>
      </c>
      <c r="P511" s="169" t="s">
        <v>12657</v>
      </c>
      <c r="Q511" s="9">
        <v>144.84</v>
      </c>
    </row>
    <row r="512" spans="15:17" x14ac:dyDescent="0.2">
      <c r="O512" s="9" t="s">
        <v>12658</v>
      </c>
      <c r="P512" s="169" t="s">
        <v>12659</v>
      </c>
      <c r="Q512" s="9">
        <v>22.63</v>
      </c>
    </row>
    <row r="513" spans="15:17" x14ac:dyDescent="0.2">
      <c r="O513" s="9" t="s">
        <v>12660</v>
      </c>
      <c r="P513" s="169" t="s">
        <v>12661</v>
      </c>
      <c r="Q513" s="9">
        <v>22.63</v>
      </c>
    </row>
    <row r="514" spans="15:17" x14ac:dyDescent="0.2">
      <c r="O514" s="9" t="s">
        <v>12662</v>
      </c>
      <c r="P514" s="169" t="s">
        <v>12663</v>
      </c>
      <c r="Q514" s="9">
        <v>27.12</v>
      </c>
    </row>
    <row r="515" spans="15:17" x14ac:dyDescent="0.2">
      <c r="O515" s="9" t="s">
        <v>12664</v>
      </c>
      <c r="P515" s="169" t="s">
        <v>12665</v>
      </c>
      <c r="Q515" s="9">
        <v>41.34</v>
      </c>
    </row>
    <row r="516" spans="15:17" x14ac:dyDescent="0.2">
      <c r="O516" s="9" t="s">
        <v>12666</v>
      </c>
      <c r="P516" s="169" t="s">
        <v>12667</v>
      </c>
      <c r="Q516" s="9">
        <v>46.55</v>
      </c>
    </row>
    <row r="517" spans="15:17" x14ac:dyDescent="0.2">
      <c r="O517" s="9" t="s">
        <v>12668</v>
      </c>
      <c r="P517" s="169" t="s">
        <v>12669</v>
      </c>
      <c r="Q517" s="9">
        <v>52.37</v>
      </c>
    </row>
    <row r="518" spans="15:17" x14ac:dyDescent="0.2">
      <c r="O518" s="9" t="s">
        <v>12670</v>
      </c>
      <c r="P518" s="169" t="s">
        <v>12671</v>
      </c>
      <c r="Q518" s="9">
        <v>58.19</v>
      </c>
    </row>
    <row r="519" spans="15:17" x14ac:dyDescent="0.2">
      <c r="O519" s="9" t="s">
        <v>12672</v>
      </c>
      <c r="P519" s="169" t="s">
        <v>12673</v>
      </c>
      <c r="Q519" s="9">
        <v>63.99</v>
      </c>
    </row>
    <row r="520" spans="15:17" x14ac:dyDescent="0.2">
      <c r="O520" s="9" t="s">
        <v>12674</v>
      </c>
      <c r="P520" s="169" t="s">
        <v>12675</v>
      </c>
      <c r="Q520" s="9">
        <v>63.99</v>
      </c>
    </row>
    <row r="521" spans="15:17" x14ac:dyDescent="0.2">
      <c r="O521" s="9" t="s">
        <v>12676</v>
      </c>
      <c r="P521" s="169" t="s">
        <v>12677</v>
      </c>
      <c r="Q521" s="9">
        <v>69.819999999999993</v>
      </c>
    </row>
    <row r="522" spans="15:17" x14ac:dyDescent="0.2">
      <c r="O522" s="9" t="s">
        <v>12678</v>
      </c>
      <c r="P522" s="169" t="s">
        <v>12679</v>
      </c>
      <c r="Q522" s="9">
        <v>75.62</v>
      </c>
    </row>
    <row r="523" spans="15:17" x14ac:dyDescent="0.2">
      <c r="O523" s="9" t="s">
        <v>12680</v>
      </c>
      <c r="P523" s="169" t="s">
        <v>12681</v>
      </c>
      <c r="Q523" s="9">
        <v>75.62</v>
      </c>
    </row>
    <row r="524" spans="15:17" x14ac:dyDescent="0.2">
      <c r="O524" s="9" t="s">
        <v>12682</v>
      </c>
      <c r="P524" s="169" t="s">
        <v>12683</v>
      </c>
      <c r="Q524" s="9">
        <v>81.45</v>
      </c>
    </row>
    <row r="525" spans="15:17" x14ac:dyDescent="0.2">
      <c r="O525" s="9" t="s">
        <v>12684</v>
      </c>
      <c r="P525" s="169" t="s">
        <v>12685</v>
      </c>
      <c r="Q525" s="9">
        <v>87.28</v>
      </c>
    </row>
    <row r="526" spans="15:17" x14ac:dyDescent="0.2">
      <c r="O526" s="9" t="s">
        <v>12686</v>
      </c>
      <c r="P526" s="169" t="s">
        <v>12687</v>
      </c>
      <c r="Q526" s="9">
        <v>93.1</v>
      </c>
    </row>
    <row r="527" spans="15:17" x14ac:dyDescent="0.2">
      <c r="O527" s="9" t="s">
        <v>12688</v>
      </c>
      <c r="P527" s="169" t="s">
        <v>12689</v>
      </c>
      <c r="Q527" s="9">
        <v>104.72</v>
      </c>
    </row>
    <row r="528" spans="15:17" x14ac:dyDescent="0.2">
      <c r="O528" s="9" t="s">
        <v>12690</v>
      </c>
      <c r="P528" s="169" t="s">
        <v>12691</v>
      </c>
      <c r="Q528" s="9">
        <v>116.38</v>
      </c>
    </row>
    <row r="529" spans="15:17" x14ac:dyDescent="0.2">
      <c r="O529" s="9" t="s">
        <v>12692</v>
      </c>
      <c r="P529" s="169" t="s">
        <v>12693</v>
      </c>
      <c r="Q529" s="9">
        <v>122.42</v>
      </c>
    </row>
    <row r="530" spans="15:17" x14ac:dyDescent="0.2">
      <c r="O530" s="9" t="s">
        <v>12694</v>
      </c>
      <c r="P530" s="169" t="s">
        <v>12695</v>
      </c>
      <c r="Q530" s="9">
        <v>127.95</v>
      </c>
    </row>
    <row r="531" spans="15:17" x14ac:dyDescent="0.2">
      <c r="O531" s="9" t="s">
        <v>12696</v>
      </c>
      <c r="P531" s="169" t="s">
        <v>12697</v>
      </c>
      <c r="Q531" s="9">
        <v>139.66</v>
      </c>
    </row>
    <row r="532" spans="15:17" x14ac:dyDescent="0.2">
      <c r="O532" s="9" t="s">
        <v>12698</v>
      </c>
      <c r="P532" s="169" t="s">
        <v>12699</v>
      </c>
      <c r="Q532" s="9">
        <v>34.56</v>
      </c>
    </row>
    <row r="533" spans="15:17" x14ac:dyDescent="0.2">
      <c r="O533" s="9" t="s">
        <v>12700</v>
      </c>
      <c r="P533" s="169" t="s">
        <v>12701</v>
      </c>
      <c r="Q533" s="9">
        <v>162.93</v>
      </c>
    </row>
    <row r="534" spans="15:17" x14ac:dyDescent="0.2">
      <c r="O534" s="9" t="s">
        <v>12702</v>
      </c>
      <c r="P534" s="169" t="s">
        <v>12703</v>
      </c>
      <c r="Q534" s="9">
        <v>186.21</v>
      </c>
    </row>
    <row r="535" spans="15:17" x14ac:dyDescent="0.2">
      <c r="O535" s="9" t="s">
        <v>12704</v>
      </c>
      <c r="P535" s="169" t="s">
        <v>12705</v>
      </c>
      <c r="Q535" s="9">
        <v>37.880000000000003</v>
      </c>
    </row>
    <row r="536" spans="15:17" x14ac:dyDescent="0.2">
      <c r="O536" s="9" t="s">
        <v>12706</v>
      </c>
      <c r="P536" s="169" t="s">
        <v>12707</v>
      </c>
      <c r="Q536" s="9">
        <v>90</v>
      </c>
    </row>
    <row r="537" spans="15:17" x14ac:dyDescent="0.2">
      <c r="O537" s="9" t="s">
        <v>12708</v>
      </c>
      <c r="P537" s="169" t="s">
        <v>12709</v>
      </c>
      <c r="Q537" s="9">
        <v>99</v>
      </c>
    </row>
    <row r="538" spans="15:17" x14ac:dyDescent="0.2">
      <c r="O538" s="9" t="s">
        <v>12710</v>
      </c>
      <c r="P538" s="169" t="s">
        <v>12711</v>
      </c>
      <c r="Q538" s="9">
        <v>118</v>
      </c>
    </row>
    <row r="539" spans="15:17" x14ac:dyDescent="0.2">
      <c r="O539" s="9" t="s">
        <v>12712</v>
      </c>
      <c r="P539" s="169" t="s">
        <v>12713</v>
      </c>
      <c r="Q539" s="9">
        <v>128</v>
      </c>
    </row>
    <row r="540" spans="15:17" x14ac:dyDescent="0.2">
      <c r="O540" s="9" t="s">
        <v>12714</v>
      </c>
      <c r="P540" s="169" t="s">
        <v>12715</v>
      </c>
      <c r="Q540" s="9">
        <v>138</v>
      </c>
    </row>
    <row r="541" spans="15:17" x14ac:dyDescent="0.2">
      <c r="O541" s="9" t="s">
        <v>12716</v>
      </c>
      <c r="P541" s="169" t="s">
        <v>12717</v>
      </c>
      <c r="Q541" s="9">
        <v>148</v>
      </c>
    </row>
    <row r="542" spans="15:17" x14ac:dyDescent="0.2">
      <c r="O542" s="9" t="s">
        <v>12718</v>
      </c>
      <c r="P542" s="169" t="s">
        <v>12719</v>
      </c>
      <c r="Q542" s="9">
        <v>157</v>
      </c>
    </row>
    <row r="543" spans="15:17" x14ac:dyDescent="0.2">
      <c r="O543" s="9" t="s">
        <v>12720</v>
      </c>
      <c r="P543" s="169" t="s">
        <v>12721</v>
      </c>
      <c r="Q543" s="9">
        <v>167</v>
      </c>
    </row>
    <row r="544" spans="15:17" x14ac:dyDescent="0.2">
      <c r="O544" s="9" t="s">
        <v>12722</v>
      </c>
      <c r="P544" s="169" t="s">
        <v>12723</v>
      </c>
      <c r="Q544" s="9">
        <v>177</v>
      </c>
    </row>
    <row r="545" spans="15:17" x14ac:dyDescent="0.2">
      <c r="O545" s="9" t="s">
        <v>12724</v>
      </c>
      <c r="P545" s="169" t="s">
        <v>12725</v>
      </c>
      <c r="Q545" s="9">
        <v>196</v>
      </c>
    </row>
    <row r="546" spans="15:17" x14ac:dyDescent="0.2">
      <c r="O546" s="9" t="s">
        <v>12726</v>
      </c>
      <c r="P546" s="169" t="s">
        <v>12727</v>
      </c>
      <c r="Q546" s="9">
        <v>215</v>
      </c>
    </row>
    <row r="547" spans="15:17" x14ac:dyDescent="0.2">
      <c r="O547" s="9" t="s">
        <v>12728</v>
      </c>
      <c r="P547" s="169" t="s">
        <v>12729</v>
      </c>
      <c r="Q547" s="9">
        <v>235</v>
      </c>
    </row>
    <row r="548" spans="15:17" x14ac:dyDescent="0.2">
      <c r="O548" s="9" t="s">
        <v>12730</v>
      </c>
      <c r="P548" s="169" t="s">
        <v>12731</v>
      </c>
      <c r="Q548" s="9">
        <v>253.21</v>
      </c>
    </row>
    <row r="549" spans="15:17" x14ac:dyDescent="0.2">
      <c r="O549" s="9" t="s">
        <v>12732</v>
      </c>
      <c r="P549" s="169" t="s">
        <v>12733</v>
      </c>
      <c r="Q549" s="9">
        <v>272.37</v>
      </c>
    </row>
    <row r="550" spans="15:17" x14ac:dyDescent="0.2">
      <c r="O550" s="9" t="s">
        <v>12734</v>
      </c>
      <c r="P550" s="169" t="s">
        <v>12735</v>
      </c>
      <c r="Q550" s="9">
        <v>291.58999999999997</v>
      </c>
    </row>
    <row r="551" spans="15:17" x14ac:dyDescent="0.2">
      <c r="O551" s="9" t="s">
        <v>12736</v>
      </c>
      <c r="P551" s="169" t="s">
        <v>12737</v>
      </c>
      <c r="Q551" s="9">
        <v>311.22000000000003</v>
      </c>
    </row>
    <row r="552" spans="15:17" x14ac:dyDescent="0.2">
      <c r="O552" s="9" t="s">
        <v>12738</v>
      </c>
      <c r="P552" s="169" t="s">
        <v>12739</v>
      </c>
      <c r="Q552" s="9">
        <v>334.55</v>
      </c>
    </row>
    <row r="553" spans="15:17" x14ac:dyDescent="0.2">
      <c r="O553" s="9" t="s">
        <v>12740</v>
      </c>
      <c r="P553" s="169" t="s">
        <v>12741</v>
      </c>
      <c r="Q553" s="9">
        <v>373.5</v>
      </c>
    </row>
    <row r="554" spans="15:17" x14ac:dyDescent="0.2">
      <c r="O554" s="9" t="s">
        <v>12742</v>
      </c>
      <c r="P554" s="169" t="s">
        <v>12743</v>
      </c>
      <c r="Q554" s="9">
        <v>73.84</v>
      </c>
    </row>
    <row r="555" spans="15:17" x14ac:dyDescent="0.2">
      <c r="O555" s="9" t="s">
        <v>12744</v>
      </c>
      <c r="P555" s="169" t="s">
        <v>12745</v>
      </c>
      <c r="Q555" s="9">
        <v>413.44</v>
      </c>
    </row>
    <row r="556" spans="15:17" x14ac:dyDescent="0.2">
      <c r="O556" s="9" t="s">
        <v>12746</v>
      </c>
      <c r="P556" s="169" t="s">
        <v>12747</v>
      </c>
      <c r="Q556" s="9">
        <v>429.57</v>
      </c>
    </row>
    <row r="557" spans="15:17" x14ac:dyDescent="0.2">
      <c r="O557" s="9" t="s">
        <v>12748</v>
      </c>
      <c r="P557" s="169" t="s">
        <v>12749</v>
      </c>
      <c r="Q557" s="9">
        <v>453.76</v>
      </c>
    </row>
    <row r="558" spans="15:17" x14ac:dyDescent="0.2">
      <c r="O558" s="9" t="s">
        <v>12750</v>
      </c>
      <c r="P558" s="169" t="s">
        <v>12751</v>
      </c>
      <c r="Q558" s="9">
        <v>85</v>
      </c>
    </row>
    <row r="559" spans="15:17" x14ac:dyDescent="0.2">
      <c r="O559" s="9" t="s">
        <v>12752</v>
      </c>
      <c r="P559" s="169" t="s">
        <v>12753</v>
      </c>
      <c r="Q559" s="9">
        <v>128</v>
      </c>
    </row>
    <row r="560" spans="15:17" x14ac:dyDescent="0.2">
      <c r="O560" s="9" t="s">
        <v>12754</v>
      </c>
      <c r="P560" s="169" t="s">
        <v>12755</v>
      </c>
      <c r="Q560" s="9">
        <v>140</v>
      </c>
    </row>
    <row r="561" spans="15:17" x14ac:dyDescent="0.2">
      <c r="O561" s="9" t="s">
        <v>12756</v>
      </c>
      <c r="P561" s="169" t="s">
        <v>12757</v>
      </c>
      <c r="Q561" s="9">
        <v>153</v>
      </c>
    </row>
    <row r="562" spans="15:17" x14ac:dyDescent="0.2">
      <c r="O562" s="9" t="s">
        <v>12758</v>
      </c>
      <c r="P562" s="169" t="s">
        <v>12759</v>
      </c>
      <c r="Q562" s="9">
        <v>165</v>
      </c>
    </row>
    <row r="563" spans="15:17" x14ac:dyDescent="0.2">
      <c r="O563" s="9" t="s">
        <v>12760</v>
      </c>
      <c r="P563" s="169" t="s">
        <v>12761</v>
      </c>
      <c r="Q563" s="9">
        <v>177</v>
      </c>
    </row>
    <row r="564" spans="15:17" x14ac:dyDescent="0.2">
      <c r="O564" s="9" t="s">
        <v>12762</v>
      </c>
      <c r="P564" s="169" t="s">
        <v>12763</v>
      </c>
      <c r="Q564" s="9">
        <v>189</v>
      </c>
    </row>
    <row r="565" spans="15:17" x14ac:dyDescent="0.2">
      <c r="O565" s="9" t="s">
        <v>12764</v>
      </c>
      <c r="P565" s="169" t="s">
        <v>12765</v>
      </c>
      <c r="Q565" s="9">
        <v>201</v>
      </c>
    </row>
    <row r="566" spans="15:17" x14ac:dyDescent="0.2">
      <c r="O566" s="9" t="s">
        <v>12766</v>
      </c>
      <c r="P566" s="169" t="s">
        <v>12767</v>
      </c>
      <c r="Q566" s="9">
        <v>214</v>
      </c>
    </row>
    <row r="567" spans="15:17" x14ac:dyDescent="0.2">
      <c r="O567" s="9" t="s">
        <v>12768</v>
      </c>
      <c r="P567" s="169" t="s">
        <v>12769</v>
      </c>
      <c r="Q567" s="9">
        <v>226</v>
      </c>
    </row>
    <row r="568" spans="15:17" x14ac:dyDescent="0.2">
      <c r="O568" s="9" t="s">
        <v>12770</v>
      </c>
      <c r="P568" s="169" t="s">
        <v>12771</v>
      </c>
      <c r="Q568" s="9">
        <v>250</v>
      </c>
    </row>
    <row r="569" spans="15:17" x14ac:dyDescent="0.2">
      <c r="O569" s="9" t="s">
        <v>12772</v>
      </c>
      <c r="P569" s="169" t="s">
        <v>12773</v>
      </c>
      <c r="Q569" s="9">
        <v>275</v>
      </c>
    </row>
    <row r="570" spans="15:17" x14ac:dyDescent="0.2">
      <c r="O570" s="9" t="s">
        <v>12774</v>
      </c>
      <c r="P570" s="169" t="s">
        <v>12775</v>
      </c>
      <c r="Q570" s="9">
        <v>299</v>
      </c>
    </row>
    <row r="571" spans="15:17" x14ac:dyDescent="0.2">
      <c r="O571" s="9" t="s">
        <v>12776</v>
      </c>
      <c r="P571" s="169" t="s">
        <v>12777</v>
      </c>
      <c r="Q571" s="9">
        <v>324</v>
      </c>
    </row>
    <row r="572" spans="15:17" x14ac:dyDescent="0.2">
      <c r="O572" s="9" t="s">
        <v>12778</v>
      </c>
      <c r="P572" s="169" t="s">
        <v>12779</v>
      </c>
      <c r="Q572" s="9">
        <v>346.15</v>
      </c>
    </row>
    <row r="573" spans="15:17" x14ac:dyDescent="0.2">
      <c r="O573" s="9" t="s">
        <v>12780</v>
      </c>
      <c r="P573" s="169" t="s">
        <v>12781</v>
      </c>
      <c r="Q573" s="9">
        <v>373</v>
      </c>
    </row>
    <row r="574" spans="15:17" x14ac:dyDescent="0.2">
      <c r="O574" s="9" t="s">
        <v>12782</v>
      </c>
      <c r="P574" s="169" t="s">
        <v>12783</v>
      </c>
      <c r="Q574" s="9">
        <v>394.43</v>
      </c>
    </row>
    <row r="575" spans="15:17" x14ac:dyDescent="0.2">
      <c r="O575" s="9" t="s">
        <v>12784</v>
      </c>
      <c r="P575" s="169" t="s">
        <v>12785</v>
      </c>
      <c r="Q575" s="9">
        <v>424.46</v>
      </c>
    </row>
    <row r="576" spans="15:17" x14ac:dyDescent="0.2">
      <c r="O576" s="9" t="s">
        <v>12786</v>
      </c>
      <c r="P576" s="169" t="s">
        <v>12787</v>
      </c>
      <c r="Q576" s="9">
        <v>473.34</v>
      </c>
    </row>
    <row r="577" spans="15:17" x14ac:dyDescent="0.2">
      <c r="O577" s="9" t="s">
        <v>12788</v>
      </c>
      <c r="P577" s="169" t="s">
        <v>12789</v>
      </c>
      <c r="Q577" s="9">
        <v>521.83000000000004</v>
      </c>
    </row>
    <row r="578" spans="15:17" x14ac:dyDescent="0.2">
      <c r="O578" s="9" t="s">
        <v>12790</v>
      </c>
      <c r="P578" s="169" t="s">
        <v>12791</v>
      </c>
      <c r="Q578" s="9">
        <v>570.26</v>
      </c>
    </row>
    <row r="579" spans="15:17" x14ac:dyDescent="0.2">
      <c r="O579" s="9" t="s">
        <v>12792</v>
      </c>
      <c r="P579" s="169" t="s">
        <v>12793</v>
      </c>
      <c r="Q579" s="9">
        <v>618.73</v>
      </c>
    </row>
    <row r="580" spans="15:17" x14ac:dyDescent="0.2">
      <c r="O580" s="9" t="s">
        <v>12794</v>
      </c>
      <c r="P580" s="169" t="s">
        <v>12795</v>
      </c>
      <c r="Q580" s="9">
        <v>332</v>
      </c>
    </row>
    <row r="581" spans="15:17" x14ac:dyDescent="0.2">
      <c r="O581" s="9" t="s">
        <v>12796</v>
      </c>
      <c r="P581" s="169" t="s">
        <v>12797</v>
      </c>
      <c r="Q581" s="9">
        <v>932.7</v>
      </c>
    </row>
    <row r="582" spans="15:17" x14ac:dyDescent="0.2">
      <c r="O582" s="9" t="s">
        <v>12798</v>
      </c>
      <c r="P582" s="169" t="s">
        <v>12799</v>
      </c>
      <c r="Q582" s="9">
        <v>142</v>
      </c>
    </row>
    <row r="583" spans="15:17" x14ac:dyDescent="0.2">
      <c r="O583" s="9" t="s">
        <v>12800</v>
      </c>
      <c r="P583" s="169" t="s">
        <v>12801</v>
      </c>
      <c r="Q583" s="9">
        <v>156</v>
      </c>
    </row>
    <row r="584" spans="15:17" x14ac:dyDescent="0.2">
      <c r="O584" s="9" t="s">
        <v>12802</v>
      </c>
      <c r="P584" s="169" t="s">
        <v>12803</v>
      </c>
      <c r="Q584" s="9">
        <v>158</v>
      </c>
    </row>
    <row r="585" spans="15:17" x14ac:dyDescent="0.2">
      <c r="O585" s="9" t="s">
        <v>12804</v>
      </c>
      <c r="P585" s="169" t="s">
        <v>12805</v>
      </c>
      <c r="Q585" s="9">
        <v>170</v>
      </c>
    </row>
    <row r="586" spans="15:17" x14ac:dyDescent="0.2">
      <c r="O586" s="9" t="s">
        <v>12806</v>
      </c>
      <c r="P586" s="169" t="s">
        <v>12807</v>
      </c>
      <c r="Q586" s="9">
        <v>184</v>
      </c>
    </row>
    <row r="587" spans="15:17" x14ac:dyDescent="0.2">
      <c r="O587" s="9" t="s">
        <v>12808</v>
      </c>
      <c r="P587" s="169" t="s">
        <v>12809</v>
      </c>
      <c r="Q587" s="9">
        <v>198</v>
      </c>
    </row>
    <row r="588" spans="15:17" x14ac:dyDescent="0.2">
      <c r="O588" s="9" t="s">
        <v>12810</v>
      </c>
      <c r="P588" s="169" t="s">
        <v>12811</v>
      </c>
      <c r="Q588" s="9">
        <v>212</v>
      </c>
    </row>
    <row r="589" spans="15:17" x14ac:dyDescent="0.2">
      <c r="O589" s="9" t="s">
        <v>12812</v>
      </c>
      <c r="P589" s="169" t="s">
        <v>12813</v>
      </c>
      <c r="Q589" s="9">
        <v>226</v>
      </c>
    </row>
    <row r="590" spans="15:17" x14ac:dyDescent="0.2">
      <c r="O590" s="9" t="s">
        <v>12814</v>
      </c>
      <c r="P590" s="169" t="s">
        <v>12815</v>
      </c>
      <c r="Q590" s="9">
        <v>240</v>
      </c>
    </row>
    <row r="591" spans="15:17" x14ac:dyDescent="0.2">
      <c r="O591" s="9" t="s">
        <v>12816</v>
      </c>
      <c r="P591" s="169" t="s">
        <v>12817</v>
      </c>
      <c r="Q591" s="9">
        <v>254</v>
      </c>
    </row>
    <row r="592" spans="15:17" x14ac:dyDescent="0.2">
      <c r="O592" s="9" t="s">
        <v>12818</v>
      </c>
      <c r="P592" s="169" t="s">
        <v>12819</v>
      </c>
      <c r="Q592" s="9">
        <v>282</v>
      </c>
    </row>
    <row r="593" spans="15:17" x14ac:dyDescent="0.2">
      <c r="O593" s="9" t="s">
        <v>12820</v>
      </c>
      <c r="P593" s="169" t="s">
        <v>12821</v>
      </c>
      <c r="Q593" s="9">
        <v>310</v>
      </c>
    </row>
    <row r="594" spans="15:17" x14ac:dyDescent="0.2">
      <c r="O594" s="9" t="s">
        <v>12822</v>
      </c>
      <c r="P594" s="169" t="s">
        <v>12823</v>
      </c>
      <c r="Q594" s="9">
        <v>335.3</v>
      </c>
    </row>
    <row r="595" spans="15:17" x14ac:dyDescent="0.2">
      <c r="O595" s="9" t="s">
        <v>12824</v>
      </c>
      <c r="P595" s="169" t="s">
        <v>12825</v>
      </c>
      <c r="Q595" s="9">
        <v>363.02</v>
      </c>
    </row>
    <row r="596" spans="15:17" x14ac:dyDescent="0.2">
      <c r="O596" s="9" t="s">
        <v>12826</v>
      </c>
      <c r="P596" s="169" t="s">
        <v>12827</v>
      </c>
      <c r="Q596" s="9">
        <v>390.68</v>
      </c>
    </row>
    <row r="597" spans="15:17" x14ac:dyDescent="0.2">
      <c r="O597" s="9" t="s">
        <v>12828</v>
      </c>
      <c r="P597" s="169" t="s">
        <v>12829</v>
      </c>
      <c r="Q597" s="9">
        <v>418.38</v>
      </c>
    </row>
    <row r="598" spans="15:17" x14ac:dyDescent="0.2">
      <c r="O598" s="9" t="s">
        <v>12830</v>
      </c>
      <c r="P598" s="169" t="s">
        <v>12831</v>
      </c>
      <c r="Q598" s="9">
        <v>446.04</v>
      </c>
    </row>
    <row r="599" spans="15:17" x14ac:dyDescent="0.2">
      <c r="O599" s="9" t="s">
        <v>12832</v>
      </c>
      <c r="P599" s="169" t="s">
        <v>12833</v>
      </c>
      <c r="Q599" s="9">
        <v>479.94</v>
      </c>
    </row>
    <row r="600" spans="15:17" x14ac:dyDescent="0.2">
      <c r="O600" s="9" t="s">
        <v>12834</v>
      </c>
      <c r="P600" s="169" t="s">
        <v>12835</v>
      </c>
      <c r="Q600" s="9">
        <v>519.48</v>
      </c>
    </row>
    <row r="601" spans="15:17" x14ac:dyDescent="0.2">
      <c r="O601" s="9" t="s">
        <v>12836</v>
      </c>
      <c r="P601" s="169" t="s">
        <v>12837</v>
      </c>
      <c r="Q601" s="9">
        <v>535.91999999999996</v>
      </c>
    </row>
    <row r="602" spans="15:17" x14ac:dyDescent="0.2">
      <c r="O602" s="9" t="s">
        <v>12838</v>
      </c>
      <c r="P602" s="169" t="s">
        <v>12839</v>
      </c>
      <c r="Q602" s="9">
        <v>93.96</v>
      </c>
    </row>
    <row r="603" spans="15:17" x14ac:dyDescent="0.2">
      <c r="O603" s="9" t="s">
        <v>12840</v>
      </c>
      <c r="P603" s="169" t="s">
        <v>12841</v>
      </c>
      <c r="Q603" s="9">
        <v>563.76</v>
      </c>
    </row>
    <row r="604" spans="15:17" x14ac:dyDescent="0.2">
      <c r="O604" s="9" t="s">
        <v>12842</v>
      </c>
      <c r="P604" s="169" t="s">
        <v>12843</v>
      </c>
      <c r="Q604" s="9">
        <v>593.02</v>
      </c>
    </row>
    <row r="605" spans="15:17" x14ac:dyDescent="0.2">
      <c r="O605" s="9" t="s">
        <v>12844</v>
      </c>
      <c r="P605" s="169" t="s">
        <v>12845</v>
      </c>
      <c r="Q605" s="9">
        <v>649.78</v>
      </c>
    </row>
    <row r="606" spans="15:17" x14ac:dyDescent="0.2">
      <c r="O606" s="9" t="s">
        <v>12846</v>
      </c>
      <c r="P606" s="169" t="s">
        <v>12847</v>
      </c>
      <c r="Q606" s="9">
        <v>108</v>
      </c>
    </row>
    <row r="607" spans="15:17" x14ac:dyDescent="0.2">
      <c r="O607" s="9" t="s">
        <v>12848</v>
      </c>
      <c r="P607" s="169" t="s">
        <v>12849</v>
      </c>
      <c r="Q607" s="9">
        <v>706.54</v>
      </c>
    </row>
    <row r="608" spans="15:17" x14ac:dyDescent="0.2">
      <c r="O608" s="9" t="s">
        <v>12850</v>
      </c>
      <c r="P608" s="169" t="s">
        <v>12851</v>
      </c>
      <c r="Q608" s="9">
        <v>763.3</v>
      </c>
    </row>
    <row r="609" spans="15:17" x14ac:dyDescent="0.2">
      <c r="O609" s="9" t="s">
        <v>12852</v>
      </c>
      <c r="P609" s="169" t="s">
        <v>12853</v>
      </c>
      <c r="Q609" s="9">
        <v>820.07</v>
      </c>
    </row>
    <row r="610" spans="15:17" x14ac:dyDescent="0.2">
      <c r="O610" s="9" t="s">
        <v>12854</v>
      </c>
      <c r="P610" s="169" t="s">
        <v>12855</v>
      </c>
      <c r="Q610" s="9">
        <v>122</v>
      </c>
    </row>
    <row r="611" spans="15:17" x14ac:dyDescent="0.2">
      <c r="O611" s="9" t="s">
        <v>12856</v>
      </c>
      <c r="P611" s="169" t="s">
        <v>12857</v>
      </c>
      <c r="Q611" s="9">
        <v>203</v>
      </c>
    </row>
    <row r="612" spans="15:17" x14ac:dyDescent="0.2">
      <c r="O612" s="9" t="s">
        <v>12858</v>
      </c>
      <c r="P612" s="169" t="s">
        <v>12859</v>
      </c>
      <c r="Q612" s="9">
        <v>284</v>
      </c>
    </row>
    <row r="613" spans="15:17" x14ac:dyDescent="0.2">
      <c r="O613" s="9" t="s">
        <v>12860</v>
      </c>
      <c r="P613" s="169" t="s">
        <v>12861</v>
      </c>
      <c r="Q613" s="9">
        <v>325</v>
      </c>
    </row>
    <row r="614" spans="15:17" x14ac:dyDescent="0.2">
      <c r="O614" s="9" t="s">
        <v>12862</v>
      </c>
      <c r="P614" s="169" t="s">
        <v>12863</v>
      </c>
      <c r="Q614" s="9">
        <v>366</v>
      </c>
    </row>
    <row r="615" spans="15:17" x14ac:dyDescent="0.2">
      <c r="O615" s="9" t="s">
        <v>12864</v>
      </c>
      <c r="P615" s="169" t="s">
        <v>12865</v>
      </c>
      <c r="Q615" s="9">
        <v>445.37</v>
      </c>
    </row>
    <row r="616" spans="15:17" x14ac:dyDescent="0.2">
      <c r="O616" s="9" t="s">
        <v>12866</v>
      </c>
      <c r="P616" s="169" t="s">
        <v>12867</v>
      </c>
      <c r="Q616" s="9">
        <v>529</v>
      </c>
    </row>
    <row r="617" spans="15:17" x14ac:dyDescent="0.2">
      <c r="O617" s="9" t="s">
        <v>12868</v>
      </c>
      <c r="P617" s="169" t="s">
        <v>12869</v>
      </c>
      <c r="Q617" s="9">
        <v>607.45000000000005</v>
      </c>
    </row>
    <row r="618" spans="15:17" x14ac:dyDescent="0.2">
      <c r="O618" s="9" t="s">
        <v>12870</v>
      </c>
      <c r="P618" s="169" t="s">
        <v>12871</v>
      </c>
      <c r="Q618" s="9">
        <v>700</v>
      </c>
    </row>
    <row r="619" spans="15:17" x14ac:dyDescent="0.2">
      <c r="O619" s="9" t="s">
        <v>12872</v>
      </c>
      <c r="P619" s="169" t="s">
        <v>12873</v>
      </c>
      <c r="Q619" s="9">
        <v>777.57</v>
      </c>
    </row>
    <row r="620" spans="15:17" x14ac:dyDescent="0.2">
      <c r="O620" s="9" t="s">
        <v>12874</v>
      </c>
      <c r="P620" s="169" t="s">
        <v>12875</v>
      </c>
      <c r="Q620" s="9">
        <v>858.62</v>
      </c>
    </row>
    <row r="621" spans="15:17" x14ac:dyDescent="0.2">
      <c r="O621" s="9" t="s">
        <v>12876</v>
      </c>
      <c r="P621" s="169" t="s">
        <v>12877</v>
      </c>
      <c r="Q621" s="9">
        <v>1027.7</v>
      </c>
    </row>
    <row r="622" spans="15:17" x14ac:dyDescent="0.2">
      <c r="O622" s="9" t="s">
        <v>12878</v>
      </c>
      <c r="P622" s="169" t="s">
        <v>12879</v>
      </c>
      <c r="Q622" s="9">
        <v>362</v>
      </c>
    </row>
    <row r="623" spans="15:17" x14ac:dyDescent="0.2">
      <c r="O623" s="9" t="s">
        <v>12880</v>
      </c>
      <c r="P623" s="169" t="s">
        <v>12881</v>
      </c>
      <c r="Q623" s="9">
        <v>2090.7600000000002</v>
      </c>
    </row>
    <row r="624" spans="15:17" x14ac:dyDescent="0.2">
      <c r="O624" s="9" t="s">
        <v>12882</v>
      </c>
      <c r="P624" s="169" t="s">
        <v>12883</v>
      </c>
      <c r="Q624" s="9">
        <v>561</v>
      </c>
    </row>
    <row r="625" spans="15:17" x14ac:dyDescent="0.2">
      <c r="O625" s="9" t="s">
        <v>12884</v>
      </c>
      <c r="P625" s="169" t="s">
        <v>12885</v>
      </c>
      <c r="Q625" s="9">
        <v>591</v>
      </c>
    </row>
    <row r="626" spans="15:17" x14ac:dyDescent="0.2">
      <c r="O626" s="9" t="s">
        <v>12886</v>
      </c>
      <c r="P626" s="169" t="s">
        <v>12887</v>
      </c>
      <c r="Q626" s="9">
        <v>621</v>
      </c>
    </row>
    <row r="627" spans="15:17" x14ac:dyDescent="0.2">
      <c r="O627" s="9" t="s">
        <v>12888</v>
      </c>
      <c r="P627" s="169" t="s">
        <v>12889</v>
      </c>
      <c r="Q627" s="9">
        <v>651</v>
      </c>
    </row>
    <row r="628" spans="15:17" x14ac:dyDescent="0.2">
      <c r="O628" s="9" t="s">
        <v>12890</v>
      </c>
      <c r="P628" s="169" t="s">
        <v>12891</v>
      </c>
      <c r="Q628" s="9">
        <v>711</v>
      </c>
    </row>
    <row r="629" spans="15:17" x14ac:dyDescent="0.2">
      <c r="O629" s="9" t="s">
        <v>12892</v>
      </c>
      <c r="P629" s="169" t="s">
        <v>12893</v>
      </c>
      <c r="Q629" s="9">
        <v>770</v>
      </c>
    </row>
    <row r="630" spans="15:17" x14ac:dyDescent="0.2">
      <c r="O630" s="9" t="s">
        <v>12894</v>
      </c>
      <c r="P630" s="169" t="s">
        <v>12895</v>
      </c>
      <c r="Q630" s="9">
        <v>830</v>
      </c>
    </row>
    <row r="631" spans="15:17" x14ac:dyDescent="0.2">
      <c r="O631" s="9" t="s">
        <v>12896</v>
      </c>
      <c r="P631" s="169" t="s">
        <v>12897</v>
      </c>
      <c r="Q631" s="9">
        <v>890</v>
      </c>
    </row>
    <row r="632" spans="15:17" x14ac:dyDescent="0.2">
      <c r="O632" s="9" t="s">
        <v>12898</v>
      </c>
      <c r="P632" s="169" t="s">
        <v>12899</v>
      </c>
      <c r="Q632" s="9">
        <v>949</v>
      </c>
    </row>
    <row r="633" spans="15:17" x14ac:dyDescent="0.2">
      <c r="O633" s="9" t="s">
        <v>12900</v>
      </c>
      <c r="P633" s="169" t="s">
        <v>12901</v>
      </c>
      <c r="Q633" s="9">
        <v>1009</v>
      </c>
    </row>
    <row r="634" spans="15:17" x14ac:dyDescent="0.2">
      <c r="O634" s="9" t="s">
        <v>12902</v>
      </c>
      <c r="P634" s="169" t="s">
        <v>12903</v>
      </c>
      <c r="Q634" s="9">
        <v>1069</v>
      </c>
    </row>
    <row r="635" spans="15:17" x14ac:dyDescent="0.2">
      <c r="O635" s="9" t="s">
        <v>12904</v>
      </c>
      <c r="P635" s="169" t="s">
        <v>12905</v>
      </c>
      <c r="Q635" s="9">
        <v>1128</v>
      </c>
    </row>
    <row r="636" spans="15:17" x14ac:dyDescent="0.2">
      <c r="O636" s="9" t="s">
        <v>12906</v>
      </c>
      <c r="P636" s="169" t="s">
        <v>12907</v>
      </c>
      <c r="Q636" s="9">
        <v>1248</v>
      </c>
    </row>
    <row r="637" spans="15:17" x14ac:dyDescent="0.2">
      <c r="O637" s="9" t="s">
        <v>12908</v>
      </c>
      <c r="P637" s="169" t="s">
        <v>12909</v>
      </c>
      <c r="Q637" s="9">
        <v>1367</v>
      </c>
    </row>
    <row r="638" spans="15:17" x14ac:dyDescent="0.2">
      <c r="O638" s="9" t="s">
        <v>12910</v>
      </c>
      <c r="P638" s="169" t="s">
        <v>12911</v>
      </c>
      <c r="Q638" s="9">
        <v>1480.74</v>
      </c>
    </row>
    <row r="639" spans="15:17" x14ac:dyDescent="0.2">
      <c r="O639" s="9" t="s">
        <v>12912</v>
      </c>
      <c r="P639" s="169" t="s">
        <v>12913</v>
      </c>
      <c r="Q639" s="9">
        <v>323</v>
      </c>
    </row>
    <row r="640" spans="15:17" x14ac:dyDescent="0.2">
      <c r="O640" s="9" t="s">
        <v>12914</v>
      </c>
      <c r="P640" s="169" t="s">
        <v>12915</v>
      </c>
      <c r="Q640" s="9">
        <v>1608.22</v>
      </c>
    </row>
    <row r="641" spans="15:17" x14ac:dyDescent="0.2">
      <c r="O641" s="9" t="s">
        <v>12916</v>
      </c>
      <c r="P641" s="169" t="s">
        <v>12917</v>
      </c>
      <c r="Q641" s="9">
        <v>1724.4</v>
      </c>
    </row>
    <row r="642" spans="15:17" x14ac:dyDescent="0.2">
      <c r="O642" s="9" t="s">
        <v>12918</v>
      </c>
      <c r="P642" s="169" t="s">
        <v>12919</v>
      </c>
      <c r="Q642" s="9">
        <v>1841.08</v>
      </c>
    </row>
    <row r="643" spans="15:17" x14ac:dyDescent="0.2">
      <c r="O643" s="9" t="s">
        <v>12920</v>
      </c>
      <c r="P643" s="169" t="s">
        <v>12921</v>
      </c>
      <c r="Q643" s="9">
        <v>1968.76</v>
      </c>
    </row>
    <row r="644" spans="15:17" x14ac:dyDescent="0.2">
      <c r="O644" s="9" t="s">
        <v>12922</v>
      </c>
      <c r="P644" s="169" t="s">
        <v>12923</v>
      </c>
      <c r="Q644" s="9">
        <v>12.14</v>
      </c>
    </row>
    <row r="645" spans="15:17" x14ac:dyDescent="0.2">
      <c r="O645" s="9" t="s">
        <v>12924</v>
      </c>
      <c r="P645" s="169" t="s">
        <v>12925</v>
      </c>
      <c r="Q645" s="9">
        <v>13</v>
      </c>
    </row>
    <row r="646" spans="15:17" x14ac:dyDescent="0.2">
      <c r="O646" s="9" t="s">
        <v>12926</v>
      </c>
      <c r="P646" s="169" t="s">
        <v>12927</v>
      </c>
      <c r="Q646" s="9">
        <v>13.92</v>
      </c>
    </row>
    <row r="647" spans="15:17" x14ac:dyDescent="0.2">
      <c r="O647" s="9" t="s">
        <v>12928</v>
      </c>
      <c r="P647" s="169" t="s">
        <v>12929</v>
      </c>
      <c r="Q647" s="9">
        <v>13.92</v>
      </c>
    </row>
    <row r="648" spans="15:17" x14ac:dyDescent="0.2">
      <c r="O648" s="9" t="s">
        <v>12930</v>
      </c>
      <c r="P648" s="169" t="s">
        <v>12931</v>
      </c>
      <c r="Q648" s="9">
        <v>21.91</v>
      </c>
    </row>
    <row r="649" spans="15:17" x14ac:dyDescent="0.2">
      <c r="O649" s="9" t="s">
        <v>12932</v>
      </c>
      <c r="P649" s="169" t="s">
        <v>12933</v>
      </c>
      <c r="Q649" s="9">
        <v>5.98</v>
      </c>
    </row>
    <row r="650" spans="15:17" x14ac:dyDescent="0.2">
      <c r="O650" s="9" t="s">
        <v>12934</v>
      </c>
      <c r="P650" s="169" t="s">
        <v>12935</v>
      </c>
      <c r="Q650" s="9">
        <v>89.7</v>
      </c>
    </row>
    <row r="651" spans="15:17" x14ac:dyDescent="0.2">
      <c r="O651" s="9" t="s">
        <v>12936</v>
      </c>
      <c r="P651" s="169" t="s">
        <v>12937</v>
      </c>
      <c r="Q651" s="9">
        <v>955.18</v>
      </c>
    </row>
    <row r="652" spans="15:17" x14ac:dyDescent="0.2">
      <c r="O652" s="9" t="s">
        <v>12938</v>
      </c>
      <c r="P652" s="169" t="s">
        <v>12939</v>
      </c>
      <c r="Q652" s="9">
        <v>1042.18</v>
      </c>
    </row>
    <row r="653" spans="15:17" x14ac:dyDescent="0.2">
      <c r="O653" s="9" t="s">
        <v>12940</v>
      </c>
      <c r="P653" s="169" t="s">
        <v>12941</v>
      </c>
      <c r="Q653" s="9">
        <v>368.36</v>
      </c>
    </row>
    <row r="654" spans="15:17" x14ac:dyDescent="0.2">
      <c r="O654" s="9" t="s">
        <v>12942</v>
      </c>
      <c r="P654" s="169" t="s">
        <v>12943</v>
      </c>
      <c r="Q654" s="9">
        <v>1912</v>
      </c>
    </row>
    <row r="655" spans="15:17" x14ac:dyDescent="0.2">
      <c r="O655" s="9" t="s">
        <v>12944</v>
      </c>
      <c r="P655" s="169" t="s">
        <v>12945</v>
      </c>
      <c r="Q655" s="9">
        <v>1948</v>
      </c>
    </row>
    <row r="656" spans="15:17" x14ac:dyDescent="0.2">
      <c r="O656" s="9" t="s">
        <v>12946</v>
      </c>
      <c r="P656" s="169" t="s">
        <v>12947</v>
      </c>
      <c r="Q656" s="9">
        <v>2022</v>
      </c>
    </row>
    <row r="657" spans="15:17" x14ac:dyDescent="0.2">
      <c r="O657" s="9" t="s">
        <v>12948</v>
      </c>
      <c r="P657" s="169" t="s">
        <v>12949</v>
      </c>
      <c r="Q657" s="9">
        <v>664.1</v>
      </c>
    </row>
    <row r="658" spans="15:17" x14ac:dyDescent="0.2">
      <c r="O658" s="9" t="s">
        <v>12950</v>
      </c>
      <c r="P658" s="169" t="s">
        <v>12951</v>
      </c>
      <c r="Q658" s="9">
        <v>2190</v>
      </c>
    </row>
    <row r="659" spans="15:17" x14ac:dyDescent="0.2">
      <c r="O659" s="9" t="s">
        <v>12952</v>
      </c>
      <c r="P659" s="169" t="s">
        <v>12953</v>
      </c>
      <c r="Q659" s="9">
        <v>2374</v>
      </c>
    </row>
    <row r="660" spans="15:17" x14ac:dyDescent="0.2">
      <c r="O660" s="9" t="s">
        <v>12954</v>
      </c>
      <c r="P660" s="169" t="s">
        <v>12955</v>
      </c>
      <c r="Q660" s="9">
        <v>3208</v>
      </c>
    </row>
    <row r="661" spans="15:17" x14ac:dyDescent="0.2">
      <c r="O661" s="9" t="s">
        <v>12956</v>
      </c>
      <c r="P661" s="169" t="s">
        <v>12957</v>
      </c>
      <c r="Q661" s="9">
        <v>260</v>
      </c>
    </row>
    <row r="662" spans="15:17" x14ac:dyDescent="0.2">
      <c r="O662" s="9" t="s">
        <v>12958</v>
      </c>
      <c r="P662" s="169" t="s">
        <v>12959</v>
      </c>
      <c r="Q662" s="9">
        <v>124.67</v>
      </c>
    </row>
    <row r="663" spans="15:17" x14ac:dyDescent="0.2">
      <c r="O663" s="9" t="s">
        <v>12960</v>
      </c>
      <c r="P663" s="169" t="s">
        <v>12961</v>
      </c>
      <c r="Q663" s="9">
        <v>140.26</v>
      </c>
    </row>
    <row r="664" spans="15:17" x14ac:dyDescent="0.2">
      <c r="O664" s="9" t="s">
        <v>12962</v>
      </c>
      <c r="P664" s="169" t="s">
        <v>12963</v>
      </c>
      <c r="Q664" s="9">
        <v>148.05000000000001</v>
      </c>
    </row>
    <row r="665" spans="15:17" x14ac:dyDescent="0.2">
      <c r="O665" s="9" t="s">
        <v>12964</v>
      </c>
      <c r="P665" s="169" t="s">
        <v>12965</v>
      </c>
      <c r="Q665" s="9">
        <v>155.85</v>
      </c>
    </row>
    <row r="666" spans="15:17" x14ac:dyDescent="0.2">
      <c r="O666" s="9" t="s">
        <v>12966</v>
      </c>
      <c r="P666" s="169" t="s">
        <v>12967</v>
      </c>
      <c r="Q666" s="9">
        <v>71.849999999999994</v>
      </c>
    </row>
    <row r="667" spans="15:17" x14ac:dyDescent="0.2">
      <c r="O667" s="9" t="s">
        <v>12968</v>
      </c>
      <c r="P667" s="169" t="s">
        <v>12969</v>
      </c>
      <c r="Q667" s="9">
        <v>68.81</v>
      </c>
    </row>
    <row r="668" spans="15:17" x14ac:dyDescent="0.2">
      <c r="O668" s="9" t="s">
        <v>12970</v>
      </c>
      <c r="P668" s="169" t="s">
        <v>12971</v>
      </c>
      <c r="Q668" s="9">
        <v>188.1</v>
      </c>
    </row>
    <row r="669" spans="15:17" x14ac:dyDescent="0.2">
      <c r="O669" s="9" t="s">
        <v>12972</v>
      </c>
      <c r="P669" s="169" t="s">
        <v>12973</v>
      </c>
      <c r="Q669" s="9">
        <v>247.19</v>
      </c>
    </row>
    <row r="670" spans="15:17" x14ac:dyDescent="0.2">
      <c r="O670" s="9" t="s">
        <v>12974</v>
      </c>
      <c r="P670" s="169" t="s">
        <v>12975</v>
      </c>
      <c r="Q670" s="9">
        <v>262.5</v>
      </c>
    </row>
    <row r="671" spans="15:17" x14ac:dyDescent="0.2">
      <c r="O671" s="9" t="s">
        <v>12976</v>
      </c>
      <c r="P671" s="169" t="s">
        <v>12977</v>
      </c>
      <c r="Q671" s="9">
        <v>323.7</v>
      </c>
    </row>
    <row r="672" spans="15:17" x14ac:dyDescent="0.2">
      <c r="O672" s="9" t="s">
        <v>12978</v>
      </c>
      <c r="P672" s="169" t="s">
        <v>12979</v>
      </c>
      <c r="Q672" s="9">
        <v>361.97</v>
      </c>
    </row>
    <row r="673" spans="15:17" x14ac:dyDescent="0.2">
      <c r="O673" s="9" t="s">
        <v>12980</v>
      </c>
      <c r="P673" s="169" t="s">
        <v>12981</v>
      </c>
      <c r="Q673" s="9">
        <v>400.18</v>
      </c>
    </row>
    <row r="674" spans="15:17" x14ac:dyDescent="0.2">
      <c r="O674" s="9" t="s">
        <v>12982</v>
      </c>
      <c r="P674" s="169" t="s">
        <v>12983</v>
      </c>
      <c r="Q674" s="9">
        <v>514.96</v>
      </c>
    </row>
    <row r="675" spans="15:17" x14ac:dyDescent="0.2">
      <c r="O675" s="9" t="s">
        <v>12984</v>
      </c>
      <c r="P675" s="169" t="s">
        <v>12985</v>
      </c>
      <c r="Q675" s="9">
        <v>553.21</v>
      </c>
    </row>
    <row r="676" spans="15:17" x14ac:dyDescent="0.2">
      <c r="O676" s="9" t="s">
        <v>12986</v>
      </c>
      <c r="P676" s="169" t="s">
        <v>12987</v>
      </c>
      <c r="Q676" s="9">
        <v>629.75</v>
      </c>
    </row>
    <row r="677" spans="15:17" x14ac:dyDescent="0.2">
      <c r="O677" s="9" t="s">
        <v>12988</v>
      </c>
      <c r="P677" s="169" t="s">
        <v>12989</v>
      </c>
      <c r="Q677" s="9">
        <v>276.32</v>
      </c>
    </row>
    <row r="678" spans="15:17" x14ac:dyDescent="0.2">
      <c r="O678" s="9" t="s">
        <v>12990</v>
      </c>
      <c r="P678" s="169" t="s">
        <v>12991</v>
      </c>
      <c r="Q678" s="9">
        <v>287</v>
      </c>
    </row>
    <row r="679" spans="15:17" x14ac:dyDescent="0.2">
      <c r="O679" s="9" t="s">
        <v>12992</v>
      </c>
      <c r="P679" s="169" t="s">
        <v>12993</v>
      </c>
      <c r="Q679" s="9">
        <v>299.43</v>
      </c>
    </row>
    <row r="680" spans="15:17" x14ac:dyDescent="0.2">
      <c r="O680" s="9" t="s">
        <v>12994</v>
      </c>
      <c r="P680" s="169" t="s">
        <v>12995</v>
      </c>
      <c r="Q680" s="9">
        <v>426.62</v>
      </c>
    </row>
    <row r="681" spans="15:17" x14ac:dyDescent="0.2">
      <c r="O681" s="9" t="s">
        <v>12996</v>
      </c>
      <c r="P681" s="169" t="s">
        <v>12997</v>
      </c>
      <c r="Q681" s="9">
        <v>528</v>
      </c>
    </row>
    <row r="682" spans="15:17" x14ac:dyDescent="0.2">
      <c r="O682" s="9" t="s">
        <v>12998</v>
      </c>
      <c r="P682" s="169" t="s">
        <v>12999</v>
      </c>
      <c r="Q682" s="9">
        <v>386.94</v>
      </c>
    </row>
    <row r="683" spans="15:17" x14ac:dyDescent="0.2">
      <c r="O683" s="9" t="s">
        <v>13000</v>
      </c>
      <c r="P683" s="169" t="s">
        <v>13001</v>
      </c>
      <c r="Q683" s="9">
        <v>725.71</v>
      </c>
    </row>
    <row r="684" spans="15:17" x14ac:dyDescent="0.2">
      <c r="O684" s="9" t="s">
        <v>13002</v>
      </c>
      <c r="P684" s="169" t="s">
        <v>13003</v>
      </c>
      <c r="Q684" s="9">
        <v>777.21</v>
      </c>
    </row>
    <row r="685" spans="15:17" x14ac:dyDescent="0.2">
      <c r="O685" s="9" t="s">
        <v>13004</v>
      </c>
      <c r="P685" s="169" t="s">
        <v>13005</v>
      </c>
      <c r="Q685" s="9">
        <v>878.34</v>
      </c>
    </row>
    <row r="686" spans="15:17" x14ac:dyDescent="0.2">
      <c r="O686" s="9" t="s">
        <v>13006</v>
      </c>
      <c r="P686" s="169" t="s">
        <v>13007</v>
      </c>
      <c r="Q686" s="9">
        <v>433.47</v>
      </c>
    </row>
    <row r="687" spans="15:17" x14ac:dyDescent="0.2">
      <c r="O687" s="9" t="s">
        <v>13008</v>
      </c>
      <c r="P687" s="169" t="s">
        <v>13009</v>
      </c>
      <c r="Q687" s="9">
        <v>500</v>
      </c>
    </row>
    <row r="688" spans="15:17" x14ac:dyDescent="0.2">
      <c r="O688" s="9" t="s">
        <v>13010</v>
      </c>
      <c r="P688" s="169" t="s">
        <v>13011</v>
      </c>
      <c r="Q688" s="9">
        <v>509</v>
      </c>
    </row>
    <row r="689" spans="15:17" x14ac:dyDescent="0.2">
      <c r="O689" s="9" t="s">
        <v>13012</v>
      </c>
      <c r="P689" s="169" t="s">
        <v>13013</v>
      </c>
      <c r="Q689" s="9">
        <v>561.75</v>
      </c>
    </row>
    <row r="690" spans="15:17" x14ac:dyDescent="0.2">
      <c r="O690" s="9" t="s">
        <v>13014</v>
      </c>
      <c r="P690" s="169" t="s">
        <v>13015</v>
      </c>
      <c r="Q690" s="9">
        <v>593.85</v>
      </c>
    </row>
    <row r="691" spans="15:17" x14ac:dyDescent="0.2">
      <c r="O691" s="9" t="s">
        <v>13016</v>
      </c>
      <c r="P691" s="169" t="s">
        <v>13017</v>
      </c>
      <c r="Q691" s="9">
        <v>630.23</v>
      </c>
    </row>
    <row r="692" spans="15:17" x14ac:dyDescent="0.2">
      <c r="O692" s="9" t="s">
        <v>13018</v>
      </c>
      <c r="P692" s="169" t="s">
        <v>13019</v>
      </c>
      <c r="Q692" s="9">
        <v>660.22</v>
      </c>
    </row>
    <row r="693" spans="15:17" x14ac:dyDescent="0.2">
      <c r="O693" s="9" t="s">
        <v>13020</v>
      </c>
      <c r="P693" s="169" t="s">
        <v>13021</v>
      </c>
      <c r="Q693" s="9">
        <v>773.87</v>
      </c>
    </row>
    <row r="694" spans="15:17" x14ac:dyDescent="0.2">
      <c r="O694" s="9" t="s">
        <v>13022</v>
      </c>
      <c r="P694" s="169" t="s">
        <v>13023</v>
      </c>
      <c r="Q694" s="9">
        <v>107</v>
      </c>
    </row>
    <row r="695" spans="15:17" x14ac:dyDescent="0.2">
      <c r="O695" s="9" t="s">
        <v>13024</v>
      </c>
      <c r="P695" s="169" t="s">
        <v>13025</v>
      </c>
      <c r="Q695" s="9">
        <v>353.77</v>
      </c>
    </row>
    <row r="696" spans="15:17" x14ac:dyDescent="0.2">
      <c r="O696" s="9" t="s">
        <v>13026</v>
      </c>
      <c r="P696" s="169" t="s">
        <v>13027</v>
      </c>
      <c r="Q696" s="9">
        <v>419.2</v>
      </c>
    </row>
    <row r="697" spans="15:17" x14ac:dyDescent="0.2">
      <c r="O697" s="9" t="s">
        <v>13028</v>
      </c>
      <c r="P697" s="169" t="s">
        <v>13029</v>
      </c>
      <c r="Q697" s="9">
        <v>451.94</v>
      </c>
    </row>
    <row r="698" spans="15:17" x14ac:dyDescent="0.2">
      <c r="O698" s="9" t="s">
        <v>13030</v>
      </c>
      <c r="P698" s="169" t="s">
        <v>13031</v>
      </c>
      <c r="Q698" s="9">
        <v>462.87</v>
      </c>
    </row>
    <row r="699" spans="15:17" x14ac:dyDescent="0.2">
      <c r="O699" s="9" t="s">
        <v>13032</v>
      </c>
      <c r="P699" s="169" t="s">
        <v>13033</v>
      </c>
      <c r="Q699" s="9">
        <v>675.41</v>
      </c>
    </row>
    <row r="700" spans="15:17" x14ac:dyDescent="0.2">
      <c r="O700" s="9" t="s">
        <v>13034</v>
      </c>
      <c r="P700" s="169" t="s">
        <v>13035</v>
      </c>
      <c r="Q700" s="9">
        <v>686.32</v>
      </c>
    </row>
    <row r="701" spans="15:17" x14ac:dyDescent="0.2">
      <c r="O701" s="9" t="s">
        <v>13036</v>
      </c>
      <c r="P701" s="169" t="s">
        <v>13037</v>
      </c>
      <c r="Q701" s="9">
        <v>127.11</v>
      </c>
    </row>
    <row r="702" spans="15:17" x14ac:dyDescent="0.2">
      <c r="O702" s="9" t="s">
        <v>13038</v>
      </c>
      <c r="P702" s="169" t="s">
        <v>13039</v>
      </c>
      <c r="Q702" s="9">
        <v>113.06</v>
      </c>
    </row>
    <row r="703" spans="15:17" x14ac:dyDescent="0.2">
      <c r="O703" s="9" t="s">
        <v>13040</v>
      </c>
      <c r="P703" s="169" t="s">
        <v>13041</v>
      </c>
      <c r="Q703" s="9">
        <v>99.22</v>
      </c>
    </row>
    <row r="704" spans="15:17" x14ac:dyDescent="0.2">
      <c r="O704" s="9" t="s">
        <v>13042</v>
      </c>
      <c r="P704" s="169" t="s">
        <v>13043</v>
      </c>
      <c r="Q704" s="9">
        <v>103.02</v>
      </c>
    </row>
    <row r="705" spans="15:17" x14ac:dyDescent="0.2">
      <c r="O705" s="9" t="s">
        <v>13044</v>
      </c>
      <c r="P705" s="169" t="s">
        <v>13045</v>
      </c>
      <c r="Q705" s="9">
        <v>113.32</v>
      </c>
    </row>
    <row r="706" spans="15:17" x14ac:dyDescent="0.2">
      <c r="O706" s="9" t="s">
        <v>13046</v>
      </c>
      <c r="P706" s="169" t="s">
        <v>13047</v>
      </c>
      <c r="Q706" s="9">
        <v>124.98</v>
      </c>
    </row>
    <row r="707" spans="15:17" x14ac:dyDescent="0.2">
      <c r="O707" s="9" t="s">
        <v>13048</v>
      </c>
      <c r="P707" s="169" t="s">
        <v>13049</v>
      </c>
      <c r="Q707" s="9">
        <v>119.55</v>
      </c>
    </row>
    <row r="708" spans="15:17" x14ac:dyDescent="0.2">
      <c r="O708" s="9" t="s">
        <v>13050</v>
      </c>
      <c r="P708" s="169" t="s">
        <v>13051</v>
      </c>
      <c r="Q708" s="9">
        <v>124.98</v>
      </c>
    </row>
    <row r="709" spans="15:17" x14ac:dyDescent="0.2">
      <c r="O709" s="9" t="s">
        <v>13052</v>
      </c>
      <c r="P709" s="169" t="s">
        <v>13053</v>
      </c>
      <c r="Q709" s="9">
        <v>141.41999999999999</v>
      </c>
    </row>
    <row r="710" spans="15:17" x14ac:dyDescent="0.2">
      <c r="O710" s="9" t="s">
        <v>13054</v>
      </c>
      <c r="P710" s="169" t="s">
        <v>13055</v>
      </c>
      <c r="Q710" s="9">
        <v>207.67</v>
      </c>
    </row>
    <row r="711" spans="15:17" x14ac:dyDescent="0.2">
      <c r="O711" s="9" t="s">
        <v>13056</v>
      </c>
      <c r="P711" s="169" t="s">
        <v>13057</v>
      </c>
      <c r="Q711" s="9">
        <v>172.96</v>
      </c>
    </row>
    <row r="712" spans="15:17" x14ac:dyDescent="0.2">
      <c r="O712" s="9" t="s">
        <v>13058</v>
      </c>
      <c r="P712" s="169" t="s">
        <v>13059</v>
      </c>
      <c r="Q712" s="9">
        <v>188.68</v>
      </c>
    </row>
    <row r="713" spans="15:17" x14ac:dyDescent="0.2">
      <c r="O713" s="9" t="s">
        <v>13060</v>
      </c>
      <c r="P713" s="169" t="s">
        <v>13061</v>
      </c>
      <c r="Q713" s="9">
        <v>200.08</v>
      </c>
    </row>
    <row r="714" spans="15:17" x14ac:dyDescent="0.2">
      <c r="O714" s="9" t="s">
        <v>13062</v>
      </c>
      <c r="P714" s="169" t="s">
        <v>13063</v>
      </c>
      <c r="Q714" s="9">
        <v>1652</v>
      </c>
    </row>
    <row r="715" spans="15:17" x14ac:dyDescent="0.2">
      <c r="O715" s="9" t="s">
        <v>13064</v>
      </c>
      <c r="P715" s="169" t="s">
        <v>13065</v>
      </c>
      <c r="Q715" s="9">
        <v>1955</v>
      </c>
    </row>
    <row r="716" spans="15:17" x14ac:dyDescent="0.2">
      <c r="O716" s="9" t="s">
        <v>13066</v>
      </c>
      <c r="P716" s="169" t="s">
        <v>13067</v>
      </c>
      <c r="Q716" s="9">
        <v>2260</v>
      </c>
    </row>
    <row r="717" spans="15:17" x14ac:dyDescent="0.2">
      <c r="O717" s="9" t="s">
        <v>13068</v>
      </c>
      <c r="P717" s="169" t="s">
        <v>13069</v>
      </c>
      <c r="Q717" s="9">
        <v>2866</v>
      </c>
    </row>
    <row r="718" spans="15:17" x14ac:dyDescent="0.2">
      <c r="O718" s="9" t="s">
        <v>13070</v>
      </c>
      <c r="P718" s="169" t="s">
        <v>13071</v>
      </c>
      <c r="Q718" s="9">
        <v>3170</v>
      </c>
    </row>
    <row r="719" spans="15:17" x14ac:dyDescent="0.2">
      <c r="O719" s="9" t="s">
        <v>13072</v>
      </c>
      <c r="P719" s="169" t="s">
        <v>13073</v>
      </c>
      <c r="Q719" s="9">
        <v>42.28</v>
      </c>
    </row>
    <row r="720" spans="15:17" x14ac:dyDescent="0.2">
      <c r="O720" s="9" t="s">
        <v>13074</v>
      </c>
      <c r="P720" s="169" t="s">
        <v>13075</v>
      </c>
      <c r="Q720" s="9">
        <v>46.87</v>
      </c>
    </row>
    <row r="721" spans="15:17" x14ac:dyDescent="0.2">
      <c r="O721" s="9" t="s">
        <v>13076</v>
      </c>
      <c r="P721" s="169" t="s">
        <v>13077</v>
      </c>
      <c r="Q721" s="9">
        <v>51.34</v>
      </c>
    </row>
    <row r="722" spans="15:17" x14ac:dyDescent="0.2">
      <c r="O722" s="9" t="s">
        <v>13078</v>
      </c>
      <c r="P722" s="169" t="s">
        <v>13079</v>
      </c>
      <c r="Q722" s="9">
        <v>55.92</v>
      </c>
    </row>
    <row r="723" spans="15:17" x14ac:dyDescent="0.2">
      <c r="O723" s="9" t="s">
        <v>13080</v>
      </c>
      <c r="P723" s="169" t="s">
        <v>13081</v>
      </c>
      <c r="Q723" s="9">
        <v>56.8</v>
      </c>
    </row>
    <row r="724" spans="15:17" x14ac:dyDescent="0.2">
      <c r="O724" s="9" t="s">
        <v>13082</v>
      </c>
      <c r="P724" s="169" t="s">
        <v>13083</v>
      </c>
      <c r="Q724" s="9">
        <v>63.9</v>
      </c>
    </row>
    <row r="725" spans="15:17" x14ac:dyDescent="0.2">
      <c r="O725" s="9" t="s">
        <v>13084</v>
      </c>
      <c r="P725" s="169" t="s">
        <v>13085</v>
      </c>
      <c r="Q725" s="9">
        <v>71</v>
      </c>
    </row>
    <row r="726" spans="15:17" x14ac:dyDescent="0.2">
      <c r="O726" s="9" t="s">
        <v>13086</v>
      </c>
      <c r="P726" s="169" t="s">
        <v>13087</v>
      </c>
      <c r="Q726" s="9">
        <v>78.099999999999994</v>
      </c>
    </row>
    <row r="727" spans="15:17" x14ac:dyDescent="0.2">
      <c r="O727" s="9" t="s">
        <v>13088</v>
      </c>
      <c r="P727" s="169" t="s">
        <v>13089</v>
      </c>
      <c r="Q727" s="9">
        <v>85.2</v>
      </c>
    </row>
    <row r="728" spans="15:17" x14ac:dyDescent="0.2">
      <c r="O728" s="9" t="s">
        <v>13090</v>
      </c>
      <c r="P728" s="169" t="s">
        <v>13091</v>
      </c>
      <c r="Q728" s="9">
        <v>92.3</v>
      </c>
    </row>
    <row r="729" spans="15:17" x14ac:dyDescent="0.2">
      <c r="O729" s="9" t="s">
        <v>13092</v>
      </c>
      <c r="P729" s="169" t="s">
        <v>13093</v>
      </c>
      <c r="Q729" s="9">
        <v>99.4</v>
      </c>
    </row>
    <row r="730" spans="15:17" x14ac:dyDescent="0.2">
      <c r="O730" s="9" t="s">
        <v>13094</v>
      </c>
      <c r="P730" s="169" t="s">
        <v>13095</v>
      </c>
      <c r="Q730" s="9">
        <v>106.5</v>
      </c>
    </row>
    <row r="731" spans="15:17" x14ac:dyDescent="0.2">
      <c r="O731" s="9" t="s">
        <v>13096</v>
      </c>
      <c r="P731" s="169" t="s">
        <v>13097</v>
      </c>
      <c r="Q731" s="9">
        <v>33.25</v>
      </c>
    </row>
    <row r="732" spans="15:17" x14ac:dyDescent="0.2">
      <c r="O732" s="9" t="s">
        <v>13098</v>
      </c>
      <c r="P732" s="169" t="s">
        <v>13099</v>
      </c>
      <c r="Q732" s="9">
        <v>37.76</v>
      </c>
    </row>
    <row r="733" spans="15:17" x14ac:dyDescent="0.2">
      <c r="O733" s="9" t="s">
        <v>13100</v>
      </c>
      <c r="P733" s="169" t="s">
        <v>13101</v>
      </c>
      <c r="Q733" s="9">
        <v>33.880000000000003</v>
      </c>
    </row>
    <row r="734" spans="15:17" x14ac:dyDescent="0.2">
      <c r="O734" s="9" t="s">
        <v>13102</v>
      </c>
      <c r="P734" s="169" t="s">
        <v>13103</v>
      </c>
      <c r="Q734" s="9">
        <v>36.770000000000003</v>
      </c>
    </row>
    <row r="735" spans="15:17" x14ac:dyDescent="0.2">
      <c r="O735" s="9" t="s">
        <v>13104</v>
      </c>
      <c r="P735" s="169" t="s">
        <v>13105</v>
      </c>
      <c r="Q735" s="9">
        <v>39.74</v>
      </c>
    </row>
    <row r="736" spans="15:17" x14ac:dyDescent="0.2">
      <c r="O736" s="9" t="s">
        <v>13106</v>
      </c>
      <c r="P736" s="169" t="s">
        <v>13107</v>
      </c>
      <c r="Q736" s="9">
        <v>42.7</v>
      </c>
    </row>
    <row r="737" spans="15:17" x14ac:dyDescent="0.2">
      <c r="O737" s="9" t="s">
        <v>13108</v>
      </c>
      <c r="P737" s="169" t="s">
        <v>13109</v>
      </c>
      <c r="Q737" s="9">
        <v>48.24</v>
      </c>
    </row>
    <row r="738" spans="15:17" x14ac:dyDescent="0.2">
      <c r="O738" s="9" t="s">
        <v>13110</v>
      </c>
      <c r="P738" s="169" t="s">
        <v>13111</v>
      </c>
      <c r="Q738" s="9">
        <v>53.6</v>
      </c>
    </row>
    <row r="739" spans="15:17" x14ac:dyDescent="0.2">
      <c r="O739" s="9" t="s">
        <v>13112</v>
      </c>
      <c r="P739" s="169" t="s">
        <v>13113</v>
      </c>
      <c r="Q739" s="9">
        <v>58.96</v>
      </c>
    </row>
    <row r="740" spans="15:17" x14ac:dyDescent="0.2">
      <c r="O740" s="9" t="s">
        <v>13114</v>
      </c>
      <c r="P740" s="169" t="s">
        <v>13115</v>
      </c>
      <c r="Q740" s="9">
        <v>64.319999999999993</v>
      </c>
    </row>
    <row r="741" spans="15:17" x14ac:dyDescent="0.2">
      <c r="O741" s="9" t="s">
        <v>13116</v>
      </c>
      <c r="P741" s="169" t="s">
        <v>13117</v>
      </c>
      <c r="Q741" s="9">
        <v>69.680000000000007</v>
      </c>
    </row>
    <row r="742" spans="15:17" x14ac:dyDescent="0.2">
      <c r="O742" s="9" t="s">
        <v>13118</v>
      </c>
      <c r="P742" s="169" t="s">
        <v>13119</v>
      </c>
      <c r="Q742" s="9">
        <v>75.03</v>
      </c>
    </row>
    <row r="743" spans="15:17" x14ac:dyDescent="0.2">
      <c r="O743" s="9" t="s">
        <v>13120</v>
      </c>
      <c r="P743" s="169" t="s">
        <v>13121</v>
      </c>
      <c r="Q743" s="9">
        <v>80.400000000000006</v>
      </c>
    </row>
    <row r="744" spans="15:17" x14ac:dyDescent="0.2">
      <c r="O744" s="9" t="s">
        <v>13122</v>
      </c>
      <c r="P744" s="169" t="s">
        <v>13123</v>
      </c>
      <c r="Q744" s="9">
        <v>30.92</v>
      </c>
    </row>
    <row r="745" spans="15:17" x14ac:dyDescent="0.2">
      <c r="O745" s="9" t="s">
        <v>13124</v>
      </c>
      <c r="P745" s="169" t="s">
        <v>13125</v>
      </c>
      <c r="Q745" s="9">
        <v>49.15</v>
      </c>
    </row>
    <row r="746" spans="15:17" x14ac:dyDescent="0.2">
      <c r="O746" s="9" t="s">
        <v>13126</v>
      </c>
      <c r="P746" s="169" t="s">
        <v>13127</v>
      </c>
      <c r="Q746" s="9">
        <v>55.26</v>
      </c>
    </row>
    <row r="747" spans="15:17" x14ac:dyDescent="0.2">
      <c r="O747" s="9" t="s">
        <v>13128</v>
      </c>
      <c r="P747" s="169" t="s">
        <v>13129</v>
      </c>
      <c r="Q747" s="9">
        <v>61.26</v>
      </c>
    </row>
    <row r="748" spans="15:17" x14ac:dyDescent="0.2">
      <c r="O748" s="9" t="s">
        <v>13130</v>
      </c>
      <c r="P748" s="169" t="s">
        <v>13131</v>
      </c>
      <c r="Q748" s="9">
        <v>67.39</v>
      </c>
    </row>
    <row r="749" spans="15:17" x14ac:dyDescent="0.2">
      <c r="O749" s="9" t="s">
        <v>13132</v>
      </c>
      <c r="P749" s="169" t="s">
        <v>13133</v>
      </c>
      <c r="Q749" s="9">
        <v>73.44</v>
      </c>
    </row>
    <row r="750" spans="15:17" x14ac:dyDescent="0.2">
      <c r="O750" s="9" t="s">
        <v>13134</v>
      </c>
      <c r="P750" s="169" t="s">
        <v>13135</v>
      </c>
      <c r="Q750" s="9">
        <v>79.510000000000005</v>
      </c>
    </row>
    <row r="751" spans="15:17" x14ac:dyDescent="0.2">
      <c r="O751" s="9" t="s">
        <v>13136</v>
      </c>
      <c r="P751" s="169" t="s">
        <v>13137</v>
      </c>
      <c r="Q751" s="9">
        <v>86.23</v>
      </c>
    </row>
    <row r="752" spans="15:17" x14ac:dyDescent="0.2">
      <c r="O752" s="9" t="s">
        <v>13138</v>
      </c>
      <c r="P752" s="169" t="s">
        <v>13139</v>
      </c>
      <c r="Q752" s="9">
        <v>94.08</v>
      </c>
    </row>
    <row r="753" spans="15:17" x14ac:dyDescent="0.2">
      <c r="O753" s="9" t="s">
        <v>13140</v>
      </c>
      <c r="P753" s="169" t="s">
        <v>13141</v>
      </c>
      <c r="Q753" s="9">
        <v>101.91</v>
      </c>
    </row>
    <row r="754" spans="15:17" x14ac:dyDescent="0.2">
      <c r="O754" s="9" t="s">
        <v>13142</v>
      </c>
      <c r="P754" s="169" t="s">
        <v>13143</v>
      </c>
      <c r="Q754" s="9">
        <v>109.77</v>
      </c>
    </row>
    <row r="755" spans="15:17" x14ac:dyDescent="0.2">
      <c r="O755" s="9" t="s">
        <v>13144</v>
      </c>
      <c r="P755" s="169" t="s">
        <v>13145</v>
      </c>
      <c r="Q755" s="9">
        <v>117.61</v>
      </c>
    </row>
    <row r="756" spans="15:17" x14ac:dyDescent="0.2">
      <c r="O756" s="9" t="s">
        <v>13146</v>
      </c>
      <c r="P756" s="169" t="s">
        <v>13147</v>
      </c>
      <c r="Q756" s="9">
        <v>125.41</v>
      </c>
    </row>
    <row r="757" spans="15:17" x14ac:dyDescent="0.2">
      <c r="O757" s="9" t="s">
        <v>13148</v>
      </c>
      <c r="P757" s="169" t="s">
        <v>13149</v>
      </c>
      <c r="Q757" s="9">
        <v>133.34</v>
      </c>
    </row>
    <row r="758" spans="15:17" x14ac:dyDescent="0.2">
      <c r="O758" s="9" t="s">
        <v>13150</v>
      </c>
      <c r="P758" s="169" t="s">
        <v>13151</v>
      </c>
      <c r="Q758" s="9">
        <v>141.19</v>
      </c>
    </row>
    <row r="759" spans="15:17" x14ac:dyDescent="0.2">
      <c r="O759" s="9" t="s">
        <v>13152</v>
      </c>
      <c r="P759" s="169" t="s">
        <v>13153</v>
      </c>
      <c r="Q759" s="9">
        <v>148.99</v>
      </c>
    </row>
    <row r="760" spans="15:17" x14ac:dyDescent="0.2">
      <c r="O760" s="9" t="s">
        <v>13154</v>
      </c>
      <c r="P760" s="169" t="s">
        <v>13155</v>
      </c>
      <c r="Q760" s="9">
        <v>156.77000000000001</v>
      </c>
    </row>
    <row r="761" spans="15:17" x14ac:dyDescent="0.2">
      <c r="O761" s="9" t="s">
        <v>13156</v>
      </c>
      <c r="P761" s="169" t="s">
        <v>13157</v>
      </c>
      <c r="Q761" s="9">
        <v>176.43</v>
      </c>
    </row>
    <row r="762" spans="15:17" x14ac:dyDescent="0.2">
      <c r="O762" s="9" t="s">
        <v>13158</v>
      </c>
      <c r="P762" s="169" t="s">
        <v>13159</v>
      </c>
      <c r="Q762" s="9">
        <v>196.04</v>
      </c>
    </row>
    <row r="763" spans="15:17" x14ac:dyDescent="0.2">
      <c r="O763" s="9" t="s">
        <v>13160</v>
      </c>
      <c r="P763" s="169" t="s">
        <v>13161</v>
      </c>
      <c r="Q763" s="9">
        <v>43.09</v>
      </c>
    </row>
    <row r="764" spans="15:17" x14ac:dyDescent="0.2">
      <c r="O764" s="9" t="s">
        <v>13162</v>
      </c>
      <c r="P764" s="169" t="s">
        <v>13163</v>
      </c>
      <c r="Q764" s="9">
        <v>74.98</v>
      </c>
    </row>
    <row r="765" spans="15:17" x14ac:dyDescent="0.2">
      <c r="O765" s="9" t="s">
        <v>13164</v>
      </c>
      <c r="P765" s="169" t="s">
        <v>13165</v>
      </c>
      <c r="Q765" s="9">
        <v>85.98</v>
      </c>
    </row>
    <row r="766" spans="15:17" x14ac:dyDescent="0.2">
      <c r="O766" s="9" t="s">
        <v>13166</v>
      </c>
      <c r="P766" s="169" t="s">
        <v>13167</v>
      </c>
      <c r="Q766" s="9">
        <v>96.92</v>
      </c>
    </row>
    <row r="767" spans="15:17" x14ac:dyDescent="0.2">
      <c r="O767" s="9" t="s">
        <v>13168</v>
      </c>
      <c r="P767" s="169" t="s">
        <v>13169</v>
      </c>
      <c r="Q767" s="9">
        <v>107.9</v>
      </c>
    </row>
    <row r="768" spans="15:17" x14ac:dyDescent="0.2">
      <c r="O768" s="9" t="s">
        <v>13170</v>
      </c>
      <c r="P768" s="169" t="s">
        <v>13171</v>
      </c>
      <c r="Q768" s="9">
        <v>118.89</v>
      </c>
    </row>
    <row r="769" spans="15:17" x14ac:dyDescent="0.2">
      <c r="O769" s="9" t="s">
        <v>13172</v>
      </c>
      <c r="P769" s="169" t="s">
        <v>13173</v>
      </c>
      <c r="Q769" s="9">
        <v>129.91999999999999</v>
      </c>
    </row>
    <row r="770" spans="15:17" x14ac:dyDescent="0.2">
      <c r="O770" s="9" t="s">
        <v>13174</v>
      </c>
      <c r="P770" s="169" t="s">
        <v>13175</v>
      </c>
      <c r="Q770" s="9">
        <v>141.56</v>
      </c>
    </row>
    <row r="771" spans="15:17" x14ac:dyDescent="0.2">
      <c r="O771" s="9" t="s">
        <v>13176</v>
      </c>
      <c r="P771" s="169" t="s">
        <v>13177</v>
      </c>
      <c r="Q771" s="9">
        <v>154.44</v>
      </c>
    </row>
    <row r="772" spans="15:17" x14ac:dyDescent="0.2">
      <c r="O772" s="9" t="s">
        <v>13178</v>
      </c>
      <c r="P772" s="169" t="s">
        <v>13179</v>
      </c>
      <c r="Q772" s="9">
        <v>167.35</v>
      </c>
    </row>
    <row r="773" spans="15:17" x14ac:dyDescent="0.2">
      <c r="O773" s="9" t="s">
        <v>13180</v>
      </c>
      <c r="P773" s="169" t="s">
        <v>13181</v>
      </c>
      <c r="Q773" s="9">
        <v>180.22</v>
      </c>
    </row>
    <row r="774" spans="15:17" x14ac:dyDescent="0.2">
      <c r="O774" s="9" t="s">
        <v>13182</v>
      </c>
      <c r="P774" s="169" t="s">
        <v>13183</v>
      </c>
      <c r="Q774" s="9">
        <v>193.07</v>
      </c>
    </row>
    <row r="775" spans="15:17" x14ac:dyDescent="0.2">
      <c r="O775" s="9" t="s">
        <v>13184</v>
      </c>
      <c r="P775" s="169" t="s">
        <v>13185</v>
      </c>
      <c r="Q775" s="9">
        <v>205.96</v>
      </c>
    </row>
    <row r="776" spans="15:17" x14ac:dyDescent="0.2">
      <c r="O776" s="9" t="s">
        <v>13186</v>
      </c>
      <c r="P776" s="169" t="s">
        <v>13187</v>
      </c>
      <c r="Q776" s="9">
        <v>218.79</v>
      </c>
    </row>
    <row r="777" spans="15:17" x14ac:dyDescent="0.2">
      <c r="O777" s="9" t="s">
        <v>13188</v>
      </c>
      <c r="P777" s="169" t="s">
        <v>13189</v>
      </c>
      <c r="Q777" s="9">
        <v>231.68</v>
      </c>
    </row>
    <row r="778" spans="15:17" x14ac:dyDescent="0.2">
      <c r="O778" s="9" t="s">
        <v>13190</v>
      </c>
      <c r="P778" s="169" t="s">
        <v>13191</v>
      </c>
      <c r="Q778" s="9">
        <v>244.5</v>
      </c>
    </row>
    <row r="779" spans="15:17" x14ac:dyDescent="0.2">
      <c r="O779" s="9" t="s">
        <v>13192</v>
      </c>
      <c r="P779" s="169" t="s">
        <v>13193</v>
      </c>
      <c r="Q779" s="9">
        <v>257.43</v>
      </c>
    </row>
    <row r="780" spans="15:17" x14ac:dyDescent="0.2">
      <c r="O780" s="9" t="s">
        <v>13194</v>
      </c>
      <c r="P780" s="169" t="s">
        <v>13195</v>
      </c>
      <c r="Q780" s="9">
        <v>289.66000000000003</v>
      </c>
    </row>
    <row r="781" spans="15:17" x14ac:dyDescent="0.2">
      <c r="O781" s="9" t="s">
        <v>13196</v>
      </c>
      <c r="P781" s="169" t="s">
        <v>13197</v>
      </c>
      <c r="Q781" s="9">
        <v>321.79000000000002</v>
      </c>
    </row>
    <row r="782" spans="15:17" x14ac:dyDescent="0.2">
      <c r="O782" s="9" t="s">
        <v>13198</v>
      </c>
      <c r="P782" s="169" t="s">
        <v>13199</v>
      </c>
      <c r="Q782" s="9">
        <v>74.959999999999994</v>
      </c>
    </row>
    <row r="783" spans="15:17" x14ac:dyDescent="0.2">
      <c r="O783" s="9" t="s">
        <v>13200</v>
      </c>
      <c r="P783" s="169" t="s">
        <v>13201</v>
      </c>
      <c r="Q783" s="9">
        <v>80.61</v>
      </c>
    </row>
    <row r="784" spans="15:17" x14ac:dyDescent="0.2">
      <c r="O784" s="9" t="s">
        <v>13202</v>
      </c>
      <c r="P784" s="169" t="s">
        <v>13203</v>
      </c>
      <c r="Q784" s="9">
        <v>93.56</v>
      </c>
    </row>
    <row r="785" spans="15:17" x14ac:dyDescent="0.2">
      <c r="O785" s="9" t="s">
        <v>13204</v>
      </c>
      <c r="P785" s="169" t="s">
        <v>13205</v>
      </c>
      <c r="Q785" s="9">
        <v>106.53</v>
      </c>
    </row>
    <row r="786" spans="15:17" x14ac:dyDescent="0.2">
      <c r="O786" s="9" t="s">
        <v>13206</v>
      </c>
      <c r="P786" s="169" t="s">
        <v>13207</v>
      </c>
      <c r="Q786" s="9">
        <v>117.15</v>
      </c>
    </row>
    <row r="787" spans="15:17" x14ac:dyDescent="0.2">
      <c r="O787" s="9" t="s">
        <v>13208</v>
      </c>
      <c r="P787" s="169" t="s">
        <v>13209</v>
      </c>
      <c r="Q787" s="9">
        <v>132.44999999999999</v>
      </c>
    </row>
    <row r="788" spans="15:17" x14ac:dyDescent="0.2">
      <c r="O788" s="9" t="s">
        <v>13210</v>
      </c>
      <c r="P788" s="169" t="s">
        <v>13211</v>
      </c>
      <c r="Q788" s="9">
        <v>145.41999999999999</v>
      </c>
    </row>
    <row r="789" spans="15:17" x14ac:dyDescent="0.2">
      <c r="O789" s="9" t="s">
        <v>13212</v>
      </c>
      <c r="P789" s="169" t="s">
        <v>13213</v>
      </c>
      <c r="Q789" s="9">
        <v>158.9</v>
      </c>
    </row>
    <row r="790" spans="15:17" x14ac:dyDescent="0.2">
      <c r="O790" s="9" t="s">
        <v>13214</v>
      </c>
      <c r="P790" s="169" t="s">
        <v>13215</v>
      </c>
      <c r="Q790" s="9">
        <v>173.39</v>
      </c>
    </row>
    <row r="791" spans="15:17" x14ac:dyDescent="0.2">
      <c r="O791" s="9" t="s">
        <v>13216</v>
      </c>
      <c r="P791" s="169" t="s">
        <v>13217</v>
      </c>
      <c r="Q791" s="9">
        <v>187.86</v>
      </c>
    </row>
    <row r="792" spans="15:17" x14ac:dyDescent="0.2">
      <c r="O792" s="9" t="s">
        <v>13218</v>
      </c>
      <c r="P792" s="169" t="s">
        <v>13219</v>
      </c>
      <c r="Q792" s="9">
        <v>202.28</v>
      </c>
    </row>
    <row r="793" spans="15:17" x14ac:dyDescent="0.2">
      <c r="O793" s="9" t="s">
        <v>13220</v>
      </c>
      <c r="P793" s="169" t="s">
        <v>13221</v>
      </c>
      <c r="Q793" s="9">
        <v>216.68</v>
      </c>
    </row>
    <row r="794" spans="15:17" x14ac:dyDescent="0.2">
      <c r="O794" s="9" t="s">
        <v>13222</v>
      </c>
      <c r="P794" s="169" t="s">
        <v>13223</v>
      </c>
      <c r="Q794" s="9">
        <v>231.14</v>
      </c>
    </row>
    <row r="795" spans="15:17" x14ac:dyDescent="0.2">
      <c r="O795" s="9" t="s">
        <v>13224</v>
      </c>
      <c r="P795" s="169" t="s">
        <v>13225</v>
      </c>
      <c r="Q795" s="9">
        <v>245.59</v>
      </c>
    </row>
    <row r="796" spans="15:17" x14ac:dyDescent="0.2">
      <c r="O796" s="9" t="s">
        <v>13226</v>
      </c>
      <c r="P796" s="169" t="s">
        <v>13227</v>
      </c>
      <c r="Q796" s="9">
        <v>260.02999999999997</v>
      </c>
    </row>
    <row r="797" spans="15:17" x14ac:dyDescent="0.2">
      <c r="O797" s="9" t="s">
        <v>13228</v>
      </c>
      <c r="P797" s="169" t="s">
        <v>13229</v>
      </c>
      <c r="Q797" s="9">
        <v>274.44</v>
      </c>
    </row>
    <row r="798" spans="15:17" x14ac:dyDescent="0.2">
      <c r="O798" s="9" t="s">
        <v>13230</v>
      </c>
      <c r="P798" s="169" t="s">
        <v>13231</v>
      </c>
      <c r="Q798" s="9">
        <v>288.95999999999998</v>
      </c>
    </row>
    <row r="799" spans="15:17" x14ac:dyDescent="0.2">
      <c r="O799" s="9" t="s">
        <v>13232</v>
      </c>
      <c r="P799" s="169" t="s">
        <v>13233</v>
      </c>
      <c r="Q799" s="9">
        <v>325.06</v>
      </c>
    </row>
    <row r="800" spans="15:17" x14ac:dyDescent="0.2">
      <c r="O800" s="9" t="s">
        <v>13234</v>
      </c>
      <c r="P800" s="169" t="s">
        <v>13235</v>
      </c>
      <c r="Q800" s="9">
        <v>361.21</v>
      </c>
    </row>
    <row r="801" spans="15:17" x14ac:dyDescent="0.2">
      <c r="O801" s="9" t="s">
        <v>13236</v>
      </c>
      <c r="P801" s="169" t="s">
        <v>13237</v>
      </c>
      <c r="Q801" s="9">
        <v>433.47</v>
      </c>
    </row>
    <row r="802" spans="15:17" x14ac:dyDescent="0.2">
      <c r="O802" s="9" t="s">
        <v>13238</v>
      </c>
      <c r="P802" s="169" t="s">
        <v>13239</v>
      </c>
      <c r="Q802" s="9">
        <v>505.71</v>
      </c>
    </row>
    <row r="803" spans="15:17" x14ac:dyDescent="0.2">
      <c r="O803" s="9" t="s">
        <v>13240</v>
      </c>
      <c r="P803" s="169" t="s">
        <v>13241</v>
      </c>
      <c r="Q803" s="9">
        <v>577.91</v>
      </c>
    </row>
    <row r="804" spans="15:17" x14ac:dyDescent="0.2">
      <c r="O804" s="9" t="s">
        <v>13242</v>
      </c>
      <c r="P804" s="169" t="s">
        <v>13243</v>
      </c>
      <c r="Q804" s="9">
        <v>313.68</v>
      </c>
    </row>
    <row r="805" spans="15:17" x14ac:dyDescent="0.2">
      <c r="O805" s="9" t="s">
        <v>13244</v>
      </c>
      <c r="P805" s="169" t="s">
        <v>13245</v>
      </c>
      <c r="Q805" s="9">
        <v>337.65</v>
      </c>
    </row>
    <row r="806" spans="15:17" x14ac:dyDescent="0.2">
      <c r="O806" s="9" t="s">
        <v>13246</v>
      </c>
      <c r="P806" s="169" t="s">
        <v>13247</v>
      </c>
      <c r="Q806" s="9">
        <v>361.53</v>
      </c>
    </row>
    <row r="807" spans="15:17" x14ac:dyDescent="0.2">
      <c r="O807" s="9" t="s">
        <v>13248</v>
      </c>
      <c r="P807" s="169" t="s">
        <v>13249</v>
      </c>
      <c r="Q807" s="9">
        <v>385.45</v>
      </c>
    </row>
    <row r="808" spans="15:17" x14ac:dyDescent="0.2">
      <c r="O808" s="9" t="s">
        <v>13250</v>
      </c>
      <c r="P808" s="169" t="s">
        <v>13251</v>
      </c>
      <c r="Q808" s="9">
        <v>409.32</v>
      </c>
    </row>
    <row r="809" spans="15:17" x14ac:dyDescent="0.2">
      <c r="O809" s="9" t="s">
        <v>13252</v>
      </c>
      <c r="P809" s="169" t="s">
        <v>13253</v>
      </c>
      <c r="Q809" s="9">
        <v>433.24</v>
      </c>
    </row>
    <row r="810" spans="15:17" x14ac:dyDescent="0.2">
      <c r="O810" s="9" t="s">
        <v>13254</v>
      </c>
      <c r="P810" s="169" t="s">
        <v>13255</v>
      </c>
      <c r="Q810" s="9">
        <v>457.15</v>
      </c>
    </row>
    <row r="811" spans="15:17" x14ac:dyDescent="0.2">
      <c r="O811" s="9" t="s">
        <v>13256</v>
      </c>
      <c r="P811" s="169" t="s">
        <v>13257</v>
      </c>
      <c r="Q811" s="9">
        <v>479.99</v>
      </c>
    </row>
    <row r="812" spans="15:17" x14ac:dyDescent="0.2">
      <c r="O812" s="9" t="s">
        <v>13258</v>
      </c>
      <c r="P812" s="169" t="s">
        <v>13259</v>
      </c>
      <c r="Q812" s="9">
        <v>504.87</v>
      </c>
    </row>
    <row r="813" spans="15:17" x14ac:dyDescent="0.2">
      <c r="O813" s="9" t="s">
        <v>13260</v>
      </c>
      <c r="P813" s="169" t="s">
        <v>13261</v>
      </c>
      <c r="Q813" s="9">
        <v>530.04999999999995</v>
      </c>
    </row>
    <row r="814" spans="15:17" x14ac:dyDescent="0.2">
      <c r="O814" s="9" t="s">
        <v>13262</v>
      </c>
      <c r="P814" s="169" t="s">
        <v>13263</v>
      </c>
      <c r="Q814" s="9">
        <v>554.92999999999995</v>
      </c>
    </row>
    <row r="815" spans="15:17" x14ac:dyDescent="0.2">
      <c r="O815" s="9" t="s">
        <v>13264</v>
      </c>
      <c r="P815" s="169" t="s">
        <v>13265</v>
      </c>
      <c r="Q815" s="9">
        <v>579.96</v>
      </c>
    </row>
    <row r="816" spans="15:17" x14ac:dyDescent="0.2">
      <c r="O816" s="9" t="s">
        <v>13266</v>
      </c>
      <c r="P816" s="169" t="s">
        <v>13267</v>
      </c>
      <c r="Q816" s="9">
        <v>604.84</v>
      </c>
    </row>
    <row r="817" spans="15:17" x14ac:dyDescent="0.2">
      <c r="O817" s="9" t="s">
        <v>13268</v>
      </c>
      <c r="P817" s="169" t="s">
        <v>13269</v>
      </c>
      <c r="Q817" s="9">
        <v>629.88</v>
      </c>
    </row>
    <row r="818" spans="15:17" x14ac:dyDescent="0.2">
      <c r="O818" s="9" t="s">
        <v>13270</v>
      </c>
      <c r="P818" s="169" t="s">
        <v>13271</v>
      </c>
      <c r="Q818" s="9">
        <v>654.91</v>
      </c>
    </row>
    <row r="819" spans="15:17" x14ac:dyDescent="0.2">
      <c r="O819" s="9" t="s">
        <v>13272</v>
      </c>
      <c r="P819" s="169" t="s">
        <v>13273</v>
      </c>
      <c r="Q819" s="9">
        <v>717.33</v>
      </c>
    </row>
    <row r="820" spans="15:17" x14ac:dyDescent="0.2">
      <c r="O820" s="9" t="s">
        <v>13274</v>
      </c>
      <c r="P820" s="169" t="s">
        <v>13275</v>
      </c>
      <c r="Q820" s="9">
        <v>779.91</v>
      </c>
    </row>
    <row r="821" spans="15:17" x14ac:dyDescent="0.2">
      <c r="O821" s="9" t="s">
        <v>13276</v>
      </c>
      <c r="P821" s="169" t="s">
        <v>13277</v>
      </c>
      <c r="Q821" s="9">
        <v>873.4</v>
      </c>
    </row>
    <row r="822" spans="15:17" x14ac:dyDescent="0.2">
      <c r="O822" s="9" t="s">
        <v>13278</v>
      </c>
      <c r="P822" s="169" t="s">
        <v>13279</v>
      </c>
      <c r="Q822" s="9">
        <v>935.82</v>
      </c>
    </row>
    <row r="823" spans="15:17" x14ac:dyDescent="0.2">
      <c r="O823" s="9" t="s">
        <v>13280</v>
      </c>
      <c r="P823" s="169" t="s">
        <v>13281</v>
      </c>
      <c r="Q823" s="9">
        <v>1060.83</v>
      </c>
    </row>
    <row r="824" spans="15:17" x14ac:dyDescent="0.2">
      <c r="O824" s="9" t="s">
        <v>13282</v>
      </c>
      <c r="P824" s="169" t="s">
        <v>13283</v>
      </c>
      <c r="Q824" s="9">
        <v>1185.83</v>
      </c>
    </row>
    <row r="825" spans="15:17" x14ac:dyDescent="0.2">
      <c r="O825" s="9" t="s">
        <v>13284</v>
      </c>
      <c r="P825" s="169" t="s">
        <v>13285</v>
      </c>
      <c r="Q825" s="9">
        <v>1310.85</v>
      </c>
    </row>
    <row r="826" spans="15:17" x14ac:dyDescent="0.2">
      <c r="O826" s="9" t="s">
        <v>13286</v>
      </c>
      <c r="P826" s="169" t="s">
        <v>13287</v>
      </c>
      <c r="Q826" s="9">
        <v>3312.23</v>
      </c>
    </row>
    <row r="827" spans="15:17" x14ac:dyDescent="0.2">
      <c r="O827" s="9" t="s">
        <v>13288</v>
      </c>
      <c r="P827" s="169" t="s">
        <v>13289</v>
      </c>
      <c r="Q827" s="9">
        <v>830.96</v>
      </c>
    </row>
    <row r="828" spans="15:17" x14ac:dyDescent="0.2">
      <c r="O828" s="9" t="s">
        <v>13290</v>
      </c>
      <c r="P828" s="169" t="s">
        <v>13291</v>
      </c>
      <c r="Q828" s="9">
        <v>949.3</v>
      </c>
    </row>
    <row r="829" spans="15:17" x14ac:dyDescent="0.2">
      <c r="O829" s="9" t="s">
        <v>13292</v>
      </c>
      <c r="P829" s="169" t="s">
        <v>13293</v>
      </c>
      <c r="Q829" s="9">
        <v>987.56</v>
      </c>
    </row>
    <row r="830" spans="15:17" x14ac:dyDescent="0.2">
      <c r="O830" s="9" t="s">
        <v>13294</v>
      </c>
      <c r="P830" s="169" t="s">
        <v>13295</v>
      </c>
      <c r="Q830" s="9">
        <v>1025.8499999999999</v>
      </c>
    </row>
    <row r="831" spans="15:17" x14ac:dyDescent="0.2">
      <c r="O831" s="9" t="s">
        <v>13296</v>
      </c>
      <c r="P831" s="169" t="s">
        <v>13297</v>
      </c>
      <c r="Q831" s="9">
        <v>1064.1199999999999</v>
      </c>
    </row>
    <row r="832" spans="15:17" x14ac:dyDescent="0.2">
      <c r="O832" s="9" t="s">
        <v>13298</v>
      </c>
      <c r="P832" s="169" t="s">
        <v>13299</v>
      </c>
      <c r="Q832" s="9">
        <v>1140.92</v>
      </c>
    </row>
    <row r="833" spans="15:17" x14ac:dyDescent="0.2">
      <c r="O833" s="9" t="s">
        <v>13300</v>
      </c>
      <c r="P833" s="169" t="s">
        <v>13301</v>
      </c>
      <c r="Q833" s="9">
        <v>1179.3599999999999</v>
      </c>
    </row>
    <row r="834" spans="15:17" x14ac:dyDescent="0.2">
      <c r="O834" s="9" t="s">
        <v>13302</v>
      </c>
      <c r="P834" s="169" t="s">
        <v>13303</v>
      </c>
      <c r="Q834" s="9">
        <v>1217.8399999999999</v>
      </c>
    </row>
    <row r="835" spans="15:17" x14ac:dyDescent="0.2">
      <c r="O835" s="9" t="s">
        <v>13304</v>
      </c>
      <c r="P835" s="169" t="s">
        <v>13305</v>
      </c>
      <c r="Q835" s="9">
        <v>1255.92</v>
      </c>
    </row>
    <row r="836" spans="15:17" x14ac:dyDescent="0.2">
      <c r="O836" s="9" t="s">
        <v>13306</v>
      </c>
      <c r="P836" s="169" t="s">
        <v>13307</v>
      </c>
      <c r="Q836" s="9">
        <v>1294.26</v>
      </c>
    </row>
    <row r="837" spans="15:17" x14ac:dyDescent="0.2">
      <c r="O837" s="9" t="s">
        <v>13308</v>
      </c>
      <c r="P837" s="169" t="s">
        <v>13309</v>
      </c>
      <c r="Q837" s="9">
        <v>1364.93</v>
      </c>
    </row>
    <row r="838" spans="15:17" x14ac:dyDescent="0.2">
      <c r="O838" s="9" t="s">
        <v>13310</v>
      </c>
      <c r="P838" s="169" t="s">
        <v>13311</v>
      </c>
      <c r="Q838" s="9">
        <v>1524.17</v>
      </c>
    </row>
    <row r="839" spans="15:17" x14ac:dyDescent="0.2">
      <c r="O839" s="9" t="s">
        <v>13312</v>
      </c>
      <c r="P839" s="169" t="s">
        <v>13313</v>
      </c>
      <c r="Q839" s="9">
        <v>1740.28</v>
      </c>
    </row>
    <row r="840" spans="15:17" x14ac:dyDescent="0.2">
      <c r="O840" s="9" t="s">
        <v>13314</v>
      </c>
      <c r="P840" s="169" t="s">
        <v>13315</v>
      </c>
      <c r="Q840" s="9">
        <v>1899.49</v>
      </c>
    </row>
    <row r="841" spans="15:17" x14ac:dyDescent="0.2">
      <c r="O841" s="9" t="s">
        <v>13316</v>
      </c>
      <c r="P841" s="169" t="s">
        <v>13317</v>
      </c>
      <c r="Q841" s="9">
        <v>2058.77</v>
      </c>
    </row>
    <row r="842" spans="15:17" x14ac:dyDescent="0.2">
      <c r="O842" s="9" t="s">
        <v>13318</v>
      </c>
      <c r="P842" s="169" t="s">
        <v>13319</v>
      </c>
      <c r="Q842" s="9">
        <v>2240.7600000000002</v>
      </c>
    </row>
    <row r="843" spans="15:17" x14ac:dyDescent="0.2">
      <c r="O843" s="9" t="s">
        <v>13320</v>
      </c>
      <c r="P843" s="169" t="s">
        <v>13321</v>
      </c>
      <c r="Q843" s="9">
        <v>2400</v>
      </c>
    </row>
    <row r="844" spans="15:17" x14ac:dyDescent="0.2">
      <c r="O844" s="9" t="s">
        <v>13322</v>
      </c>
      <c r="P844" s="169" t="s">
        <v>13323</v>
      </c>
      <c r="Q844" s="9">
        <v>2564.9299999999998</v>
      </c>
    </row>
    <row r="845" spans="15:17" x14ac:dyDescent="0.2">
      <c r="O845" s="9" t="s">
        <v>13324</v>
      </c>
      <c r="P845" s="169" t="s">
        <v>13325</v>
      </c>
      <c r="Q845" s="9">
        <v>2718.48</v>
      </c>
    </row>
    <row r="846" spans="15:17" x14ac:dyDescent="0.2">
      <c r="O846" s="9" t="s">
        <v>13326</v>
      </c>
      <c r="P846" s="169" t="s">
        <v>13327</v>
      </c>
      <c r="Q846" s="9">
        <v>3042.67</v>
      </c>
    </row>
    <row r="847" spans="15:17" x14ac:dyDescent="0.2">
      <c r="O847" s="9" t="s">
        <v>13328</v>
      </c>
      <c r="P847" s="169" t="s">
        <v>13329</v>
      </c>
      <c r="Q847" s="9">
        <v>2484.86</v>
      </c>
    </row>
    <row r="848" spans="15:17" x14ac:dyDescent="0.2">
      <c r="O848" s="9" t="s">
        <v>13330</v>
      </c>
      <c r="P848" s="169" t="s">
        <v>13331</v>
      </c>
      <c r="Q848" s="9">
        <v>3164.92</v>
      </c>
    </row>
    <row r="849" spans="15:17" x14ac:dyDescent="0.2">
      <c r="O849" s="9" t="s">
        <v>13332</v>
      </c>
      <c r="P849" s="169" t="s">
        <v>13333</v>
      </c>
      <c r="Q849" s="9">
        <v>2825.81</v>
      </c>
    </row>
    <row r="850" spans="15:17" x14ac:dyDescent="0.2">
      <c r="O850" s="9" t="s">
        <v>13334</v>
      </c>
      <c r="P850" s="169" t="s">
        <v>13335</v>
      </c>
      <c r="Q850" s="9">
        <v>3503.72</v>
      </c>
    </row>
    <row r="851" spans="15:17" x14ac:dyDescent="0.2">
      <c r="O851" s="9" t="s">
        <v>13336</v>
      </c>
      <c r="P851" s="169" t="s">
        <v>13337</v>
      </c>
      <c r="Q851" s="9">
        <v>3854.14</v>
      </c>
    </row>
    <row r="852" spans="15:17" x14ac:dyDescent="0.2">
      <c r="O852" s="9" t="s">
        <v>13338</v>
      </c>
      <c r="P852" s="169" t="s">
        <v>13339</v>
      </c>
      <c r="Q852" s="9">
        <v>2484.86</v>
      </c>
    </row>
    <row r="853" spans="15:17" x14ac:dyDescent="0.2">
      <c r="O853" s="9" t="s">
        <v>13340</v>
      </c>
      <c r="P853" s="169" t="s">
        <v>13341</v>
      </c>
      <c r="Q853" s="9">
        <v>2413.54</v>
      </c>
    </row>
    <row r="854" spans="15:17" x14ac:dyDescent="0.2">
      <c r="O854" s="9" t="s">
        <v>13342</v>
      </c>
      <c r="P854" s="169" t="s">
        <v>13343</v>
      </c>
      <c r="Q854" s="9">
        <v>3072.02</v>
      </c>
    </row>
    <row r="855" spans="15:17" x14ac:dyDescent="0.2">
      <c r="O855" s="9" t="s">
        <v>13344</v>
      </c>
      <c r="P855" s="169" t="s">
        <v>13345</v>
      </c>
      <c r="Q855" s="9">
        <v>2743.14</v>
      </c>
    </row>
    <row r="856" spans="15:17" x14ac:dyDescent="0.2">
      <c r="O856" s="9" t="s">
        <v>13346</v>
      </c>
      <c r="P856" s="169" t="s">
        <v>13347</v>
      </c>
      <c r="Q856" s="9">
        <v>3404.22</v>
      </c>
    </row>
    <row r="857" spans="15:17" x14ac:dyDescent="0.2">
      <c r="O857" s="9" t="s">
        <v>13348</v>
      </c>
      <c r="P857" s="169" t="s">
        <v>13349</v>
      </c>
      <c r="Q857" s="9">
        <v>3731.17</v>
      </c>
    </row>
    <row r="858" spans="15:17" x14ac:dyDescent="0.2">
      <c r="O858" s="9" t="s">
        <v>13350</v>
      </c>
      <c r="P858" s="169" t="s">
        <v>13351</v>
      </c>
      <c r="Q858" s="9">
        <v>2362.81</v>
      </c>
    </row>
    <row r="859" spans="15:17" x14ac:dyDescent="0.2">
      <c r="O859" s="9" t="s">
        <v>13352</v>
      </c>
      <c r="P859" s="169" t="s">
        <v>13353</v>
      </c>
      <c r="Q859" s="9">
        <v>2343.16</v>
      </c>
    </row>
    <row r="860" spans="15:17" x14ac:dyDescent="0.2">
      <c r="O860" s="9" t="s">
        <v>13354</v>
      </c>
      <c r="P860" s="169" t="s">
        <v>13355</v>
      </c>
      <c r="Q860" s="9">
        <v>2981.49</v>
      </c>
    </row>
    <row r="861" spans="15:17" x14ac:dyDescent="0.2">
      <c r="O861" s="9" t="s">
        <v>13356</v>
      </c>
      <c r="P861" s="169" t="s">
        <v>13357</v>
      </c>
      <c r="Q861" s="9">
        <v>2665.63</v>
      </c>
    </row>
    <row r="862" spans="15:17" x14ac:dyDescent="0.2">
      <c r="O862" s="9" t="s">
        <v>13358</v>
      </c>
      <c r="P862" s="169" t="s">
        <v>13359</v>
      </c>
      <c r="Q862" s="9">
        <v>3297.11</v>
      </c>
    </row>
    <row r="863" spans="15:17" x14ac:dyDescent="0.2">
      <c r="O863" s="9" t="s">
        <v>13360</v>
      </c>
      <c r="P863" s="169" t="s">
        <v>13361</v>
      </c>
      <c r="Q863" s="9">
        <v>3620.79</v>
      </c>
    </row>
    <row r="864" spans="15:17" x14ac:dyDescent="0.2">
      <c r="O864" s="9" t="s">
        <v>13362</v>
      </c>
      <c r="P864" s="169" t="s">
        <v>13363</v>
      </c>
      <c r="Q864" s="9">
        <v>20370.419999999998</v>
      </c>
    </row>
    <row r="865" spans="15:17" x14ac:dyDescent="0.2">
      <c r="O865" s="9" t="s">
        <v>13364</v>
      </c>
      <c r="P865" s="169" t="s">
        <v>13365</v>
      </c>
      <c r="Q865" s="9">
        <v>22010.12</v>
      </c>
    </row>
    <row r="866" spans="15:17" x14ac:dyDescent="0.2">
      <c r="O866" s="9" t="s">
        <v>13366</v>
      </c>
      <c r="P866" s="169" t="s">
        <v>13367</v>
      </c>
      <c r="Q866" s="9">
        <v>25247.75</v>
      </c>
    </row>
    <row r="867" spans="15:17" x14ac:dyDescent="0.2">
      <c r="O867" s="9" t="s">
        <v>13368</v>
      </c>
      <c r="P867" s="169" t="s">
        <v>13369</v>
      </c>
      <c r="Q867" s="9">
        <v>49574.45</v>
      </c>
    </row>
    <row r="868" spans="15:17" x14ac:dyDescent="0.2">
      <c r="O868" s="9" t="s">
        <v>13370</v>
      </c>
      <c r="P868" s="169" t="s">
        <v>13371</v>
      </c>
      <c r="Q868" s="9">
        <v>2274.2199999999998</v>
      </c>
    </row>
    <row r="869" spans="15:17" x14ac:dyDescent="0.2">
      <c r="O869" s="9" t="s">
        <v>13372</v>
      </c>
      <c r="P869" s="169" t="s">
        <v>13373</v>
      </c>
      <c r="Q869" s="9">
        <v>2895.73</v>
      </c>
    </row>
    <row r="870" spans="15:17" x14ac:dyDescent="0.2">
      <c r="O870" s="9" t="s">
        <v>13374</v>
      </c>
      <c r="P870" s="169" t="s">
        <v>13375</v>
      </c>
      <c r="Q870" s="9">
        <v>2585.5700000000002</v>
      </c>
    </row>
    <row r="871" spans="15:17" x14ac:dyDescent="0.2">
      <c r="O871" s="9" t="s">
        <v>13376</v>
      </c>
      <c r="P871" s="169" t="s">
        <v>13377</v>
      </c>
      <c r="Q871" s="9">
        <v>3205.9</v>
      </c>
    </row>
    <row r="872" spans="15:17" x14ac:dyDescent="0.2">
      <c r="O872" s="9" t="s">
        <v>13378</v>
      </c>
      <c r="P872" s="169" t="s">
        <v>13379</v>
      </c>
      <c r="Q872" s="9">
        <v>3514.86</v>
      </c>
    </row>
    <row r="873" spans="15:17" x14ac:dyDescent="0.2">
      <c r="O873" s="9" t="s">
        <v>13380</v>
      </c>
      <c r="P873" s="169" t="s">
        <v>13381</v>
      </c>
      <c r="Q873" s="9">
        <v>4328.49</v>
      </c>
    </row>
    <row r="874" spans="15:17" x14ac:dyDescent="0.2">
      <c r="O874" s="9" t="s">
        <v>13382</v>
      </c>
      <c r="P874" s="169" t="s">
        <v>13383</v>
      </c>
      <c r="Q874" s="9">
        <v>3870.5</v>
      </c>
    </row>
    <row r="875" spans="15:17" x14ac:dyDescent="0.2">
      <c r="O875" s="9" t="s">
        <v>13384</v>
      </c>
      <c r="P875" s="169" t="s">
        <v>13385</v>
      </c>
      <c r="Q875" s="9">
        <v>2209.2800000000002</v>
      </c>
    </row>
    <row r="876" spans="15:17" x14ac:dyDescent="0.2">
      <c r="O876" s="9" t="s">
        <v>13386</v>
      </c>
      <c r="P876" s="169" t="s">
        <v>13387</v>
      </c>
      <c r="Q876" s="9">
        <v>2811.84</v>
      </c>
    </row>
    <row r="877" spans="15:17" x14ac:dyDescent="0.2">
      <c r="O877" s="9" t="s">
        <v>13388</v>
      </c>
      <c r="P877" s="169" t="s">
        <v>13389</v>
      </c>
      <c r="Q877" s="9">
        <v>2510.1999999999998</v>
      </c>
    </row>
    <row r="878" spans="15:17" x14ac:dyDescent="0.2">
      <c r="O878" s="9" t="s">
        <v>13390</v>
      </c>
      <c r="P878" s="169" t="s">
        <v>13391</v>
      </c>
      <c r="Q878" s="9">
        <v>3113.71</v>
      </c>
    </row>
    <row r="879" spans="15:17" x14ac:dyDescent="0.2">
      <c r="O879" s="9" t="s">
        <v>13392</v>
      </c>
      <c r="P879" s="169" t="s">
        <v>13393</v>
      </c>
      <c r="Q879" s="9">
        <v>3411.35</v>
      </c>
    </row>
    <row r="880" spans="15:17" x14ac:dyDescent="0.2">
      <c r="O880" s="9" t="s">
        <v>13394</v>
      </c>
      <c r="P880" s="169" t="s">
        <v>13395</v>
      </c>
      <c r="Q880" s="9">
        <v>4328.3100000000004</v>
      </c>
    </row>
    <row r="881" spans="15:17" x14ac:dyDescent="0.2">
      <c r="O881" s="9" t="s">
        <v>13396</v>
      </c>
      <c r="P881" s="169" t="s">
        <v>13397</v>
      </c>
      <c r="Q881" s="9">
        <v>3870.5</v>
      </c>
    </row>
    <row r="882" spans="15:17" x14ac:dyDescent="0.2">
      <c r="O882" s="9" t="s">
        <v>13398</v>
      </c>
      <c r="P882" s="169" t="s">
        <v>13399</v>
      </c>
      <c r="Q882" s="9">
        <v>4787.2700000000004</v>
      </c>
    </row>
    <row r="883" spans="15:17" x14ac:dyDescent="0.2">
      <c r="O883" s="9" t="s">
        <v>13400</v>
      </c>
      <c r="P883" s="169" t="s">
        <v>13401</v>
      </c>
      <c r="Q883" s="9">
        <v>5246.2</v>
      </c>
    </row>
    <row r="884" spans="15:17" x14ac:dyDescent="0.2">
      <c r="O884" s="9" t="s">
        <v>13402</v>
      </c>
      <c r="P884" s="169" t="s">
        <v>13403</v>
      </c>
      <c r="Q884" s="9">
        <v>2558.3200000000002</v>
      </c>
    </row>
    <row r="885" spans="15:17" x14ac:dyDescent="0.2">
      <c r="O885" s="9" t="s">
        <v>13404</v>
      </c>
      <c r="P885" s="169" t="s">
        <v>13405</v>
      </c>
      <c r="Q885" s="9">
        <v>3019.88</v>
      </c>
    </row>
    <row r="886" spans="15:17" x14ac:dyDescent="0.2">
      <c r="O886" s="9" t="s">
        <v>13406</v>
      </c>
      <c r="P886" s="169" t="s">
        <v>13407</v>
      </c>
      <c r="Q886" s="9">
        <v>2788.63</v>
      </c>
    </row>
    <row r="887" spans="15:17" x14ac:dyDescent="0.2">
      <c r="O887" s="9" t="s">
        <v>13408</v>
      </c>
      <c r="P887" s="169" t="s">
        <v>13409</v>
      </c>
      <c r="Q887" s="9">
        <v>3251.35</v>
      </c>
    </row>
    <row r="888" spans="15:17" x14ac:dyDescent="0.2">
      <c r="O888" s="9" t="s">
        <v>13410</v>
      </c>
      <c r="P888" s="169" t="s">
        <v>13411</v>
      </c>
      <c r="Q888" s="9">
        <v>3480.25</v>
      </c>
    </row>
    <row r="889" spans="15:17" x14ac:dyDescent="0.2">
      <c r="O889" s="9" t="s">
        <v>13412</v>
      </c>
      <c r="P889" s="169" t="s">
        <v>13413</v>
      </c>
      <c r="Q889" s="9">
        <v>4058.9</v>
      </c>
    </row>
    <row r="890" spans="15:17" x14ac:dyDescent="0.2">
      <c r="O890" s="9" t="s">
        <v>13414</v>
      </c>
      <c r="P890" s="169" t="s">
        <v>13415</v>
      </c>
      <c r="Q890" s="9">
        <v>3771.01</v>
      </c>
    </row>
    <row r="891" spans="15:17" x14ac:dyDescent="0.2">
      <c r="O891" s="9" t="s">
        <v>13416</v>
      </c>
      <c r="P891" s="169" t="s">
        <v>13417</v>
      </c>
      <c r="Q891" s="9">
        <v>4347.2299999999996</v>
      </c>
    </row>
    <row r="892" spans="15:17" x14ac:dyDescent="0.2">
      <c r="O892" s="9" t="s">
        <v>13418</v>
      </c>
      <c r="P892" s="169" t="s">
        <v>13419</v>
      </c>
      <c r="Q892" s="9">
        <v>4637.03</v>
      </c>
    </row>
    <row r="893" spans="15:17" x14ac:dyDescent="0.2">
      <c r="O893" s="9" t="s">
        <v>13420</v>
      </c>
      <c r="P893" s="169" t="s">
        <v>13421</v>
      </c>
      <c r="Q893" s="9">
        <v>5401.41</v>
      </c>
    </row>
    <row r="894" spans="15:17" x14ac:dyDescent="0.2">
      <c r="O894" s="9" t="s">
        <v>13422</v>
      </c>
      <c r="P894" s="169" t="s">
        <v>13423</v>
      </c>
      <c r="Q894" s="9">
        <v>4971.21</v>
      </c>
    </row>
    <row r="895" spans="15:17" x14ac:dyDescent="0.2">
      <c r="O895" s="9" t="s">
        <v>13424</v>
      </c>
      <c r="P895" s="169" t="s">
        <v>13425</v>
      </c>
      <c r="Q895" s="9">
        <v>3098.78</v>
      </c>
    </row>
    <row r="896" spans="15:17" x14ac:dyDescent="0.2">
      <c r="O896" s="9" t="s">
        <v>13426</v>
      </c>
      <c r="P896" s="169" t="s">
        <v>13427</v>
      </c>
      <c r="Q896" s="9">
        <v>3433.59</v>
      </c>
    </row>
    <row r="897" spans="15:17" x14ac:dyDescent="0.2">
      <c r="O897" s="9" t="s">
        <v>13428</v>
      </c>
      <c r="P897" s="169" t="s">
        <v>13429</v>
      </c>
      <c r="Q897" s="9">
        <v>3285.96</v>
      </c>
    </row>
    <row r="898" spans="15:17" x14ac:dyDescent="0.2">
      <c r="O898" s="9" t="s">
        <v>13430</v>
      </c>
      <c r="P898" s="169" t="s">
        <v>13431</v>
      </c>
      <c r="Q898" s="9">
        <v>3655.12</v>
      </c>
    </row>
    <row r="899" spans="15:17" x14ac:dyDescent="0.2">
      <c r="O899" s="9" t="s">
        <v>13432</v>
      </c>
      <c r="P899" s="169" t="s">
        <v>13433</v>
      </c>
      <c r="Q899" s="9">
        <v>3930.92</v>
      </c>
    </row>
    <row r="900" spans="15:17" x14ac:dyDescent="0.2">
      <c r="O900" s="9" t="s">
        <v>13434</v>
      </c>
      <c r="P900" s="169" t="s">
        <v>13435</v>
      </c>
      <c r="Q900" s="9">
        <v>4493.47</v>
      </c>
    </row>
    <row r="901" spans="15:17" x14ac:dyDescent="0.2">
      <c r="O901" s="9" t="s">
        <v>13436</v>
      </c>
      <c r="P901" s="169" t="s">
        <v>13437</v>
      </c>
      <c r="Q901" s="9">
        <v>4212.41</v>
      </c>
    </row>
    <row r="902" spans="15:17" x14ac:dyDescent="0.2">
      <c r="O902" s="9" t="s">
        <v>13438</v>
      </c>
      <c r="P902" s="169" t="s">
        <v>13439</v>
      </c>
      <c r="Q902" s="9">
        <v>4769</v>
      </c>
    </row>
    <row r="903" spans="15:17" x14ac:dyDescent="0.2">
      <c r="O903" s="9" t="s">
        <v>13440</v>
      </c>
      <c r="P903" s="169" t="s">
        <v>13441</v>
      </c>
      <c r="Q903" s="9">
        <v>5050.51</v>
      </c>
    </row>
    <row r="904" spans="15:17" x14ac:dyDescent="0.2">
      <c r="O904" s="9" t="s">
        <v>13442</v>
      </c>
      <c r="P904" s="169" t="s">
        <v>13443</v>
      </c>
      <c r="Q904" s="9">
        <v>5607.09</v>
      </c>
    </row>
    <row r="905" spans="15:17" x14ac:dyDescent="0.2">
      <c r="O905" s="9" t="s">
        <v>13444</v>
      </c>
      <c r="P905" s="169" t="s">
        <v>13445</v>
      </c>
      <c r="Q905" s="9">
        <v>5326.31</v>
      </c>
    </row>
    <row r="906" spans="15:17" x14ac:dyDescent="0.2">
      <c r="O906" s="9" t="s">
        <v>13446</v>
      </c>
      <c r="P906" s="169" t="s">
        <v>13447</v>
      </c>
      <c r="Q906" s="9">
        <v>5882.64</v>
      </c>
    </row>
    <row r="907" spans="15:17" x14ac:dyDescent="0.2">
      <c r="O907" s="9" t="s">
        <v>13448</v>
      </c>
      <c r="P907" s="169" t="s">
        <v>13449</v>
      </c>
      <c r="Q907" s="9">
        <v>6164.15</v>
      </c>
    </row>
    <row r="908" spans="15:17" x14ac:dyDescent="0.2">
      <c r="O908" s="9" t="s">
        <v>13450</v>
      </c>
      <c r="P908" s="169" t="s">
        <v>13451</v>
      </c>
      <c r="Q908" s="9">
        <v>10225.19</v>
      </c>
    </row>
    <row r="909" spans="15:17" x14ac:dyDescent="0.2">
      <c r="O909" s="9" t="s">
        <v>13452</v>
      </c>
      <c r="P909" s="169" t="s">
        <v>13453</v>
      </c>
      <c r="Q909" s="9">
        <v>4808.1099999999997</v>
      </c>
    </row>
    <row r="910" spans="15:17" x14ac:dyDescent="0.2">
      <c r="O910" s="9" t="s">
        <v>13454</v>
      </c>
      <c r="P910" s="169" t="s">
        <v>13455</v>
      </c>
      <c r="Q910" s="9">
        <v>4432.78</v>
      </c>
    </row>
    <row r="911" spans="15:17" x14ac:dyDescent="0.2">
      <c r="O911" s="9" t="s">
        <v>13456</v>
      </c>
      <c r="P911" s="169" t="s">
        <v>13457</v>
      </c>
      <c r="Q911" s="9">
        <v>5188.3999999999996</v>
      </c>
    </row>
    <row r="912" spans="15:17" x14ac:dyDescent="0.2">
      <c r="O912" s="9" t="s">
        <v>13458</v>
      </c>
      <c r="P912" s="169" t="s">
        <v>13459</v>
      </c>
      <c r="Q912" s="9">
        <v>5562.77</v>
      </c>
    </row>
    <row r="913" spans="15:17" x14ac:dyDescent="0.2">
      <c r="O913" s="9" t="s">
        <v>13460</v>
      </c>
      <c r="P913" s="169" t="s">
        <v>13461</v>
      </c>
      <c r="Q913" s="9">
        <v>6317.83</v>
      </c>
    </row>
    <row r="914" spans="15:17" x14ac:dyDescent="0.2">
      <c r="O914" s="9" t="s">
        <v>13462</v>
      </c>
      <c r="P914" s="169" t="s">
        <v>13463</v>
      </c>
      <c r="Q914" s="9">
        <v>5942.98</v>
      </c>
    </row>
    <row r="915" spans="15:17" x14ac:dyDescent="0.2">
      <c r="O915" s="9" t="s">
        <v>13464</v>
      </c>
      <c r="P915" s="169" t="s">
        <v>13465</v>
      </c>
      <c r="Q915" s="9">
        <v>6698.03</v>
      </c>
    </row>
    <row r="916" spans="15:17" x14ac:dyDescent="0.2">
      <c r="O916" s="9" t="s">
        <v>13466</v>
      </c>
      <c r="P916" s="169" t="s">
        <v>13467</v>
      </c>
      <c r="Q916" s="9">
        <v>7072.88</v>
      </c>
    </row>
    <row r="917" spans="15:17" x14ac:dyDescent="0.2">
      <c r="O917" s="9" t="s">
        <v>13468</v>
      </c>
      <c r="P917" s="169" t="s">
        <v>13469</v>
      </c>
      <c r="Q917" s="9">
        <v>7833.29</v>
      </c>
    </row>
    <row r="918" spans="15:17" x14ac:dyDescent="0.2">
      <c r="O918" s="9" t="s">
        <v>13470</v>
      </c>
      <c r="P918" s="169" t="s">
        <v>13471</v>
      </c>
      <c r="Q918" s="9">
        <v>7453.09</v>
      </c>
    </row>
    <row r="919" spans="15:17" x14ac:dyDescent="0.2">
      <c r="O919" s="9" t="s">
        <v>13472</v>
      </c>
      <c r="P919" s="169" t="s">
        <v>13473</v>
      </c>
      <c r="Q919" s="9">
        <v>8209.2199999999993</v>
      </c>
    </row>
    <row r="920" spans="15:17" x14ac:dyDescent="0.2">
      <c r="O920" s="9" t="s">
        <v>13474</v>
      </c>
      <c r="P920" s="169" t="s">
        <v>13475</v>
      </c>
      <c r="Q920" s="9">
        <v>13902.65</v>
      </c>
    </row>
    <row r="921" spans="15:17" x14ac:dyDescent="0.2">
      <c r="O921" s="9" t="s">
        <v>13476</v>
      </c>
      <c r="P921" s="169" t="s">
        <v>13477</v>
      </c>
      <c r="Q921" s="9">
        <v>14657.71</v>
      </c>
    </row>
    <row r="922" spans="15:17" x14ac:dyDescent="0.2">
      <c r="O922" s="9" t="s">
        <v>13478</v>
      </c>
      <c r="P922" s="169" t="s">
        <v>13479</v>
      </c>
      <c r="Q922" s="9">
        <v>5402.12</v>
      </c>
    </row>
    <row r="923" spans="15:17" x14ac:dyDescent="0.2">
      <c r="O923" s="9" t="s">
        <v>13480</v>
      </c>
      <c r="P923" s="169" t="s">
        <v>13481</v>
      </c>
      <c r="Q923" s="9">
        <v>4928.74</v>
      </c>
    </row>
    <row r="924" spans="15:17" x14ac:dyDescent="0.2">
      <c r="O924" s="9" t="s">
        <v>13482</v>
      </c>
      <c r="P924" s="169" t="s">
        <v>13483</v>
      </c>
      <c r="Q924" s="9">
        <v>5871.22</v>
      </c>
    </row>
    <row r="925" spans="15:17" x14ac:dyDescent="0.2">
      <c r="O925" s="9" t="s">
        <v>13484</v>
      </c>
      <c r="P925" s="169" t="s">
        <v>13485</v>
      </c>
      <c r="Q925" s="9">
        <v>6345.68</v>
      </c>
    </row>
    <row r="926" spans="15:17" x14ac:dyDescent="0.2">
      <c r="O926" s="9" t="s">
        <v>13486</v>
      </c>
      <c r="P926" s="169" t="s">
        <v>13487</v>
      </c>
      <c r="Q926" s="9">
        <v>7288.16</v>
      </c>
    </row>
    <row r="927" spans="15:17" x14ac:dyDescent="0.2">
      <c r="O927" s="9" t="s">
        <v>13488</v>
      </c>
      <c r="P927" s="169" t="s">
        <v>13489</v>
      </c>
      <c r="Q927" s="9">
        <v>6820.13</v>
      </c>
    </row>
    <row r="928" spans="15:17" x14ac:dyDescent="0.2">
      <c r="O928" s="9" t="s">
        <v>13490</v>
      </c>
      <c r="P928" s="169" t="s">
        <v>13491</v>
      </c>
      <c r="Q928" s="9">
        <v>7761.54</v>
      </c>
    </row>
    <row r="929" spans="15:17" x14ac:dyDescent="0.2">
      <c r="O929" s="9" t="s">
        <v>13492</v>
      </c>
      <c r="P929" s="169" t="s">
        <v>13493</v>
      </c>
      <c r="Q929" s="9">
        <v>8235.99</v>
      </c>
    </row>
    <row r="930" spans="15:17" x14ac:dyDescent="0.2">
      <c r="O930" s="9" t="s">
        <v>13494</v>
      </c>
      <c r="P930" s="169" t="s">
        <v>13495</v>
      </c>
      <c r="Q930" s="9">
        <v>9178.4699999999993</v>
      </c>
    </row>
    <row r="931" spans="15:17" x14ac:dyDescent="0.2">
      <c r="O931" s="9" t="s">
        <v>13496</v>
      </c>
      <c r="P931" s="169" t="s">
        <v>13497</v>
      </c>
      <c r="Q931" s="9">
        <v>8710.3700000000008</v>
      </c>
    </row>
    <row r="932" spans="15:17" x14ac:dyDescent="0.2">
      <c r="O932" s="9" t="s">
        <v>13498</v>
      </c>
      <c r="P932" s="169" t="s">
        <v>13499</v>
      </c>
      <c r="Q932" s="9">
        <v>9652.92</v>
      </c>
    </row>
    <row r="933" spans="15:17" x14ac:dyDescent="0.2">
      <c r="O933" s="9" t="s">
        <v>13500</v>
      </c>
      <c r="P933" s="169" t="s">
        <v>13501</v>
      </c>
      <c r="Q933" s="9">
        <v>14282.86</v>
      </c>
    </row>
    <row r="934" spans="15:17" x14ac:dyDescent="0.2">
      <c r="O934" s="9" t="s">
        <v>13502</v>
      </c>
      <c r="P934" s="169" t="s">
        <v>13503</v>
      </c>
      <c r="Q934" s="9">
        <v>15088.25</v>
      </c>
    </row>
    <row r="935" spans="15:17" x14ac:dyDescent="0.2">
      <c r="O935" s="9" t="s">
        <v>13504</v>
      </c>
      <c r="P935" s="169" t="s">
        <v>13505</v>
      </c>
      <c r="Q935" s="9">
        <v>14685.55</v>
      </c>
    </row>
    <row r="936" spans="15:17" x14ac:dyDescent="0.2">
      <c r="O936" s="9" t="s">
        <v>13506</v>
      </c>
      <c r="P936" s="169" t="s">
        <v>13507</v>
      </c>
      <c r="Q936" s="9">
        <v>15490.94</v>
      </c>
    </row>
    <row r="937" spans="15:17" x14ac:dyDescent="0.2">
      <c r="O937" s="9" t="s">
        <v>13508</v>
      </c>
      <c r="P937" s="169" t="s">
        <v>13509</v>
      </c>
      <c r="Q937" s="9">
        <v>15892.57</v>
      </c>
    </row>
    <row r="938" spans="15:17" x14ac:dyDescent="0.2">
      <c r="O938" s="9" t="s">
        <v>13510</v>
      </c>
      <c r="P938" s="169" t="s">
        <v>13511</v>
      </c>
      <c r="Q938" s="9">
        <v>13353.23</v>
      </c>
    </row>
    <row r="939" spans="15:17" x14ac:dyDescent="0.2">
      <c r="O939" s="9" t="s">
        <v>13512</v>
      </c>
      <c r="P939" s="169" t="s">
        <v>13513</v>
      </c>
      <c r="Q939" s="9">
        <v>14685.55</v>
      </c>
    </row>
    <row r="940" spans="15:17" x14ac:dyDescent="0.2">
      <c r="O940" s="9" t="s">
        <v>13514</v>
      </c>
      <c r="P940" s="169" t="s">
        <v>13515</v>
      </c>
      <c r="Q940" s="9">
        <v>14018.32</v>
      </c>
    </row>
    <row r="941" spans="15:17" x14ac:dyDescent="0.2">
      <c r="O941" s="9" t="s">
        <v>13516</v>
      </c>
      <c r="P941" s="169" t="s">
        <v>13517</v>
      </c>
      <c r="Q941" s="9">
        <v>15352.78</v>
      </c>
    </row>
    <row r="942" spans="15:17" x14ac:dyDescent="0.2">
      <c r="O942" s="9" t="s">
        <v>13518</v>
      </c>
      <c r="P942" s="169" t="s">
        <v>13519</v>
      </c>
      <c r="Q942" s="9">
        <v>16020.02</v>
      </c>
    </row>
    <row r="943" spans="15:17" x14ac:dyDescent="0.2">
      <c r="O943" s="9" t="s">
        <v>13520</v>
      </c>
      <c r="P943" s="169" t="s">
        <v>13521</v>
      </c>
      <c r="Q943" s="9">
        <v>17358.77</v>
      </c>
    </row>
    <row r="944" spans="15:17" x14ac:dyDescent="0.2">
      <c r="O944" s="9" t="s">
        <v>13522</v>
      </c>
      <c r="P944" s="169" t="s">
        <v>13523</v>
      </c>
      <c r="Q944" s="9">
        <v>16692.61</v>
      </c>
    </row>
    <row r="945" spans="15:17" x14ac:dyDescent="0.2">
      <c r="O945" s="9" t="s">
        <v>13524</v>
      </c>
      <c r="P945" s="169" t="s">
        <v>13525</v>
      </c>
      <c r="Q945" s="9">
        <v>18026</v>
      </c>
    </row>
    <row r="946" spans="15:17" x14ac:dyDescent="0.2">
      <c r="O946" s="9" t="s">
        <v>13526</v>
      </c>
      <c r="P946" s="169" t="s">
        <v>13527</v>
      </c>
      <c r="Q946" s="9">
        <v>18693.23</v>
      </c>
    </row>
    <row r="947" spans="15:17" x14ac:dyDescent="0.2">
      <c r="O947" s="9" t="s">
        <v>13528</v>
      </c>
      <c r="P947" s="169" t="s">
        <v>13529</v>
      </c>
      <c r="Q947" s="9">
        <v>20028.77</v>
      </c>
    </row>
    <row r="948" spans="15:17" x14ac:dyDescent="0.2">
      <c r="O948" s="9" t="s">
        <v>13530</v>
      </c>
      <c r="P948" s="169" t="s">
        <v>13531</v>
      </c>
      <c r="Q948" s="9">
        <v>19361.54</v>
      </c>
    </row>
    <row r="949" spans="15:17" x14ac:dyDescent="0.2">
      <c r="O949" s="9" t="s">
        <v>13532</v>
      </c>
      <c r="P949" s="169" t="s">
        <v>13533</v>
      </c>
      <c r="Q949" s="9">
        <v>21362.17</v>
      </c>
    </row>
    <row r="950" spans="15:17" x14ac:dyDescent="0.2">
      <c r="O950" s="9" t="s">
        <v>13534</v>
      </c>
      <c r="P950" s="169" t="s">
        <v>13535</v>
      </c>
      <c r="Q950" s="9">
        <v>15622.68</v>
      </c>
    </row>
    <row r="951" spans="15:17" x14ac:dyDescent="0.2">
      <c r="O951" s="9" t="s">
        <v>13536</v>
      </c>
      <c r="P951" s="169" t="s">
        <v>13537</v>
      </c>
      <c r="Q951" s="9">
        <v>17304.150000000001</v>
      </c>
    </row>
    <row r="952" spans="15:17" x14ac:dyDescent="0.2">
      <c r="O952" s="9" t="s">
        <v>13538</v>
      </c>
      <c r="P952" s="169" t="s">
        <v>13539</v>
      </c>
      <c r="Q952" s="9">
        <v>18142.740000000002</v>
      </c>
    </row>
    <row r="953" spans="15:17" x14ac:dyDescent="0.2">
      <c r="O953" s="9" t="s">
        <v>13540</v>
      </c>
      <c r="P953" s="169" t="s">
        <v>13541</v>
      </c>
      <c r="Q953" s="9">
        <v>18980.259999999998</v>
      </c>
    </row>
    <row r="954" spans="15:17" x14ac:dyDescent="0.2">
      <c r="O954" s="9" t="s">
        <v>13542</v>
      </c>
      <c r="P954" s="169" t="s">
        <v>13543</v>
      </c>
      <c r="Q954" s="9">
        <v>20662.8</v>
      </c>
    </row>
    <row r="955" spans="15:17" x14ac:dyDescent="0.2">
      <c r="O955" s="9" t="s">
        <v>13544</v>
      </c>
      <c r="P955" s="169" t="s">
        <v>13545</v>
      </c>
      <c r="Q955" s="9">
        <v>19824.21</v>
      </c>
    </row>
    <row r="956" spans="15:17" x14ac:dyDescent="0.2">
      <c r="O956" s="9" t="s">
        <v>13546</v>
      </c>
      <c r="P956" s="169" t="s">
        <v>13547</v>
      </c>
      <c r="Q956" s="9">
        <v>21504.61</v>
      </c>
    </row>
    <row r="957" spans="15:17" x14ac:dyDescent="0.2">
      <c r="O957" s="9" t="s">
        <v>13548</v>
      </c>
      <c r="P957" s="169" t="s">
        <v>13549</v>
      </c>
      <c r="Q957" s="9">
        <v>22343.200000000001</v>
      </c>
    </row>
    <row r="958" spans="15:17" x14ac:dyDescent="0.2">
      <c r="O958" s="9" t="s">
        <v>13550</v>
      </c>
      <c r="P958" s="169" t="s">
        <v>13551</v>
      </c>
      <c r="Q958" s="9">
        <v>24024.67</v>
      </c>
    </row>
    <row r="959" spans="15:17" x14ac:dyDescent="0.2">
      <c r="O959" s="9" t="s">
        <v>13552</v>
      </c>
      <c r="P959" s="169" t="s">
        <v>13553</v>
      </c>
      <c r="Q959" s="9">
        <v>23180.720000000001</v>
      </c>
    </row>
    <row r="960" spans="15:17" x14ac:dyDescent="0.2">
      <c r="O960" s="9" t="s">
        <v>13554</v>
      </c>
      <c r="P960" s="169" t="s">
        <v>13555</v>
      </c>
      <c r="Q960" s="9">
        <v>24863.26</v>
      </c>
    </row>
    <row r="961" spans="15:17" x14ac:dyDescent="0.2">
      <c r="O961" s="9" t="s">
        <v>13556</v>
      </c>
      <c r="P961" s="169" t="s">
        <v>13557</v>
      </c>
      <c r="Q961" s="9">
        <v>25700.79</v>
      </c>
    </row>
    <row r="962" spans="15:17" x14ac:dyDescent="0.2">
      <c r="O962" s="9" t="s">
        <v>13558</v>
      </c>
      <c r="P962" s="169" t="s">
        <v>13559</v>
      </c>
      <c r="Q962" s="9">
        <v>34645.78</v>
      </c>
    </row>
    <row r="963" spans="15:17" x14ac:dyDescent="0.2">
      <c r="O963" s="9" t="s">
        <v>13560</v>
      </c>
      <c r="P963" s="169" t="s">
        <v>13561</v>
      </c>
      <c r="Q963" s="9">
        <v>12.24</v>
      </c>
    </row>
    <row r="964" spans="15:17" x14ac:dyDescent="0.2">
      <c r="O964" s="9" t="s">
        <v>13562</v>
      </c>
      <c r="P964" s="169" t="s">
        <v>13563</v>
      </c>
      <c r="Q964" s="9">
        <v>12.6</v>
      </c>
    </row>
    <row r="965" spans="15:17" x14ac:dyDescent="0.2">
      <c r="O965" s="9" t="s">
        <v>13564</v>
      </c>
      <c r="P965" s="169" t="s">
        <v>13565</v>
      </c>
      <c r="Q965" s="9">
        <v>14.49</v>
      </c>
    </row>
    <row r="966" spans="15:17" x14ac:dyDescent="0.2">
      <c r="O966" s="9" t="s">
        <v>13566</v>
      </c>
      <c r="P966" s="169" t="s">
        <v>13567</v>
      </c>
      <c r="Q966" s="9">
        <v>16.149999999999999</v>
      </c>
    </row>
    <row r="967" spans="15:17" x14ac:dyDescent="0.2">
      <c r="O967" s="9" t="s">
        <v>13568</v>
      </c>
      <c r="P967" s="169" t="s">
        <v>13569</v>
      </c>
      <c r="Q967" s="9">
        <v>16.850000000000001</v>
      </c>
    </row>
    <row r="968" spans="15:17" x14ac:dyDescent="0.2">
      <c r="O968" s="9" t="s">
        <v>13570</v>
      </c>
      <c r="P968" s="169" t="s">
        <v>13571</v>
      </c>
      <c r="Q968" s="9">
        <v>20.11</v>
      </c>
    </row>
    <row r="969" spans="15:17" x14ac:dyDescent="0.2">
      <c r="O969" s="9" t="s">
        <v>13572</v>
      </c>
      <c r="P969" s="169" t="s">
        <v>13573</v>
      </c>
      <c r="Q969" s="9">
        <v>24.28</v>
      </c>
    </row>
    <row r="970" spans="15:17" x14ac:dyDescent="0.2">
      <c r="O970" s="9" t="s">
        <v>13574</v>
      </c>
      <c r="P970" s="169" t="s">
        <v>13575</v>
      </c>
      <c r="Q970" s="9">
        <v>28.67</v>
      </c>
    </row>
    <row r="971" spans="15:17" x14ac:dyDescent="0.2">
      <c r="O971" s="9" t="s">
        <v>13576</v>
      </c>
      <c r="P971" s="169" t="s">
        <v>13577</v>
      </c>
      <c r="Q971" s="9">
        <v>37.53</v>
      </c>
    </row>
    <row r="972" spans="15:17" x14ac:dyDescent="0.2">
      <c r="O972" s="9" t="s">
        <v>13578</v>
      </c>
      <c r="P972" s="169" t="s">
        <v>13579</v>
      </c>
      <c r="Q972" s="9">
        <v>1202.68</v>
      </c>
    </row>
    <row r="973" spans="15:17" x14ac:dyDescent="0.2">
      <c r="O973" s="9" t="s">
        <v>13580</v>
      </c>
      <c r="P973" s="169" t="s">
        <v>13581</v>
      </c>
      <c r="Q973" s="9">
        <v>4362.7700000000004</v>
      </c>
    </row>
    <row r="974" spans="15:17" x14ac:dyDescent="0.2">
      <c r="O974" s="9" t="s">
        <v>13582</v>
      </c>
      <c r="P974" s="169" t="s">
        <v>13583</v>
      </c>
      <c r="Q974" s="9">
        <v>823.21</v>
      </c>
    </row>
    <row r="975" spans="15:17" x14ac:dyDescent="0.2">
      <c r="O975" s="9" t="s">
        <v>13584</v>
      </c>
      <c r="P975" s="169" t="s">
        <v>13585</v>
      </c>
      <c r="Q975" s="9">
        <v>886.72</v>
      </c>
    </row>
    <row r="976" spans="15:17" x14ac:dyDescent="0.2">
      <c r="O976" s="9" t="s">
        <v>13586</v>
      </c>
      <c r="P976" s="169" t="s">
        <v>13587</v>
      </c>
      <c r="Q976" s="9">
        <v>970.94</v>
      </c>
    </row>
    <row r="977" spans="15:17" x14ac:dyDescent="0.2">
      <c r="O977" s="9" t="s">
        <v>13588</v>
      </c>
      <c r="P977" s="169" t="s">
        <v>13589</v>
      </c>
      <c r="Q977" s="9">
        <v>1059.44</v>
      </c>
    </row>
    <row r="978" spans="15:17" x14ac:dyDescent="0.2">
      <c r="O978" s="9" t="s">
        <v>13590</v>
      </c>
      <c r="P978" s="169" t="s">
        <v>13591</v>
      </c>
      <c r="Q978" s="9">
        <v>1130.21</v>
      </c>
    </row>
    <row r="979" spans="15:17" x14ac:dyDescent="0.2">
      <c r="O979" s="9" t="s">
        <v>13592</v>
      </c>
      <c r="P979" s="169" t="s">
        <v>13593</v>
      </c>
      <c r="Q979" s="9">
        <v>10.66</v>
      </c>
    </row>
    <row r="980" spans="15:17" x14ac:dyDescent="0.2">
      <c r="O980" s="9" t="s">
        <v>13594</v>
      </c>
      <c r="P980" s="169" t="s">
        <v>13595</v>
      </c>
      <c r="Q980" s="9">
        <v>13.71</v>
      </c>
    </row>
    <row r="981" spans="15:17" x14ac:dyDescent="0.2">
      <c r="O981" s="9" t="s">
        <v>13596</v>
      </c>
      <c r="P981" s="169" t="s">
        <v>13597</v>
      </c>
      <c r="Q981" s="9">
        <v>15.76</v>
      </c>
    </row>
    <row r="982" spans="15:17" x14ac:dyDescent="0.2">
      <c r="O982" s="9" t="s">
        <v>13598</v>
      </c>
      <c r="P982" s="169" t="s">
        <v>13599</v>
      </c>
      <c r="Q982" s="9">
        <v>18.690000000000001</v>
      </c>
    </row>
    <row r="983" spans="15:17" x14ac:dyDescent="0.2">
      <c r="O983" s="9" t="s">
        <v>13600</v>
      </c>
      <c r="P983" s="169" t="s">
        <v>13601</v>
      </c>
      <c r="Q983" s="9">
        <v>21.22</v>
      </c>
    </row>
    <row r="984" spans="15:17" x14ac:dyDescent="0.2">
      <c r="O984" s="9" t="s">
        <v>13602</v>
      </c>
      <c r="P984" s="169" t="s">
        <v>13603</v>
      </c>
      <c r="Q984" s="9">
        <v>26.97</v>
      </c>
    </row>
    <row r="985" spans="15:17" x14ac:dyDescent="0.2">
      <c r="O985" s="9" t="s">
        <v>13604</v>
      </c>
      <c r="P985" s="169" t="s">
        <v>13605</v>
      </c>
      <c r="Q985" s="9">
        <v>31.03</v>
      </c>
    </row>
    <row r="986" spans="15:17" x14ac:dyDescent="0.2">
      <c r="O986" s="9" t="s">
        <v>13606</v>
      </c>
      <c r="P986" s="169" t="s">
        <v>13607</v>
      </c>
      <c r="Q986" s="9">
        <v>48.41</v>
      </c>
    </row>
    <row r="987" spans="15:17" x14ac:dyDescent="0.2">
      <c r="O987" s="9" t="s">
        <v>13608</v>
      </c>
      <c r="P987" s="169" t="s">
        <v>13609</v>
      </c>
      <c r="Q987" s="9">
        <v>50.02</v>
      </c>
    </row>
    <row r="988" spans="15:17" x14ac:dyDescent="0.2">
      <c r="O988" s="9" t="s">
        <v>13610</v>
      </c>
      <c r="P988" s="169" t="s">
        <v>13611</v>
      </c>
      <c r="Q988" s="9">
        <v>20.14</v>
      </c>
    </row>
    <row r="989" spans="15:17" x14ac:dyDescent="0.2">
      <c r="O989" s="9" t="s">
        <v>13612</v>
      </c>
      <c r="P989" s="169" t="s">
        <v>13613</v>
      </c>
      <c r="Q989" s="9">
        <v>21.91</v>
      </c>
    </row>
    <row r="990" spans="15:17" x14ac:dyDescent="0.2">
      <c r="O990" s="9" t="s">
        <v>13614</v>
      </c>
      <c r="P990" s="169" t="s">
        <v>13615</v>
      </c>
      <c r="Q990" s="9">
        <v>28.11</v>
      </c>
    </row>
    <row r="991" spans="15:17" x14ac:dyDescent="0.2">
      <c r="O991" s="9" t="s">
        <v>13616</v>
      </c>
      <c r="P991" s="169" t="s">
        <v>13617</v>
      </c>
      <c r="Q991" s="9">
        <v>26.88</v>
      </c>
    </row>
    <row r="992" spans="15:17" x14ac:dyDescent="0.2">
      <c r="O992" s="9" t="s">
        <v>13618</v>
      </c>
      <c r="P992" s="169" t="s">
        <v>13619</v>
      </c>
      <c r="Q992" s="9">
        <v>33.61</v>
      </c>
    </row>
    <row r="993" spans="15:17" x14ac:dyDescent="0.2">
      <c r="O993" s="9" t="s">
        <v>13620</v>
      </c>
      <c r="P993" s="169" t="s">
        <v>13621</v>
      </c>
      <c r="Q993" s="9">
        <v>41.57</v>
      </c>
    </row>
    <row r="994" spans="15:17" x14ac:dyDescent="0.2">
      <c r="O994" s="9" t="s">
        <v>13622</v>
      </c>
      <c r="P994" s="169" t="s">
        <v>13623</v>
      </c>
      <c r="Q994" s="9">
        <v>45.71</v>
      </c>
    </row>
    <row r="995" spans="15:17" x14ac:dyDescent="0.2">
      <c r="O995" s="9" t="s">
        <v>13624</v>
      </c>
      <c r="P995" s="169" t="s">
        <v>13625</v>
      </c>
      <c r="Q995" s="9">
        <v>54.36</v>
      </c>
    </row>
    <row r="996" spans="15:17" x14ac:dyDescent="0.2">
      <c r="O996" s="9" t="s">
        <v>13626</v>
      </c>
      <c r="P996" s="169" t="s">
        <v>13627</v>
      </c>
      <c r="Q996" s="9">
        <v>57.92</v>
      </c>
    </row>
    <row r="997" spans="15:17" x14ac:dyDescent="0.2">
      <c r="O997" s="9" t="s">
        <v>13628</v>
      </c>
      <c r="P997" s="169" t="s">
        <v>13629</v>
      </c>
      <c r="Q997" s="9">
        <v>63.19</v>
      </c>
    </row>
    <row r="998" spans="15:17" x14ac:dyDescent="0.2">
      <c r="O998" s="9" t="s">
        <v>13630</v>
      </c>
      <c r="P998" s="169" t="s">
        <v>13631</v>
      </c>
      <c r="Q998" s="9">
        <v>81.14</v>
      </c>
    </row>
    <row r="999" spans="15:17" x14ac:dyDescent="0.2">
      <c r="O999" s="9" t="s">
        <v>13632</v>
      </c>
      <c r="P999" s="169" t="s">
        <v>13633</v>
      </c>
      <c r="Q999" s="9">
        <v>90.86</v>
      </c>
    </row>
    <row r="1000" spans="15:17" x14ac:dyDescent="0.2">
      <c r="O1000" s="9" t="s">
        <v>13634</v>
      </c>
      <c r="P1000" s="169" t="s">
        <v>13635</v>
      </c>
      <c r="Q1000" s="9">
        <v>113.17</v>
      </c>
    </row>
    <row r="1001" spans="15:17" x14ac:dyDescent="0.2">
      <c r="O1001" s="9" t="s">
        <v>13636</v>
      </c>
      <c r="P1001" s="169" t="s">
        <v>13637</v>
      </c>
      <c r="Q1001" s="9">
        <v>17.190000000000001</v>
      </c>
    </row>
    <row r="1002" spans="15:17" x14ac:dyDescent="0.2">
      <c r="O1002" s="9" t="s">
        <v>13638</v>
      </c>
      <c r="P1002" s="169" t="s">
        <v>13639</v>
      </c>
      <c r="Q1002" s="9">
        <v>18.690000000000001</v>
      </c>
    </row>
    <row r="1003" spans="15:17" x14ac:dyDescent="0.2">
      <c r="O1003" s="9" t="s">
        <v>13640</v>
      </c>
      <c r="P1003" s="169" t="s">
        <v>13641</v>
      </c>
      <c r="Q1003" s="9">
        <v>21.83</v>
      </c>
    </row>
    <row r="1004" spans="15:17" x14ac:dyDescent="0.2">
      <c r="O1004" s="9" t="s">
        <v>13642</v>
      </c>
      <c r="P1004" s="169" t="s">
        <v>13643</v>
      </c>
      <c r="Q1004" s="9">
        <v>23.27</v>
      </c>
    </row>
    <row r="1005" spans="15:17" x14ac:dyDescent="0.2">
      <c r="O1005" s="9" t="s">
        <v>13644</v>
      </c>
      <c r="P1005" s="169" t="s">
        <v>13645</v>
      </c>
      <c r="Q1005" s="9">
        <v>27.95</v>
      </c>
    </row>
    <row r="1006" spans="15:17" x14ac:dyDescent="0.2">
      <c r="O1006" s="9" t="s">
        <v>13646</v>
      </c>
      <c r="P1006" s="169" t="s">
        <v>13647</v>
      </c>
      <c r="Q1006" s="9">
        <v>33.18</v>
      </c>
    </row>
    <row r="1007" spans="15:17" x14ac:dyDescent="0.2">
      <c r="O1007" s="9" t="s">
        <v>13648</v>
      </c>
      <c r="P1007" s="169" t="s">
        <v>13649</v>
      </c>
      <c r="Q1007" s="9">
        <v>39.68</v>
      </c>
    </row>
    <row r="1008" spans="15:17" x14ac:dyDescent="0.2">
      <c r="O1008" s="9" t="s">
        <v>13650</v>
      </c>
      <c r="P1008" s="169" t="s">
        <v>13651</v>
      </c>
      <c r="Q1008" s="9">
        <v>42.44</v>
      </c>
    </row>
    <row r="1009" spans="15:17" x14ac:dyDescent="0.2">
      <c r="O1009" s="9" t="s">
        <v>13652</v>
      </c>
      <c r="P1009" s="169" t="s">
        <v>13653</v>
      </c>
      <c r="Q1009" s="9">
        <v>50.67</v>
      </c>
    </row>
    <row r="1010" spans="15:17" x14ac:dyDescent="0.2">
      <c r="O1010" s="9" t="s">
        <v>13654</v>
      </c>
      <c r="P1010" s="169" t="s">
        <v>13655</v>
      </c>
      <c r="Q1010" s="9">
        <v>51.78</v>
      </c>
    </row>
    <row r="1011" spans="15:17" x14ac:dyDescent="0.2">
      <c r="O1011" s="9" t="s">
        <v>13656</v>
      </c>
      <c r="P1011" s="169" t="s">
        <v>13657</v>
      </c>
      <c r="Q1011" s="9">
        <v>69.7</v>
      </c>
    </row>
    <row r="1012" spans="15:17" x14ac:dyDescent="0.2">
      <c r="O1012" s="9" t="s">
        <v>13658</v>
      </c>
      <c r="P1012" s="169" t="s">
        <v>13659</v>
      </c>
      <c r="Q1012" s="9">
        <v>78.77</v>
      </c>
    </row>
    <row r="1013" spans="15:17" x14ac:dyDescent="0.2">
      <c r="O1013" s="9" t="s">
        <v>13660</v>
      </c>
      <c r="P1013" s="169" t="s">
        <v>13661</v>
      </c>
      <c r="Q1013" s="9">
        <v>41.64</v>
      </c>
    </row>
    <row r="1014" spans="15:17" x14ac:dyDescent="0.2">
      <c r="O1014" s="9" t="s">
        <v>13662</v>
      </c>
      <c r="P1014" s="169" t="s">
        <v>13663</v>
      </c>
      <c r="Q1014" s="9">
        <v>49</v>
      </c>
    </row>
    <row r="1015" spans="15:17" x14ac:dyDescent="0.2">
      <c r="O1015" s="9" t="s">
        <v>13664</v>
      </c>
      <c r="P1015" s="169" t="s">
        <v>13665</v>
      </c>
      <c r="Q1015" s="9">
        <v>57.03</v>
      </c>
    </row>
    <row r="1016" spans="15:17" x14ac:dyDescent="0.2">
      <c r="O1016" s="9" t="s">
        <v>13666</v>
      </c>
      <c r="P1016" s="169" t="s">
        <v>13667</v>
      </c>
      <c r="Q1016" s="9">
        <v>66.03</v>
      </c>
    </row>
    <row r="1017" spans="15:17" x14ac:dyDescent="0.2">
      <c r="O1017" s="9" t="s">
        <v>13668</v>
      </c>
      <c r="P1017" s="169" t="s">
        <v>13669</v>
      </c>
      <c r="Q1017" s="9">
        <v>76.13</v>
      </c>
    </row>
    <row r="1018" spans="15:17" x14ac:dyDescent="0.2">
      <c r="O1018" s="9" t="s">
        <v>13670</v>
      </c>
      <c r="P1018" s="169" t="s">
        <v>13671</v>
      </c>
      <c r="Q1018" s="9">
        <v>81.08</v>
      </c>
    </row>
    <row r="1019" spans="15:17" x14ac:dyDescent="0.2">
      <c r="O1019" s="9" t="s">
        <v>13672</v>
      </c>
      <c r="P1019" s="169" t="s">
        <v>13673</v>
      </c>
      <c r="Q1019" s="9">
        <v>83.42</v>
      </c>
    </row>
    <row r="1020" spans="15:17" x14ac:dyDescent="0.2">
      <c r="O1020" s="9" t="s">
        <v>13674</v>
      </c>
      <c r="P1020" s="169" t="s">
        <v>13675</v>
      </c>
      <c r="Q1020" s="9">
        <v>91.27</v>
      </c>
    </row>
    <row r="1021" spans="15:17" x14ac:dyDescent="0.2">
      <c r="O1021" s="9" t="s">
        <v>13676</v>
      </c>
      <c r="P1021" s="169" t="s">
        <v>13677</v>
      </c>
      <c r="Q1021" s="9">
        <v>101.24</v>
      </c>
    </row>
    <row r="1022" spans="15:17" x14ac:dyDescent="0.2">
      <c r="O1022" s="9" t="s">
        <v>13678</v>
      </c>
      <c r="P1022" s="169" t="s">
        <v>13679</v>
      </c>
      <c r="Q1022" s="9">
        <v>106.94</v>
      </c>
    </row>
    <row r="1023" spans="15:17" x14ac:dyDescent="0.2">
      <c r="O1023" s="9" t="s">
        <v>13680</v>
      </c>
      <c r="P1023" s="169" t="s">
        <v>13681</v>
      </c>
      <c r="Q1023" s="9">
        <v>111.87</v>
      </c>
    </row>
    <row r="1024" spans="15:17" x14ac:dyDescent="0.2">
      <c r="O1024" s="9" t="s">
        <v>13682</v>
      </c>
      <c r="P1024" s="169" t="s">
        <v>13683</v>
      </c>
      <c r="Q1024" s="9">
        <v>121.71</v>
      </c>
    </row>
    <row r="1025" spans="15:17" x14ac:dyDescent="0.2">
      <c r="O1025" s="9" t="s">
        <v>13684</v>
      </c>
      <c r="P1025" s="169" t="s">
        <v>13685</v>
      </c>
      <c r="Q1025" s="9">
        <v>129.11000000000001</v>
      </c>
    </row>
    <row r="1026" spans="15:17" x14ac:dyDescent="0.2">
      <c r="O1026" s="9" t="s">
        <v>13686</v>
      </c>
      <c r="P1026" s="169" t="s">
        <v>13687</v>
      </c>
      <c r="Q1026" s="9">
        <v>141.59</v>
      </c>
    </row>
    <row r="1027" spans="15:17" x14ac:dyDescent="0.2">
      <c r="O1027" s="9" t="s">
        <v>13688</v>
      </c>
      <c r="P1027" s="169" t="s">
        <v>13689</v>
      </c>
      <c r="Q1027" s="9">
        <v>145.88</v>
      </c>
    </row>
    <row r="1028" spans="15:17" x14ac:dyDescent="0.2">
      <c r="O1028" s="9" t="s">
        <v>13690</v>
      </c>
      <c r="P1028" s="169" t="s">
        <v>13691</v>
      </c>
      <c r="Q1028" s="9">
        <v>30.39</v>
      </c>
    </row>
    <row r="1029" spans="15:17" x14ac:dyDescent="0.2">
      <c r="O1029" s="9" t="s">
        <v>13692</v>
      </c>
      <c r="P1029" s="169" t="s">
        <v>13693</v>
      </c>
      <c r="Q1029" s="9">
        <v>32.93</v>
      </c>
    </row>
    <row r="1030" spans="15:17" x14ac:dyDescent="0.2">
      <c r="O1030" s="9" t="s">
        <v>13694</v>
      </c>
      <c r="P1030" s="169" t="s">
        <v>13695</v>
      </c>
      <c r="Q1030" s="9">
        <v>44.44</v>
      </c>
    </row>
    <row r="1031" spans="15:17" x14ac:dyDescent="0.2">
      <c r="O1031" s="9" t="s">
        <v>13696</v>
      </c>
      <c r="P1031" s="169" t="s">
        <v>13697</v>
      </c>
      <c r="Q1031" s="9">
        <v>49.32</v>
      </c>
    </row>
    <row r="1032" spans="15:17" x14ac:dyDescent="0.2">
      <c r="O1032" s="9" t="s">
        <v>13698</v>
      </c>
      <c r="P1032" s="169" t="s">
        <v>13699</v>
      </c>
      <c r="Q1032" s="9">
        <v>57.56</v>
      </c>
    </row>
    <row r="1033" spans="15:17" x14ac:dyDescent="0.2">
      <c r="O1033" s="9" t="s">
        <v>13700</v>
      </c>
      <c r="P1033" s="169" t="s">
        <v>13701</v>
      </c>
      <c r="Q1033" s="9">
        <v>60.73</v>
      </c>
    </row>
    <row r="1034" spans="15:17" x14ac:dyDescent="0.2">
      <c r="O1034" s="9" t="s">
        <v>13702</v>
      </c>
      <c r="P1034" s="169" t="s">
        <v>13703</v>
      </c>
      <c r="Q1034" s="9">
        <v>69.31</v>
      </c>
    </row>
    <row r="1035" spans="15:17" x14ac:dyDescent="0.2">
      <c r="O1035" s="9" t="s">
        <v>13704</v>
      </c>
      <c r="P1035" s="169" t="s">
        <v>13705</v>
      </c>
      <c r="Q1035" s="9">
        <v>77.77</v>
      </c>
    </row>
    <row r="1036" spans="15:17" x14ac:dyDescent="0.2">
      <c r="O1036" s="9" t="s">
        <v>13706</v>
      </c>
      <c r="P1036" s="169" t="s">
        <v>13707</v>
      </c>
      <c r="Q1036" s="9">
        <v>78.97</v>
      </c>
    </row>
    <row r="1037" spans="15:17" x14ac:dyDescent="0.2">
      <c r="O1037" s="9" t="s">
        <v>13708</v>
      </c>
      <c r="P1037" s="169" t="s">
        <v>13709</v>
      </c>
      <c r="Q1037" s="9">
        <v>80.36</v>
      </c>
    </row>
    <row r="1038" spans="15:17" x14ac:dyDescent="0.2">
      <c r="O1038" s="9" t="s">
        <v>13710</v>
      </c>
      <c r="P1038" s="169" t="s">
        <v>13711</v>
      </c>
      <c r="Q1038" s="9">
        <v>86.26</v>
      </c>
    </row>
    <row r="1039" spans="15:17" x14ac:dyDescent="0.2">
      <c r="O1039" s="9" t="s">
        <v>13712</v>
      </c>
      <c r="P1039" s="169" t="s">
        <v>13713</v>
      </c>
      <c r="Q1039" s="9">
        <v>93.75</v>
      </c>
    </row>
    <row r="1040" spans="15:17" x14ac:dyDescent="0.2">
      <c r="O1040" s="9" t="s">
        <v>13714</v>
      </c>
      <c r="P1040" s="169" t="s">
        <v>13715</v>
      </c>
      <c r="Q1040" s="9">
        <v>100.91</v>
      </c>
    </row>
    <row r="1041" spans="15:17" x14ac:dyDescent="0.2">
      <c r="O1041" s="9" t="s">
        <v>13716</v>
      </c>
      <c r="P1041" s="169" t="s">
        <v>13717</v>
      </c>
      <c r="Q1041" s="9">
        <v>223.96</v>
      </c>
    </row>
    <row r="1042" spans="15:17" x14ac:dyDescent="0.2">
      <c r="O1042" s="9" t="s">
        <v>13718</v>
      </c>
      <c r="P1042" s="169" t="s">
        <v>13719</v>
      </c>
      <c r="Q1042" s="9">
        <v>82.42</v>
      </c>
    </row>
    <row r="1043" spans="15:17" x14ac:dyDescent="0.2">
      <c r="O1043" s="9" t="s">
        <v>13720</v>
      </c>
      <c r="P1043" s="169" t="s">
        <v>13721</v>
      </c>
      <c r="Q1043" s="9">
        <v>83.52</v>
      </c>
    </row>
    <row r="1044" spans="15:17" x14ac:dyDescent="0.2">
      <c r="O1044" s="9" t="s">
        <v>13722</v>
      </c>
      <c r="P1044" s="169" t="s">
        <v>13723</v>
      </c>
      <c r="Q1044" s="9">
        <v>88.34</v>
      </c>
    </row>
    <row r="1045" spans="15:17" x14ac:dyDescent="0.2">
      <c r="O1045" s="9" t="s">
        <v>13724</v>
      </c>
      <c r="P1045" s="169" t="s">
        <v>13725</v>
      </c>
      <c r="Q1045" s="9">
        <v>101.98</v>
      </c>
    </row>
    <row r="1046" spans="15:17" x14ac:dyDescent="0.2">
      <c r="O1046" s="9" t="s">
        <v>13726</v>
      </c>
      <c r="P1046" s="169" t="s">
        <v>13727</v>
      </c>
      <c r="Q1046" s="9">
        <v>112.01</v>
      </c>
    </row>
    <row r="1047" spans="15:17" x14ac:dyDescent="0.2">
      <c r="O1047" s="9" t="s">
        <v>13728</v>
      </c>
      <c r="P1047" s="169" t="s">
        <v>13729</v>
      </c>
      <c r="Q1047" s="9">
        <v>120.72</v>
      </c>
    </row>
    <row r="1048" spans="15:17" x14ac:dyDescent="0.2">
      <c r="O1048" s="9" t="s">
        <v>13730</v>
      </c>
      <c r="P1048" s="169" t="s">
        <v>13731</v>
      </c>
      <c r="Q1048" s="9">
        <v>133.46</v>
      </c>
    </row>
    <row r="1049" spans="15:17" x14ac:dyDescent="0.2">
      <c r="O1049" s="9" t="s">
        <v>13732</v>
      </c>
      <c r="P1049" s="169" t="s">
        <v>13733</v>
      </c>
      <c r="Q1049" s="9">
        <v>138.4</v>
      </c>
    </row>
    <row r="1050" spans="15:17" x14ac:dyDescent="0.2">
      <c r="O1050" s="9" t="s">
        <v>13734</v>
      </c>
      <c r="P1050" s="169" t="s">
        <v>13735</v>
      </c>
      <c r="Q1050" s="9">
        <v>146.04</v>
      </c>
    </row>
    <row r="1051" spans="15:17" x14ac:dyDescent="0.2">
      <c r="O1051" s="9" t="s">
        <v>13736</v>
      </c>
      <c r="P1051" s="169" t="s">
        <v>13737</v>
      </c>
      <c r="Q1051" s="9">
        <v>172.84</v>
      </c>
    </row>
    <row r="1052" spans="15:17" x14ac:dyDescent="0.2">
      <c r="O1052" s="9" t="s">
        <v>13738</v>
      </c>
      <c r="P1052" s="169" t="s">
        <v>13739</v>
      </c>
      <c r="Q1052" s="9">
        <v>185.93</v>
      </c>
    </row>
    <row r="1053" spans="15:17" x14ac:dyDescent="0.2">
      <c r="O1053" s="9" t="s">
        <v>13740</v>
      </c>
      <c r="P1053" s="169" t="s">
        <v>13741</v>
      </c>
      <c r="Q1053" s="9">
        <v>190.63</v>
      </c>
    </row>
    <row r="1054" spans="15:17" x14ac:dyDescent="0.2">
      <c r="O1054" s="9" t="s">
        <v>13742</v>
      </c>
      <c r="P1054" s="169" t="s">
        <v>13743</v>
      </c>
      <c r="Q1054" s="9">
        <v>195.95</v>
      </c>
    </row>
    <row r="1055" spans="15:17" x14ac:dyDescent="0.2">
      <c r="O1055" s="9" t="s">
        <v>13744</v>
      </c>
      <c r="P1055" s="169" t="s">
        <v>13745</v>
      </c>
      <c r="Q1055" s="9">
        <v>46.85</v>
      </c>
    </row>
    <row r="1056" spans="15:17" x14ac:dyDescent="0.2">
      <c r="O1056" s="9" t="s">
        <v>13746</v>
      </c>
      <c r="P1056" s="169" t="s">
        <v>13747</v>
      </c>
      <c r="Q1056" s="9">
        <v>57.37</v>
      </c>
    </row>
    <row r="1057" spans="15:17" x14ac:dyDescent="0.2">
      <c r="O1057" s="9" t="s">
        <v>13748</v>
      </c>
      <c r="P1057" s="169" t="s">
        <v>13749</v>
      </c>
      <c r="Q1057" s="9">
        <v>66.459999999999994</v>
      </c>
    </row>
    <row r="1058" spans="15:17" x14ac:dyDescent="0.2">
      <c r="O1058" s="9" t="s">
        <v>13750</v>
      </c>
      <c r="P1058" s="169" t="s">
        <v>13751</v>
      </c>
      <c r="Q1058" s="9">
        <v>74.83</v>
      </c>
    </row>
    <row r="1059" spans="15:17" x14ac:dyDescent="0.2">
      <c r="O1059" s="9" t="s">
        <v>13752</v>
      </c>
      <c r="P1059" s="169" t="s">
        <v>13753</v>
      </c>
      <c r="Q1059" s="9">
        <v>87.07</v>
      </c>
    </row>
    <row r="1060" spans="15:17" x14ac:dyDescent="0.2">
      <c r="O1060" s="9" t="s">
        <v>13754</v>
      </c>
      <c r="P1060" s="169" t="s">
        <v>13755</v>
      </c>
      <c r="Q1060" s="9">
        <v>92.69</v>
      </c>
    </row>
    <row r="1061" spans="15:17" x14ac:dyDescent="0.2">
      <c r="O1061" s="9" t="s">
        <v>13756</v>
      </c>
      <c r="P1061" s="169" t="s">
        <v>13757</v>
      </c>
      <c r="Q1061" s="9">
        <v>103.25</v>
      </c>
    </row>
    <row r="1062" spans="15:17" x14ac:dyDescent="0.2">
      <c r="O1062" s="9" t="s">
        <v>13758</v>
      </c>
      <c r="P1062" s="169" t="s">
        <v>13759</v>
      </c>
      <c r="Q1062" s="9">
        <v>104.75</v>
      </c>
    </row>
    <row r="1063" spans="15:17" x14ac:dyDescent="0.2">
      <c r="O1063" s="9" t="s">
        <v>13760</v>
      </c>
      <c r="P1063" s="169" t="s">
        <v>13761</v>
      </c>
      <c r="Q1063" s="9">
        <v>109.52</v>
      </c>
    </row>
    <row r="1064" spans="15:17" x14ac:dyDescent="0.2">
      <c r="O1064" s="9" t="s">
        <v>13762</v>
      </c>
      <c r="P1064" s="169" t="s">
        <v>13763</v>
      </c>
      <c r="Q1064" s="9">
        <v>124.25</v>
      </c>
    </row>
    <row r="1065" spans="15:17" x14ac:dyDescent="0.2">
      <c r="O1065" s="9" t="s">
        <v>13764</v>
      </c>
      <c r="P1065" s="169" t="s">
        <v>13765</v>
      </c>
      <c r="Q1065" s="9">
        <v>132.47999999999999</v>
      </c>
    </row>
    <row r="1066" spans="15:17" x14ac:dyDescent="0.2">
      <c r="O1066" s="9" t="s">
        <v>13766</v>
      </c>
      <c r="P1066" s="169" t="s">
        <v>13767</v>
      </c>
      <c r="Q1066" s="9">
        <v>143.63999999999999</v>
      </c>
    </row>
    <row r="1067" spans="15:17" x14ac:dyDescent="0.2">
      <c r="O1067" s="9" t="s">
        <v>13768</v>
      </c>
      <c r="P1067" s="169" t="s">
        <v>13769</v>
      </c>
      <c r="Q1067" s="9">
        <v>146.63999999999999</v>
      </c>
    </row>
    <row r="1068" spans="15:17" x14ac:dyDescent="0.2">
      <c r="O1068" s="9" t="s">
        <v>13770</v>
      </c>
      <c r="P1068" s="169" t="s">
        <v>13771</v>
      </c>
      <c r="Q1068" s="9">
        <v>149.69999999999999</v>
      </c>
    </row>
    <row r="1069" spans="15:17" x14ac:dyDescent="0.2">
      <c r="O1069" s="9" t="s">
        <v>13772</v>
      </c>
      <c r="P1069" s="169" t="s">
        <v>13773</v>
      </c>
      <c r="Q1069" s="9">
        <v>168.6</v>
      </c>
    </row>
    <row r="1070" spans="15:17" x14ac:dyDescent="0.2">
      <c r="O1070" s="9" t="s">
        <v>13774</v>
      </c>
      <c r="P1070" s="169" t="s">
        <v>13775</v>
      </c>
      <c r="Q1070" s="9">
        <v>192.75</v>
      </c>
    </row>
    <row r="1071" spans="15:17" x14ac:dyDescent="0.2">
      <c r="O1071" s="9" t="s">
        <v>13776</v>
      </c>
      <c r="P1071" s="169" t="s">
        <v>13777</v>
      </c>
      <c r="Q1071" s="9">
        <v>215.22</v>
      </c>
    </row>
    <row r="1072" spans="15:17" x14ac:dyDescent="0.2">
      <c r="O1072" s="9" t="s">
        <v>13778</v>
      </c>
      <c r="P1072" s="169" t="s">
        <v>13779</v>
      </c>
      <c r="Q1072" s="9">
        <v>248.18</v>
      </c>
    </row>
    <row r="1073" spans="15:17" x14ac:dyDescent="0.2">
      <c r="O1073" s="9" t="s">
        <v>13780</v>
      </c>
      <c r="P1073" s="169" t="s">
        <v>13781</v>
      </c>
      <c r="Q1073" s="9">
        <v>114.8</v>
      </c>
    </row>
    <row r="1074" spans="15:17" x14ac:dyDescent="0.2">
      <c r="O1074" s="9" t="s">
        <v>13782</v>
      </c>
      <c r="P1074" s="169" t="s">
        <v>13783</v>
      </c>
      <c r="Q1074" s="9">
        <v>118.51</v>
      </c>
    </row>
    <row r="1075" spans="15:17" x14ac:dyDescent="0.2">
      <c r="O1075" s="9" t="s">
        <v>13784</v>
      </c>
      <c r="P1075" s="169" t="s">
        <v>13785</v>
      </c>
      <c r="Q1075" s="9">
        <v>120.65</v>
      </c>
    </row>
    <row r="1076" spans="15:17" x14ac:dyDescent="0.2">
      <c r="O1076" s="9" t="s">
        <v>13786</v>
      </c>
      <c r="P1076" s="169" t="s">
        <v>13787</v>
      </c>
      <c r="Q1076" s="9">
        <v>127.43</v>
      </c>
    </row>
    <row r="1077" spans="15:17" x14ac:dyDescent="0.2">
      <c r="O1077" s="9" t="s">
        <v>13788</v>
      </c>
      <c r="P1077" s="169" t="s">
        <v>13789</v>
      </c>
      <c r="Q1077" s="9">
        <v>143.5</v>
      </c>
    </row>
    <row r="1078" spans="15:17" x14ac:dyDescent="0.2">
      <c r="O1078" s="9" t="s">
        <v>13790</v>
      </c>
      <c r="P1078" s="169" t="s">
        <v>13791</v>
      </c>
      <c r="Q1078" s="9">
        <v>154.30000000000001</v>
      </c>
    </row>
    <row r="1079" spans="15:17" x14ac:dyDescent="0.2">
      <c r="O1079" s="9" t="s">
        <v>13792</v>
      </c>
      <c r="P1079" s="169" t="s">
        <v>13793</v>
      </c>
      <c r="Q1079" s="9">
        <v>166.09</v>
      </c>
    </row>
    <row r="1080" spans="15:17" x14ac:dyDescent="0.2">
      <c r="O1080" s="9" t="s">
        <v>13794</v>
      </c>
      <c r="P1080" s="169" t="s">
        <v>13795</v>
      </c>
      <c r="Q1080" s="9">
        <v>182.49</v>
      </c>
    </row>
    <row r="1081" spans="15:17" x14ac:dyDescent="0.2">
      <c r="O1081" s="9" t="s">
        <v>13796</v>
      </c>
      <c r="P1081" s="169" t="s">
        <v>13797</v>
      </c>
      <c r="Q1081" s="9">
        <v>187.13</v>
      </c>
    </row>
    <row r="1082" spans="15:17" x14ac:dyDescent="0.2">
      <c r="O1082" s="9" t="s">
        <v>13798</v>
      </c>
      <c r="P1082" s="169" t="s">
        <v>13799</v>
      </c>
      <c r="Q1082" s="9">
        <v>198.91</v>
      </c>
    </row>
    <row r="1083" spans="15:17" x14ac:dyDescent="0.2">
      <c r="O1083" s="9" t="s">
        <v>13800</v>
      </c>
      <c r="P1083" s="169" t="s">
        <v>13801</v>
      </c>
      <c r="Q1083" s="9">
        <v>207.72</v>
      </c>
    </row>
    <row r="1084" spans="15:17" x14ac:dyDescent="0.2">
      <c r="O1084" s="9" t="s">
        <v>13802</v>
      </c>
      <c r="P1084" s="169" t="s">
        <v>13803</v>
      </c>
      <c r="Q1084" s="9">
        <v>223.18</v>
      </c>
    </row>
    <row r="1085" spans="15:17" x14ac:dyDescent="0.2">
      <c r="O1085" s="9" t="s">
        <v>13804</v>
      </c>
      <c r="P1085" s="169" t="s">
        <v>13805</v>
      </c>
      <c r="Q1085" s="9">
        <v>229.71</v>
      </c>
    </row>
    <row r="1086" spans="15:17" x14ac:dyDescent="0.2">
      <c r="O1086" s="9" t="s">
        <v>13806</v>
      </c>
      <c r="P1086" s="169" t="s">
        <v>13807</v>
      </c>
      <c r="Q1086" s="9">
        <v>238.37</v>
      </c>
    </row>
    <row r="1087" spans="15:17" x14ac:dyDescent="0.2">
      <c r="O1087" s="9" t="s">
        <v>13808</v>
      </c>
      <c r="P1087" s="169" t="s">
        <v>13809</v>
      </c>
      <c r="Q1087" s="9">
        <v>236</v>
      </c>
    </row>
    <row r="1088" spans="15:17" x14ac:dyDescent="0.2">
      <c r="O1088" s="9" t="s">
        <v>13810</v>
      </c>
      <c r="P1088" s="169" t="s">
        <v>13811</v>
      </c>
      <c r="Q1088" s="9">
        <v>268.18</v>
      </c>
    </row>
    <row r="1089" spans="15:17" x14ac:dyDescent="0.2">
      <c r="O1089" s="9" t="s">
        <v>13812</v>
      </c>
      <c r="P1089" s="169" t="s">
        <v>13813</v>
      </c>
      <c r="Q1089" s="9">
        <v>301.14999999999998</v>
      </c>
    </row>
    <row r="1090" spans="15:17" x14ac:dyDescent="0.2">
      <c r="O1090" s="9" t="s">
        <v>13814</v>
      </c>
      <c r="P1090" s="169" t="s">
        <v>13815</v>
      </c>
      <c r="Q1090" s="9">
        <v>287.43</v>
      </c>
    </row>
    <row r="1091" spans="15:17" x14ac:dyDescent="0.2">
      <c r="O1091" s="9" t="s">
        <v>13816</v>
      </c>
      <c r="P1091" s="169" t="s">
        <v>13817</v>
      </c>
      <c r="Q1091" s="9">
        <v>353.09</v>
      </c>
    </row>
    <row r="1092" spans="15:17" x14ac:dyDescent="0.2">
      <c r="O1092" s="9" t="s">
        <v>13818</v>
      </c>
      <c r="P1092" s="169" t="s">
        <v>13819</v>
      </c>
      <c r="Q1092" s="9">
        <v>359.7</v>
      </c>
    </row>
    <row r="1093" spans="15:17" x14ac:dyDescent="0.2">
      <c r="O1093" s="9" t="s">
        <v>13820</v>
      </c>
      <c r="P1093" s="169" t="s">
        <v>13821</v>
      </c>
      <c r="Q1093" s="9">
        <v>426.4</v>
      </c>
    </row>
    <row r="1094" spans="15:17" x14ac:dyDescent="0.2">
      <c r="O1094" s="9" t="s">
        <v>13822</v>
      </c>
      <c r="P1094" s="169" t="s">
        <v>13823</v>
      </c>
      <c r="Q1094" s="9">
        <v>208.15</v>
      </c>
    </row>
    <row r="1095" spans="15:17" x14ac:dyDescent="0.2">
      <c r="O1095" s="9" t="s">
        <v>13824</v>
      </c>
      <c r="P1095" s="169" t="s">
        <v>13825</v>
      </c>
      <c r="Q1095" s="9">
        <v>213.8</v>
      </c>
    </row>
    <row r="1096" spans="15:17" x14ac:dyDescent="0.2">
      <c r="O1096" s="9" t="s">
        <v>13826</v>
      </c>
      <c r="P1096" s="169" t="s">
        <v>13827</v>
      </c>
      <c r="Q1096" s="9">
        <v>223.29</v>
      </c>
    </row>
    <row r="1097" spans="15:17" x14ac:dyDescent="0.2">
      <c r="O1097" s="9" t="s">
        <v>13828</v>
      </c>
      <c r="P1097" s="169" t="s">
        <v>13829</v>
      </c>
      <c r="Q1097" s="9">
        <v>227.61</v>
      </c>
    </row>
    <row r="1098" spans="15:17" x14ac:dyDescent="0.2">
      <c r="O1098" s="9" t="s">
        <v>13830</v>
      </c>
      <c r="P1098" s="169" t="s">
        <v>13831</v>
      </c>
      <c r="Q1098" s="9">
        <v>235.37</v>
      </c>
    </row>
    <row r="1099" spans="15:17" x14ac:dyDescent="0.2">
      <c r="O1099" s="9" t="s">
        <v>13832</v>
      </c>
      <c r="P1099" s="169" t="s">
        <v>13833</v>
      </c>
      <c r="Q1099" s="9">
        <v>249.68</v>
      </c>
    </row>
    <row r="1100" spans="15:17" x14ac:dyDescent="0.2">
      <c r="O1100" s="9" t="s">
        <v>13834</v>
      </c>
      <c r="P1100" s="169" t="s">
        <v>13835</v>
      </c>
      <c r="Q1100" s="9">
        <v>262.76</v>
      </c>
    </row>
    <row r="1101" spans="15:17" x14ac:dyDescent="0.2">
      <c r="O1101" s="9" t="s">
        <v>13836</v>
      </c>
      <c r="P1101" s="169" t="s">
        <v>13837</v>
      </c>
      <c r="Q1101" s="9">
        <v>287.43</v>
      </c>
    </row>
    <row r="1102" spans="15:17" x14ac:dyDescent="0.2">
      <c r="O1102" s="9" t="s">
        <v>13838</v>
      </c>
      <c r="P1102" s="169" t="s">
        <v>13839</v>
      </c>
      <c r="Q1102" s="9">
        <v>308.54000000000002</v>
      </c>
    </row>
    <row r="1103" spans="15:17" x14ac:dyDescent="0.2">
      <c r="O1103" s="9" t="s">
        <v>13840</v>
      </c>
      <c r="P1103" s="169" t="s">
        <v>13841</v>
      </c>
      <c r="Q1103" s="9">
        <v>314.57</v>
      </c>
    </row>
    <row r="1104" spans="15:17" x14ac:dyDescent="0.2">
      <c r="O1104" s="9" t="s">
        <v>13842</v>
      </c>
      <c r="P1104" s="169" t="s">
        <v>13843</v>
      </c>
      <c r="Q1104" s="9">
        <v>322.93</v>
      </c>
    </row>
    <row r="1105" spans="15:17" x14ac:dyDescent="0.2">
      <c r="O1105" s="9" t="s">
        <v>13844</v>
      </c>
      <c r="P1105" s="169" t="s">
        <v>13845</v>
      </c>
      <c r="Q1105" s="9">
        <v>333.74</v>
      </c>
    </row>
    <row r="1106" spans="15:17" x14ac:dyDescent="0.2">
      <c r="O1106" s="9" t="s">
        <v>13846</v>
      </c>
      <c r="P1106" s="169" t="s">
        <v>13847</v>
      </c>
      <c r="Q1106" s="9">
        <v>570.85</v>
      </c>
    </row>
    <row r="1107" spans="15:17" x14ac:dyDescent="0.2">
      <c r="O1107" s="9" t="s">
        <v>13848</v>
      </c>
      <c r="P1107" s="169" t="s">
        <v>13849</v>
      </c>
      <c r="Q1107" s="9">
        <v>297.16000000000003</v>
      </c>
    </row>
    <row r="1108" spans="15:17" x14ac:dyDescent="0.2">
      <c r="O1108" s="9" t="s">
        <v>13850</v>
      </c>
      <c r="P1108" s="169" t="s">
        <v>13851</v>
      </c>
      <c r="Q1108" s="9">
        <v>605.21</v>
      </c>
    </row>
    <row r="1109" spans="15:17" x14ac:dyDescent="0.2">
      <c r="O1109" s="9" t="s">
        <v>13852</v>
      </c>
      <c r="P1109" s="169" t="s">
        <v>13853</v>
      </c>
      <c r="Q1109" s="9">
        <v>649.37</v>
      </c>
    </row>
    <row r="1110" spans="15:17" x14ac:dyDescent="0.2">
      <c r="O1110" s="9" t="s">
        <v>13854</v>
      </c>
      <c r="P1110" s="169" t="s">
        <v>13855</v>
      </c>
      <c r="Q1110" s="9">
        <v>309.19</v>
      </c>
    </row>
    <row r="1111" spans="15:17" x14ac:dyDescent="0.2">
      <c r="O1111" s="9" t="s">
        <v>13856</v>
      </c>
      <c r="P1111" s="169" t="s">
        <v>13857</v>
      </c>
      <c r="Q1111" s="9">
        <v>343.44</v>
      </c>
    </row>
    <row r="1112" spans="15:17" x14ac:dyDescent="0.2">
      <c r="O1112" s="9" t="s">
        <v>13858</v>
      </c>
      <c r="P1112" s="169" t="s">
        <v>13859</v>
      </c>
      <c r="Q1112" s="9">
        <v>377.69</v>
      </c>
    </row>
    <row r="1113" spans="15:17" x14ac:dyDescent="0.2">
      <c r="O1113" s="9" t="s">
        <v>13860</v>
      </c>
      <c r="P1113" s="169" t="s">
        <v>13861</v>
      </c>
      <c r="Q1113" s="9">
        <v>412.39</v>
      </c>
    </row>
    <row r="1114" spans="15:17" x14ac:dyDescent="0.2">
      <c r="O1114" s="9" t="s">
        <v>13862</v>
      </c>
      <c r="P1114" s="169" t="s">
        <v>13863</v>
      </c>
      <c r="Q1114" s="9">
        <v>420.79</v>
      </c>
    </row>
    <row r="1115" spans="15:17" x14ac:dyDescent="0.2">
      <c r="O1115" s="9" t="s">
        <v>13864</v>
      </c>
      <c r="P1115" s="169" t="s">
        <v>13865</v>
      </c>
      <c r="Q1115" s="9">
        <v>464.84</v>
      </c>
    </row>
    <row r="1116" spans="15:17" x14ac:dyDescent="0.2">
      <c r="O1116" s="9" t="s">
        <v>13866</v>
      </c>
      <c r="P1116" s="169" t="s">
        <v>13867</v>
      </c>
      <c r="Q1116" s="9">
        <v>479.5</v>
      </c>
    </row>
    <row r="1117" spans="15:17" x14ac:dyDescent="0.2">
      <c r="O1117" s="9" t="s">
        <v>13868</v>
      </c>
      <c r="P1117" s="169" t="s">
        <v>13869</v>
      </c>
      <c r="Q1117" s="9">
        <v>508.49</v>
      </c>
    </row>
    <row r="1118" spans="15:17" x14ac:dyDescent="0.2">
      <c r="O1118" s="9" t="s">
        <v>13870</v>
      </c>
      <c r="P1118" s="169" t="s">
        <v>13871</v>
      </c>
      <c r="Q1118" s="9">
        <v>552.33000000000004</v>
      </c>
    </row>
    <row r="1119" spans="15:17" x14ac:dyDescent="0.2">
      <c r="O1119" s="9" t="s">
        <v>13872</v>
      </c>
      <c r="P1119" s="169" t="s">
        <v>13873</v>
      </c>
      <c r="Q1119" s="9">
        <v>561.04999999999995</v>
      </c>
    </row>
    <row r="1120" spans="15:17" x14ac:dyDescent="0.2">
      <c r="O1120" s="9" t="s">
        <v>13874</v>
      </c>
      <c r="P1120" s="169" t="s">
        <v>13875</v>
      </c>
      <c r="Q1120" s="9">
        <v>568.03</v>
      </c>
    </row>
    <row r="1121" spans="15:17" x14ac:dyDescent="0.2">
      <c r="O1121" s="9" t="s">
        <v>13876</v>
      </c>
      <c r="P1121" s="169" t="s">
        <v>13877</v>
      </c>
      <c r="Q1121" s="9">
        <v>710.17</v>
      </c>
    </row>
    <row r="1122" spans="15:17" x14ac:dyDescent="0.2">
      <c r="O1122" s="9" t="s">
        <v>13878</v>
      </c>
      <c r="P1122" s="169" t="s">
        <v>13879</v>
      </c>
      <c r="Q1122" s="9">
        <v>765.18</v>
      </c>
    </row>
    <row r="1123" spans="15:17" x14ac:dyDescent="0.2">
      <c r="O1123" s="9" t="s">
        <v>13880</v>
      </c>
      <c r="P1123" s="169" t="s">
        <v>13881</v>
      </c>
      <c r="Q1123" s="9">
        <v>802.62</v>
      </c>
    </row>
    <row r="1124" spans="15:17" x14ac:dyDescent="0.2">
      <c r="O1124" s="9" t="s">
        <v>13882</v>
      </c>
      <c r="P1124" s="169" t="s">
        <v>13883</v>
      </c>
      <c r="Q1124" s="9">
        <v>389.33</v>
      </c>
    </row>
    <row r="1125" spans="15:17" x14ac:dyDescent="0.2">
      <c r="O1125" s="9" t="s">
        <v>13884</v>
      </c>
      <c r="P1125" s="169" t="s">
        <v>13885</v>
      </c>
      <c r="Q1125" s="9">
        <v>434.17</v>
      </c>
    </row>
    <row r="1126" spans="15:17" x14ac:dyDescent="0.2">
      <c r="O1126" s="9" t="s">
        <v>13886</v>
      </c>
      <c r="P1126" s="169" t="s">
        <v>13887</v>
      </c>
      <c r="Q1126" s="9">
        <v>448.49</v>
      </c>
    </row>
    <row r="1127" spans="15:17" x14ac:dyDescent="0.2">
      <c r="O1127" s="9" t="s">
        <v>13888</v>
      </c>
      <c r="P1127" s="169" t="s">
        <v>13889</v>
      </c>
      <c r="Q1127" s="9">
        <v>463.72</v>
      </c>
    </row>
    <row r="1128" spans="15:17" x14ac:dyDescent="0.2">
      <c r="O1128" s="9" t="s">
        <v>13890</v>
      </c>
      <c r="P1128" s="169" t="s">
        <v>13891</v>
      </c>
      <c r="Q1128" s="9">
        <v>490.07</v>
      </c>
    </row>
    <row r="1129" spans="15:17" x14ac:dyDescent="0.2">
      <c r="O1129" s="9" t="s">
        <v>13892</v>
      </c>
      <c r="P1129" s="169" t="s">
        <v>13893</v>
      </c>
      <c r="Q1129" s="9">
        <v>517.65</v>
      </c>
    </row>
    <row r="1130" spans="15:17" x14ac:dyDescent="0.2">
      <c r="O1130" s="9" t="s">
        <v>13894</v>
      </c>
      <c r="P1130" s="169" t="s">
        <v>13895</v>
      </c>
      <c r="Q1130" s="9">
        <v>530.08000000000004</v>
      </c>
    </row>
    <row r="1131" spans="15:17" x14ac:dyDescent="0.2">
      <c r="O1131" s="9" t="s">
        <v>13896</v>
      </c>
      <c r="P1131" s="169" t="s">
        <v>13897</v>
      </c>
      <c r="Q1131" s="9">
        <v>591.86</v>
      </c>
    </row>
    <row r="1132" spans="15:17" x14ac:dyDescent="0.2">
      <c r="O1132" s="9" t="s">
        <v>13898</v>
      </c>
      <c r="P1132" s="169" t="s">
        <v>13899</v>
      </c>
      <c r="Q1132" s="9">
        <v>627.47</v>
      </c>
    </row>
    <row r="1133" spans="15:17" x14ac:dyDescent="0.2">
      <c r="O1133" s="9" t="s">
        <v>13900</v>
      </c>
      <c r="P1133" s="169" t="s">
        <v>13901</v>
      </c>
      <c r="Q1133" s="9">
        <v>654.54</v>
      </c>
    </row>
    <row r="1134" spans="15:17" x14ac:dyDescent="0.2">
      <c r="O1134" s="9" t="s">
        <v>13902</v>
      </c>
      <c r="P1134" s="169" t="s">
        <v>13903</v>
      </c>
      <c r="Q1134" s="9">
        <v>666.02</v>
      </c>
    </row>
    <row r="1135" spans="15:17" x14ac:dyDescent="0.2">
      <c r="O1135" s="9" t="s">
        <v>13904</v>
      </c>
      <c r="P1135" s="169" t="s">
        <v>13905</v>
      </c>
      <c r="Q1135" s="9">
        <v>960</v>
      </c>
    </row>
    <row r="1136" spans="15:17" x14ac:dyDescent="0.2">
      <c r="O1136" s="9" t="s">
        <v>13906</v>
      </c>
      <c r="P1136" s="169" t="s">
        <v>13907</v>
      </c>
      <c r="Q1136" s="9">
        <v>5283.24</v>
      </c>
    </row>
    <row r="1137" spans="15:17" x14ac:dyDescent="0.2">
      <c r="O1137" s="9" t="s">
        <v>13908</v>
      </c>
      <c r="P1137" s="169" t="s">
        <v>13909</v>
      </c>
      <c r="Q1137" s="9">
        <v>5283.24</v>
      </c>
    </row>
    <row r="1138" spans="15:17" x14ac:dyDescent="0.2">
      <c r="O1138" s="9" t="s">
        <v>13910</v>
      </c>
      <c r="P1138" s="169" t="s">
        <v>13911</v>
      </c>
      <c r="Q1138" s="9">
        <v>5723.42</v>
      </c>
    </row>
    <row r="1139" spans="15:17" x14ac:dyDescent="0.2">
      <c r="O1139" s="9" t="s">
        <v>13912</v>
      </c>
      <c r="P1139" s="169" t="s">
        <v>13913</v>
      </c>
      <c r="Q1139" s="9">
        <v>5723.42</v>
      </c>
    </row>
    <row r="1140" spans="15:17" x14ac:dyDescent="0.2">
      <c r="O1140" s="9" t="s">
        <v>13914</v>
      </c>
      <c r="P1140" s="169" t="s">
        <v>13915</v>
      </c>
      <c r="Q1140" s="9">
        <v>6160.39</v>
      </c>
    </row>
    <row r="1141" spans="15:17" x14ac:dyDescent="0.2">
      <c r="O1141" s="9" t="s">
        <v>13916</v>
      </c>
      <c r="P1141" s="169" t="s">
        <v>13917</v>
      </c>
      <c r="Q1141" s="9">
        <v>6596.29</v>
      </c>
    </row>
    <row r="1142" spans="15:17" x14ac:dyDescent="0.2">
      <c r="O1142" s="9" t="s">
        <v>13918</v>
      </c>
      <c r="P1142" s="169" t="s">
        <v>13919</v>
      </c>
      <c r="Q1142" s="9">
        <v>4791.6499999999996</v>
      </c>
    </row>
    <row r="1143" spans="15:17" x14ac:dyDescent="0.2">
      <c r="O1143" s="9" t="s">
        <v>13920</v>
      </c>
      <c r="P1143" s="169" t="s">
        <v>13921</v>
      </c>
      <c r="Q1143" s="9">
        <v>1573.3</v>
      </c>
    </row>
    <row r="1144" spans="15:17" x14ac:dyDescent="0.2">
      <c r="O1144" s="9" t="s">
        <v>13922</v>
      </c>
      <c r="P1144" s="169" t="s">
        <v>13923</v>
      </c>
      <c r="Q1144" s="9">
        <v>1788.57</v>
      </c>
    </row>
    <row r="1145" spans="15:17" x14ac:dyDescent="0.2">
      <c r="O1145" s="9" t="s">
        <v>13924</v>
      </c>
      <c r="P1145" s="169" t="s">
        <v>13925</v>
      </c>
      <c r="Q1145" s="9">
        <v>1788.57</v>
      </c>
    </row>
    <row r="1146" spans="15:17" x14ac:dyDescent="0.2">
      <c r="O1146" s="9" t="s">
        <v>13926</v>
      </c>
      <c r="P1146" s="169" t="s">
        <v>13927</v>
      </c>
      <c r="Q1146" s="9">
        <v>2007.05</v>
      </c>
    </row>
    <row r="1147" spans="15:17" x14ac:dyDescent="0.2">
      <c r="O1147" s="9" t="s">
        <v>13928</v>
      </c>
      <c r="P1147" s="169" t="s">
        <v>13929</v>
      </c>
      <c r="Q1147" s="9">
        <v>2007.05</v>
      </c>
    </row>
    <row r="1148" spans="15:17" x14ac:dyDescent="0.2">
      <c r="O1148" s="9" t="s">
        <v>13930</v>
      </c>
      <c r="P1148" s="169" t="s">
        <v>13931</v>
      </c>
      <c r="Q1148" s="9">
        <v>2225.54</v>
      </c>
    </row>
    <row r="1149" spans="15:17" x14ac:dyDescent="0.2">
      <c r="O1149" s="9" t="s">
        <v>13932</v>
      </c>
      <c r="P1149" s="169" t="s">
        <v>13933</v>
      </c>
      <c r="Q1149" s="9">
        <v>2225.54</v>
      </c>
    </row>
    <row r="1150" spans="15:17" x14ac:dyDescent="0.2">
      <c r="O1150" s="9" t="s">
        <v>13934</v>
      </c>
      <c r="P1150" s="169" t="s">
        <v>13935</v>
      </c>
      <c r="Q1150" s="9">
        <v>2444.02</v>
      </c>
    </row>
    <row r="1151" spans="15:17" x14ac:dyDescent="0.2">
      <c r="O1151" s="9" t="s">
        <v>13936</v>
      </c>
      <c r="P1151" s="169" t="s">
        <v>13937</v>
      </c>
      <c r="Q1151" s="9">
        <v>2444.02</v>
      </c>
    </row>
    <row r="1152" spans="15:17" x14ac:dyDescent="0.2">
      <c r="O1152" s="9" t="s">
        <v>13938</v>
      </c>
      <c r="P1152" s="169" t="s">
        <v>13939</v>
      </c>
      <c r="Q1152" s="9">
        <v>2663.58</v>
      </c>
    </row>
    <row r="1153" spans="15:17" x14ac:dyDescent="0.2">
      <c r="O1153" s="9" t="s">
        <v>13940</v>
      </c>
      <c r="P1153" s="169" t="s">
        <v>13941</v>
      </c>
      <c r="Q1153" s="9">
        <v>2663.58</v>
      </c>
    </row>
    <row r="1154" spans="15:17" x14ac:dyDescent="0.2">
      <c r="O1154" s="9" t="s">
        <v>13942</v>
      </c>
      <c r="P1154" s="169" t="s">
        <v>13943</v>
      </c>
      <c r="Q1154" s="9">
        <v>2880.99</v>
      </c>
    </row>
    <row r="1155" spans="15:17" x14ac:dyDescent="0.2">
      <c r="O1155" s="9" t="s">
        <v>13944</v>
      </c>
      <c r="P1155" s="169" t="s">
        <v>13945</v>
      </c>
      <c r="Q1155" s="9">
        <v>2880.99</v>
      </c>
    </row>
    <row r="1156" spans="15:17" x14ac:dyDescent="0.2">
      <c r="O1156" s="9" t="s">
        <v>13946</v>
      </c>
      <c r="P1156" s="169" t="s">
        <v>13947</v>
      </c>
      <c r="Q1156" s="9">
        <v>3097.33</v>
      </c>
    </row>
    <row r="1157" spans="15:17" x14ac:dyDescent="0.2">
      <c r="O1157" s="9" t="s">
        <v>13948</v>
      </c>
      <c r="P1157" s="169" t="s">
        <v>13949</v>
      </c>
      <c r="Q1157" s="9">
        <v>3097.33</v>
      </c>
    </row>
    <row r="1158" spans="15:17" x14ac:dyDescent="0.2">
      <c r="O1158" s="9" t="s">
        <v>13950</v>
      </c>
      <c r="P1158" s="169" t="s">
        <v>13951</v>
      </c>
      <c r="Q1158" s="9">
        <v>3321.17</v>
      </c>
    </row>
    <row r="1159" spans="15:17" x14ac:dyDescent="0.2">
      <c r="O1159" s="9" t="s">
        <v>13952</v>
      </c>
      <c r="P1159" s="169" t="s">
        <v>13953</v>
      </c>
      <c r="Q1159" s="9">
        <v>3321.17</v>
      </c>
    </row>
    <row r="1160" spans="15:17" x14ac:dyDescent="0.2">
      <c r="O1160" s="9" t="s">
        <v>13954</v>
      </c>
      <c r="P1160" s="169" t="s">
        <v>13955</v>
      </c>
      <c r="Q1160" s="9">
        <v>3539.66</v>
      </c>
    </row>
    <row r="1161" spans="15:17" x14ac:dyDescent="0.2">
      <c r="O1161" s="9" t="s">
        <v>13956</v>
      </c>
      <c r="P1161" s="169" t="s">
        <v>13957</v>
      </c>
      <c r="Q1161" s="9">
        <v>3540.73</v>
      </c>
    </row>
    <row r="1162" spans="15:17" x14ac:dyDescent="0.2">
      <c r="O1162" s="9" t="s">
        <v>13958</v>
      </c>
      <c r="P1162" s="169" t="s">
        <v>13959</v>
      </c>
      <c r="Q1162" s="9">
        <v>3972.34</v>
      </c>
    </row>
    <row r="1163" spans="15:17" x14ac:dyDescent="0.2">
      <c r="O1163" s="9" t="s">
        <v>13960</v>
      </c>
      <c r="P1163" s="169" t="s">
        <v>13961</v>
      </c>
      <c r="Q1163" s="9">
        <v>3973.41</v>
      </c>
    </row>
    <row r="1164" spans="15:17" x14ac:dyDescent="0.2">
      <c r="O1164" s="9" t="s">
        <v>13962</v>
      </c>
      <c r="P1164" s="169" t="s">
        <v>13963</v>
      </c>
      <c r="Q1164" s="9">
        <v>4410.38</v>
      </c>
    </row>
    <row r="1165" spans="15:17" x14ac:dyDescent="0.2">
      <c r="O1165" s="9" t="s">
        <v>13964</v>
      </c>
      <c r="P1165" s="169" t="s">
        <v>13965</v>
      </c>
      <c r="Q1165" s="9">
        <v>4847.3500000000004</v>
      </c>
    </row>
    <row r="1166" spans="15:17" x14ac:dyDescent="0.2">
      <c r="O1166" s="9" t="s">
        <v>13966</v>
      </c>
      <c r="P1166" s="169" t="s">
        <v>13967</v>
      </c>
      <c r="Q1166" s="9">
        <v>3587.85</v>
      </c>
    </row>
    <row r="1167" spans="15:17" x14ac:dyDescent="0.2">
      <c r="O1167" s="9" t="s">
        <v>13968</v>
      </c>
      <c r="P1167" s="169" t="s">
        <v>13969</v>
      </c>
      <c r="Q1167" s="9">
        <v>7349.2</v>
      </c>
    </row>
    <row r="1168" spans="15:17" x14ac:dyDescent="0.2">
      <c r="O1168" s="9" t="s">
        <v>13970</v>
      </c>
      <c r="P1168" s="169" t="s">
        <v>13971</v>
      </c>
      <c r="Q1168" s="9">
        <v>7349.2</v>
      </c>
    </row>
    <row r="1169" spans="15:17" x14ac:dyDescent="0.2">
      <c r="O1169" s="9" t="s">
        <v>13972</v>
      </c>
      <c r="P1169" s="169" t="s">
        <v>13973</v>
      </c>
      <c r="Q1169" s="9">
        <v>7978.95</v>
      </c>
    </row>
    <row r="1170" spans="15:17" x14ac:dyDescent="0.2">
      <c r="O1170" s="9" t="s">
        <v>13974</v>
      </c>
      <c r="P1170" s="169" t="s">
        <v>13975</v>
      </c>
      <c r="Q1170" s="9">
        <v>8604.41</v>
      </c>
    </row>
    <row r="1171" spans="15:17" x14ac:dyDescent="0.2">
      <c r="O1171" s="9" t="s">
        <v>13976</v>
      </c>
      <c r="P1171" s="169" t="s">
        <v>13977</v>
      </c>
      <c r="Q1171" s="9">
        <v>9236.2999999999993</v>
      </c>
    </row>
    <row r="1172" spans="15:17" x14ac:dyDescent="0.2">
      <c r="O1172" s="9" t="s">
        <v>13978</v>
      </c>
      <c r="P1172" s="169" t="s">
        <v>13979</v>
      </c>
      <c r="Q1172" s="9">
        <v>9859.6299999999992</v>
      </c>
    </row>
    <row r="1173" spans="15:17" x14ac:dyDescent="0.2">
      <c r="O1173" s="9" t="s">
        <v>13980</v>
      </c>
      <c r="P1173" s="169" t="s">
        <v>13981</v>
      </c>
      <c r="Q1173" s="9">
        <v>2332.64</v>
      </c>
    </row>
    <row r="1174" spans="15:17" x14ac:dyDescent="0.2">
      <c r="O1174" s="9" t="s">
        <v>13982</v>
      </c>
      <c r="P1174" s="169" t="s">
        <v>13983</v>
      </c>
      <c r="Q1174" s="9">
        <v>2332.64</v>
      </c>
    </row>
    <row r="1175" spans="15:17" x14ac:dyDescent="0.2">
      <c r="O1175" s="9" t="s">
        <v>13984</v>
      </c>
      <c r="P1175" s="169" t="s">
        <v>13985</v>
      </c>
      <c r="Q1175" s="9">
        <v>2649.65</v>
      </c>
    </row>
    <row r="1176" spans="15:17" x14ac:dyDescent="0.2">
      <c r="O1176" s="9" t="s">
        <v>13986</v>
      </c>
      <c r="P1176" s="169" t="s">
        <v>13987</v>
      </c>
      <c r="Q1176" s="9">
        <v>2649.65</v>
      </c>
    </row>
    <row r="1177" spans="15:17" x14ac:dyDescent="0.2">
      <c r="O1177" s="9" t="s">
        <v>13988</v>
      </c>
      <c r="P1177" s="169" t="s">
        <v>13989</v>
      </c>
      <c r="Q1177" s="9">
        <v>2961.32</v>
      </c>
    </row>
    <row r="1178" spans="15:17" x14ac:dyDescent="0.2">
      <c r="O1178" s="9" t="s">
        <v>13990</v>
      </c>
      <c r="P1178" s="169" t="s">
        <v>13991</v>
      </c>
      <c r="Q1178" s="9">
        <v>2961.32</v>
      </c>
    </row>
    <row r="1179" spans="15:17" x14ac:dyDescent="0.2">
      <c r="O1179" s="9" t="s">
        <v>13992</v>
      </c>
      <c r="P1179" s="169" t="s">
        <v>13993</v>
      </c>
      <c r="Q1179" s="9">
        <v>3276.19</v>
      </c>
    </row>
    <row r="1180" spans="15:17" x14ac:dyDescent="0.2">
      <c r="O1180" s="9" t="s">
        <v>13994</v>
      </c>
      <c r="P1180" s="169" t="s">
        <v>13995</v>
      </c>
      <c r="Q1180" s="9">
        <v>3276.19</v>
      </c>
    </row>
    <row r="1181" spans="15:17" x14ac:dyDescent="0.2">
      <c r="O1181" s="9" t="s">
        <v>13996</v>
      </c>
      <c r="P1181" s="169" t="s">
        <v>13997</v>
      </c>
      <c r="Q1181" s="9">
        <v>3587.85</v>
      </c>
    </row>
    <row r="1182" spans="15:17" x14ac:dyDescent="0.2">
      <c r="O1182" s="9" t="s">
        <v>13998</v>
      </c>
      <c r="P1182" s="169" t="s">
        <v>13999</v>
      </c>
      <c r="Q1182" s="9">
        <v>3587.85</v>
      </c>
    </row>
    <row r="1183" spans="15:17" x14ac:dyDescent="0.2">
      <c r="O1183" s="9" t="s">
        <v>14000</v>
      </c>
      <c r="P1183" s="169" t="s">
        <v>14001</v>
      </c>
      <c r="Q1183" s="9">
        <v>3904.87</v>
      </c>
    </row>
    <row r="1184" spans="15:17" x14ac:dyDescent="0.2">
      <c r="O1184" s="9" t="s">
        <v>14002</v>
      </c>
      <c r="P1184" s="169" t="s">
        <v>14003</v>
      </c>
      <c r="Q1184" s="9">
        <v>3904.87</v>
      </c>
    </row>
    <row r="1185" spans="15:17" x14ac:dyDescent="0.2">
      <c r="O1185" s="9" t="s">
        <v>14004</v>
      </c>
      <c r="P1185" s="169" t="s">
        <v>14005</v>
      </c>
      <c r="Q1185" s="9">
        <v>4217.6000000000004</v>
      </c>
    </row>
    <row r="1186" spans="15:17" x14ac:dyDescent="0.2">
      <c r="O1186" s="9" t="s">
        <v>14006</v>
      </c>
      <c r="P1186" s="169" t="s">
        <v>14007</v>
      </c>
      <c r="Q1186" s="9">
        <v>4216.53</v>
      </c>
    </row>
    <row r="1187" spans="15:17" x14ac:dyDescent="0.2">
      <c r="O1187" s="9" t="s">
        <v>14008</v>
      </c>
      <c r="P1187" s="169" t="s">
        <v>14009</v>
      </c>
      <c r="Q1187" s="9">
        <v>4845.2</v>
      </c>
    </row>
    <row r="1188" spans="15:17" x14ac:dyDescent="0.2">
      <c r="O1188" s="9" t="s">
        <v>14010</v>
      </c>
      <c r="P1188" s="169" t="s">
        <v>14011</v>
      </c>
      <c r="Q1188" s="9">
        <v>4845.2</v>
      </c>
    </row>
    <row r="1189" spans="15:17" x14ac:dyDescent="0.2">
      <c r="O1189" s="9" t="s">
        <v>14012</v>
      </c>
      <c r="P1189" s="169" t="s">
        <v>14013</v>
      </c>
      <c r="Q1189" s="9">
        <v>5472.81</v>
      </c>
    </row>
    <row r="1190" spans="15:17" x14ac:dyDescent="0.2">
      <c r="O1190" s="9" t="s">
        <v>14014</v>
      </c>
      <c r="P1190" s="169" t="s">
        <v>14015</v>
      </c>
      <c r="Q1190" s="9">
        <v>6099.34</v>
      </c>
    </row>
    <row r="1191" spans="15:17" x14ac:dyDescent="0.2">
      <c r="O1191" s="9" t="s">
        <v>14016</v>
      </c>
      <c r="P1191" s="169" t="s">
        <v>14017</v>
      </c>
      <c r="Q1191" s="9">
        <v>6099.34</v>
      </c>
    </row>
    <row r="1192" spans="15:17" x14ac:dyDescent="0.2">
      <c r="O1192" s="9" t="s">
        <v>14018</v>
      </c>
      <c r="P1192" s="169" t="s">
        <v>14019</v>
      </c>
      <c r="Q1192" s="9">
        <v>6723.74</v>
      </c>
    </row>
    <row r="1193" spans="15:17" x14ac:dyDescent="0.2">
      <c r="O1193" s="9" t="s">
        <v>14020</v>
      </c>
      <c r="P1193" s="169" t="s">
        <v>14021</v>
      </c>
      <c r="Q1193" s="9">
        <v>14954.37</v>
      </c>
    </row>
    <row r="1194" spans="15:17" x14ac:dyDescent="0.2">
      <c r="O1194" s="9" t="s">
        <v>14022</v>
      </c>
      <c r="P1194" s="169" t="s">
        <v>14023</v>
      </c>
      <c r="Q1194" s="9">
        <v>5761.98</v>
      </c>
    </row>
    <row r="1195" spans="15:17" x14ac:dyDescent="0.2">
      <c r="O1195" s="9" t="s">
        <v>14024</v>
      </c>
      <c r="P1195" s="169" t="s">
        <v>14025</v>
      </c>
      <c r="Q1195" s="9">
        <v>7805.45</v>
      </c>
    </row>
    <row r="1196" spans="15:17" x14ac:dyDescent="0.2">
      <c r="O1196" s="9" t="s">
        <v>14026</v>
      </c>
      <c r="P1196" s="169" t="s">
        <v>14027</v>
      </c>
      <c r="Q1196" s="9">
        <v>10723.92</v>
      </c>
    </row>
    <row r="1197" spans="15:17" x14ac:dyDescent="0.2">
      <c r="O1197" s="9" t="s">
        <v>14028</v>
      </c>
      <c r="P1197" s="169" t="s">
        <v>14029</v>
      </c>
      <c r="Q1197" s="9">
        <v>11965.21</v>
      </c>
    </row>
    <row r="1198" spans="15:17" x14ac:dyDescent="0.2">
      <c r="O1198" s="9" t="s">
        <v>14030</v>
      </c>
      <c r="P1198" s="169" t="s">
        <v>14031</v>
      </c>
      <c r="Q1198" s="9">
        <v>12986.95</v>
      </c>
    </row>
    <row r="1199" spans="15:17" x14ac:dyDescent="0.2">
      <c r="O1199" s="9" t="s">
        <v>14032</v>
      </c>
      <c r="P1199" s="169" t="s">
        <v>14033</v>
      </c>
      <c r="Q1199" s="9">
        <v>3793.48</v>
      </c>
    </row>
    <row r="1200" spans="15:17" x14ac:dyDescent="0.2">
      <c r="O1200" s="9" t="s">
        <v>14034</v>
      </c>
      <c r="P1200" s="169" t="s">
        <v>14035</v>
      </c>
      <c r="Q1200" s="9">
        <v>3793.48</v>
      </c>
    </row>
    <row r="1201" spans="15:17" x14ac:dyDescent="0.2">
      <c r="O1201" s="9" t="s">
        <v>14036</v>
      </c>
      <c r="P1201" s="169" t="s">
        <v>14037</v>
      </c>
      <c r="Q1201" s="9">
        <v>4815.22</v>
      </c>
    </row>
    <row r="1202" spans="15:17" x14ac:dyDescent="0.2">
      <c r="O1202" s="9" t="s">
        <v>14038</v>
      </c>
      <c r="P1202" s="169" t="s">
        <v>14039</v>
      </c>
      <c r="Q1202" s="9">
        <v>5288.7</v>
      </c>
    </row>
    <row r="1203" spans="15:17" x14ac:dyDescent="0.2">
      <c r="O1203" s="9" t="s">
        <v>14040</v>
      </c>
      <c r="P1203" s="169" t="s">
        <v>14041</v>
      </c>
      <c r="Q1203" s="9">
        <v>5761.98</v>
      </c>
    </row>
    <row r="1204" spans="15:17" x14ac:dyDescent="0.2">
      <c r="O1204" s="9" t="s">
        <v>14042</v>
      </c>
      <c r="P1204" s="169" t="s">
        <v>14043</v>
      </c>
      <c r="Q1204" s="9">
        <v>6711.96</v>
      </c>
    </row>
    <row r="1205" spans="15:17" x14ac:dyDescent="0.2">
      <c r="O1205" s="9" t="s">
        <v>14044</v>
      </c>
      <c r="P1205" s="169" t="s">
        <v>14045</v>
      </c>
      <c r="Q1205" s="9">
        <v>7805.45</v>
      </c>
    </row>
    <row r="1206" spans="15:17" x14ac:dyDescent="0.2">
      <c r="O1206" s="9" t="s">
        <v>14046</v>
      </c>
      <c r="P1206" s="169" t="s">
        <v>14047</v>
      </c>
      <c r="Q1206" s="9">
        <v>8683.67</v>
      </c>
    </row>
    <row r="1207" spans="15:17" x14ac:dyDescent="0.2">
      <c r="O1207" s="9" t="s">
        <v>14048</v>
      </c>
      <c r="P1207" s="169" t="s">
        <v>14049</v>
      </c>
      <c r="Q1207" s="9">
        <v>9704.33</v>
      </c>
    </row>
    <row r="1208" spans="15:17" x14ac:dyDescent="0.2">
      <c r="O1208" s="9" t="s">
        <v>14050</v>
      </c>
      <c r="P1208" s="169" t="s">
        <v>14051</v>
      </c>
      <c r="Q1208" s="9">
        <v>5254.33</v>
      </c>
    </row>
    <row r="1209" spans="15:17" x14ac:dyDescent="0.2">
      <c r="O1209" s="9" t="s">
        <v>14052</v>
      </c>
      <c r="P1209" s="169" t="s">
        <v>14053</v>
      </c>
      <c r="Q1209" s="9">
        <v>6107.91</v>
      </c>
    </row>
    <row r="1210" spans="15:17" x14ac:dyDescent="0.2">
      <c r="O1210" s="9" t="s">
        <v>14054</v>
      </c>
      <c r="P1210" s="169" t="s">
        <v>14055</v>
      </c>
      <c r="Q1210" s="9">
        <v>8242.42</v>
      </c>
    </row>
    <row r="1211" spans="15:17" x14ac:dyDescent="0.2">
      <c r="O1211" s="9" t="s">
        <v>14056</v>
      </c>
      <c r="P1211" s="169" t="s">
        <v>14057</v>
      </c>
      <c r="Q1211" s="9">
        <v>13351.09</v>
      </c>
    </row>
    <row r="1212" spans="15:17" x14ac:dyDescent="0.2">
      <c r="O1212" s="9" t="s">
        <v>14058</v>
      </c>
      <c r="P1212" s="169" t="s">
        <v>14059</v>
      </c>
      <c r="Q1212" s="9">
        <v>13351.09</v>
      </c>
    </row>
    <row r="1213" spans="15:17" x14ac:dyDescent="0.2">
      <c r="O1213" s="9" t="s">
        <v>14060</v>
      </c>
      <c r="P1213" s="169" t="s">
        <v>14061</v>
      </c>
      <c r="Q1213" s="9">
        <v>14664.13</v>
      </c>
    </row>
    <row r="1214" spans="15:17" x14ac:dyDescent="0.2">
      <c r="O1214" s="9" t="s">
        <v>14062</v>
      </c>
      <c r="P1214" s="169" t="s">
        <v>14063</v>
      </c>
      <c r="Q1214" s="9">
        <v>15981.46</v>
      </c>
    </row>
    <row r="1215" spans="15:17" x14ac:dyDescent="0.2">
      <c r="O1215" s="9" t="s">
        <v>14064</v>
      </c>
      <c r="P1215" s="169" t="s">
        <v>14065</v>
      </c>
      <c r="Q1215" s="9">
        <v>18748.93</v>
      </c>
    </row>
    <row r="1216" spans="15:17" x14ac:dyDescent="0.2">
      <c r="O1216" s="9" t="s">
        <v>14066</v>
      </c>
      <c r="P1216" s="169" t="s">
        <v>14067</v>
      </c>
      <c r="Q1216" s="9">
        <v>4155.4799999999996</v>
      </c>
    </row>
    <row r="1217" spans="15:17" x14ac:dyDescent="0.2">
      <c r="O1217" s="9" t="s">
        <v>14068</v>
      </c>
      <c r="P1217" s="169" t="s">
        <v>14069</v>
      </c>
      <c r="Q1217" s="9">
        <v>4668.49</v>
      </c>
    </row>
    <row r="1218" spans="15:17" x14ac:dyDescent="0.2">
      <c r="O1218" s="9" t="s">
        <v>14070</v>
      </c>
      <c r="P1218" s="169" t="s">
        <v>14071</v>
      </c>
      <c r="Q1218" s="9">
        <v>5032.63</v>
      </c>
    </row>
    <row r="1219" spans="15:17" x14ac:dyDescent="0.2">
      <c r="O1219" s="9" t="s">
        <v>14072</v>
      </c>
      <c r="P1219" s="169" t="s">
        <v>14073</v>
      </c>
      <c r="Q1219" s="9">
        <v>5543.5</v>
      </c>
    </row>
    <row r="1220" spans="15:17" x14ac:dyDescent="0.2">
      <c r="O1220" s="9" t="s">
        <v>14074</v>
      </c>
      <c r="P1220" s="169" t="s">
        <v>14075</v>
      </c>
      <c r="Q1220" s="9">
        <v>6274.99</v>
      </c>
    </row>
    <row r="1221" spans="15:17" x14ac:dyDescent="0.2">
      <c r="O1221" s="9" t="s">
        <v>14076</v>
      </c>
      <c r="P1221" s="169" t="s">
        <v>14077</v>
      </c>
      <c r="Q1221" s="9">
        <v>7078.24</v>
      </c>
    </row>
    <row r="1222" spans="15:17" x14ac:dyDescent="0.2">
      <c r="O1222" s="9" t="s">
        <v>14078</v>
      </c>
      <c r="P1222" s="169" t="s">
        <v>14079</v>
      </c>
      <c r="Q1222" s="9">
        <v>8319.5300000000007</v>
      </c>
    </row>
    <row r="1223" spans="15:17" x14ac:dyDescent="0.2">
      <c r="O1223" s="9" t="s">
        <v>14080</v>
      </c>
      <c r="P1223" s="169" t="s">
        <v>14081</v>
      </c>
      <c r="Q1223" s="9">
        <v>8319.5300000000007</v>
      </c>
    </row>
    <row r="1224" spans="15:17" x14ac:dyDescent="0.2">
      <c r="O1224" s="9" t="s">
        <v>14082</v>
      </c>
      <c r="P1224" s="169" t="s">
        <v>14083</v>
      </c>
      <c r="Q1224" s="9">
        <v>9704.33</v>
      </c>
    </row>
    <row r="1225" spans="15:17" x14ac:dyDescent="0.2">
      <c r="O1225" s="9" t="s">
        <v>14084</v>
      </c>
      <c r="P1225" s="169" t="s">
        <v>14085</v>
      </c>
      <c r="Q1225" s="9">
        <v>11088.06</v>
      </c>
    </row>
    <row r="1226" spans="15:17" x14ac:dyDescent="0.2">
      <c r="O1226" s="9" t="s">
        <v>14086</v>
      </c>
      <c r="P1226" s="169" t="s">
        <v>14087</v>
      </c>
      <c r="Q1226" s="9">
        <v>11089.13</v>
      </c>
    </row>
    <row r="1227" spans="15:17" x14ac:dyDescent="0.2">
      <c r="O1227" s="9" t="s">
        <v>14088</v>
      </c>
      <c r="P1227" s="169" t="s">
        <v>14089</v>
      </c>
      <c r="Q1227" s="9">
        <v>12184.77</v>
      </c>
    </row>
    <row r="1228" spans="15:17" x14ac:dyDescent="0.2">
      <c r="O1228" s="9" t="s">
        <v>14090</v>
      </c>
      <c r="P1228" s="169" t="s">
        <v>14091</v>
      </c>
      <c r="Q1228" s="9">
        <v>7444.52</v>
      </c>
    </row>
    <row r="1229" spans="15:17" x14ac:dyDescent="0.2">
      <c r="O1229" s="9" t="s">
        <v>14092</v>
      </c>
      <c r="P1229" s="169" t="s">
        <v>14093</v>
      </c>
      <c r="Q1229" s="9">
        <v>8171.73</v>
      </c>
    </row>
    <row r="1230" spans="15:17" x14ac:dyDescent="0.2">
      <c r="O1230" s="9" t="s">
        <v>14094</v>
      </c>
      <c r="P1230" s="169" t="s">
        <v>14095</v>
      </c>
      <c r="Q1230" s="9">
        <v>12329.35</v>
      </c>
    </row>
    <row r="1231" spans="15:17" x14ac:dyDescent="0.2">
      <c r="O1231" s="9" t="s">
        <v>14096</v>
      </c>
      <c r="P1231" s="169" t="s">
        <v>14097</v>
      </c>
      <c r="Q1231" s="9">
        <v>18748.93</v>
      </c>
    </row>
    <row r="1232" spans="15:17" x14ac:dyDescent="0.2">
      <c r="O1232" s="9" t="s">
        <v>14098</v>
      </c>
      <c r="P1232" s="169" t="s">
        <v>14099</v>
      </c>
      <c r="Q1232" s="9">
        <v>22399.96</v>
      </c>
    </row>
    <row r="1233" spans="15:17" x14ac:dyDescent="0.2">
      <c r="O1233" s="9" t="s">
        <v>14100</v>
      </c>
      <c r="P1233" s="169" t="s">
        <v>14101</v>
      </c>
      <c r="Q1233" s="9">
        <v>25679.37</v>
      </c>
    </row>
    <row r="1234" spans="15:17" x14ac:dyDescent="0.2">
      <c r="O1234" s="9" t="s">
        <v>14102</v>
      </c>
      <c r="P1234" s="169" t="s">
        <v>14103</v>
      </c>
      <c r="Q1234" s="9">
        <v>8097.83</v>
      </c>
    </row>
    <row r="1235" spans="15:17" x14ac:dyDescent="0.2">
      <c r="O1235" s="9" t="s">
        <v>14104</v>
      </c>
      <c r="P1235" s="169" t="s">
        <v>14105</v>
      </c>
      <c r="Q1235" s="9">
        <v>9704.33</v>
      </c>
    </row>
    <row r="1236" spans="15:17" x14ac:dyDescent="0.2">
      <c r="O1236" s="9" t="s">
        <v>14106</v>
      </c>
      <c r="P1236" s="169" t="s">
        <v>14107</v>
      </c>
      <c r="Q1236" s="9">
        <v>11380.45</v>
      </c>
    </row>
    <row r="1237" spans="15:17" x14ac:dyDescent="0.2">
      <c r="O1237" s="9" t="s">
        <v>14108</v>
      </c>
      <c r="P1237" s="169" t="s">
        <v>14109</v>
      </c>
      <c r="Q1237" s="9">
        <v>13131.53</v>
      </c>
    </row>
    <row r="1238" spans="15:17" x14ac:dyDescent="0.2">
      <c r="O1238" s="9" t="s">
        <v>14110</v>
      </c>
      <c r="P1238" s="169" t="s">
        <v>14111</v>
      </c>
      <c r="Q1238" s="9">
        <v>14883.69</v>
      </c>
    </row>
    <row r="1239" spans="15:17" x14ac:dyDescent="0.2">
      <c r="O1239" s="9" t="s">
        <v>14112</v>
      </c>
      <c r="P1239" s="169" t="s">
        <v>14113</v>
      </c>
      <c r="Q1239" s="9">
        <v>16780.43</v>
      </c>
    </row>
    <row r="1240" spans="15:17" x14ac:dyDescent="0.2">
      <c r="O1240" s="9" t="s">
        <v>14114</v>
      </c>
      <c r="P1240" s="169" t="s">
        <v>14115</v>
      </c>
      <c r="Q1240" s="9">
        <v>925.96</v>
      </c>
    </row>
    <row r="1241" spans="15:17" x14ac:dyDescent="0.2">
      <c r="O1241" s="9" t="s">
        <v>14116</v>
      </c>
      <c r="P1241" s="169" t="s">
        <v>14117</v>
      </c>
      <c r="Q1241" s="9">
        <v>925.96</v>
      </c>
    </row>
    <row r="1242" spans="15:17" x14ac:dyDescent="0.2">
      <c r="O1242" s="9" t="s">
        <v>14118</v>
      </c>
      <c r="P1242" s="169" t="s">
        <v>14119</v>
      </c>
      <c r="Q1242" s="9">
        <v>1124.55</v>
      </c>
    </row>
    <row r="1243" spans="15:17" x14ac:dyDescent="0.2">
      <c r="O1243" s="9" t="s">
        <v>14120</v>
      </c>
      <c r="P1243" s="169" t="s">
        <v>14121</v>
      </c>
      <c r="Q1243" s="9">
        <v>1125.1500000000001</v>
      </c>
    </row>
    <row r="1244" spans="15:17" x14ac:dyDescent="0.2">
      <c r="O1244" s="9" t="s">
        <v>14122</v>
      </c>
      <c r="P1244" s="169" t="s">
        <v>14123</v>
      </c>
      <c r="Q1244" s="9">
        <v>1325.9</v>
      </c>
    </row>
    <row r="1245" spans="15:17" x14ac:dyDescent="0.2">
      <c r="O1245" s="9" t="s">
        <v>14124</v>
      </c>
      <c r="P1245" s="169" t="s">
        <v>14125</v>
      </c>
      <c r="Q1245" s="9">
        <v>1326.94</v>
      </c>
    </row>
    <row r="1246" spans="15:17" x14ac:dyDescent="0.2">
      <c r="O1246" s="9" t="s">
        <v>14126</v>
      </c>
      <c r="P1246" s="169" t="s">
        <v>14127</v>
      </c>
      <c r="Q1246" s="9">
        <v>1526.18</v>
      </c>
    </row>
    <row r="1247" spans="15:17" x14ac:dyDescent="0.2">
      <c r="O1247" s="9" t="s">
        <v>14128</v>
      </c>
      <c r="P1247" s="169" t="s">
        <v>14129</v>
      </c>
      <c r="Q1247" s="9">
        <v>1526.18</v>
      </c>
    </row>
    <row r="1248" spans="15:17" x14ac:dyDescent="0.2">
      <c r="O1248" s="9" t="s">
        <v>14130</v>
      </c>
      <c r="P1248" s="169" t="s">
        <v>14131</v>
      </c>
      <c r="Q1248" s="9">
        <v>1526.18</v>
      </c>
    </row>
    <row r="1249" spans="15:17" x14ac:dyDescent="0.2">
      <c r="O1249" s="9" t="s">
        <v>14132</v>
      </c>
      <c r="P1249" s="169" t="s">
        <v>14133</v>
      </c>
      <c r="Q1249" s="9">
        <v>1721.1</v>
      </c>
    </row>
    <row r="1250" spans="15:17" x14ac:dyDescent="0.2">
      <c r="O1250" s="9" t="s">
        <v>14134</v>
      </c>
      <c r="P1250" s="169" t="s">
        <v>14135</v>
      </c>
      <c r="Q1250" s="9">
        <v>1923.52</v>
      </c>
    </row>
    <row r="1251" spans="15:17" x14ac:dyDescent="0.2">
      <c r="O1251" s="9" t="s">
        <v>14136</v>
      </c>
      <c r="P1251" s="169" t="s">
        <v>14137</v>
      </c>
      <c r="Q1251" s="9">
        <v>2122.62</v>
      </c>
    </row>
    <row r="1252" spans="15:17" x14ac:dyDescent="0.2">
      <c r="O1252" s="9" t="s">
        <v>14138</v>
      </c>
      <c r="P1252" s="169" t="s">
        <v>14139</v>
      </c>
      <c r="Q1252" s="9">
        <v>2328.0100000000002</v>
      </c>
    </row>
    <row r="1253" spans="15:17" x14ac:dyDescent="0.2">
      <c r="O1253" s="9" t="s">
        <v>14140</v>
      </c>
      <c r="P1253" s="169" t="s">
        <v>14141</v>
      </c>
      <c r="Q1253" s="9">
        <v>2522.1999999999998</v>
      </c>
    </row>
    <row r="1254" spans="15:17" x14ac:dyDescent="0.2">
      <c r="O1254" s="9" t="s">
        <v>14142</v>
      </c>
      <c r="P1254" s="169" t="s">
        <v>14143</v>
      </c>
      <c r="Q1254" s="9">
        <v>2923.83</v>
      </c>
    </row>
    <row r="1255" spans="15:17" x14ac:dyDescent="0.2">
      <c r="O1255" s="9" t="s">
        <v>14144</v>
      </c>
      <c r="P1255" s="169" t="s">
        <v>14145</v>
      </c>
      <c r="Q1255" s="9">
        <v>1023.88</v>
      </c>
    </row>
    <row r="1256" spans="15:17" x14ac:dyDescent="0.2">
      <c r="O1256" s="9" t="s">
        <v>14146</v>
      </c>
      <c r="P1256" s="169" t="s">
        <v>14147</v>
      </c>
      <c r="Q1256" s="9">
        <v>1023.88</v>
      </c>
    </row>
    <row r="1257" spans="15:17" x14ac:dyDescent="0.2">
      <c r="O1257" s="9" t="s">
        <v>14148</v>
      </c>
      <c r="P1257" s="169" t="s">
        <v>14149</v>
      </c>
      <c r="Q1257" s="9">
        <v>1023.88</v>
      </c>
    </row>
    <row r="1258" spans="15:17" x14ac:dyDescent="0.2">
      <c r="O1258" s="9" t="s">
        <v>14150</v>
      </c>
      <c r="P1258" s="169" t="s">
        <v>14151</v>
      </c>
      <c r="Q1258" s="9">
        <v>1023.88</v>
      </c>
    </row>
    <row r="1259" spans="15:17" x14ac:dyDescent="0.2">
      <c r="O1259" s="9" t="s">
        <v>14152</v>
      </c>
      <c r="P1259" s="169" t="s">
        <v>14153</v>
      </c>
      <c r="Q1259" s="9">
        <v>1023.88</v>
      </c>
    </row>
    <row r="1260" spans="15:17" x14ac:dyDescent="0.2">
      <c r="O1260" s="9" t="s">
        <v>14154</v>
      </c>
      <c r="P1260" s="169" t="s">
        <v>14155</v>
      </c>
      <c r="Q1260" s="9">
        <v>1023.88</v>
      </c>
    </row>
    <row r="1261" spans="15:17" x14ac:dyDescent="0.2">
      <c r="O1261" s="9" t="s">
        <v>14156</v>
      </c>
      <c r="P1261" s="169" t="s">
        <v>14157</v>
      </c>
      <c r="Q1261" s="9">
        <v>1241.29</v>
      </c>
    </row>
    <row r="1262" spans="15:17" x14ac:dyDescent="0.2">
      <c r="O1262" s="9" t="s">
        <v>14158</v>
      </c>
      <c r="P1262" s="169" t="s">
        <v>14159</v>
      </c>
      <c r="Q1262" s="9">
        <v>1241.29</v>
      </c>
    </row>
    <row r="1263" spans="15:17" x14ac:dyDescent="0.2">
      <c r="O1263" s="9" t="s">
        <v>14160</v>
      </c>
      <c r="P1263" s="169" t="s">
        <v>14161</v>
      </c>
      <c r="Q1263" s="9">
        <v>1389.09</v>
      </c>
    </row>
    <row r="1264" spans="15:17" x14ac:dyDescent="0.2">
      <c r="O1264" s="9" t="s">
        <v>14162</v>
      </c>
      <c r="P1264" s="169" t="s">
        <v>14163</v>
      </c>
      <c r="Q1264" s="9">
        <v>1389.09</v>
      </c>
    </row>
    <row r="1265" spans="15:17" x14ac:dyDescent="0.2">
      <c r="O1265" s="9" t="s">
        <v>14164</v>
      </c>
      <c r="P1265" s="169" t="s">
        <v>14165</v>
      </c>
      <c r="Q1265" s="9">
        <v>1534.74</v>
      </c>
    </row>
    <row r="1266" spans="15:17" x14ac:dyDescent="0.2">
      <c r="O1266" s="9" t="s">
        <v>14166</v>
      </c>
      <c r="P1266" s="169" t="s">
        <v>14167</v>
      </c>
      <c r="Q1266" s="9">
        <v>1534.74</v>
      </c>
    </row>
    <row r="1267" spans="15:17" x14ac:dyDescent="0.2">
      <c r="O1267" s="9" t="s">
        <v>14168</v>
      </c>
      <c r="P1267" s="169" t="s">
        <v>14169</v>
      </c>
      <c r="Q1267" s="9">
        <v>1678.26</v>
      </c>
    </row>
    <row r="1268" spans="15:17" x14ac:dyDescent="0.2">
      <c r="O1268" s="9" t="s">
        <v>14170</v>
      </c>
      <c r="P1268" s="169" t="s">
        <v>14171</v>
      </c>
      <c r="Q1268" s="9">
        <v>1678.26</v>
      </c>
    </row>
    <row r="1269" spans="15:17" x14ac:dyDescent="0.2">
      <c r="O1269" s="9" t="s">
        <v>14172</v>
      </c>
      <c r="P1269" s="169" t="s">
        <v>14173</v>
      </c>
      <c r="Q1269" s="9">
        <v>1753.23</v>
      </c>
    </row>
    <row r="1270" spans="15:17" x14ac:dyDescent="0.2">
      <c r="O1270" s="9" t="s">
        <v>14174</v>
      </c>
      <c r="P1270" s="169" t="s">
        <v>14175</v>
      </c>
      <c r="Q1270" s="9">
        <v>1896.74</v>
      </c>
    </row>
    <row r="1271" spans="15:17" x14ac:dyDescent="0.2">
      <c r="O1271" s="9" t="s">
        <v>14176</v>
      </c>
      <c r="P1271" s="169" t="s">
        <v>14177</v>
      </c>
      <c r="Q1271" s="9">
        <v>1896.74</v>
      </c>
    </row>
    <row r="1272" spans="15:17" x14ac:dyDescent="0.2">
      <c r="O1272" s="9" t="s">
        <v>14178</v>
      </c>
      <c r="P1272" s="169" t="s">
        <v>14179</v>
      </c>
      <c r="Q1272" s="9">
        <v>2116.3000000000002</v>
      </c>
    </row>
    <row r="1273" spans="15:17" x14ac:dyDescent="0.2">
      <c r="O1273" s="9" t="s">
        <v>14180</v>
      </c>
      <c r="P1273" s="169" t="s">
        <v>14181</v>
      </c>
      <c r="Q1273" s="9">
        <v>2480.44</v>
      </c>
    </row>
    <row r="1274" spans="15:17" x14ac:dyDescent="0.2">
      <c r="O1274" s="9" t="s">
        <v>14182</v>
      </c>
      <c r="P1274" s="169" t="s">
        <v>14183</v>
      </c>
      <c r="Q1274" s="9">
        <v>1184.53</v>
      </c>
    </row>
    <row r="1275" spans="15:17" x14ac:dyDescent="0.2">
      <c r="O1275" s="9" t="s">
        <v>14184</v>
      </c>
      <c r="P1275" s="169" t="s">
        <v>14185</v>
      </c>
      <c r="Q1275" s="9">
        <v>1955.65</v>
      </c>
    </row>
    <row r="1276" spans="15:17" x14ac:dyDescent="0.2">
      <c r="O1276" s="9" t="s">
        <v>14186</v>
      </c>
      <c r="P1276" s="169" t="s">
        <v>14187</v>
      </c>
      <c r="Q1276" s="9">
        <v>1955.65</v>
      </c>
    </row>
    <row r="1277" spans="15:17" x14ac:dyDescent="0.2">
      <c r="O1277" s="9" t="s">
        <v>14188</v>
      </c>
      <c r="P1277" s="169" t="s">
        <v>14189</v>
      </c>
      <c r="Q1277" s="9">
        <v>778.62</v>
      </c>
    </row>
    <row r="1278" spans="15:17" x14ac:dyDescent="0.2">
      <c r="O1278" s="9" t="s">
        <v>14190</v>
      </c>
      <c r="P1278" s="169" t="s">
        <v>14191</v>
      </c>
      <c r="Q1278" s="9">
        <v>778.62</v>
      </c>
    </row>
    <row r="1279" spans="15:17" x14ac:dyDescent="0.2">
      <c r="O1279" s="9" t="s">
        <v>14192</v>
      </c>
      <c r="P1279" s="169" t="s">
        <v>14193</v>
      </c>
      <c r="Q1279" s="9">
        <v>843.95</v>
      </c>
    </row>
    <row r="1280" spans="15:17" x14ac:dyDescent="0.2">
      <c r="O1280" s="9" t="s">
        <v>14194</v>
      </c>
      <c r="P1280" s="169" t="s">
        <v>14195</v>
      </c>
      <c r="Q1280" s="9">
        <v>843.95</v>
      </c>
    </row>
    <row r="1281" spans="15:17" x14ac:dyDescent="0.2">
      <c r="O1281" s="9" t="s">
        <v>14196</v>
      </c>
      <c r="P1281" s="169" t="s">
        <v>14197</v>
      </c>
      <c r="Q1281" s="9">
        <v>907.14</v>
      </c>
    </row>
    <row r="1282" spans="15:17" x14ac:dyDescent="0.2">
      <c r="O1282" s="9" t="s">
        <v>14198</v>
      </c>
      <c r="P1282" s="169" t="s">
        <v>14199</v>
      </c>
      <c r="Q1282" s="9">
        <v>907.14</v>
      </c>
    </row>
    <row r="1283" spans="15:17" x14ac:dyDescent="0.2">
      <c r="O1283" s="9" t="s">
        <v>14200</v>
      </c>
      <c r="P1283" s="169" t="s">
        <v>14201</v>
      </c>
      <c r="Q1283" s="9">
        <v>974.61</v>
      </c>
    </row>
    <row r="1284" spans="15:17" x14ac:dyDescent="0.2">
      <c r="O1284" s="9" t="s">
        <v>14202</v>
      </c>
      <c r="P1284" s="169" t="s">
        <v>14203</v>
      </c>
      <c r="Q1284" s="9">
        <v>974.61</v>
      </c>
    </row>
    <row r="1285" spans="15:17" x14ac:dyDescent="0.2">
      <c r="O1285" s="9" t="s">
        <v>14204</v>
      </c>
      <c r="P1285" s="169" t="s">
        <v>14205</v>
      </c>
      <c r="Q1285" s="9">
        <v>1041.01</v>
      </c>
    </row>
    <row r="1286" spans="15:17" x14ac:dyDescent="0.2">
      <c r="O1286" s="9" t="s">
        <v>14206</v>
      </c>
      <c r="P1286" s="169" t="s">
        <v>14207</v>
      </c>
      <c r="Q1286" s="9">
        <v>1041.01</v>
      </c>
    </row>
    <row r="1287" spans="15:17" x14ac:dyDescent="0.2">
      <c r="O1287" s="9" t="s">
        <v>14208</v>
      </c>
      <c r="P1287" s="169" t="s">
        <v>14209</v>
      </c>
      <c r="Q1287" s="9">
        <v>1107.4100000000001</v>
      </c>
    </row>
    <row r="1288" spans="15:17" x14ac:dyDescent="0.2">
      <c r="O1288" s="9" t="s">
        <v>14210</v>
      </c>
      <c r="P1288" s="169" t="s">
        <v>14211</v>
      </c>
      <c r="Q1288" s="9">
        <v>1107.4100000000001</v>
      </c>
    </row>
    <row r="1289" spans="15:17" x14ac:dyDescent="0.2">
      <c r="O1289" s="9" t="s">
        <v>14212</v>
      </c>
      <c r="P1289" s="169" t="s">
        <v>14213</v>
      </c>
      <c r="Q1289" s="9">
        <v>1169.53</v>
      </c>
    </row>
    <row r="1290" spans="15:17" x14ac:dyDescent="0.2">
      <c r="O1290" s="9" t="s">
        <v>14214</v>
      </c>
      <c r="P1290" s="169" t="s">
        <v>14215</v>
      </c>
      <c r="Q1290" s="9">
        <v>1169.53</v>
      </c>
    </row>
    <row r="1291" spans="15:17" x14ac:dyDescent="0.2">
      <c r="O1291" s="9" t="s">
        <v>14216</v>
      </c>
      <c r="P1291" s="169" t="s">
        <v>14217</v>
      </c>
      <c r="Q1291" s="9">
        <v>1239.1500000000001</v>
      </c>
    </row>
    <row r="1292" spans="15:17" x14ac:dyDescent="0.2">
      <c r="O1292" s="9" t="s">
        <v>14218</v>
      </c>
      <c r="P1292" s="169" t="s">
        <v>14219</v>
      </c>
      <c r="Q1292" s="9">
        <v>1300.19</v>
      </c>
    </row>
    <row r="1293" spans="15:17" x14ac:dyDescent="0.2">
      <c r="O1293" s="9" t="s">
        <v>14220</v>
      </c>
      <c r="P1293" s="169" t="s">
        <v>14221</v>
      </c>
      <c r="Q1293" s="9">
        <v>1300.19</v>
      </c>
    </row>
    <row r="1294" spans="15:17" x14ac:dyDescent="0.2">
      <c r="O1294" s="9" t="s">
        <v>14222</v>
      </c>
      <c r="P1294" s="169" t="s">
        <v>14223</v>
      </c>
      <c r="Q1294" s="9">
        <v>1434.07</v>
      </c>
    </row>
    <row r="1295" spans="15:17" x14ac:dyDescent="0.2">
      <c r="O1295" s="9" t="s">
        <v>14224</v>
      </c>
      <c r="P1295" s="169" t="s">
        <v>14225</v>
      </c>
      <c r="Q1295" s="9">
        <v>1560.45</v>
      </c>
    </row>
    <row r="1296" spans="15:17" x14ac:dyDescent="0.2">
      <c r="O1296" s="9" t="s">
        <v>14226</v>
      </c>
      <c r="P1296" s="169" t="s">
        <v>14227</v>
      </c>
      <c r="Q1296" s="9">
        <v>1560.45</v>
      </c>
    </row>
    <row r="1297" spans="15:17" x14ac:dyDescent="0.2">
      <c r="O1297" s="9" t="s">
        <v>14228</v>
      </c>
      <c r="P1297" s="169" t="s">
        <v>14229</v>
      </c>
      <c r="Q1297" s="9">
        <v>1692.18</v>
      </c>
    </row>
    <row r="1298" spans="15:17" x14ac:dyDescent="0.2">
      <c r="O1298" s="9" t="s">
        <v>14230</v>
      </c>
      <c r="P1298" s="169" t="s">
        <v>14231</v>
      </c>
      <c r="Q1298" s="9">
        <v>1890.32</v>
      </c>
    </row>
    <row r="1299" spans="15:17" x14ac:dyDescent="0.2">
      <c r="O1299" s="9" t="s">
        <v>14232</v>
      </c>
      <c r="P1299" s="169" t="s">
        <v>14233</v>
      </c>
      <c r="Q1299" s="9">
        <v>2610.0300000000002</v>
      </c>
    </row>
    <row r="1300" spans="15:17" x14ac:dyDescent="0.2">
      <c r="O1300" s="9" t="s">
        <v>14234</v>
      </c>
      <c r="P1300" s="169" t="s">
        <v>14235</v>
      </c>
      <c r="Q1300" s="9">
        <v>2610.0300000000002</v>
      </c>
    </row>
    <row r="1301" spans="15:17" x14ac:dyDescent="0.2">
      <c r="O1301" s="9" t="s">
        <v>14236</v>
      </c>
      <c r="P1301" s="169" t="s">
        <v>14237</v>
      </c>
      <c r="Q1301" s="9">
        <v>938.2</v>
      </c>
    </row>
    <row r="1302" spans="15:17" x14ac:dyDescent="0.2">
      <c r="O1302" s="9" t="s">
        <v>14238</v>
      </c>
      <c r="P1302" s="169" t="s">
        <v>14239</v>
      </c>
      <c r="Q1302" s="9">
        <v>938.2</v>
      </c>
    </row>
    <row r="1303" spans="15:17" x14ac:dyDescent="0.2">
      <c r="O1303" s="9" t="s">
        <v>14240</v>
      </c>
      <c r="P1303" s="169" t="s">
        <v>14241</v>
      </c>
      <c r="Q1303" s="9">
        <v>1033.52</v>
      </c>
    </row>
    <row r="1304" spans="15:17" x14ac:dyDescent="0.2">
      <c r="O1304" s="9" t="s">
        <v>14242</v>
      </c>
      <c r="P1304" s="169" t="s">
        <v>14243</v>
      </c>
      <c r="Q1304" s="9">
        <v>1033.52</v>
      </c>
    </row>
    <row r="1305" spans="15:17" x14ac:dyDescent="0.2">
      <c r="O1305" s="9" t="s">
        <v>14244</v>
      </c>
      <c r="P1305" s="169" t="s">
        <v>14245</v>
      </c>
      <c r="Q1305" s="9">
        <v>1130.98</v>
      </c>
    </row>
    <row r="1306" spans="15:17" x14ac:dyDescent="0.2">
      <c r="O1306" s="9" t="s">
        <v>14246</v>
      </c>
      <c r="P1306" s="169" t="s">
        <v>14247</v>
      </c>
      <c r="Q1306" s="9">
        <v>1130.98</v>
      </c>
    </row>
    <row r="1307" spans="15:17" x14ac:dyDescent="0.2">
      <c r="O1307" s="9" t="s">
        <v>14248</v>
      </c>
      <c r="P1307" s="169" t="s">
        <v>14249</v>
      </c>
      <c r="Q1307" s="9">
        <v>1217.73</v>
      </c>
    </row>
    <row r="1308" spans="15:17" x14ac:dyDescent="0.2">
      <c r="O1308" s="9" t="s">
        <v>14250</v>
      </c>
      <c r="P1308" s="169" t="s">
        <v>14251</v>
      </c>
      <c r="Q1308" s="9">
        <v>1217.73</v>
      </c>
    </row>
    <row r="1309" spans="15:17" x14ac:dyDescent="0.2">
      <c r="O1309" s="9" t="s">
        <v>14252</v>
      </c>
      <c r="P1309" s="169" t="s">
        <v>14253</v>
      </c>
      <c r="Q1309" s="9">
        <v>1313.05</v>
      </c>
    </row>
    <row r="1310" spans="15:17" x14ac:dyDescent="0.2">
      <c r="O1310" s="9" t="s">
        <v>14254</v>
      </c>
      <c r="P1310" s="169" t="s">
        <v>14255</v>
      </c>
      <c r="Q1310" s="9">
        <v>1313.05</v>
      </c>
    </row>
    <row r="1311" spans="15:17" x14ac:dyDescent="0.2">
      <c r="O1311" s="9" t="s">
        <v>14256</v>
      </c>
      <c r="P1311" s="169" t="s">
        <v>14257</v>
      </c>
      <c r="Q1311" s="9">
        <v>1405.15</v>
      </c>
    </row>
    <row r="1312" spans="15:17" x14ac:dyDescent="0.2">
      <c r="O1312" s="9" t="s">
        <v>14258</v>
      </c>
      <c r="P1312" s="169" t="s">
        <v>14259</v>
      </c>
      <c r="Q1312" s="9">
        <v>1405.15</v>
      </c>
    </row>
    <row r="1313" spans="15:17" x14ac:dyDescent="0.2">
      <c r="O1313" s="9" t="s">
        <v>14260</v>
      </c>
      <c r="P1313" s="169" t="s">
        <v>14261</v>
      </c>
      <c r="Q1313" s="9">
        <v>1497.26</v>
      </c>
    </row>
    <row r="1314" spans="15:17" x14ac:dyDescent="0.2">
      <c r="O1314" s="9" t="s">
        <v>14262</v>
      </c>
      <c r="P1314" s="169" t="s">
        <v>14263</v>
      </c>
      <c r="Q1314" s="9">
        <v>1497.26</v>
      </c>
    </row>
    <row r="1315" spans="15:17" x14ac:dyDescent="0.2">
      <c r="O1315" s="9" t="s">
        <v>14264</v>
      </c>
      <c r="P1315" s="169" t="s">
        <v>14265</v>
      </c>
      <c r="Q1315" s="9">
        <v>1589.36</v>
      </c>
    </row>
    <row r="1316" spans="15:17" x14ac:dyDescent="0.2">
      <c r="O1316" s="9" t="s">
        <v>14266</v>
      </c>
      <c r="P1316" s="169" t="s">
        <v>14267</v>
      </c>
      <c r="Q1316" s="9">
        <v>1589.36</v>
      </c>
    </row>
    <row r="1317" spans="15:17" x14ac:dyDescent="0.2">
      <c r="O1317" s="9" t="s">
        <v>14268</v>
      </c>
      <c r="P1317" s="169" t="s">
        <v>14269</v>
      </c>
      <c r="Q1317" s="9">
        <v>1681.47</v>
      </c>
    </row>
    <row r="1318" spans="15:17" x14ac:dyDescent="0.2">
      <c r="O1318" s="9" t="s">
        <v>14270</v>
      </c>
      <c r="P1318" s="169" t="s">
        <v>14271</v>
      </c>
      <c r="Q1318" s="9">
        <v>1680.4</v>
      </c>
    </row>
    <row r="1319" spans="15:17" x14ac:dyDescent="0.2">
      <c r="O1319" s="9" t="s">
        <v>14272</v>
      </c>
      <c r="P1319" s="169" t="s">
        <v>14273</v>
      </c>
      <c r="Q1319" s="9">
        <v>1775.72</v>
      </c>
    </row>
    <row r="1320" spans="15:17" x14ac:dyDescent="0.2">
      <c r="O1320" s="9" t="s">
        <v>14274</v>
      </c>
      <c r="P1320" s="169" t="s">
        <v>14275</v>
      </c>
      <c r="Q1320" s="9">
        <v>1867.82</v>
      </c>
    </row>
    <row r="1321" spans="15:17" x14ac:dyDescent="0.2">
      <c r="O1321" s="9" t="s">
        <v>14276</v>
      </c>
      <c r="P1321" s="169" t="s">
        <v>14277</v>
      </c>
      <c r="Q1321" s="9">
        <v>1867.82</v>
      </c>
    </row>
    <row r="1322" spans="15:17" x14ac:dyDescent="0.2">
      <c r="O1322" s="9" t="s">
        <v>14278</v>
      </c>
      <c r="P1322" s="169" t="s">
        <v>14279</v>
      </c>
      <c r="Q1322" s="9">
        <v>2054.1799999999998</v>
      </c>
    </row>
    <row r="1323" spans="15:17" x14ac:dyDescent="0.2">
      <c r="O1323" s="9" t="s">
        <v>14280</v>
      </c>
      <c r="P1323" s="169" t="s">
        <v>14281</v>
      </c>
      <c r="Q1323" s="9">
        <v>2242.67</v>
      </c>
    </row>
    <row r="1324" spans="15:17" x14ac:dyDescent="0.2">
      <c r="O1324" s="9" t="s">
        <v>14282</v>
      </c>
      <c r="P1324" s="169" t="s">
        <v>14283</v>
      </c>
      <c r="Q1324" s="9">
        <v>2242.67</v>
      </c>
    </row>
    <row r="1325" spans="15:17" x14ac:dyDescent="0.2">
      <c r="O1325" s="9" t="s">
        <v>14284</v>
      </c>
      <c r="P1325" s="169" t="s">
        <v>14285</v>
      </c>
      <c r="Q1325" s="9">
        <v>2425.8200000000002</v>
      </c>
    </row>
    <row r="1326" spans="15:17" x14ac:dyDescent="0.2">
      <c r="O1326" s="9" t="s">
        <v>14286</v>
      </c>
      <c r="P1326" s="169" t="s">
        <v>14287</v>
      </c>
      <c r="Q1326" s="9">
        <v>3909.15</v>
      </c>
    </row>
    <row r="1327" spans="15:17" x14ac:dyDescent="0.2">
      <c r="O1327" s="9" t="s">
        <v>14288</v>
      </c>
      <c r="P1327" s="169" t="s">
        <v>14289</v>
      </c>
      <c r="Q1327" s="9">
        <v>4219.74</v>
      </c>
    </row>
    <row r="1328" spans="15:17" x14ac:dyDescent="0.2">
      <c r="O1328" s="9" t="s">
        <v>14290</v>
      </c>
      <c r="P1328" s="169" t="s">
        <v>14291</v>
      </c>
      <c r="Q1328" s="9">
        <v>4536.76</v>
      </c>
    </row>
    <row r="1329" spans="15:17" x14ac:dyDescent="0.2">
      <c r="O1329" s="9" t="s">
        <v>14292</v>
      </c>
      <c r="P1329" s="169" t="s">
        <v>14293</v>
      </c>
      <c r="Q1329" s="9">
        <v>4536.76</v>
      </c>
    </row>
    <row r="1330" spans="15:17" x14ac:dyDescent="0.2">
      <c r="O1330" s="9" t="s">
        <v>14294</v>
      </c>
      <c r="P1330" s="169" t="s">
        <v>14295</v>
      </c>
      <c r="Q1330" s="9">
        <v>1228.44</v>
      </c>
    </row>
    <row r="1331" spans="15:17" x14ac:dyDescent="0.2">
      <c r="O1331" s="9" t="s">
        <v>14296</v>
      </c>
      <c r="P1331" s="169" t="s">
        <v>14297</v>
      </c>
      <c r="Q1331" s="9">
        <v>1228.44</v>
      </c>
    </row>
    <row r="1332" spans="15:17" x14ac:dyDescent="0.2">
      <c r="O1332" s="9" t="s">
        <v>14298</v>
      </c>
      <c r="P1332" s="169" t="s">
        <v>14299</v>
      </c>
      <c r="Q1332" s="9">
        <v>1385.87</v>
      </c>
    </row>
    <row r="1333" spans="15:17" x14ac:dyDescent="0.2">
      <c r="O1333" s="9" t="s">
        <v>14300</v>
      </c>
      <c r="P1333" s="169" t="s">
        <v>14301</v>
      </c>
      <c r="Q1333" s="9">
        <v>1385.87</v>
      </c>
    </row>
    <row r="1334" spans="15:17" x14ac:dyDescent="0.2">
      <c r="O1334" s="9" t="s">
        <v>14302</v>
      </c>
      <c r="P1334" s="169" t="s">
        <v>14303</v>
      </c>
      <c r="Q1334" s="9">
        <v>1544.38</v>
      </c>
    </row>
    <row r="1335" spans="15:17" x14ac:dyDescent="0.2">
      <c r="O1335" s="9" t="s">
        <v>14304</v>
      </c>
      <c r="P1335" s="169" t="s">
        <v>14305</v>
      </c>
      <c r="Q1335" s="9">
        <v>1544.38</v>
      </c>
    </row>
    <row r="1336" spans="15:17" x14ac:dyDescent="0.2">
      <c r="O1336" s="9" t="s">
        <v>14306</v>
      </c>
      <c r="P1336" s="169" t="s">
        <v>14307</v>
      </c>
      <c r="Q1336" s="9">
        <v>1697.54</v>
      </c>
    </row>
    <row r="1337" spans="15:17" x14ac:dyDescent="0.2">
      <c r="O1337" s="9" t="s">
        <v>14308</v>
      </c>
      <c r="P1337" s="169" t="s">
        <v>14309</v>
      </c>
      <c r="Q1337" s="9">
        <v>1697.54</v>
      </c>
    </row>
    <row r="1338" spans="15:17" x14ac:dyDescent="0.2">
      <c r="O1338" s="9" t="s">
        <v>14310</v>
      </c>
      <c r="P1338" s="169" t="s">
        <v>14311</v>
      </c>
      <c r="Q1338" s="9">
        <v>1861.4</v>
      </c>
    </row>
    <row r="1339" spans="15:17" x14ac:dyDescent="0.2">
      <c r="O1339" s="9" t="s">
        <v>14312</v>
      </c>
      <c r="P1339" s="169" t="s">
        <v>14313</v>
      </c>
      <c r="Q1339" s="9">
        <v>1861.4</v>
      </c>
    </row>
    <row r="1340" spans="15:17" x14ac:dyDescent="0.2">
      <c r="O1340" s="9" t="s">
        <v>14314</v>
      </c>
      <c r="P1340" s="169" t="s">
        <v>14315</v>
      </c>
      <c r="Q1340" s="9">
        <v>2014.55</v>
      </c>
    </row>
    <row r="1341" spans="15:17" x14ac:dyDescent="0.2">
      <c r="O1341" s="9" t="s">
        <v>14316</v>
      </c>
      <c r="P1341" s="169" t="s">
        <v>14317</v>
      </c>
      <c r="Q1341" s="9">
        <v>2014.55</v>
      </c>
    </row>
    <row r="1342" spans="15:17" x14ac:dyDescent="0.2">
      <c r="O1342" s="9" t="s">
        <v>14318</v>
      </c>
      <c r="P1342" s="169" t="s">
        <v>14319</v>
      </c>
      <c r="Q1342" s="9">
        <v>2173.06</v>
      </c>
    </row>
    <row r="1343" spans="15:17" x14ac:dyDescent="0.2">
      <c r="O1343" s="9" t="s">
        <v>14320</v>
      </c>
      <c r="P1343" s="169" t="s">
        <v>14321</v>
      </c>
      <c r="Q1343" s="9">
        <v>2173.06</v>
      </c>
    </row>
    <row r="1344" spans="15:17" x14ac:dyDescent="0.2">
      <c r="O1344" s="9" t="s">
        <v>14322</v>
      </c>
      <c r="P1344" s="169" t="s">
        <v>14323</v>
      </c>
      <c r="Q1344" s="9">
        <v>2327.2800000000002</v>
      </c>
    </row>
    <row r="1345" spans="15:17" x14ac:dyDescent="0.2">
      <c r="O1345" s="9" t="s">
        <v>14324</v>
      </c>
      <c r="P1345" s="169" t="s">
        <v>14325</v>
      </c>
      <c r="Q1345" s="9">
        <v>2327.2800000000002</v>
      </c>
    </row>
    <row r="1346" spans="15:17" x14ac:dyDescent="0.2">
      <c r="O1346" s="9" t="s">
        <v>14326</v>
      </c>
      <c r="P1346" s="169" t="s">
        <v>14327</v>
      </c>
      <c r="Q1346" s="9">
        <v>2647.51</v>
      </c>
    </row>
    <row r="1347" spans="15:17" x14ac:dyDescent="0.2">
      <c r="O1347" s="9" t="s">
        <v>14328</v>
      </c>
      <c r="P1347" s="169" t="s">
        <v>14329</v>
      </c>
      <c r="Q1347" s="9">
        <v>2647.51</v>
      </c>
    </row>
    <row r="1348" spans="15:17" x14ac:dyDescent="0.2">
      <c r="O1348" s="9" t="s">
        <v>14330</v>
      </c>
      <c r="P1348" s="169" t="s">
        <v>14331</v>
      </c>
      <c r="Q1348" s="9">
        <v>2961.32</v>
      </c>
    </row>
    <row r="1349" spans="15:17" x14ac:dyDescent="0.2">
      <c r="O1349" s="9" t="s">
        <v>14332</v>
      </c>
      <c r="P1349" s="169" t="s">
        <v>14333</v>
      </c>
      <c r="Q1349" s="9">
        <v>2961.32</v>
      </c>
    </row>
    <row r="1350" spans="15:17" x14ac:dyDescent="0.2">
      <c r="O1350" s="9" t="s">
        <v>14334</v>
      </c>
      <c r="P1350" s="169" t="s">
        <v>14335</v>
      </c>
      <c r="Q1350" s="9">
        <v>3276.19</v>
      </c>
    </row>
    <row r="1351" spans="15:17" x14ac:dyDescent="0.2">
      <c r="O1351" s="9" t="s">
        <v>14336</v>
      </c>
      <c r="P1351" s="169" t="s">
        <v>14337</v>
      </c>
      <c r="Q1351" s="9">
        <v>3276.19</v>
      </c>
    </row>
    <row r="1352" spans="15:17" x14ac:dyDescent="0.2">
      <c r="O1352" s="9" t="s">
        <v>14338</v>
      </c>
      <c r="P1352" s="169" t="s">
        <v>14339</v>
      </c>
      <c r="Q1352" s="9">
        <v>3587.85</v>
      </c>
    </row>
    <row r="1353" spans="15:17" x14ac:dyDescent="0.2">
      <c r="O1353" s="9" t="s">
        <v>14340</v>
      </c>
      <c r="P1353" s="169" t="s">
        <v>14341</v>
      </c>
      <c r="Q1353" s="9">
        <v>1703.96</v>
      </c>
    </row>
    <row r="1354" spans="15:17" x14ac:dyDescent="0.2">
      <c r="O1354" s="9" t="s">
        <v>14342</v>
      </c>
      <c r="P1354" s="169" t="s">
        <v>14343</v>
      </c>
      <c r="Q1354" s="9">
        <v>2484.7199999999998</v>
      </c>
    </row>
    <row r="1355" spans="15:17" x14ac:dyDescent="0.2">
      <c r="O1355" s="9" t="s">
        <v>14344</v>
      </c>
      <c r="P1355" s="169" t="s">
        <v>14345</v>
      </c>
      <c r="Q1355" s="9">
        <v>3669.25</v>
      </c>
    </row>
    <row r="1356" spans="15:17" x14ac:dyDescent="0.2">
      <c r="O1356" s="9" t="s">
        <v>14346</v>
      </c>
      <c r="P1356" s="169" t="s">
        <v>14347</v>
      </c>
      <c r="Q1356" s="9">
        <v>4074</v>
      </c>
    </row>
    <row r="1357" spans="15:17" x14ac:dyDescent="0.2">
      <c r="O1357" s="9" t="s">
        <v>14348</v>
      </c>
      <c r="P1357" s="169" t="s">
        <v>14349</v>
      </c>
      <c r="Q1357" s="9">
        <v>2046</v>
      </c>
    </row>
    <row r="1358" spans="15:17" x14ac:dyDescent="0.2">
      <c r="O1358" s="9" t="s">
        <v>14350</v>
      </c>
      <c r="P1358" s="169" t="s">
        <v>14351</v>
      </c>
      <c r="Q1358" s="9">
        <v>2058</v>
      </c>
    </row>
    <row r="1359" spans="15:17" x14ac:dyDescent="0.2">
      <c r="O1359" s="9" t="s">
        <v>14352</v>
      </c>
      <c r="P1359" s="169" t="s">
        <v>14353</v>
      </c>
      <c r="Q1359" s="9">
        <v>2141</v>
      </c>
    </row>
    <row r="1360" spans="15:17" x14ac:dyDescent="0.2">
      <c r="O1360" s="9" t="s">
        <v>14354</v>
      </c>
      <c r="P1360" s="169" t="s">
        <v>14355</v>
      </c>
      <c r="Q1360" s="9">
        <v>2141</v>
      </c>
    </row>
    <row r="1361" spans="15:17" x14ac:dyDescent="0.2">
      <c r="O1361" s="9" t="s">
        <v>14356</v>
      </c>
      <c r="P1361" s="169" t="s">
        <v>14357</v>
      </c>
      <c r="Q1361" s="9">
        <v>2210</v>
      </c>
    </row>
    <row r="1362" spans="15:17" x14ac:dyDescent="0.2">
      <c r="O1362" s="9" t="s">
        <v>14358</v>
      </c>
      <c r="P1362" s="169" t="s">
        <v>14359</v>
      </c>
      <c r="Q1362" s="9">
        <v>2417</v>
      </c>
    </row>
    <row r="1363" spans="15:17" x14ac:dyDescent="0.2">
      <c r="O1363" s="9" t="s">
        <v>14360</v>
      </c>
      <c r="P1363" s="169" t="s">
        <v>14361</v>
      </c>
      <c r="Q1363" s="9">
        <v>2556</v>
      </c>
    </row>
    <row r="1364" spans="15:17" x14ac:dyDescent="0.2">
      <c r="O1364" s="9" t="s">
        <v>14362</v>
      </c>
      <c r="P1364" s="169" t="s">
        <v>14363</v>
      </c>
      <c r="Q1364" s="9">
        <v>2694</v>
      </c>
    </row>
    <row r="1365" spans="15:17" x14ac:dyDescent="0.2">
      <c r="O1365" s="9" t="s">
        <v>14364</v>
      </c>
      <c r="P1365" s="169" t="s">
        <v>14365</v>
      </c>
      <c r="Q1365" s="9">
        <v>2832</v>
      </c>
    </row>
    <row r="1366" spans="15:17" x14ac:dyDescent="0.2">
      <c r="O1366" s="9" t="s">
        <v>14366</v>
      </c>
      <c r="P1366" s="169" t="s">
        <v>14367</v>
      </c>
      <c r="Q1366" s="9">
        <v>3039</v>
      </c>
    </row>
    <row r="1367" spans="15:17" x14ac:dyDescent="0.2">
      <c r="O1367" s="9" t="s">
        <v>14368</v>
      </c>
      <c r="P1367" s="169" t="s">
        <v>14369</v>
      </c>
      <c r="Q1367" s="9">
        <v>3037</v>
      </c>
    </row>
    <row r="1368" spans="15:17" x14ac:dyDescent="0.2">
      <c r="O1368" s="9" t="s">
        <v>14370</v>
      </c>
      <c r="P1368" s="169" t="s">
        <v>14371</v>
      </c>
      <c r="Q1368" s="9">
        <v>3246</v>
      </c>
    </row>
    <row r="1369" spans="15:17" x14ac:dyDescent="0.2">
      <c r="O1369" s="9" t="s">
        <v>14372</v>
      </c>
      <c r="P1369" s="169" t="s">
        <v>14373</v>
      </c>
      <c r="Q1369" s="9">
        <v>3453</v>
      </c>
    </row>
    <row r="1370" spans="15:17" x14ac:dyDescent="0.2">
      <c r="O1370" s="9" t="s">
        <v>14374</v>
      </c>
      <c r="P1370" s="169" t="s">
        <v>14375</v>
      </c>
      <c r="Q1370" s="9">
        <v>3729</v>
      </c>
    </row>
    <row r="1371" spans="15:17" x14ac:dyDescent="0.2">
      <c r="O1371" s="9" t="s">
        <v>14376</v>
      </c>
      <c r="P1371" s="169" t="s">
        <v>14377</v>
      </c>
      <c r="Q1371" s="9">
        <v>5524</v>
      </c>
    </row>
    <row r="1372" spans="15:17" x14ac:dyDescent="0.2">
      <c r="O1372" s="9" t="s">
        <v>14378</v>
      </c>
      <c r="P1372" s="169" t="s">
        <v>14379</v>
      </c>
      <c r="Q1372" s="9">
        <v>2432</v>
      </c>
    </row>
    <row r="1373" spans="15:17" x14ac:dyDescent="0.2">
      <c r="O1373" s="9" t="s">
        <v>14380</v>
      </c>
      <c r="P1373" s="169" t="s">
        <v>14381</v>
      </c>
      <c r="Q1373" s="9">
        <v>2664</v>
      </c>
    </row>
    <row r="1374" spans="15:17" x14ac:dyDescent="0.2">
      <c r="O1374" s="9" t="s">
        <v>14382</v>
      </c>
      <c r="P1374" s="169" t="s">
        <v>14383</v>
      </c>
      <c r="Q1374" s="9">
        <v>2893</v>
      </c>
    </row>
    <row r="1375" spans="15:17" x14ac:dyDescent="0.2">
      <c r="O1375" s="9" t="s">
        <v>14384</v>
      </c>
      <c r="P1375" s="169" t="s">
        <v>14385</v>
      </c>
      <c r="Q1375" s="9">
        <v>2970</v>
      </c>
    </row>
    <row r="1376" spans="15:17" x14ac:dyDescent="0.2">
      <c r="O1376" s="9" t="s">
        <v>14386</v>
      </c>
      <c r="P1376" s="169" t="s">
        <v>14387</v>
      </c>
      <c r="Q1376" s="9">
        <v>3177</v>
      </c>
    </row>
    <row r="1377" spans="15:17" x14ac:dyDescent="0.2">
      <c r="O1377" s="9" t="s">
        <v>14388</v>
      </c>
      <c r="P1377" s="169" t="s">
        <v>14389</v>
      </c>
      <c r="Q1377" s="9">
        <v>3453</v>
      </c>
    </row>
    <row r="1378" spans="15:17" x14ac:dyDescent="0.2">
      <c r="O1378" s="9" t="s">
        <v>14390</v>
      </c>
      <c r="P1378" s="169" t="s">
        <v>14391</v>
      </c>
      <c r="Q1378" s="9">
        <v>3762</v>
      </c>
    </row>
    <row r="1379" spans="15:17" x14ac:dyDescent="0.2">
      <c r="O1379" s="9" t="s">
        <v>14392</v>
      </c>
      <c r="P1379" s="169" t="s">
        <v>14393</v>
      </c>
      <c r="Q1379" s="9">
        <v>3867</v>
      </c>
    </row>
    <row r="1380" spans="15:17" x14ac:dyDescent="0.2">
      <c r="O1380" s="9" t="s">
        <v>14394</v>
      </c>
      <c r="P1380" s="169" t="s">
        <v>14395</v>
      </c>
      <c r="Q1380" s="9">
        <v>4197</v>
      </c>
    </row>
    <row r="1381" spans="15:17" x14ac:dyDescent="0.2">
      <c r="O1381" s="9" t="s">
        <v>14396</v>
      </c>
      <c r="P1381" s="169" t="s">
        <v>14397</v>
      </c>
      <c r="Q1381" s="9">
        <v>4557</v>
      </c>
    </row>
    <row r="1382" spans="15:17" x14ac:dyDescent="0.2">
      <c r="O1382" s="9" t="s">
        <v>14398</v>
      </c>
      <c r="P1382" s="169" t="s">
        <v>14399</v>
      </c>
      <c r="Q1382" s="9">
        <v>4766</v>
      </c>
    </row>
    <row r="1383" spans="15:17" x14ac:dyDescent="0.2">
      <c r="O1383" s="9" t="s">
        <v>14400</v>
      </c>
      <c r="P1383" s="169" t="s">
        <v>14401</v>
      </c>
      <c r="Q1383" s="9">
        <v>4972</v>
      </c>
    </row>
    <row r="1384" spans="15:17" x14ac:dyDescent="0.2">
      <c r="O1384" s="9" t="s">
        <v>14402</v>
      </c>
      <c r="P1384" s="169" t="s">
        <v>14403</v>
      </c>
      <c r="Q1384" s="9">
        <v>3123</v>
      </c>
    </row>
    <row r="1385" spans="15:17" x14ac:dyDescent="0.2">
      <c r="O1385" s="9" t="s">
        <v>14404</v>
      </c>
      <c r="P1385" s="169" t="s">
        <v>14405</v>
      </c>
      <c r="Q1385" s="9">
        <v>5386</v>
      </c>
    </row>
    <row r="1386" spans="15:17" x14ac:dyDescent="0.2">
      <c r="O1386" s="9" t="s">
        <v>14406</v>
      </c>
      <c r="P1386" s="169" t="s">
        <v>14407</v>
      </c>
      <c r="Q1386" s="9">
        <v>6829</v>
      </c>
    </row>
    <row r="1387" spans="15:17" x14ac:dyDescent="0.2">
      <c r="O1387" s="9" t="s">
        <v>14408</v>
      </c>
      <c r="P1387" s="169" t="s">
        <v>14409</v>
      </c>
      <c r="Q1387" s="9">
        <v>6561</v>
      </c>
    </row>
    <row r="1388" spans="15:17" x14ac:dyDescent="0.2">
      <c r="O1388" s="9" t="s">
        <v>14410</v>
      </c>
      <c r="P1388" s="169" t="s">
        <v>14411</v>
      </c>
      <c r="Q1388" s="9">
        <v>3453</v>
      </c>
    </row>
    <row r="1389" spans="15:17" x14ac:dyDescent="0.2">
      <c r="O1389" s="9" t="s">
        <v>14412</v>
      </c>
      <c r="P1389" s="169" t="s">
        <v>14413</v>
      </c>
      <c r="Q1389" s="9">
        <v>4074</v>
      </c>
    </row>
    <row r="1390" spans="15:17" x14ac:dyDescent="0.2">
      <c r="O1390" s="9" t="s">
        <v>14414</v>
      </c>
      <c r="P1390" s="169" t="s">
        <v>14415</v>
      </c>
      <c r="Q1390" s="9">
        <v>4557</v>
      </c>
    </row>
    <row r="1391" spans="15:17" x14ac:dyDescent="0.2">
      <c r="O1391" s="9" t="s">
        <v>14416</v>
      </c>
      <c r="P1391" s="169" t="s">
        <v>14417</v>
      </c>
      <c r="Q1391" s="9">
        <v>5180</v>
      </c>
    </row>
    <row r="1392" spans="15:17" x14ac:dyDescent="0.2">
      <c r="O1392" s="9" t="s">
        <v>14418</v>
      </c>
      <c r="P1392" s="169" t="s">
        <v>14419</v>
      </c>
      <c r="Q1392" s="9">
        <v>5870</v>
      </c>
    </row>
    <row r="1393" spans="15:17" x14ac:dyDescent="0.2">
      <c r="O1393" s="9" t="s">
        <v>14420</v>
      </c>
      <c r="P1393" s="169" t="s">
        <v>14421</v>
      </c>
      <c r="Q1393" s="9">
        <v>6366</v>
      </c>
    </row>
    <row r="1394" spans="15:17" x14ac:dyDescent="0.2">
      <c r="O1394" s="9" t="s">
        <v>14422</v>
      </c>
      <c r="P1394" s="169" t="s">
        <v>14423</v>
      </c>
      <c r="Q1394" s="9">
        <v>5661</v>
      </c>
    </row>
    <row r="1395" spans="15:17" x14ac:dyDescent="0.2">
      <c r="O1395" s="9" t="s">
        <v>14424</v>
      </c>
      <c r="P1395" s="169" t="s">
        <v>14425</v>
      </c>
      <c r="Q1395" s="9">
        <v>7044</v>
      </c>
    </row>
    <row r="1396" spans="15:17" x14ac:dyDescent="0.2">
      <c r="O1396" s="9" t="s">
        <v>14426</v>
      </c>
      <c r="P1396" s="169" t="s">
        <v>14427</v>
      </c>
      <c r="Q1396" s="9">
        <v>8150</v>
      </c>
    </row>
    <row r="1397" spans="15:17" x14ac:dyDescent="0.2">
      <c r="O1397" s="9" t="s">
        <v>14428</v>
      </c>
      <c r="P1397" s="169" t="s">
        <v>14429</v>
      </c>
      <c r="Q1397" s="9">
        <v>8909</v>
      </c>
    </row>
    <row r="1398" spans="15:17" x14ac:dyDescent="0.2">
      <c r="O1398" s="9" t="s">
        <v>14430</v>
      </c>
      <c r="P1398" s="169" t="s">
        <v>14431</v>
      </c>
      <c r="Q1398" s="9">
        <v>12500</v>
      </c>
    </row>
    <row r="1399" spans="15:17" x14ac:dyDescent="0.2">
      <c r="O1399" s="9" t="s">
        <v>14432</v>
      </c>
      <c r="P1399" s="169" t="s">
        <v>14433</v>
      </c>
      <c r="Q1399" s="9">
        <v>14600</v>
      </c>
    </row>
    <row r="1400" spans="15:17" x14ac:dyDescent="0.2">
      <c r="O1400" s="9" t="s">
        <v>14434</v>
      </c>
      <c r="P1400" s="169" t="s">
        <v>14435</v>
      </c>
      <c r="Q1400" s="9">
        <v>5935</v>
      </c>
    </row>
    <row r="1401" spans="15:17" x14ac:dyDescent="0.2">
      <c r="O1401" s="9" t="s">
        <v>14436</v>
      </c>
      <c r="P1401" s="169" t="s">
        <v>14437</v>
      </c>
      <c r="Q1401" s="9">
        <v>7044</v>
      </c>
    </row>
    <row r="1402" spans="15:17" x14ac:dyDescent="0.2">
      <c r="O1402" s="9" t="s">
        <v>14438</v>
      </c>
      <c r="P1402" s="169" t="s">
        <v>14439</v>
      </c>
      <c r="Q1402" s="9">
        <v>8287</v>
      </c>
    </row>
    <row r="1403" spans="15:17" x14ac:dyDescent="0.2">
      <c r="O1403" s="9" t="s">
        <v>14440</v>
      </c>
      <c r="P1403" s="169" t="s">
        <v>14441</v>
      </c>
      <c r="Q1403" s="9">
        <v>8978</v>
      </c>
    </row>
    <row r="1404" spans="15:17" x14ac:dyDescent="0.2">
      <c r="O1404" s="9" t="s">
        <v>14442</v>
      </c>
      <c r="P1404" s="169" t="s">
        <v>14443</v>
      </c>
      <c r="Q1404" s="9">
        <v>9530</v>
      </c>
    </row>
    <row r="1405" spans="15:17" x14ac:dyDescent="0.2">
      <c r="O1405" s="9" t="s">
        <v>14444</v>
      </c>
      <c r="P1405" s="169" t="s">
        <v>14445</v>
      </c>
      <c r="Q1405" s="9">
        <v>9900</v>
      </c>
    </row>
    <row r="1406" spans="15:17" x14ac:dyDescent="0.2">
      <c r="O1406" s="9" t="s">
        <v>14446</v>
      </c>
      <c r="P1406" s="169" t="s">
        <v>14447</v>
      </c>
      <c r="Q1406" s="9">
        <v>11200</v>
      </c>
    </row>
    <row r="1407" spans="15:17" x14ac:dyDescent="0.2">
      <c r="O1407" s="9" t="s">
        <v>14448</v>
      </c>
      <c r="P1407" s="169" t="s">
        <v>14449</v>
      </c>
      <c r="Q1407" s="9">
        <v>1700</v>
      </c>
    </row>
    <row r="1408" spans="15:17" x14ac:dyDescent="0.2">
      <c r="O1408" s="9" t="s">
        <v>14450</v>
      </c>
      <c r="P1408" s="169" t="s">
        <v>14451</v>
      </c>
      <c r="Q1408" s="9">
        <v>1700</v>
      </c>
    </row>
    <row r="1409" spans="15:17" x14ac:dyDescent="0.2">
      <c r="O1409" s="9" t="s">
        <v>14452</v>
      </c>
      <c r="P1409" s="169" t="s">
        <v>14453</v>
      </c>
      <c r="Q1409" s="9">
        <v>1700</v>
      </c>
    </row>
    <row r="1410" spans="15:17" x14ac:dyDescent="0.2">
      <c r="O1410" s="9" t="s">
        <v>14454</v>
      </c>
      <c r="P1410" s="169" t="s">
        <v>14455</v>
      </c>
      <c r="Q1410" s="9">
        <v>1714</v>
      </c>
    </row>
    <row r="1411" spans="15:17" x14ac:dyDescent="0.2">
      <c r="O1411" s="9" t="s">
        <v>14456</v>
      </c>
      <c r="P1411" s="169" t="s">
        <v>14457</v>
      </c>
      <c r="Q1411" s="9">
        <v>1714</v>
      </c>
    </row>
    <row r="1412" spans="15:17" x14ac:dyDescent="0.2">
      <c r="O1412" s="9" t="s">
        <v>14458</v>
      </c>
      <c r="P1412" s="169" t="s">
        <v>14459</v>
      </c>
      <c r="Q1412" s="9">
        <v>1727</v>
      </c>
    </row>
    <row r="1413" spans="15:17" x14ac:dyDescent="0.2">
      <c r="O1413" s="9" t="s">
        <v>14460</v>
      </c>
      <c r="P1413" s="169" t="s">
        <v>14461</v>
      </c>
      <c r="Q1413" s="9">
        <v>1727</v>
      </c>
    </row>
    <row r="1414" spans="15:17" x14ac:dyDescent="0.2">
      <c r="O1414" s="9" t="s">
        <v>14462</v>
      </c>
      <c r="P1414" s="169" t="s">
        <v>14463</v>
      </c>
      <c r="Q1414" s="9">
        <v>1727</v>
      </c>
    </row>
    <row r="1415" spans="15:17" x14ac:dyDescent="0.2">
      <c r="O1415" s="9" t="s">
        <v>14464</v>
      </c>
      <c r="P1415" s="169" t="s">
        <v>14465</v>
      </c>
      <c r="Q1415" s="9">
        <v>1739</v>
      </c>
    </row>
    <row r="1416" spans="15:17" x14ac:dyDescent="0.2">
      <c r="O1416" s="9" t="s">
        <v>14466</v>
      </c>
      <c r="P1416" s="169" t="s">
        <v>14467</v>
      </c>
      <c r="Q1416" s="9">
        <v>1739</v>
      </c>
    </row>
    <row r="1417" spans="15:17" x14ac:dyDescent="0.2">
      <c r="O1417" s="9" t="s">
        <v>14468</v>
      </c>
      <c r="P1417" s="169" t="s">
        <v>14469</v>
      </c>
      <c r="Q1417" s="9">
        <v>1754</v>
      </c>
    </row>
    <row r="1418" spans="15:17" x14ac:dyDescent="0.2">
      <c r="O1418" s="9" t="s">
        <v>14470</v>
      </c>
      <c r="P1418" s="169" t="s">
        <v>14471</v>
      </c>
      <c r="Q1418" s="9">
        <v>1766</v>
      </c>
    </row>
    <row r="1419" spans="15:17" x14ac:dyDescent="0.2">
      <c r="O1419" s="9" t="s">
        <v>14472</v>
      </c>
      <c r="P1419" s="169" t="s">
        <v>14473</v>
      </c>
      <c r="Q1419" s="9">
        <v>1780</v>
      </c>
    </row>
    <row r="1420" spans="15:17" x14ac:dyDescent="0.2">
      <c r="O1420" s="9" t="s">
        <v>14474</v>
      </c>
      <c r="P1420" s="169" t="s">
        <v>14475</v>
      </c>
      <c r="Q1420" s="9">
        <v>780</v>
      </c>
    </row>
    <row r="1421" spans="15:17" x14ac:dyDescent="0.2">
      <c r="O1421" s="9" t="s">
        <v>14476</v>
      </c>
      <c r="P1421" s="169" t="s">
        <v>14477</v>
      </c>
      <c r="Q1421" s="9">
        <v>1866</v>
      </c>
    </row>
    <row r="1422" spans="15:17" x14ac:dyDescent="0.2">
      <c r="O1422" s="9" t="s">
        <v>14478</v>
      </c>
      <c r="P1422" s="169" t="s">
        <v>14479</v>
      </c>
      <c r="Q1422" s="9">
        <v>2970</v>
      </c>
    </row>
    <row r="1423" spans="15:17" x14ac:dyDescent="0.2">
      <c r="O1423" s="9" t="s">
        <v>14480</v>
      </c>
      <c r="P1423" s="169" t="s">
        <v>14481</v>
      </c>
      <c r="Q1423" s="9">
        <v>1873</v>
      </c>
    </row>
    <row r="1424" spans="15:17" x14ac:dyDescent="0.2">
      <c r="O1424" s="9" t="s">
        <v>14482</v>
      </c>
      <c r="P1424" s="169" t="s">
        <v>14483</v>
      </c>
      <c r="Q1424" s="9">
        <v>1887</v>
      </c>
    </row>
    <row r="1425" spans="15:17" x14ac:dyDescent="0.2">
      <c r="O1425" s="9" t="s">
        <v>14484</v>
      </c>
      <c r="P1425" s="169" t="s">
        <v>14485</v>
      </c>
      <c r="Q1425" s="9">
        <v>1887</v>
      </c>
    </row>
    <row r="1426" spans="15:17" x14ac:dyDescent="0.2">
      <c r="O1426" s="9" t="s">
        <v>14486</v>
      </c>
      <c r="P1426" s="169" t="s">
        <v>14487</v>
      </c>
      <c r="Q1426" s="9">
        <v>1900</v>
      </c>
    </row>
    <row r="1427" spans="15:17" x14ac:dyDescent="0.2">
      <c r="O1427" s="9" t="s">
        <v>14488</v>
      </c>
      <c r="P1427" s="169" t="s">
        <v>14489</v>
      </c>
      <c r="Q1427" s="9">
        <v>1900</v>
      </c>
    </row>
    <row r="1428" spans="15:17" x14ac:dyDescent="0.2">
      <c r="O1428" s="9" t="s">
        <v>14490</v>
      </c>
      <c r="P1428" s="169" t="s">
        <v>14491</v>
      </c>
      <c r="Q1428" s="9">
        <v>1913</v>
      </c>
    </row>
    <row r="1429" spans="15:17" x14ac:dyDescent="0.2">
      <c r="O1429" s="9" t="s">
        <v>14492</v>
      </c>
      <c r="P1429" s="169" t="s">
        <v>14493</v>
      </c>
      <c r="Q1429" s="9">
        <v>1913</v>
      </c>
    </row>
    <row r="1430" spans="15:17" x14ac:dyDescent="0.2">
      <c r="O1430" s="9" t="s">
        <v>14494</v>
      </c>
      <c r="P1430" s="169" t="s">
        <v>14495</v>
      </c>
      <c r="Q1430" s="9">
        <v>1927</v>
      </c>
    </row>
    <row r="1431" spans="15:17" x14ac:dyDescent="0.2">
      <c r="O1431" s="9" t="s">
        <v>14496</v>
      </c>
      <c r="P1431" s="169" t="s">
        <v>14497</v>
      </c>
      <c r="Q1431" s="9">
        <v>1975</v>
      </c>
    </row>
    <row r="1432" spans="15:17" x14ac:dyDescent="0.2">
      <c r="O1432" s="9" t="s">
        <v>14498</v>
      </c>
      <c r="P1432" s="169" t="s">
        <v>14499</v>
      </c>
      <c r="Q1432" s="9">
        <v>2134</v>
      </c>
    </row>
    <row r="1433" spans="15:17" x14ac:dyDescent="0.2">
      <c r="O1433" s="9" t="s">
        <v>14500</v>
      </c>
      <c r="P1433" s="169" t="s">
        <v>14501</v>
      </c>
      <c r="Q1433" s="9">
        <v>2071</v>
      </c>
    </row>
    <row r="1434" spans="15:17" x14ac:dyDescent="0.2">
      <c r="O1434" s="9" t="s">
        <v>14502</v>
      </c>
      <c r="P1434" s="169" t="s">
        <v>14503</v>
      </c>
      <c r="Q1434" s="9">
        <v>2210</v>
      </c>
    </row>
    <row r="1435" spans="15:17" x14ac:dyDescent="0.2">
      <c r="O1435" s="9" t="s">
        <v>14504</v>
      </c>
      <c r="P1435" s="169" t="s">
        <v>14505</v>
      </c>
      <c r="Q1435" s="9">
        <v>2486</v>
      </c>
    </row>
    <row r="1436" spans="15:17" x14ac:dyDescent="0.2">
      <c r="O1436" s="9" t="s">
        <v>14506</v>
      </c>
      <c r="P1436" s="169" t="s">
        <v>14507</v>
      </c>
      <c r="Q1436" s="9">
        <v>2624</v>
      </c>
    </row>
    <row r="1437" spans="15:17" x14ac:dyDescent="0.2">
      <c r="O1437" s="9" t="s">
        <v>14508</v>
      </c>
      <c r="P1437" s="169" t="s">
        <v>14509</v>
      </c>
      <c r="Q1437" s="9">
        <v>2694</v>
      </c>
    </row>
    <row r="1438" spans="15:17" x14ac:dyDescent="0.2">
      <c r="O1438" s="9" t="s">
        <v>14510</v>
      </c>
      <c r="P1438" s="169" t="s">
        <v>14511</v>
      </c>
      <c r="Q1438" s="9">
        <v>2762</v>
      </c>
    </row>
    <row r="1439" spans="15:17" x14ac:dyDescent="0.2">
      <c r="O1439" s="9" t="s">
        <v>14512</v>
      </c>
      <c r="P1439" s="169" t="s">
        <v>14513</v>
      </c>
      <c r="Q1439" s="9">
        <v>91.62</v>
      </c>
    </row>
    <row r="1440" spans="15:17" x14ac:dyDescent="0.2">
      <c r="O1440" s="9" t="s">
        <v>14514</v>
      </c>
      <c r="P1440" s="169" t="s">
        <v>14515</v>
      </c>
      <c r="Q1440" s="9">
        <v>114.34</v>
      </c>
    </row>
    <row r="1441" spans="15:17" x14ac:dyDescent="0.2">
      <c r="O1441" s="9" t="s">
        <v>14516</v>
      </c>
      <c r="P1441" s="169" t="s">
        <v>14517</v>
      </c>
      <c r="Q1441" s="9">
        <v>136.76</v>
      </c>
    </row>
    <row r="1442" spans="15:17" x14ac:dyDescent="0.2">
      <c r="O1442" s="9" t="s">
        <v>14518</v>
      </c>
      <c r="P1442" s="169" t="s">
        <v>14519</v>
      </c>
      <c r="Q1442" s="9">
        <v>155.80000000000001</v>
      </c>
    </row>
    <row r="1443" spans="15:17" x14ac:dyDescent="0.2">
      <c r="O1443" s="9" t="s">
        <v>14520</v>
      </c>
      <c r="P1443" s="169" t="s">
        <v>14521</v>
      </c>
      <c r="Q1443" s="9">
        <v>204.54</v>
      </c>
    </row>
    <row r="1444" spans="15:17" x14ac:dyDescent="0.2">
      <c r="O1444" s="9" t="s">
        <v>14522</v>
      </c>
      <c r="P1444" s="169" t="s">
        <v>14523</v>
      </c>
      <c r="Q1444" s="9">
        <v>517.99</v>
      </c>
    </row>
    <row r="1445" spans="15:17" x14ac:dyDescent="0.2">
      <c r="O1445" s="9" t="s">
        <v>14524</v>
      </c>
      <c r="P1445" s="169" t="s">
        <v>14525</v>
      </c>
      <c r="Q1445" s="9">
        <v>600.17999999999995</v>
      </c>
    </row>
    <row r="1446" spans="15:17" x14ac:dyDescent="0.2">
      <c r="O1446" s="9" t="s">
        <v>14526</v>
      </c>
      <c r="P1446" s="169" t="s">
        <v>14527</v>
      </c>
      <c r="Q1446" s="9">
        <v>713.04</v>
      </c>
    </row>
    <row r="1447" spans="15:17" x14ac:dyDescent="0.2">
      <c r="O1447" s="9" t="s">
        <v>14528</v>
      </c>
      <c r="P1447" s="169" t="s">
        <v>14529</v>
      </c>
      <c r="Q1447" s="9">
        <v>655</v>
      </c>
    </row>
    <row r="1448" spans="15:17" x14ac:dyDescent="0.2">
      <c r="O1448" s="9" t="s">
        <v>14530</v>
      </c>
      <c r="P1448" s="169" t="s">
        <v>14531</v>
      </c>
      <c r="Q1448" s="9">
        <v>846.01</v>
      </c>
    </row>
    <row r="1449" spans="15:17" x14ac:dyDescent="0.2">
      <c r="O1449" s="9" t="s">
        <v>14532</v>
      </c>
      <c r="P1449" s="169" t="s">
        <v>14533</v>
      </c>
      <c r="Q1449" s="9">
        <v>756</v>
      </c>
    </row>
    <row r="1450" spans="15:17" x14ac:dyDescent="0.2">
      <c r="O1450" s="9" t="s">
        <v>14534</v>
      </c>
      <c r="P1450" s="169" t="s">
        <v>14535</v>
      </c>
      <c r="Q1450" s="9">
        <v>1056.24</v>
      </c>
    </row>
    <row r="1451" spans="15:17" x14ac:dyDescent="0.2">
      <c r="O1451" s="9" t="s">
        <v>14536</v>
      </c>
      <c r="P1451" s="169" t="s">
        <v>14537</v>
      </c>
      <c r="Q1451" s="9">
        <v>1262.96</v>
      </c>
    </row>
    <row r="1452" spans="15:17" x14ac:dyDescent="0.2">
      <c r="O1452" s="9" t="s">
        <v>14538</v>
      </c>
      <c r="P1452" s="169" t="s">
        <v>14539</v>
      </c>
      <c r="Q1452" s="9">
        <v>1799.23</v>
      </c>
    </row>
    <row r="1453" spans="15:17" x14ac:dyDescent="0.2">
      <c r="O1453" s="9" t="s">
        <v>14540</v>
      </c>
      <c r="P1453" s="169" t="s">
        <v>14541</v>
      </c>
      <c r="Q1453" s="9">
        <v>1547</v>
      </c>
    </row>
    <row r="1454" spans="15:17" x14ac:dyDescent="0.2">
      <c r="O1454" s="9" t="s">
        <v>14542</v>
      </c>
      <c r="P1454" s="169" t="s">
        <v>14543</v>
      </c>
      <c r="Q1454" s="9">
        <v>2548.8000000000002</v>
      </c>
    </row>
    <row r="1455" spans="15:17" x14ac:dyDescent="0.2">
      <c r="O1455" s="9" t="s">
        <v>14544</v>
      </c>
      <c r="P1455" s="169" t="s">
        <v>14545</v>
      </c>
      <c r="Q1455" s="9">
        <v>3605.04</v>
      </c>
    </row>
    <row r="1456" spans="15:17" x14ac:dyDescent="0.2">
      <c r="O1456" s="9" t="s">
        <v>14546</v>
      </c>
      <c r="P1456" s="169" t="s">
        <v>14547</v>
      </c>
      <c r="Q1456" s="9">
        <v>4419.3599999999997</v>
      </c>
    </row>
    <row r="1457" spans="15:17" x14ac:dyDescent="0.2">
      <c r="O1457" s="9" t="s">
        <v>14548</v>
      </c>
      <c r="P1457" s="169" t="s">
        <v>14549</v>
      </c>
      <c r="Q1457" s="9">
        <v>10085</v>
      </c>
    </row>
    <row r="1458" spans="15:17" x14ac:dyDescent="0.2">
      <c r="O1458" s="9" t="s">
        <v>14550</v>
      </c>
      <c r="P1458" s="169" t="s">
        <v>14551</v>
      </c>
      <c r="Q1458" s="9">
        <v>80.239999999999995</v>
      </c>
    </row>
    <row r="1459" spans="15:17" x14ac:dyDescent="0.2">
      <c r="O1459" s="9" t="s">
        <v>14552</v>
      </c>
      <c r="P1459" s="169" t="s">
        <v>14553</v>
      </c>
      <c r="Q1459" s="9">
        <v>83.84</v>
      </c>
    </row>
    <row r="1460" spans="15:17" x14ac:dyDescent="0.2">
      <c r="O1460" s="9" t="s">
        <v>14554</v>
      </c>
      <c r="P1460" s="169" t="s">
        <v>14555</v>
      </c>
      <c r="Q1460" s="9">
        <v>101.58</v>
      </c>
    </row>
    <row r="1461" spans="15:17" x14ac:dyDescent="0.2">
      <c r="O1461" s="9" t="s">
        <v>14556</v>
      </c>
      <c r="P1461" s="169" t="s">
        <v>14557</v>
      </c>
      <c r="Q1461" s="9">
        <v>106.42</v>
      </c>
    </row>
    <row r="1462" spans="15:17" x14ac:dyDescent="0.2">
      <c r="O1462" s="9" t="s">
        <v>14558</v>
      </c>
      <c r="P1462" s="169" t="s">
        <v>14559</v>
      </c>
      <c r="Q1462" s="9">
        <v>99</v>
      </c>
    </row>
    <row r="1463" spans="15:17" x14ac:dyDescent="0.2">
      <c r="O1463" s="9" t="s">
        <v>14560</v>
      </c>
      <c r="P1463" s="169" t="s">
        <v>14561</v>
      </c>
      <c r="Q1463" s="9">
        <v>122.22</v>
      </c>
    </row>
    <row r="1464" spans="15:17" x14ac:dyDescent="0.2">
      <c r="O1464" s="9" t="s">
        <v>14562</v>
      </c>
      <c r="P1464" s="169" t="s">
        <v>14563</v>
      </c>
      <c r="Q1464" s="9">
        <v>151.41999999999999</v>
      </c>
    </row>
    <row r="1465" spans="15:17" x14ac:dyDescent="0.2">
      <c r="O1465" s="9" t="s">
        <v>14564</v>
      </c>
      <c r="P1465" s="169" t="s">
        <v>14565</v>
      </c>
      <c r="Q1465" s="9">
        <v>182.76</v>
      </c>
    </row>
    <row r="1466" spans="15:17" x14ac:dyDescent="0.2">
      <c r="O1466" s="9" t="s">
        <v>14566</v>
      </c>
      <c r="P1466" s="169" t="s">
        <v>14567</v>
      </c>
      <c r="Q1466" s="9">
        <v>207.08</v>
      </c>
    </row>
    <row r="1467" spans="15:17" x14ac:dyDescent="0.2">
      <c r="O1467" s="9" t="s">
        <v>14568</v>
      </c>
      <c r="P1467" s="169" t="s">
        <v>14569</v>
      </c>
      <c r="Q1467" s="9">
        <v>260.62</v>
      </c>
    </row>
    <row r="1468" spans="15:17" x14ac:dyDescent="0.2">
      <c r="O1468" s="9" t="s">
        <v>14570</v>
      </c>
      <c r="P1468" s="169" t="s">
        <v>14571</v>
      </c>
      <c r="Q1468" s="9">
        <v>219</v>
      </c>
    </row>
    <row r="1469" spans="15:17" x14ac:dyDescent="0.2">
      <c r="O1469" s="9" t="s">
        <v>14572</v>
      </c>
      <c r="P1469" s="169" t="s">
        <v>14573</v>
      </c>
      <c r="Q1469" s="9">
        <v>645.95000000000005</v>
      </c>
    </row>
    <row r="1470" spans="15:17" x14ac:dyDescent="0.2">
      <c r="O1470" s="9" t="s">
        <v>14574</v>
      </c>
      <c r="P1470" s="169" t="s">
        <v>14575</v>
      </c>
      <c r="Q1470" s="9">
        <v>840.24</v>
      </c>
    </row>
    <row r="1471" spans="15:17" x14ac:dyDescent="0.2">
      <c r="O1471" s="9" t="s">
        <v>14576</v>
      </c>
      <c r="P1471" s="169" t="s">
        <v>14577</v>
      </c>
      <c r="Q1471" s="9">
        <v>991.44</v>
      </c>
    </row>
    <row r="1472" spans="15:17" x14ac:dyDescent="0.2">
      <c r="O1472" s="9" t="s">
        <v>14578</v>
      </c>
      <c r="P1472" s="169" t="s">
        <v>14579</v>
      </c>
      <c r="Q1472" s="9">
        <v>1360.8</v>
      </c>
    </row>
    <row r="1473" spans="15:17" x14ac:dyDescent="0.2">
      <c r="O1473" s="9" t="s">
        <v>14580</v>
      </c>
      <c r="P1473" s="169" t="s">
        <v>14581</v>
      </c>
      <c r="Q1473" s="9">
        <v>1811.82</v>
      </c>
    </row>
    <row r="1474" spans="15:17" x14ac:dyDescent="0.2">
      <c r="O1474" s="9" t="s">
        <v>14582</v>
      </c>
      <c r="P1474" s="169" t="s">
        <v>14583</v>
      </c>
      <c r="Q1474" s="9">
        <v>2604.38</v>
      </c>
    </row>
    <row r="1475" spans="15:17" x14ac:dyDescent="0.2">
      <c r="O1475" s="9" t="s">
        <v>14584</v>
      </c>
      <c r="P1475" s="169" t="s">
        <v>14585</v>
      </c>
      <c r="Q1475" s="9">
        <v>2924.66</v>
      </c>
    </row>
    <row r="1476" spans="15:17" x14ac:dyDescent="0.2">
      <c r="O1476" s="9" t="s">
        <v>14586</v>
      </c>
      <c r="P1476" s="169" t="s">
        <v>14587</v>
      </c>
      <c r="Q1476" s="9">
        <v>2481</v>
      </c>
    </row>
    <row r="1477" spans="15:17" x14ac:dyDescent="0.2">
      <c r="O1477" s="9" t="s">
        <v>14588</v>
      </c>
      <c r="P1477" s="169" t="s">
        <v>14589</v>
      </c>
      <c r="Q1477" s="9">
        <v>4280.63</v>
      </c>
    </row>
    <row r="1478" spans="15:17" x14ac:dyDescent="0.2">
      <c r="O1478" s="9" t="s">
        <v>14590</v>
      </c>
      <c r="P1478" s="169" t="s">
        <v>14591</v>
      </c>
      <c r="Q1478" s="9">
        <v>5481.3</v>
      </c>
    </row>
    <row r="1479" spans="15:17" x14ac:dyDescent="0.2">
      <c r="O1479" s="9" t="s">
        <v>14592</v>
      </c>
      <c r="P1479" s="169" t="s">
        <v>14593</v>
      </c>
      <c r="Q1479" s="9">
        <v>77.819999999999993</v>
      </c>
    </row>
    <row r="1480" spans="15:17" x14ac:dyDescent="0.2">
      <c r="O1480" s="9" t="s">
        <v>14594</v>
      </c>
      <c r="P1480" s="169" t="s">
        <v>14595</v>
      </c>
      <c r="Q1480" s="9">
        <v>12774</v>
      </c>
    </row>
    <row r="1481" spans="15:17" x14ac:dyDescent="0.2">
      <c r="O1481" s="9" t="s">
        <v>14596</v>
      </c>
      <c r="P1481" s="169" t="s">
        <v>14597</v>
      </c>
      <c r="Q1481" s="9">
        <v>70.44</v>
      </c>
    </row>
    <row r="1482" spans="15:17" x14ac:dyDescent="0.2">
      <c r="O1482" s="9" t="s">
        <v>14598</v>
      </c>
      <c r="P1482" s="169" t="s">
        <v>14599</v>
      </c>
      <c r="Q1482" s="9">
        <v>89.94</v>
      </c>
    </row>
    <row r="1483" spans="15:17" x14ac:dyDescent="0.2">
      <c r="O1483" s="9" t="s">
        <v>14600</v>
      </c>
      <c r="P1483" s="169" t="s">
        <v>14601</v>
      </c>
      <c r="Q1483" s="9">
        <v>96.78</v>
      </c>
    </row>
    <row r="1484" spans="15:17" x14ac:dyDescent="0.2">
      <c r="O1484" s="9" t="s">
        <v>14602</v>
      </c>
      <c r="P1484" s="169" t="s">
        <v>14603</v>
      </c>
      <c r="Q1484" s="9">
        <v>134.26</v>
      </c>
    </row>
    <row r="1485" spans="15:17" x14ac:dyDescent="0.2">
      <c r="O1485" s="9" t="s">
        <v>14604</v>
      </c>
      <c r="P1485" s="169" t="s">
        <v>14605</v>
      </c>
      <c r="Q1485" s="9">
        <v>135.12</v>
      </c>
    </row>
    <row r="1486" spans="15:17" x14ac:dyDescent="0.2">
      <c r="O1486" s="9" t="s">
        <v>14606</v>
      </c>
      <c r="P1486" s="169" t="s">
        <v>14607</v>
      </c>
      <c r="Q1486" s="9">
        <v>175.68</v>
      </c>
    </row>
    <row r="1487" spans="15:17" x14ac:dyDescent="0.2">
      <c r="O1487" s="9" t="s">
        <v>14608</v>
      </c>
      <c r="P1487" s="169" t="s">
        <v>14609</v>
      </c>
      <c r="Q1487" s="9">
        <v>175.68</v>
      </c>
    </row>
    <row r="1488" spans="15:17" x14ac:dyDescent="0.2">
      <c r="O1488" s="9" t="s">
        <v>14610</v>
      </c>
      <c r="P1488" s="169" t="s">
        <v>14611</v>
      </c>
      <c r="Q1488" s="9">
        <v>177.42</v>
      </c>
    </row>
    <row r="1489" spans="15:17" x14ac:dyDescent="0.2">
      <c r="O1489" s="9" t="s">
        <v>14612</v>
      </c>
      <c r="P1489" s="169" t="s">
        <v>14613</v>
      </c>
      <c r="Q1489" s="9">
        <v>128.74</v>
      </c>
    </row>
    <row r="1490" spans="15:17" x14ac:dyDescent="0.2">
      <c r="O1490" s="9" t="s">
        <v>14614</v>
      </c>
      <c r="P1490" s="169" t="s">
        <v>14615</v>
      </c>
      <c r="Q1490" s="9">
        <v>217.24</v>
      </c>
    </row>
    <row r="1491" spans="15:17" x14ac:dyDescent="0.2">
      <c r="O1491" s="9" t="s">
        <v>14616</v>
      </c>
      <c r="P1491" s="169" t="s">
        <v>14617</v>
      </c>
      <c r="Q1491" s="9">
        <v>309.82</v>
      </c>
    </row>
    <row r="1492" spans="15:17" x14ac:dyDescent="0.2">
      <c r="O1492" s="9" t="s">
        <v>14618</v>
      </c>
      <c r="P1492" s="169" t="s">
        <v>14619</v>
      </c>
      <c r="Q1492" s="9">
        <v>191.42</v>
      </c>
    </row>
    <row r="1493" spans="15:17" x14ac:dyDescent="0.2">
      <c r="O1493" s="9" t="s">
        <v>14620</v>
      </c>
      <c r="P1493" s="169" t="s">
        <v>14621</v>
      </c>
      <c r="Q1493" s="9">
        <v>191.42</v>
      </c>
    </row>
    <row r="1494" spans="15:17" x14ac:dyDescent="0.2">
      <c r="O1494" s="9" t="s">
        <v>14622</v>
      </c>
      <c r="P1494" s="169" t="s">
        <v>14623</v>
      </c>
      <c r="Q1494" s="9">
        <v>203.06</v>
      </c>
    </row>
    <row r="1495" spans="15:17" x14ac:dyDescent="0.2">
      <c r="O1495" s="9" t="s">
        <v>14624</v>
      </c>
      <c r="P1495" s="169" t="s">
        <v>14625</v>
      </c>
      <c r="Q1495" s="9">
        <v>225.66</v>
      </c>
    </row>
    <row r="1496" spans="15:17" x14ac:dyDescent="0.2">
      <c r="O1496" s="9" t="s">
        <v>14626</v>
      </c>
      <c r="P1496" s="169" t="s">
        <v>14627</v>
      </c>
      <c r="Q1496" s="9">
        <v>309.82</v>
      </c>
    </row>
    <row r="1497" spans="15:17" x14ac:dyDescent="0.2">
      <c r="O1497" s="9" t="s">
        <v>14628</v>
      </c>
      <c r="P1497" s="169" t="s">
        <v>14629</v>
      </c>
      <c r="Q1497" s="9">
        <v>203.34</v>
      </c>
    </row>
    <row r="1498" spans="15:17" x14ac:dyDescent="0.2">
      <c r="O1498" s="9" t="s">
        <v>14630</v>
      </c>
      <c r="P1498" s="169" t="s">
        <v>14631</v>
      </c>
      <c r="Q1498" s="9">
        <v>203.34</v>
      </c>
    </row>
    <row r="1499" spans="15:17" x14ac:dyDescent="0.2">
      <c r="O1499" s="9" t="s">
        <v>14632</v>
      </c>
      <c r="P1499" s="169" t="s">
        <v>14633</v>
      </c>
      <c r="Q1499" s="9">
        <v>203.34</v>
      </c>
    </row>
    <row r="1500" spans="15:17" x14ac:dyDescent="0.2">
      <c r="O1500" s="9" t="s">
        <v>14634</v>
      </c>
      <c r="P1500" s="169" t="s">
        <v>14635</v>
      </c>
      <c r="Q1500" s="9">
        <v>203.34</v>
      </c>
    </row>
    <row r="1501" spans="15:17" x14ac:dyDescent="0.2">
      <c r="O1501" s="9" t="s">
        <v>14636</v>
      </c>
      <c r="P1501" s="169" t="s">
        <v>14637</v>
      </c>
      <c r="Q1501" s="9">
        <v>203.34</v>
      </c>
    </row>
    <row r="1502" spans="15:17" x14ac:dyDescent="0.2">
      <c r="O1502" s="9" t="s">
        <v>14638</v>
      </c>
      <c r="P1502" s="169" t="s">
        <v>14639</v>
      </c>
      <c r="Q1502" s="9">
        <v>270.22000000000003</v>
      </c>
    </row>
    <row r="1503" spans="15:17" x14ac:dyDescent="0.2">
      <c r="O1503" s="9" t="s">
        <v>14640</v>
      </c>
      <c r="P1503" s="169" t="s">
        <v>14641</v>
      </c>
      <c r="Q1503" s="9">
        <v>280.88</v>
      </c>
    </row>
    <row r="1504" spans="15:17" x14ac:dyDescent="0.2">
      <c r="O1504" s="9" t="s">
        <v>14642</v>
      </c>
      <c r="P1504" s="169" t="s">
        <v>14643</v>
      </c>
      <c r="Q1504" s="9">
        <v>167.9</v>
      </c>
    </row>
    <row r="1505" spans="15:17" x14ac:dyDescent="0.2">
      <c r="O1505" s="9" t="s">
        <v>14644</v>
      </c>
      <c r="P1505" s="169" t="s">
        <v>14645</v>
      </c>
      <c r="Q1505" s="9">
        <v>162.54</v>
      </c>
    </row>
    <row r="1506" spans="15:17" x14ac:dyDescent="0.2">
      <c r="O1506" s="9" t="s">
        <v>14646</v>
      </c>
      <c r="P1506" s="169" t="s">
        <v>14647</v>
      </c>
      <c r="Q1506" s="9">
        <v>200.6</v>
      </c>
    </row>
    <row r="1507" spans="15:17" x14ac:dyDescent="0.2">
      <c r="O1507" s="9" t="s">
        <v>14648</v>
      </c>
      <c r="P1507" s="169" t="s">
        <v>14649</v>
      </c>
      <c r="Q1507" s="9">
        <v>229.92</v>
      </c>
    </row>
    <row r="1508" spans="15:17" x14ac:dyDescent="0.2">
      <c r="O1508" s="9" t="s">
        <v>14650</v>
      </c>
      <c r="P1508" s="169" t="s">
        <v>14651</v>
      </c>
      <c r="Q1508" s="9">
        <v>378.62</v>
      </c>
    </row>
    <row r="1509" spans="15:17" x14ac:dyDescent="0.2">
      <c r="O1509" s="9" t="s">
        <v>14652</v>
      </c>
      <c r="P1509" s="169" t="s">
        <v>14653</v>
      </c>
      <c r="Q1509" s="9">
        <v>532.66</v>
      </c>
    </row>
    <row r="1510" spans="15:17" x14ac:dyDescent="0.2">
      <c r="O1510" s="9" t="s">
        <v>14654</v>
      </c>
      <c r="P1510" s="169" t="s">
        <v>14655</v>
      </c>
      <c r="Q1510" s="9">
        <v>263.22000000000003</v>
      </c>
    </row>
    <row r="1511" spans="15:17" x14ac:dyDescent="0.2">
      <c r="O1511" s="9" t="s">
        <v>14656</v>
      </c>
      <c r="P1511" s="169" t="s">
        <v>14657</v>
      </c>
      <c r="Q1511" s="9">
        <v>244</v>
      </c>
    </row>
    <row r="1512" spans="15:17" x14ac:dyDescent="0.2">
      <c r="O1512" s="9" t="s">
        <v>14658</v>
      </c>
      <c r="P1512" s="169" t="s">
        <v>14659</v>
      </c>
      <c r="Q1512" s="9">
        <v>277.3</v>
      </c>
    </row>
    <row r="1513" spans="15:17" x14ac:dyDescent="0.2">
      <c r="O1513" s="9" t="s">
        <v>14660</v>
      </c>
      <c r="P1513" s="169" t="s">
        <v>14661</v>
      </c>
      <c r="Q1513" s="9">
        <v>191.4</v>
      </c>
    </row>
    <row r="1514" spans="15:17" x14ac:dyDescent="0.2">
      <c r="O1514" s="9" t="s">
        <v>14662</v>
      </c>
      <c r="P1514" s="169" t="s">
        <v>14663</v>
      </c>
      <c r="Q1514" s="9">
        <v>227.52</v>
      </c>
    </row>
    <row r="1515" spans="15:17" x14ac:dyDescent="0.2">
      <c r="O1515" s="9" t="s">
        <v>14664</v>
      </c>
      <c r="P1515" s="169" t="s">
        <v>14665</v>
      </c>
      <c r="Q1515" s="9">
        <v>573.28</v>
      </c>
    </row>
    <row r="1516" spans="15:17" x14ac:dyDescent="0.2">
      <c r="O1516" s="9" t="s">
        <v>14666</v>
      </c>
      <c r="P1516" s="169" t="s">
        <v>14667</v>
      </c>
      <c r="Q1516" s="9">
        <v>342.26</v>
      </c>
    </row>
    <row r="1517" spans="15:17" x14ac:dyDescent="0.2">
      <c r="O1517" s="9" t="s">
        <v>14668</v>
      </c>
      <c r="P1517" s="169" t="s">
        <v>14669</v>
      </c>
      <c r="Q1517" s="9">
        <v>281</v>
      </c>
    </row>
    <row r="1518" spans="15:17" x14ac:dyDescent="0.2">
      <c r="O1518" s="9" t="s">
        <v>14670</v>
      </c>
      <c r="P1518" s="169" t="s">
        <v>14671</v>
      </c>
      <c r="Q1518" s="9">
        <v>303.36</v>
      </c>
    </row>
    <row r="1519" spans="15:17" x14ac:dyDescent="0.2">
      <c r="O1519" s="9" t="s">
        <v>14672</v>
      </c>
      <c r="P1519" s="169" t="s">
        <v>14673</v>
      </c>
      <c r="Q1519" s="9">
        <v>250</v>
      </c>
    </row>
    <row r="1520" spans="15:17" x14ac:dyDescent="0.2">
      <c r="O1520" s="9" t="s">
        <v>14674</v>
      </c>
      <c r="P1520" s="169" t="s">
        <v>14675</v>
      </c>
      <c r="Q1520" s="9">
        <v>475.78</v>
      </c>
    </row>
    <row r="1521" spans="15:17" x14ac:dyDescent="0.2">
      <c r="O1521" s="9" t="s">
        <v>14676</v>
      </c>
      <c r="P1521" s="169" t="s">
        <v>14677</v>
      </c>
      <c r="Q1521" s="9">
        <v>216.08</v>
      </c>
    </row>
    <row r="1522" spans="15:17" x14ac:dyDescent="0.2">
      <c r="O1522" s="9" t="s">
        <v>14678</v>
      </c>
      <c r="P1522" s="169" t="s">
        <v>14679</v>
      </c>
      <c r="Q1522" s="9">
        <v>216.08</v>
      </c>
    </row>
    <row r="1523" spans="15:17" x14ac:dyDescent="0.2">
      <c r="O1523" s="9" t="s">
        <v>14680</v>
      </c>
      <c r="P1523" s="169" t="s">
        <v>14681</v>
      </c>
      <c r="Q1523" s="9">
        <v>306.89999999999998</v>
      </c>
    </row>
    <row r="1524" spans="15:17" x14ac:dyDescent="0.2">
      <c r="O1524" s="9" t="s">
        <v>14682</v>
      </c>
      <c r="P1524" s="169" t="s">
        <v>14683</v>
      </c>
      <c r="Q1524" s="9">
        <v>728.82</v>
      </c>
    </row>
    <row r="1525" spans="15:17" x14ac:dyDescent="0.2">
      <c r="O1525" s="9" t="s">
        <v>14684</v>
      </c>
      <c r="P1525" s="169" t="s">
        <v>14685</v>
      </c>
      <c r="Q1525" s="9">
        <v>674.38</v>
      </c>
    </row>
    <row r="1526" spans="15:17" x14ac:dyDescent="0.2">
      <c r="O1526" s="9" t="s">
        <v>14686</v>
      </c>
      <c r="P1526" s="169" t="s">
        <v>14687</v>
      </c>
      <c r="Q1526" s="9">
        <v>933.5</v>
      </c>
    </row>
    <row r="1527" spans="15:17" x14ac:dyDescent="0.2">
      <c r="O1527" s="9" t="s">
        <v>14688</v>
      </c>
      <c r="P1527" s="169" t="s">
        <v>14689</v>
      </c>
      <c r="Q1527" s="9">
        <v>266.39999999999998</v>
      </c>
    </row>
    <row r="1528" spans="15:17" x14ac:dyDescent="0.2">
      <c r="O1528" s="9" t="s">
        <v>14690</v>
      </c>
      <c r="P1528" s="169" t="s">
        <v>14691</v>
      </c>
      <c r="Q1528" s="9">
        <v>694.18</v>
      </c>
    </row>
    <row r="1529" spans="15:17" x14ac:dyDescent="0.2">
      <c r="O1529" s="9" t="s">
        <v>14692</v>
      </c>
      <c r="P1529" s="169" t="s">
        <v>14693</v>
      </c>
      <c r="Q1529" s="9">
        <v>843.78</v>
      </c>
    </row>
    <row r="1530" spans="15:17" x14ac:dyDescent="0.2">
      <c r="O1530" s="9" t="s">
        <v>14694</v>
      </c>
      <c r="P1530" s="169" t="s">
        <v>14695</v>
      </c>
      <c r="Q1530" s="9">
        <v>272.86</v>
      </c>
    </row>
    <row r="1531" spans="15:17" x14ac:dyDescent="0.2">
      <c r="O1531" s="9" t="s">
        <v>14696</v>
      </c>
      <c r="P1531" s="169" t="s">
        <v>14697</v>
      </c>
      <c r="Q1531" s="9">
        <v>329.04</v>
      </c>
    </row>
    <row r="1532" spans="15:17" x14ac:dyDescent="0.2">
      <c r="O1532" s="9" t="s">
        <v>14698</v>
      </c>
      <c r="P1532" s="169" t="s">
        <v>14699</v>
      </c>
      <c r="Q1532" s="9">
        <v>368.12</v>
      </c>
    </row>
    <row r="1533" spans="15:17" x14ac:dyDescent="0.2">
      <c r="O1533" s="9" t="s">
        <v>14700</v>
      </c>
      <c r="P1533" s="169" t="s">
        <v>14701</v>
      </c>
      <c r="Q1533" s="9">
        <v>615.98</v>
      </c>
    </row>
    <row r="1534" spans="15:17" x14ac:dyDescent="0.2">
      <c r="O1534" s="9" t="s">
        <v>14702</v>
      </c>
      <c r="P1534" s="169" t="s">
        <v>14703</v>
      </c>
      <c r="Q1534" s="9">
        <v>933.48</v>
      </c>
    </row>
    <row r="1535" spans="15:17" x14ac:dyDescent="0.2">
      <c r="O1535" s="9" t="s">
        <v>14704</v>
      </c>
      <c r="P1535" s="169" t="s">
        <v>14705</v>
      </c>
      <c r="Q1535" s="9">
        <v>220.68</v>
      </c>
    </row>
    <row r="1536" spans="15:17" x14ac:dyDescent="0.2">
      <c r="O1536" s="9" t="s">
        <v>14706</v>
      </c>
      <c r="P1536" s="169" t="s">
        <v>14707</v>
      </c>
      <c r="Q1536" s="9">
        <v>633.4</v>
      </c>
    </row>
    <row r="1537" spans="15:17" x14ac:dyDescent="0.2">
      <c r="O1537" s="9" t="s">
        <v>14708</v>
      </c>
      <c r="P1537" s="169" t="s">
        <v>14709</v>
      </c>
      <c r="Q1537" s="9">
        <v>529.98</v>
      </c>
    </row>
    <row r="1538" spans="15:17" x14ac:dyDescent="0.2">
      <c r="O1538" s="9" t="s">
        <v>14710</v>
      </c>
      <c r="P1538" s="169" t="s">
        <v>14711</v>
      </c>
      <c r="Q1538" s="9">
        <v>1550.16</v>
      </c>
    </row>
    <row r="1539" spans="15:17" x14ac:dyDescent="0.2">
      <c r="O1539" s="9" t="s">
        <v>14712</v>
      </c>
      <c r="P1539" s="169" t="s">
        <v>14713</v>
      </c>
      <c r="Q1539" s="9">
        <v>1550.16</v>
      </c>
    </row>
    <row r="1540" spans="15:17" x14ac:dyDescent="0.2">
      <c r="O1540" s="9" t="s">
        <v>14714</v>
      </c>
      <c r="P1540" s="169" t="s">
        <v>14715</v>
      </c>
      <c r="Q1540" s="9">
        <v>2384</v>
      </c>
    </row>
    <row r="1541" spans="15:17" x14ac:dyDescent="0.2">
      <c r="O1541" s="9" t="s">
        <v>14716</v>
      </c>
      <c r="P1541" s="169" t="s">
        <v>14717</v>
      </c>
      <c r="Q1541" s="9">
        <v>2390</v>
      </c>
    </row>
    <row r="1542" spans="15:17" x14ac:dyDescent="0.2">
      <c r="O1542" s="9" t="s">
        <v>14718</v>
      </c>
      <c r="P1542" s="169" t="s">
        <v>14719</v>
      </c>
      <c r="Q1542" s="9">
        <v>503</v>
      </c>
    </row>
    <row r="1543" spans="15:17" x14ac:dyDescent="0.2">
      <c r="O1543" s="9" t="s">
        <v>14720</v>
      </c>
      <c r="P1543" s="169" t="s">
        <v>14721</v>
      </c>
      <c r="Q1543" s="9">
        <v>495.22</v>
      </c>
    </row>
    <row r="1544" spans="15:17" x14ac:dyDescent="0.2">
      <c r="O1544" s="9" t="s">
        <v>14722</v>
      </c>
      <c r="P1544" s="169" t="s">
        <v>14723</v>
      </c>
      <c r="Q1544" s="9">
        <v>662.3</v>
      </c>
    </row>
    <row r="1545" spans="15:17" x14ac:dyDescent="0.2">
      <c r="O1545" s="9" t="s">
        <v>14724</v>
      </c>
      <c r="P1545" s="169" t="s">
        <v>14725</v>
      </c>
      <c r="Q1545" s="9">
        <v>1398.9</v>
      </c>
    </row>
    <row r="1546" spans="15:17" x14ac:dyDescent="0.2">
      <c r="O1546" s="9" t="s">
        <v>14726</v>
      </c>
      <c r="P1546" s="169" t="s">
        <v>14727</v>
      </c>
      <c r="Q1546" s="9">
        <v>1602</v>
      </c>
    </row>
    <row r="1547" spans="15:17" x14ac:dyDescent="0.2">
      <c r="O1547" s="9" t="s">
        <v>14728</v>
      </c>
      <c r="P1547" s="169" t="s">
        <v>14729</v>
      </c>
      <c r="Q1547" s="9">
        <v>2528</v>
      </c>
    </row>
    <row r="1548" spans="15:17" x14ac:dyDescent="0.2">
      <c r="O1548" s="9" t="s">
        <v>14730</v>
      </c>
      <c r="P1548" s="169" t="s">
        <v>14731</v>
      </c>
      <c r="Q1548" s="9">
        <v>758</v>
      </c>
    </row>
    <row r="1549" spans="15:17" x14ac:dyDescent="0.2">
      <c r="O1549" s="9" t="s">
        <v>14732</v>
      </c>
      <c r="P1549" s="169" t="s">
        <v>14733</v>
      </c>
      <c r="Q1549" s="9">
        <v>1264</v>
      </c>
    </row>
    <row r="1550" spans="15:17" x14ac:dyDescent="0.2">
      <c r="O1550" s="9" t="s">
        <v>14734</v>
      </c>
      <c r="P1550" s="169" t="s">
        <v>14735</v>
      </c>
      <c r="Q1550" s="9">
        <v>580</v>
      </c>
    </row>
    <row r="1551" spans="15:17" x14ac:dyDescent="0.2">
      <c r="O1551" s="9" t="s">
        <v>14736</v>
      </c>
      <c r="P1551" s="169" t="s">
        <v>14737</v>
      </c>
      <c r="Q1551" s="9">
        <v>462</v>
      </c>
    </row>
    <row r="1552" spans="15:17" x14ac:dyDescent="0.2">
      <c r="O1552" s="9" t="s">
        <v>14738</v>
      </c>
      <c r="P1552" s="169" t="s">
        <v>14739</v>
      </c>
      <c r="Q1552" s="9">
        <v>1405</v>
      </c>
    </row>
    <row r="1553" spans="15:17" x14ac:dyDescent="0.2">
      <c r="O1553" s="9" t="s">
        <v>14740</v>
      </c>
      <c r="P1553" s="169" t="s">
        <v>14741</v>
      </c>
      <c r="Q1553" s="9">
        <v>1001</v>
      </c>
    </row>
    <row r="1554" spans="15:17" x14ac:dyDescent="0.2">
      <c r="O1554" s="9" t="s">
        <v>14742</v>
      </c>
      <c r="P1554" s="169" t="s">
        <v>14743</v>
      </c>
      <c r="Q1554" s="9">
        <v>1409</v>
      </c>
    </row>
    <row r="1555" spans="15:17" x14ac:dyDescent="0.2">
      <c r="O1555" s="9" t="s">
        <v>14744</v>
      </c>
      <c r="P1555" s="169" t="s">
        <v>14745</v>
      </c>
      <c r="Q1555" s="9">
        <v>1746</v>
      </c>
    </row>
    <row r="1556" spans="15:17" x14ac:dyDescent="0.2">
      <c r="O1556" s="9" t="s">
        <v>14746</v>
      </c>
      <c r="P1556" s="169" t="s">
        <v>14747</v>
      </c>
      <c r="Q1556" s="9">
        <v>2164.85</v>
      </c>
    </row>
    <row r="1557" spans="15:17" x14ac:dyDescent="0.2">
      <c r="O1557" s="9" t="s">
        <v>14748</v>
      </c>
      <c r="P1557" s="169" t="s">
        <v>14749</v>
      </c>
      <c r="Q1557" s="9">
        <v>1014</v>
      </c>
    </row>
    <row r="1558" spans="15:17" x14ac:dyDescent="0.2">
      <c r="O1558" s="9" t="s">
        <v>14750</v>
      </c>
      <c r="P1558" s="169" t="s">
        <v>14751</v>
      </c>
      <c r="Q1558" s="9">
        <v>1209</v>
      </c>
    </row>
    <row r="1559" spans="15:17" x14ac:dyDescent="0.2">
      <c r="O1559" s="9" t="s">
        <v>14752</v>
      </c>
      <c r="P1559" s="169" t="s">
        <v>14753</v>
      </c>
      <c r="Q1559" s="9">
        <v>2866</v>
      </c>
    </row>
    <row r="1560" spans="15:17" x14ac:dyDescent="0.2">
      <c r="O1560" s="9" t="s">
        <v>14754</v>
      </c>
      <c r="P1560" s="169" t="s">
        <v>14755</v>
      </c>
      <c r="Q1560" s="9">
        <v>2358</v>
      </c>
    </row>
    <row r="1561" spans="15:17" x14ac:dyDescent="0.2">
      <c r="O1561" s="9" t="s">
        <v>14756</v>
      </c>
      <c r="P1561" s="169" t="s">
        <v>14757</v>
      </c>
      <c r="Q1561" s="9">
        <v>851</v>
      </c>
    </row>
    <row r="1562" spans="15:17" x14ac:dyDescent="0.2">
      <c r="O1562" s="9" t="s">
        <v>14758</v>
      </c>
      <c r="P1562" s="169" t="s">
        <v>14759</v>
      </c>
      <c r="Q1562" s="9">
        <v>3031</v>
      </c>
    </row>
    <row r="1563" spans="15:17" x14ac:dyDescent="0.2">
      <c r="O1563" s="9" t="s">
        <v>14760</v>
      </c>
      <c r="P1563" s="169" t="s">
        <v>14761</v>
      </c>
      <c r="Q1563" s="9">
        <v>2591.48</v>
      </c>
    </row>
    <row r="1564" spans="15:17" x14ac:dyDescent="0.2">
      <c r="O1564" s="9" t="s">
        <v>14762</v>
      </c>
      <c r="P1564" s="169" t="s">
        <v>14763</v>
      </c>
      <c r="Q1564" s="9">
        <v>2591.48</v>
      </c>
    </row>
    <row r="1565" spans="15:17" x14ac:dyDescent="0.2">
      <c r="O1565" s="9" t="s">
        <v>14764</v>
      </c>
      <c r="P1565" s="169" t="s">
        <v>14765</v>
      </c>
      <c r="Q1565" s="9">
        <v>831</v>
      </c>
    </row>
    <row r="1566" spans="15:17" x14ac:dyDescent="0.2">
      <c r="O1566" s="9" t="s">
        <v>14766</v>
      </c>
      <c r="P1566" s="169" t="s">
        <v>14767</v>
      </c>
      <c r="Q1566" s="9">
        <v>3214</v>
      </c>
    </row>
    <row r="1567" spans="15:17" x14ac:dyDescent="0.2">
      <c r="O1567" s="9" t="s">
        <v>14768</v>
      </c>
      <c r="P1567" s="169" t="s">
        <v>14769</v>
      </c>
      <c r="Q1567" s="9">
        <v>4308</v>
      </c>
    </row>
    <row r="1568" spans="15:17" x14ac:dyDescent="0.2">
      <c r="O1568" s="9" t="s">
        <v>14770</v>
      </c>
      <c r="P1568" s="169" t="s">
        <v>14771</v>
      </c>
      <c r="Q1568" s="9">
        <v>3278</v>
      </c>
    </row>
    <row r="1569" spans="15:17" x14ac:dyDescent="0.2">
      <c r="O1569" s="9" t="s">
        <v>14772</v>
      </c>
      <c r="P1569" s="169" t="s">
        <v>14773</v>
      </c>
      <c r="Q1569" s="9">
        <v>5808</v>
      </c>
    </row>
    <row r="1570" spans="15:17" x14ac:dyDescent="0.2">
      <c r="O1570" s="9" t="s">
        <v>14774</v>
      </c>
      <c r="P1570" s="169" t="s">
        <v>14775</v>
      </c>
      <c r="Q1570" s="9">
        <v>3460</v>
      </c>
    </row>
    <row r="1571" spans="15:17" x14ac:dyDescent="0.2">
      <c r="O1571" s="9" t="s">
        <v>14776</v>
      </c>
      <c r="P1571" s="169" t="s">
        <v>14777</v>
      </c>
      <c r="Q1571" s="9">
        <v>4932</v>
      </c>
    </row>
    <row r="1572" spans="15:17" x14ac:dyDescent="0.2">
      <c r="O1572" s="9" t="s">
        <v>14778</v>
      </c>
      <c r="P1572" s="169" t="s">
        <v>14779</v>
      </c>
      <c r="Q1572" s="9">
        <v>65.239999999999995</v>
      </c>
    </row>
    <row r="1573" spans="15:17" x14ac:dyDescent="0.2">
      <c r="O1573" s="9" t="s">
        <v>14780</v>
      </c>
      <c r="P1573" s="169" t="s">
        <v>14781</v>
      </c>
      <c r="Q1573" s="9">
        <v>66.819999999999993</v>
      </c>
    </row>
    <row r="1574" spans="15:17" x14ac:dyDescent="0.2">
      <c r="O1574" s="9" t="s">
        <v>14782</v>
      </c>
      <c r="P1574" s="169" t="s">
        <v>14783</v>
      </c>
      <c r="Q1574" s="9">
        <v>74.28</v>
      </c>
    </row>
    <row r="1575" spans="15:17" x14ac:dyDescent="0.2">
      <c r="O1575" s="9" t="s">
        <v>14784</v>
      </c>
      <c r="P1575" s="169" t="s">
        <v>14785</v>
      </c>
      <c r="Q1575" s="9">
        <v>83.44</v>
      </c>
    </row>
    <row r="1576" spans="15:17" x14ac:dyDescent="0.2">
      <c r="O1576" s="9" t="s">
        <v>14786</v>
      </c>
      <c r="P1576" s="169" t="s">
        <v>14787</v>
      </c>
      <c r="Q1576" s="9">
        <v>122</v>
      </c>
    </row>
    <row r="1577" spans="15:17" x14ac:dyDescent="0.2">
      <c r="O1577" s="9" t="s">
        <v>14788</v>
      </c>
      <c r="P1577" s="169" t="s">
        <v>14789</v>
      </c>
      <c r="Q1577" s="9">
        <v>177</v>
      </c>
    </row>
    <row r="1578" spans="15:17" x14ac:dyDescent="0.2">
      <c r="O1578" s="9" t="s">
        <v>14790</v>
      </c>
      <c r="P1578" s="169" t="s">
        <v>14791</v>
      </c>
      <c r="Q1578" s="9">
        <v>136</v>
      </c>
    </row>
    <row r="1579" spans="15:17" x14ac:dyDescent="0.2">
      <c r="O1579" s="9" t="s">
        <v>14792</v>
      </c>
      <c r="P1579" s="169" t="s">
        <v>14793</v>
      </c>
      <c r="Q1579" s="9">
        <v>308</v>
      </c>
    </row>
    <row r="1580" spans="15:17" x14ac:dyDescent="0.2">
      <c r="O1580" s="9" t="s">
        <v>14794</v>
      </c>
      <c r="P1580" s="169" t="s">
        <v>14795</v>
      </c>
      <c r="Q1580" s="9">
        <v>354</v>
      </c>
    </row>
    <row r="1581" spans="15:17" x14ac:dyDescent="0.2">
      <c r="O1581" s="9" t="s">
        <v>14796</v>
      </c>
      <c r="P1581" s="169" t="s">
        <v>14797</v>
      </c>
      <c r="Q1581" s="9">
        <v>277</v>
      </c>
    </row>
    <row r="1582" spans="15:17" x14ac:dyDescent="0.2">
      <c r="O1582" s="9" t="s">
        <v>14798</v>
      </c>
      <c r="P1582" s="169" t="s">
        <v>14799</v>
      </c>
      <c r="Q1582" s="9">
        <v>423.29</v>
      </c>
    </row>
    <row r="1583" spans="15:17" x14ac:dyDescent="0.2">
      <c r="O1583" s="9" t="s">
        <v>14800</v>
      </c>
      <c r="P1583" s="169" t="s">
        <v>14801</v>
      </c>
      <c r="Q1583" s="9">
        <v>454</v>
      </c>
    </row>
    <row r="1584" spans="15:17" x14ac:dyDescent="0.2">
      <c r="O1584" s="9" t="s">
        <v>14802</v>
      </c>
      <c r="P1584" s="169" t="s">
        <v>14803</v>
      </c>
      <c r="Q1584" s="9">
        <v>1783.77</v>
      </c>
    </row>
    <row r="1585" spans="15:17" x14ac:dyDescent="0.2">
      <c r="O1585" s="9" t="s">
        <v>14804</v>
      </c>
      <c r="P1585" s="169" t="s">
        <v>14805</v>
      </c>
      <c r="Q1585" s="9">
        <v>2431.62</v>
      </c>
    </row>
    <row r="1586" spans="15:17" x14ac:dyDescent="0.2">
      <c r="O1586" s="9" t="s">
        <v>14806</v>
      </c>
      <c r="P1586" s="169" t="s">
        <v>14807</v>
      </c>
      <c r="Q1586" s="9">
        <v>2091.98</v>
      </c>
    </row>
    <row r="1587" spans="15:17" x14ac:dyDescent="0.2">
      <c r="O1587" s="9" t="s">
        <v>14808</v>
      </c>
      <c r="P1587" s="169" t="s">
        <v>14809</v>
      </c>
      <c r="Q1587" s="9">
        <v>6350.83</v>
      </c>
    </row>
    <row r="1588" spans="15:17" x14ac:dyDescent="0.2">
      <c r="O1588" s="9" t="s">
        <v>14810</v>
      </c>
      <c r="P1588" s="169" t="s">
        <v>14811</v>
      </c>
      <c r="Q1588" s="9">
        <v>1921.08</v>
      </c>
    </row>
    <row r="1589" spans="15:17" x14ac:dyDescent="0.2">
      <c r="O1589" s="9" t="s">
        <v>14812</v>
      </c>
      <c r="P1589" s="169" t="s">
        <v>14813</v>
      </c>
      <c r="Q1589" s="9">
        <v>87</v>
      </c>
    </row>
    <row r="1590" spans="15:17" x14ac:dyDescent="0.2">
      <c r="O1590" s="9" t="s">
        <v>14814</v>
      </c>
      <c r="P1590" s="169" t="s">
        <v>14815</v>
      </c>
      <c r="Q1590" s="9">
        <v>101</v>
      </c>
    </row>
    <row r="1591" spans="15:17" x14ac:dyDescent="0.2">
      <c r="O1591" s="9" t="s">
        <v>14816</v>
      </c>
      <c r="P1591" s="169" t="s">
        <v>14817</v>
      </c>
      <c r="Q1591" s="9">
        <v>125</v>
      </c>
    </row>
    <row r="1592" spans="15:17" x14ac:dyDescent="0.2">
      <c r="O1592" s="9" t="s">
        <v>14818</v>
      </c>
      <c r="P1592" s="169" t="s">
        <v>14819</v>
      </c>
      <c r="Q1592" s="9">
        <v>193</v>
      </c>
    </row>
    <row r="1593" spans="15:17" x14ac:dyDescent="0.2">
      <c r="O1593" s="9" t="s">
        <v>14820</v>
      </c>
      <c r="P1593" s="169" t="s">
        <v>14821</v>
      </c>
      <c r="Q1593" s="9">
        <v>418</v>
      </c>
    </row>
    <row r="1594" spans="15:17" x14ac:dyDescent="0.2">
      <c r="O1594" s="9" t="s">
        <v>14822</v>
      </c>
      <c r="P1594" s="169" t="s">
        <v>14823</v>
      </c>
      <c r="Q1594" s="9">
        <v>615</v>
      </c>
    </row>
    <row r="1595" spans="15:17" x14ac:dyDescent="0.2">
      <c r="O1595" s="9" t="s">
        <v>14824</v>
      </c>
      <c r="P1595" s="169" t="s">
        <v>14825</v>
      </c>
      <c r="Q1595" s="9">
        <v>1062</v>
      </c>
    </row>
    <row r="1596" spans="15:17" x14ac:dyDescent="0.2">
      <c r="O1596" s="9" t="s">
        <v>14826</v>
      </c>
      <c r="P1596" s="169" t="s">
        <v>14827</v>
      </c>
      <c r="Q1596" s="9">
        <v>611</v>
      </c>
    </row>
    <row r="1597" spans="15:17" x14ac:dyDescent="0.2">
      <c r="O1597" s="9" t="s">
        <v>14828</v>
      </c>
      <c r="P1597" s="169" t="s">
        <v>14829</v>
      </c>
      <c r="Q1597" s="9">
        <v>500</v>
      </c>
    </row>
    <row r="1598" spans="15:17" x14ac:dyDescent="0.2">
      <c r="O1598" s="9" t="s">
        <v>14830</v>
      </c>
      <c r="P1598" s="169" t="s">
        <v>14831</v>
      </c>
      <c r="Q1598" s="9">
        <v>957.05</v>
      </c>
    </row>
    <row r="1599" spans="15:17" x14ac:dyDescent="0.2">
      <c r="O1599" s="9" t="s">
        <v>14832</v>
      </c>
      <c r="P1599" s="169" t="s">
        <v>14833</v>
      </c>
      <c r="Q1599" s="9">
        <v>957.05</v>
      </c>
    </row>
    <row r="1600" spans="15:17" x14ac:dyDescent="0.2">
      <c r="O1600" s="9" t="s">
        <v>14834</v>
      </c>
      <c r="P1600" s="169" t="s">
        <v>14835</v>
      </c>
      <c r="Q1600" s="9">
        <v>435.02</v>
      </c>
    </row>
    <row r="1601" spans="15:17" x14ac:dyDescent="0.2">
      <c r="O1601" s="9" t="s">
        <v>14836</v>
      </c>
      <c r="P1601" s="169" t="s">
        <v>14837</v>
      </c>
      <c r="Q1601" s="9">
        <v>767.02</v>
      </c>
    </row>
    <row r="1602" spans="15:17" x14ac:dyDescent="0.2">
      <c r="O1602" s="9" t="s">
        <v>14838</v>
      </c>
      <c r="P1602" s="169" t="s">
        <v>14839</v>
      </c>
      <c r="Q1602" s="9">
        <v>772.74</v>
      </c>
    </row>
    <row r="1603" spans="15:17" x14ac:dyDescent="0.2">
      <c r="O1603" s="9" t="s">
        <v>14840</v>
      </c>
      <c r="P1603" s="169" t="s">
        <v>14841</v>
      </c>
      <c r="Q1603" s="9">
        <v>888.36</v>
      </c>
    </row>
    <row r="1604" spans="15:17" x14ac:dyDescent="0.2">
      <c r="O1604" s="9" t="s">
        <v>14842</v>
      </c>
      <c r="P1604" s="169" t="s">
        <v>14843</v>
      </c>
      <c r="Q1604" s="9">
        <v>1042.9100000000001</v>
      </c>
    </row>
    <row r="1605" spans="15:17" x14ac:dyDescent="0.2">
      <c r="O1605" s="9" t="s">
        <v>14844</v>
      </c>
      <c r="P1605" s="169" t="s">
        <v>14845</v>
      </c>
      <c r="Q1605" s="9">
        <v>1368.04</v>
      </c>
    </row>
    <row r="1606" spans="15:17" x14ac:dyDescent="0.2">
      <c r="O1606" s="9" t="s">
        <v>14846</v>
      </c>
      <c r="P1606" s="169" t="s">
        <v>14847</v>
      </c>
      <c r="Q1606" s="9">
        <v>1058</v>
      </c>
    </row>
    <row r="1607" spans="15:17" x14ac:dyDescent="0.2">
      <c r="O1607" s="9" t="s">
        <v>14848</v>
      </c>
      <c r="P1607" s="169" t="s">
        <v>14849</v>
      </c>
      <c r="Q1607" s="9">
        <v>1151.67</v>
      </c>
    </row>
    <row r="1608" spans="15:17" x14ac:dyDescent="0.2">
      <c r="O1608" s="9" t="s">
        <v>14850</v>
      </c>
      <c r="P1608" s="169" t="s">
        <v>14851</v>
      </c>
      <c r="Q1608" s="9">
        <v>1866.02</v>
      </c>
    </row>
    <row r="1609" spans="15:17" x14ac:dyDescent="0.2">
      <c r="O1609" s="9" t="s">
        <v>14852</v>
      </c>
      <c r="P1609" s="169" t="s">
        <v>14853</v>
      </c>
      <c r="Q1609" s="9">
        <v>2179.6999999999998</v>
      </c>
    </row>
    <row r="1610" spans="15:17" x14ac:dyDescent="0.2">
      <c r="O1610" s="9" t="s">
        <v>14854</v>
      </c>
      <c r="P1610" s="169" t="s">
        <v>14855</v>
      </c>
      <c r="Q1610" s="9">
        <v>2583.81</v>
      </c>
    </row>
    <row r="1611" spans="15:17" x14ac:dyDescent="0.2">
      <c r="O1611" s="9" t="s">
        <v>14856</v>
      </c>
      <c r="P1611" s="169" t="s">
        <v>14857</v>
      </c>
      <c r="Q1611" s="9">
        <v>2952.44</v>
      </c>
    </row>
    <row r="1612" spans="15:17" x14ac:dyDescent="0.2">
      <c r="O1612" s="9" t="s">
        <v>14858</v>
      </c>
      <c r="P1612" s="169" t="s">
        <v>14859</v>
      </c>
      <c r="Q1612" s="9">
        <v>3696.56</v>
      </c>
    </row>
    <row r="1613" spans="15:17" x14ac:dyDescent="0.2">
      <c r="O1613" s="9" t="s">
        <v>14860</v>
      </c>
      <c r="P1613" s="169" t="s">
        <v>14861</v>
      </c>
      <c r="Q1613" s="9">
        <v>268</v>
      </c>
    </row>
    <row r="1614" spans="15:17" x14ac:dyDescent="0.2">
      <c r="O1614" s="9" t="s">
        <v>14862</v>
      </c>
      <c r="P1614" s="169" t="s">
        <v>14863</v>
      </c>
      <c r="Q1614" s="9">
        <v>290.56</v>
      </c>
    </row>
    <row r="1615" spans="15:17" x14ac:dyDescent="0.2">
      <c r="O1615" s="9" t="s">
        <v>14864</v>
      </c>
      <c r="P1615" s="169" t="s">
        <v>14865</v>
      </c>
      <c r="Q1615" s="9">
        <v>120</v>
      </c>
    </row>
    <row r="1616" spans="15:17" x14ac:dyDescent="0.2">
      <c r="O1616" s="9" t="s">
        <v>14866</v>
      </c>
      <c r="P1616" s="169" t="s">
        <v>14867</v>
      </c>
      <c r="Q1616" s="9">
        <v>549.36</v>
      </c>
    </row>
    <row r="1617" spans="15:17" x14ac:dyDescent="0.2">
      <c r="O1617" s="9" t="s">
        <v>14868</v>
      </c>
      <c r="P1617" s="169" t="s">
        <v>14869</v>
      </c>
      <c r="Q1617" s="9">
        <v>788</v>
      </c>
    </row>
    <row r="1618" spans="15:17" x14ac:dyDescent="0.2">
      <c r="O1618" s="9" t="s">
        <v>14870</v>
      </c>
      <c r="P1618" s="169" t="s">
        <v>14871</v>
      </c>
      <c r="Q1618" s="9">
        <v>781</v>
      </c>
    </row>
    <row r="1619" spans="15:17" x14ac:dyDescent="0.2">
      <c r="O1619" s="9" t="s">
        <v>14872</v>
      </c>
      <c r="P1619" s="169" t="s">
        <v>14873</v>
      </c>
      <c r="Q1619" s="9">
        <v>596</v>
      </c>
    </row>
    <row r="1620" spans="15:17" x14ac:dyDescent="0.2">
      <c r="O1620" s="9" t="s">
        <v>14874</v>
      </c>
      <c r="P1620" s="169" t="s">
        <v>14875</v>
      </c>
      <c r="Q1620" s="9">
        <v>791</v>
      </c>
    </row>
    <row r="1621" spans="15:17" x14ac:dyDescent="0.2">
      <c r="O1621" s="9">
        <v>2416000</v>
      </c>
      <c r="P1621" s="169" t="s">
        <v>14876</v>
      </c>
      <c r="Q1621" s="9">
        <v>281.13</v>
      </c>
    </row>
    <row r="1622" spans="15:17" x14ac:dyDescent="0.2">
      <c r="O1622" s="9">
        <v>2416001</v>
      </c>
      <c r="P1622" s="169" t="s">
        <v>14877</v>
      </c>
      <c r="Q1622" s="9">
        <v>143</v>
      </c>
    </row>
    <row r="1623" spans="15:17" x14ac:dyDescent="0.2">
      <c r="O1623" s="9">
        <v>241610242</v>
      </c>
      <c r="P1623" s="169" t="s">
        <v>14878</v>
      </c>
      <c r="Q1623" s="9">
        <v>152.86000000000001</v>
      </c>
    </row>
    <row r="1624" spans="15:17" x14ac:dyDescent="0.2">
      <c r="O1624" s="9" t="s">
        <v>14879</v>
      </c>
      <c r="P1624" s="169" t="s">
        <v>14880</v>
      </c>
      <c r="Q1624" s="9">
        <v>134</v>
      </c>
    </row>
    <row r="1625" spans="15:17" x14ac:dyDescent="0.2">
      <c r="O1625" s="9">
        <v>241610315</v>
      </c>
      <c r="P1625" s="169" t="s">
        <v>14881</v>
      </c>
      <c r="Q1625" s="9">
        <v>100.8</v>
      </c>
    </row>
    <row r="1626" spans="15:17" x14ac:dyDescent="0.2">
      <c r="O1626" s="9">
        <v>2416200</v>
      </c>
      <c r="P1626" s="169" t="s">
        <v>14882</v>
      </c>
      <c r="Q1626" s="9">
        <v>191.4</v>
      </c>
    </row>
    <row r="1627" spans="15:17" x14ac:dyDescent="0.2">
      <c r="O1627" s="9">
        <v>2416201</v>
      </c>
      <c r="P1627" s="169" t="s">
        <v>14883</v>
      </c>
      <c r="Q1627" s="9">
        <v>328.03</v>
      </c>
    </row>
    <row r="1628" spans="15:17" x14ac:dyDescent="0.2">
      <c r="O1628" s="9">
        <v>2416202</v>
      </c>
      <c r="P1628" s="169" t="s">
        <v>14884</v>
      </c>
      <c r="Q1628" s="9">
        <v>390.46</v>
      </c>
    </row>
    <row r="1629" spans="15:17" x14ac:dyDescent="0.2">
      <c r="O1629" s="9">
        <v>2416203</v>
      </c>
      <c r="P1629" s="169" t="s">
        <v>14885</v>
      </c>
      <c r="Q1629" s="9">
        <v>201.6</v>
      </c>
    </row>
    <row r="1630" spans="15:17" x14ac:dyDescent="0.2">
      <c r="O1630" s="9">
        <v>2416204</v>
      </c>
      <c r="P1630" s="169" t="s">
        <v>14886</v>
      </c>
      <c r="Q1630" s="9">
        <v>593.64</v>
      </c>
    </row>
    <row r="1631" spans="15:17" x14ac:dyDescent="0.2">
      <c r="O1631" s="9">
        <v>2416205</v>
      </c>
      <c r="P1631" s="169" t="s">
        <v>14887</v>
      </c>
      <c r="Q1631" s="9">
        <v>671.67</v>
      </c>
    </row>
    <row r="1632" spans="15:17" x14ac:dyDescent="0.2">
      <c r="O1632" s="9">
        <v>2416206</v>
      </c>
      <c r="P1632" s="169" t="s">
        <v>14888</v>
      </c>
      <c r="Q1632" s="9">
        <v>961.9</v>
      </c>
    </row>
    <row r="1633" spans="15:17" x14ac:dyDescent="0.2">
      <c r="O1633" s="9">
        <v>2416207</v>
      </c>
      <c r="P1633" s="169" t="s">
        <v>14889</v>
      </c>
      <c r="Q1633" s="9">
        <v>1093.28</v>
      </c>
    </row>
    <row r="1634" spans="15:17" x14ac:dyDescent="0.2">
      <c r="O1634" s="9">
        <v>2416208</v>
      </c>
      <c r="P1634" s="169" t="s">
        <v>14890</v>
      </c>
      <c r="Q1634" s="9">
        <v>1562.64</v>
      </c>
    </row>
    <row r="1635" spans="15:17" x14ac:dyDescent="0.2">
      <c r="O1635" s="9">
        <v>2416209</v>
      </c>
      <c r="P1635" s="169" t="s">
        <v>14891</v>
      </c>
      <c r="Q1635" s="9">
        <v>1874.19</v>
      </c>
    </row>
    <row r="1636" spans="15:17" x14ac:dyDescent="0.2">
      <c r="O1636" s="9">
        <v>2416308</v>
      </c>
      <c r="P1636" s="169" t="s">
        <v>14892</v>
      </c>
      <c r="Q1636" s="9">
        <v>2236</v>
      </c>
    </row>
    <row r="1637" spans="15:17" x14ac:dyDescent="0.2">
      <c r="O1637" s="9">
        <v>2416309</v>
      </c>
      <c r="P1637" s="169" t="s">
        <v>14893</v>
      </c>
      <c r="Q1637" s="9">
        <v>2449.92</v>
      </c>
    </row>
    <row r="1638" spans="15:17" x14ac:dyDescent="0.2">
      <c r="O1638" s="9">
        <v>2416310</v>
      </c>
      <c r="P1638" s="169" t="s">
        <v>14894</v>
      </c>
      <c r="Q1638" s="9">
        <v>3062.4</v>
      </c>
    </row>
    <row r="1639" spans="15:17" x14ac:dyDescent="0.2">
      <c r="O1639" s="9">
        <v>2416311</v>
      </c>
      <c r="P1639" s="169" t="s">
        <v>14895</v>
      </c>
      <c r="Q1639" s="9">
        <v>4287.3599999999997</v>
      </c>
    </row>
    <row r="1640" spans="15:17" x14ac:dyDescent="0.2">
      <c r="O1640" s="9">
        <v>2416312</v>
      </c>
      <c r="P1640" s="169" t="s">
        <v>14896</v>
      </c>
      <c r="Q1640" s="9">
        <v>5359.2</v>
      </c>
    </row>
    <row r="1641" spans="15:17" x14ac:dyDescent="0.2">
      <c r="O1641" s="9" t="s">
        <v>14897</v>
      </c>
      <c r="P1641" s="169" t="s">
        <v>14898</v>
      </c>
      <c r="Q1641" s="9">
        <v>106.6</v>
      </c>
    </row>
    <row r="1642" spans="15:17" x14ac:dyDescent="0.2">
      <c r="O1642" s="9" t="s">
        <v>14899</v>
      </c>
      <c r="P1642" s="169" t="s">
        <v>14900</v>
      </c>
      <c r="Q1642" s="9">
        <v>106.6</v>
      </c>
    </row>
    <row r="1643" spans="15:17" x14ac:dyDescent="0.2">
      <c r="O1643" s="9" t="s">
        <v>14901</v>
      </c>
      <c r="P1643" s="169" t="s">
        <v>14902</v>
      </c>
      <c r="Q1643" s="9">
        <v>202.86</v>
      </c>
    </row>
    <row r="1644" spans="15:17" x14ac:dyDescent="0.2">
      <c r="O1644" s="9" t="s">
        <v>14903</v>
      </c>
      <c r="P1644" s="169" t="s">
        <v>14904</v>
      </c>
      <c r="Q1644" s="9">
        <v>202.86</v>
      </c>
    </row>
    <row r="1645" spans="15:17" x14ac:dyDescent="0.2">
      <c r="O1645" s="9" t="s">
        <v>14905</v>
      </c>
      <c r="P1645" s="169" t="s">
        <v>14906</v>
      </c>
      <c r="Q1645" s="9">
        <v>251.9</v>
      </c>
    </row>
    <row r="1646" spans="15:17" x14ac:dyDescent="0.2">
      <c r="O1646" s="9" t="s">
        <v>14907</v>
      </c>
      <c r="P1646" s="169" t="s">
        <v>14908</v>
      </c>
      <c r="Q1646" s="9">
        <v>251.9</v>
      </c>
    </row>
    <row r="1647" spans="15:17" x14ac:dyDescent="0.2">
      <c r="O1647" s="9" t="s">
        <v>14909</v>
      </c>
      <c r="P1647" s="169" t="s">
        <v>14910</v>
      </c>
      <c r="Q1647" s="9">
        <v>550.82000000000005</v>
      </c>
    </row>
    <row r="1648" spans="15:17" x14ac:dyDescent="0.2">
      <c r="O1648" s="9">
        <v>30112</v>
      </c>
      <c r="P1648" s="169" t="s">
        <v>14911</v>
      </c>
      <c r="Q1648" s="9">
        <v>102.79</v>
      </c>
    </row>
    <row r="1649" spans="15:17" x14ac:dyDescent="0.2">
      <c r="O1649" s="9">
        <v>30114</v>
      </c>
      <c r="P1649" s="169" t="s">
        <v>14912</v>
      </c>
      <c r="Q1649" s="9">
        <v>134.46</v>
      </c>
    </row>
    <row r="1650" spans="15:17" x14ac:dyDescent="0.2">
      <c r="O1650" s="9">
        <v>30118</v>
      </c>
      <c r="P1650" s="169" t="s">
        <v>14913</v>
      </c>
      <c r="Q1650" s="9">
        <v>261.82</v>
      </c>
    </row>
    <row r="1651" spans="15:17" x14ac:dyDescent="0.2">
      <c r="O1651" s="9">
        <v>30120</v>
      </c>
      <c r="P1651" s="169" t="s">
        <v>14914</v>
      </c>
      <c r="Q1651" s="9">
        <v>409.38</v>
      </c>
    </row>
    <row r="1652" spans="15:17" x14ac:dyDescent="0.2">
      <c r="O1652" s="9">
        <v>30122</v>
      </c>
      <c r="P1652" s="169" t="s">
        <v>14915</v>
      </c>
      <c r="Q1652" s="9">
        <v>444.12</v>
      </c>
    </row>
    <row r="1653" spans="15:17" x14ac:dyDescent="0.2">
      <c r="O1653" s="9" t="s">
        <v>14916</v>
      </c>
      <c r="P1653" s="169" t="s">
        <v>14917</v>
      </c>
      <c r="Q1653" s="9">
        <v>10.39</v>
      </c>
    </row>
    <row r="1654" spans="15:17" x14ac:dyDescent="0.2">
      <c r="O1654" s="9">
        <v>3016</v>
      </c>
      <c r="P1654" s="169" t="s">
        <v>14918</v>
      </c>
      <c r="Q1654" s="9">
        <v>24.36</v>
      </c>
    </row>
    <row r="1655" spans="15:17" x14ac:dyDescent="0.2">
      <c r="O1655" s="9">
        <v>3017</v>
      </c>
      <c r="P1655" s="169" t="s">
        <v>14919</v>
      </c>
      <c r="Q1655" s="9">
        <v>32.020000000000003</v>
      </c>
    </row>
    <row r="1656" spans="15:17" x14ac:dyDescent="0.2">
      <c r="O1656" s="9">
        <v>30214</v>
      </c>
      <c r="P1656" s="169" t="s">
        <v>14920</v>
      </c>
      <c r="Q1656" s="9">
        <v>136.22</v>
      </c>
    </row>
    <row r="1657" spans="15:17" x14ac:dyDescent="0.2">
      <c r="O1657" s="9">
        <v>30216</v>
      </c>
      <c r="P1657" s="169" t="s">
        <v>14921</v>
      </c>
      <c r="Q1657" s="9">
        <v>141.01</v>
      </c>
    </row>
    <row r="1658" spans="15:17" x14ac:dyDescent="0.2">
      <c r="O1658" s="9">
        <v>30218</v>
      </c>
      <c r="P1658" s="169" t="s">
        <v>14922</v>
      </c>
      <c r="Q1658" s="9">
        <v>175.5</v>
      </c>
    </row>
    <row r="1659" spans="15:17" x14ac:dyDescent="0.2">
      <c r="O1659" s="9" t="s">
        <v>14923</v>
      </c>
      <c r="P1659" s="169" t="s">
        <v>14924</v>
      </c>
      <c r="Q1659" s="9">
        <v>5.73</v>
      </c>
    </row>
    <row r="1660" spans="15:17" x14ac:dyDescent="0.2">
      <c r="O1660" s="9">
        <v>30220</v>
      </c>
      <c r="P1660" s="169" t="s">
        <v>14925</v>
      </c>
      <c r="Q1660" s="9">
        <v>325.92</v>
      </c>
    </row>
    <row r="1661" spans="15:17" x14ac:dyDescent="0.2">
      <c r="O1661" s="9">
        <v>30222</v>
      </c>
      <c r="P1661" s="169" t="s">
        <v>14926</v>
      </c>
      <c r="Q1661" s="9">
        <v>340.25</v>
      </c>
    </row>
    <row r="1662" spans="15:17" x14ac:dyDescent="0.2">
      <c r="O1662" s="9">
        <v>3023</v>
      </c>
      <c r="P1662" s="169" t="s">
        <v>14927</v>
      </c>
      <c r="Q1662" s="9">
        <v>7.87</v>
      </c>
    </row>
    <row r="1663" spans="15:17" x14ac:dyDescent="0.2">
      <c r="O1663" s="9" t="s">
        <v>14928</v>
      </c>
      <c r="P1663" s="169" t="s">
        <v>14929</v>
      </c>
      <c r="Q1663" s="9">
        <v>11.58</v>
      </c>
    </row>
    <row r="1664" spans="15:17" x14ac:dyDescent="0.2">
      <c r="O1664" s="9">
        <v>3051</v>
      </c>
      <c r="P1664" s="169" t="s">
        <v>14930</v>
      </c>
      <c r="Q1664" s="9">
        <v>624.22</v>
      </c>
    </row>
    <row r="1665" spans="15:17" x14ac:dyDescent="0.2">
      <c r="O1665" s="9" t="s">
        <v>14931</v>
      </c>
      <c r="P1665" s="169" t="s">
        <v>14932</v>
      </c>
      <c r="Q1665" s="9">
        <v>3503.68</v>
      </c>
    </row>
    <row r="1666" spans="15:17" x14ac:dyDescent="0.2">
      <c r="O1666" s="9" t="s">
        <v>14933</v>
      </c>
      <c r="P1666" s="169" t="s">
        <v>14934</v>
      </c>
      <c r="Q1666" s="9">
        <v>288.60000000000002</v>
      </c>
    </row>
    <row r="1667" spans="15:17" x14ac:dyDescent="0.2">
      <c r="O1667" s="9" t="s">
        <v>14935</v>
      </c>
      <c r="P1667" s="169" t="s">
        <v>14936</v>
      </c>
      <c r="Q1667" s="9">
        <v>168.71</v>
      </c>
    </row>
    <row r="1668" spans="15:17" x14ac:dyDescent="0.2">
      <c r="O1668" s="9" t="s">
        <v>14937</v>
      </c>
      <c r="P1668" s="169" t="s">
        <v>14938</v>
      </c>
      <c r="Q1668" s="9">
        <v>16.73</v>
      </c>
    </row>
    <row r="1669" spans="15:17" x14ac:dyDescent="0.2">
      <c r="O1669" s="9" t="s">
        <v>14939</v>
      </c>
      <c r="P1669" s="169" t="s">
        <v>14940</v>
      </c>
      <c r="Q1669" s="9">
        <v>396.83</v>
      </c>
    </row>
    <row r="1670" spans="15:17" x14ac:dyDescent="0.2">
      <c r="O1670" s="9" t="s">
        <v>14941</v>
      </c>
      <c r="P1670" s="169" t="s">
        <v>14942</v>
      </c>
      <c r="Q1670" s="9">
        <v>208.74</v>
      </c>
    </row>
    <row r="1671" spans="15:17" x14ac:dyDescent="0.2">
      <c r="O1671" s="9" t="s">
        <v>14943</v>
      </c>
      <c r="P1671" s="169" t="s">
        <v>14944</v>
      </c>
      <c r="Q1671" s="9">
        <v>105.62</v>
      </c>
    </row>
    <row r="1672" spans="15:17" x14ac:dyDescent="0.2">
      <c r="O1672" s="9">
        <v>31112</v>
      </c>
      <c r="P1672" s="169" t="s">
        <v>14945</v>
      </c>
      <c r="Q1672" s="9">
        <v>129.13</v>
      </c>
    </row>
    <row r="1673" spans="15:17" x14ac:dyDescent="0.2">
      <c r="O1673" s="9" t="s">
        <v>14946</v>
      </c>
      <c r="P1673" s="169" t="s">
        <v>14947</v>
      </c>
      <c r="Q1673" s="9">
        <v>178.54</v>
      </c>
    </row>
    <row r="1674" spans="15:17" x14ac:dyDescent="0.2">
      <c r="O1674" s="9" t="s">
        <v>14948</v>
      </c>
      <c r="P1674" s="169" t="s">
        <v>14949</v>
      </c>
      <c r="Q1674" s="9">
        <v>178.54</v>
      </c>
    </row>
    <row r="1675" spans="15:17" x14ac:dyDescent="0.2">
      <c r="O1675" s="9">
        <v>3202</v>
      </c>
      <c r="P1675" s="169" t="s">
        <v>14950</v>
      </c>
      <c r="Q1675" s="9">
        <v>12.73</v>
      </c>
    </row>
    <row r="1676" spans="15:17" x14ac:dyDescent="0.2">
      <c r="O1676" s="9" t="s">
        <v>14951</v>
      </c>
      <c r="P1676" s="169" t="s">
        <v>14952</v>
      </c>
      <c r="Q1676" s="9">
        <v>12.73</v>
      </c>
    </row>
    <row r="1677" spans="15:17" x14ac:dyDescent="0.2">
      <c r="O1677" s="9" t="s">
        <v>14953</v>
      </c>
      <c r="P1677" s="169" t="s">
        <v>14954</v>
      </c>
      <c r="Q1677" s="9">
        <v>12.73</v>
      </c>
    </row>
    <row r="1678" spans="15:17" x14ac:dyDescent="0.2">
      <c r="O1678" s="9">
        <v>3203</v>
      </c>
      <c r="P1678" s="169" t="s">
        <v>14955</v>
      </c>
      <c r="Q1678" s="9">
        <v>12.73</v>
      </c>
    </row>
    <row r="1679" spans="15:17" x14ac:dyDescent="0.2">
      <c r="O1679" s="9" t="s">
        <v>14956</v>
      </c>
      <c r="P1679" s="169" t="s">
        <v>14957</v>
      </c>
      <c r="Q1679" s="9">
        <v>12.73</v>
      </c>
    </row>
    <row r="1680" spans="15:17" x14ac:dyDescent="0.2">
      <c r="O1680" s="9" t="s">
        <v>14958</v>
      </c>
      <c r="P1680" s="169" t="s">
        <v>14959</v>
      </c>
      <c r="Q1680" s="9">
        <v>33.700000000000003</v>
      </c>
    </row>
    <row r="1681" spans="15:17" x14ac:dyDescent="0.2">
      <c r="O1681" s="9" t="s">
        <v>14960</v>
      </c>
      <c r="P1681" s="169" t="s">
        <v>14961</v>
      </c>
      <c r="Q1681" s="9">
        <v>77.930000000000007</v>
      </c>
    </row>
    <row r="1682" spans="15:17" x14ac:dyDescent="0.2">
      <c r="O1682" s="9" t="s">
        <v>14962</v>
      </c>
      <c r="P1682" s="169" t="s">
        <v>14963</v>
      </c>
      <c r="Q1682" s="9">
        <v>81.16</v>
      </c>
    </row>
    <row r="1683" spans="15:17" x14ac:dyDescent="0.2">
      <c r="O1683" s="9" t="s">
        <v>14964</v>
      </c>
      <c r="P1683" s="169" t="s">
        <v>14965</v>
      </c>
      <c r="Q1683" s="9">
        <v>81.16</v>
      </c>
    </row>
    <row r="1684" spans="15:17" x14ac:dyDescent="0.2">
      <c r="O1684" s="9">
        <v>3207</v>
      </c>
      <c r="P1684" s="169" t="s">
        <v>14966</v>
      </c>
      <c r="Q1684" s="9">
        <v>34.74</v>
      </c>
    </row>
    <row r="1685" spans="15:17" x14ac:dyDescent="0.2">
      <c r="O1685" s="9" t="s">
        <v>14967</v>
      </c>
      <c r="P1685" s="169" t="s">
        <v>14968</v>
      </c>
      <c r="Q1685" s="9">
        <v>34.74</v>
      </c>
    </row>
    <row r="1686" spans="15:17" x14ac:dyDescent="0.2">
      <c r="O1686" s="9" t="s">
        <v>14969</v>
      </c>
      <c r="P1686" s="169" t="s">
        <v>14970</v>
      </c>
      <c r="Q1686" s="9">
        <v>108.76</v>
      </c>
    </row>
    <row r="1687" spans="15:17" x14ac:dyDescent="0.2">
      <c r="O1687" s="9" t="s">
        <v>14971</v>
      </c>
      <c r="P1687" s="169" t="s">
        <v>14972</v>
      </c>
      <c r="Q1687" s="9">
        <v>108.76</v>
      </c>
    </row>
    <row r="1688" spans="15:17" x14ac:dyDescent="0.2">
      <c r="O1688" s="9" t="s">
        <v>14973</v>
      </c>
      <c r="P1688" s="169" t="s">
        <v>14974</v>
      </c>
      <c r="Q1688" s="9">
        <v>90.25</v>
      </c>
    </row>
    <row r="1689" spans="15:17" x14ac:dyDescent="0.2">
      <c r="O1689" s="9" t="s">
        <v>14975</v>
      </c>
      <c r="P1689" s="169" t="s">
        <v>14976</v>
      </c>
      <c r="Q1689" s="9">
        <v>226</v>
      </c>
    </row>
    <row r="1690" spans="15:17" x14ac:dyDescent="0.2">
      <c r="O1690" s="9">
        <v>32112</v>
      </c>
      <c r="P1690" s="169" t="s">
        <v>14977</v>
      </c>
      <c r="Q1690" s="9">
        <v>162.4</v>
      </c>
    </row>
    <row r="1691" spans="15:17" x14ac:dyDescent="0.2">
      <c r="O1691" s="9">
        <v>32114</v>
      </c>
      <c r="P1691" s="169" t="s">
        <v>14978</v>
      </c>
      <c r="Q1691" s="9">
        <v>305.89999999999998</v>
      </c>
    </row>
    <row r="1692" spans="15:17" x14ac:dyDescent="0.2">
      <c r="O1692" s="9" t="s">
        <v>14979</v>
      </c>
      <c r="P1692" s="169" t="s">
        <v>14980</v>
      </c>
      <c r="Q1692" s="9">
        <v>470</v>
      </c>
    </row>
    <row r="1693" spans="15:17" x14ac:dyDescent="0.2">
      <c r="O1693" s="9">
        <v>32118</v>
      </c>
      <c r="P1693" s="169" t="s">
        <v>14981</v>
      </c>
      <c r="Q1693" s="9">
        <v>469.89</v>
      </c>
    </row>
    <row r="1694" spans="15:17" x14ac:dyDescent="0.2">
      <c r="O1694" s="9">
        <v>32120</v>
      </c>
      <c r="P1694" s="169" t="s">
        <v>14982</v>
      </c>
      <c r="Q1694" s="9">
        <v>512.03</v>
      </c>
    </row>
    <row r="1695" spans="15:17" x14ac:dyDescent="0.2">
      <c r="O1695" s="9">
        <v>32122</v>
      </c>
      <c r="P1695" s="169" t="s">
        <v>14983</v>
      </c>
      <c r="Q1695" s="9">
        <v>768.03</v>
      </c>
    </row>
    <row r="1696" spans="15:17" x14ac:dyDescent="0.2">
      <c r="O1696" s="9">
        <v>32124</v>
      </c>
      <c r="P1696" s="169" t="s">
        <v>14984</v>
      </c>
      <c r="Q1696" s="9">
        <v>939.47</v>
      </c>
    </row>
    <row r="1697" spans="15:17" x14ac:dyDescent="0.2">
      <c r="O1697" s="9">
        <v>32127</v>
      </c>
      <c r="P1697" s="169" t="s">
        <v>14985</v>
      </c>
      <c r="Q1697" s="9">
        <v>1152.48</v>
      </c>
    </row>
    <row r="1698" spans="15:17" x14ac:dyDescent="0.2">
      <c r="O1698" s="9">
        <v>32130</v>
      </c>
      <c r="P1698" s="169" t="s">
        <v>14986</v>
      </c>
      <c r="Q1698" s="9">
        <v>1537.45</v>
      </c>
    </row>
    <row r="1699" spans="15:17" x14ac:dyDescent="0.2">
      <c r="O1699" s="9">
        <v>3214</v>
      </c>
      <c r="P1699" s="169" t="s">
        <v>14987</v>
      </c>
      <c r="Q1699" s="9">
        <v>20.36</v>
      </c>
    </row>
    <row r="1700" spans="15:17" x14ac:dyDescent="0.2">
      <c r="O1700" s="9">
        <v>3215</v>
      </c>
      <c r="P1700" s="169" t="s">
        <v>14988</v>
      </c>
      <c r="Q1700" s="9">
        <v>25.18</v>
      </c>
    </row>
    <row r="1701" spans="15:17" x14ac:dyDescent="0.2">
      <c r="O1701" s="9" t="s">
        <v>14989</v>
      </c>
      <c r="P1701" s="169" t="s">
        <v>14990</v>
      </c>
      <c r="Q1701" s="9">
        <v>53.24</v>
      </c>
    </row>
    <row r="1702" spans="15:17" x14ac:dyDescent="0.2">
      <c r="O1702" s="9">
        <v>3217</v>
      </c>
      <c r="P1702" s="169" t="s">
        <v>14991</v>
      </c>
      <c r="Q1702" s="9">
        <v>110</v>
      </c>
    </row>
    <row r="1703" spans="15:17" x14ac:dyDescent="0.2">
      <c r="O1703" s="9" t="s">
        <v>14992</v>
      </c>
      <c r="P1703" s="169" t="s">
        <v>14993</v>
      </c>
      <c r="Q1703" s="9">
        <v>123</v>
      </c>
    </row>
    <row r="1704" spans="15:17" x14ac:dyDescent="0.2">
      <c r="O1704" s="9" t="s">
        <v>14994</v>
      </c>
      <c r="P1704" s="169" t="s">
        <v>14995</v>
      </c>
      <c r="Q1704" s="9">
        <v>81.150000000000006</v>
      </c>
    </row>
    <row r="1705" spans="15:17" x14ac:dyDescent="0.2">
      <c r="O1705" s="9" t="s">
        <v>14996</v>
      </c>
      <c r="P1705" s="169" t="s">
        <v>14997</v>
      </c>
      <c r="Q1705" s="9">
        <v>81.150000000000006</v>
      </c>
    </row>
    <row r="1706" spans="15:17" x14ac:dyDescent="0.2">
      <c r="O1706" s="9" t="s">
        <v>14998</v>
      </c>
      <c r="P1706" s="169" t="s">
        <v>14999</v>
      </c>
      <c r="Q1706" s="9">
        <v>127.48</v>
      </c>
    </row>
    <row r="1707" spans="15:17" x14ac:dyDescent="0.2">
      <c r="O1707" s="9" t="s">
        <v>15000</v>
      </c>
      <c r="P1707" s="169" t="s">
        <v>15001</v>
      </c>
      <c r="Q1707" s="9">
        <v>89</v>
      </c>
    </row>
    <row r="1708" spans="15:17" x14ac:dyDescent="0.2">
      <c r="O1708" s="9" t="s">
        <v>15002</v>
      </c>
      <c r="P1708" s="169" t="s">
        <v>15003</v>
      </c>
      <c r="Q1708" s="9">
        <v>93</v>
      </c>
    </row>
    <row r="1709" spans="15:17" x14ac:dyDescent="0.2">
      <c r="O1709" s="9" t="s">
        <v>15004</v>
      </c>
      <c r="P1709" s="169" t="s">
        <v>15005</v>
      </c>
      <c r="Q1709" s="9">
        <v>93</v>
      </c>
    </row>
    <row r="1710" spans="15:17" x14ac:dyDescent="0.2">
      <c r="O1710" s="9" t="s">
        <v>15006</v>
      </c>
      <c r="P1710" s="169" t="s">
        <v>15007</v>
      </c>
      <c r="Q1710" s="9">
        <v>96</v>
      </c>
    </row>
    <row r="1711" spans="15:17" x14ac:dyDescent="0.2">
      <c r="O1711" s="9" t="s">
        <v>15008</v>
      </c>
      <c r="P1711" s="169" t="s">
        <v>15009</v>
      </c>
      <c r="Q1711" s="9">
        <v>157.6</v>
      </c>
    </row>
    <row r="1712" spans="15:17" x14ac:dyDescent="0.2">
      <c r="O1712" s="9" t="s">
        <v>15010</v>
      </c>
      <c r="P1712" s="169" t="s">
        <v>15011</v>
      </c>
      <c r="Q1712" s="9">
        <v>123.86</v>
      </c>
    </row>
    <row r="1713" spans="15:17" x14ac:dyDescent="0.2">
      <c r="O1713" s="9" t="s">
        <v>15012</v>
      </c>
      <c r="P1713" s="169" t="s">
        <v>15013</v>
      </c>
      <c r="Q1713" s="9">
        <v>122.56</v>
      </c>
    </row>
    <row r="1714" spans="15:17" x14ac:dyDescent="0.2">
      <c r="O1714" s="9" t="s">
        <v>15014</v>
      </c>
      <c r="P1714" s="169" t="s">
        <v>15015</v>
      </c>
      <c r="Q1714" s="9">
        <v>103.46</v>
      </c>
    </row>
    <row r="1715" spans="15:17" x14ac:dyDescent="0.2">
      <c r="O1715" s="9" t="s">
        <v>15016</v>
      </c>
      <c r="P1715" s="169" t="s">
        <v>15017</v>
      </c>
      <c r="Q1715" s="9">
        <v>241.9</v>
      </c>
    </row>
    <row r="1716" spans="15:17" x14ac:dyDescent="0.2">
      <c r="O1716" s="9" t="s">
        <v>15018</v>
      </c>
      <c r="P1716" s="169" t="s">
        <v>15019</v>
      </c>
      <c r="Q1716" s="9">
        <v>158.12</v>
      </c>
    </row>
    <row r="1717" spans="15:17" x14ac:dyDescent="0.2">
      <c r="O1717" s="9" t="s">
        <v>15020</v>
      </c>
      <c r="P1717" s="169" t="s">
        <v>15021</v>
      </c>
      <c r="Q1717" s="9">
        <v>137</v>
      </c>
    </row>
    <row r="1718" spans="15:17" x14ac:dyDescent="0.2">
      <c r="O1718" s="9" t="s">
        <v>15022</v>
      </c>
      <c r="P1718" s="169" t="s">
        <v>15023</v>
      </c>
      <c r="Q1718" s="9">
        <v>337.06</v>
      </c>
    </row>
    <row r="1719" spans="15:17" x14ac:dyDescent="0.2">
      <c r="O1719" s="9" t="s">
        <v>15024</v>
      </c>
      <c r="P1719" s="169" t="s">
        <v>15025</v>
      </c>
      <c r="Q1719" s="9">
        <v>337.06</v>
      </c>
    </row>
    <row r="1720" spans="15:17" x14ac:dyDescent="0.2">
      <c r="O1720" s="9" t="s">
        <v>15026</v>
      </c>
      <c r="P1720" s="169" t="s">
        <v>15027</v>
      </c>
      <c r="Q1720" s="9">
        <v>200.3</v>
      </c>
    </row>
    <row r="1721" spans="15:17" x14ac:dyDescent="0.2">
      <c r="O1721" s="9" t="s">
        <v>15028</v>
      </c>
      <c r="P1721" s="169" t="s">
        <v>15029</v>
      </c>
      <c r="Q1721" s="9">
        <v>214.5</v>
      </c>
    </row>
    <row r="1722" spans="15:17" x14ac:dyDescent="0.2">
      <c r="O1722" s="9" t="s">
        <v>15030</v>
      </c>
      <c r="P1722" s="169" t="s">
        <v>15031</v>
      </c>
      <c r="Q1722" s="9">
        <v>395.78</v>
      </c>
    </row>
    <row r="1723" spans="15:17" x14ac:dyDescent="0.2">
      <c r="O1723" s="9" t="s">
        <v>15032</v>
      </c>
      <c r="P1723" s="169" t="s">
        <v>15033</v>
      </c>
      <c r="Q1723" s="9">
        <v>75.900000000000006</v>
      </c>
    </row>
    <row r="1724" spans="15:17" x14ac:dyDescent="0.2">
      <c r="O1724" s="9" t="s">
        <v>15034</v>
      </c>
      <c r="P1724" s="169" t="s">
        <v>15035</v>
      </c>
      <c r="Q1724" s="9">
        <v>83.32</v>
      </c>
    </row>
    <row r="1725" spans="15:17" x14ac:dyDescent="0.2">
      <c r="O1725" s="9" t="s">
        <v>15036</v>
      </c>
      <c r="P1725" s="169" t="s">
        <v>15037</v>
      </c>
      <c r="Q1725" s="9">
        <v>89.28</v>
      </c>
    </row>
    <row r="1726" spans="15:17" x14ac:dyDescent="0.2">
      <c r="O1726" s="9" t="s">
        <v>15038</v>
      </c>
      <c r="P1726" s="169" t="s">
        <v>15039</v>
      </c>
      <c r="Q1726" s="9">
        <v>36.229999999999997</v>
      </c>
    </row>
    <row r="1727" spans="15:17" x14ac:dyDescent="0.2">
      <c r="O1727" s="9" t="s">
        <v>15040</v>
      </c>
      <c r="P1727" s="169" t="s">
        <v>15041</v>
      </c>
      <c r="Q1727" s="9">
        <v>37.96</v>
      </c>
    </row>
    <row r="1728" spans="15:17" x14ac:dyDescent="0.2">
      <c r="O1728" s="9" t="s">
        <v>15042</v>
      </c>
      <c r="P1728" s="169" t="s">
        <v>15043</v>
      </c>
      <c r="Q1728" s="9">
        <v>40.31</v>
      </c>
    </row>
    <row r="1729" spans="15:17" x14ac:dyDescent="0.2">
      <c r="O1729" s="9" t="s">
        <v>15044</v>
      </c>
      <c r="P1729" s="169" t="s">
        <v>15045</v>
      </c>
      <c r="Q1729" s="9">
        <v>40.31</v>
      </c>
    </row>
    <row r="1730" spans="15:17" x14ac:dyDescent="0.2">
      <c r="O1730" s="9" t="s">
        <v>15046</v>
      </c>
      <c r="P1730" s="169" t="s">
        <v>15047</v>
      </c>
      <c r="Q1730" s="9">
        <v>40.31</v>
      </c>
    </row>
    <row r="1731" spans="15:17" x14ac:dyDescent="0.2">
      <c r="O1731" s="9" t="s">
        <v>15048</v>
      </c>
      <c r="P1731" s="169" t="s">
        <v>15049</v>
      </c>
      <c r="Q1731" s="9">
        <v>51.11</v>
      </c>
    </row>
    <row r="1732" spans="15:17" x14ac:dyDescent="0.2">
      <c r="O1732" s="9" t="s">
        <v>15050</v>
      </c>
      <c r="P1732" s="169" t="s">
        <v>15051</v>
      </c>
      <c r="Q1732" s="9">
        <v>70.180000000000007</v>
      </c>
    </row>
    <row r="1733" spans="15:17" x14ac:dyDescent="0.2">
      <c r="O1733" s="9" t="s">
        <v>15052</v>
      </c>
      <c r="P1733" s="169" t="s">
        <v>15053</v>
      </c>
      <c r="Q1733" s="9">
        <v>70.62</v>
      </c>
    </row>
    <row r="1734" spans="15:17" x14ac:dyDescent="0.2">
      <c r="O1734" s="9" t="s">
        <v>15054</v>
      </c>
      <c r="P1734" s="169" t="s">
        <v>15055</v>
      </c>
      <c r="Q1734" s="9">
        <v>121.43</v>
      </c>
    </row>
    <row r="1735" spans="15:17" x14ac:dyDescent="0.2">
      <c r="O1735" s="9" t="s">
        <v>15056</v>
      </c>
      <c r="P1735" s="169" t="s">
        <v>15057</v>
      </c>
      <c r="Q1735" s="9">
        <v>186.31</v>
      </c>
    </row>
    <row r="1736" spans="15:17" x14ac:dyDescent="0.2">
      <c r="O1736" s="9" t="s">
        <v>15058</v>
      </c>
      <c r="P1736" s="169" t="s">
        <v>15059</v>
      </c>
      <c r="Q1736" s="9">
        <v>125.9</v>
      </c>
    </row>
    <row r="1737" spans="15:17" x14ac:dyDescent="0.2">
      <c r="O1737" s="9" t="s">
        <v>15060</v>
      </c>
      <c r="P1737" s="169" t="s">
        <v>15061</v>
      </c>
      <c r="Q1737" s="9">
        <v>290.88</v>
      </c>
    </row>
    <row r="1738" spans="15:17" x14ac:dyDescent="0.2">
      <c r="O1738" s="9" t="s">
        <v>15062</v>
      </c>
      <c r="P1738" s="169" t="s">
        <v>15063</v>
      </c>
      <c r="Q1738" s="9">
        <v>187.95</v>
      </c>
    </row>
    <row r="1739" spans="15:17" x14ac:dyDescent="0.2">
      <c r="O1739" s="9" t="s">
        <v>15064</v>
      </c>
      <c r="P1739" s="169" t="s">
        <v>15065</v>
      </c>
      <c r="Q1739" s="9">
        <v>331.88</v>
      </c>
    </row>
    <row r="1740" spans="15:17" x14ac:dyDescent="0.2">
      <c r="O1740" s="9" t="s">
        <v>15066</v>
      </c>
      <c r="P1740" s="169" t="s">
        <v>15067</v>
      </c>
      <c r="Q1740" s="9">
        <v>187.95</v>
      </c>
    </row>
    <row r="1741" spans="15:17" x14ac:dyDescent="0.2">
      <c r="O1741" s="9" t="s">
        <v>15068</v>
      </c>
      <c r="P1741" s="169" t="s">
        <v>15069</v>
      </c>
      <c r="Q1741" s="9">
        <v>341.48</v>
      </c>
    </row>
    <row r="1742" spans="15:17" x14ac:dyDescent="0.2">
      <c r="O1742" s="9" t="s">
        <v>15070</v>
      </c>
      <c r="P1742" s="169" t="s">
        <v>15071</v>
      </c>
      <c r="Q1742" s="9">
        <v>18.190000000000001</v>
      </c>
    </row>
    <row r="1743" spans="15:17" x14ac:dyDescent="0.2">
      <c r="O1743" s="9">
        <v>34010</v>
      </c>
      <c r="P1743" s="169" t="s">
        <v>15072</v>
      </c>
      <c r="Q1743" s="9">
        <v>130.03</v>
      </c>
    </row>
    <row r="1744" spans="15:17" x14ac:dyDescent="0.2">
      <c r="O1744" s="9">
        <v>34012</v>
      </c>
      <c r="P1744" s="169" t="s">
        <v>15073</v>
      </c>
      <c r="Q1744" s="9">
        <v>164.31</v>
      </c>
    </row>
    <row r="1745" spans="15:17" x14ac:dyDescent="0.2">
      <c r="O1745" s="9">
        <v>34014</v>
      </c>
      <c r="P1745" s="169" t="s">
        <v>15074</v>
      </c>
      <c r="Q1745" s="9">
        <v>250.47</v>
      </c>
    </row>
    <row r="1746" spans="15:17" x14ac:dyDescent="0.2">
      <c r="O1746" s="9">
        <v>34016</v>
      </c>
      <c r="P1746" s="169" t="s">
        <v>15075</v>
      </c>
      <c r="Q1746" s="9">
        <v>315.87</v>
      </c>
    </row>
    <row r="1747" spans="15:17" x14ac:dyDescent="0.2">
      <c r="O1747" s="9">
        <v>34018</v>
      </c>
      <c r="P1747" s="169" t="s">
        <v>15076</v>
      </c>
      <c r="Q1747" s="9">
        <v>543.33000000000004</v>
      </c>
    </row>
    <row r="1748" spans="15:17" x14ac:dyDescent="0.2">
      <c r="O1748" s="9" t="s">
        <v>15077</v>
      </c>
      <c r="P1748" s="169" t="s">
        <v>15078</v>
      </c>
      <c r="Q1748" s="9">
        <v>31.46</v>
      </c>
    </row>
    <row r="1749" spans="15:17" x14ac:dyDescent="0.2">
      <c r="O1749" s="9">
        <v>34020</v>
      </c>
      <c r="P1749" s="169" t="s">
        <v>15079</v>
      </c>
      <c r="Q1749" s="9">
        <v>655.76</v>
      </c>
    </row>
    <row r="1750" spans="15:17" x14ac:dyDescent="0.2">
      <c r="O1750" s="9">
        <v>34024</v>
      </c>
      <c r="P1750" s="169" t="s">
        <v>15080</v>
      </c>
      <c r="Q1750" s="9">
        <v>1176.8399999999999</v>
      </c>
    </row>
    <row r="1751" spans="15:17" x14ac:dyDescent="0.2">
      <c r="O1751" s="9">
        <v>3403</v>
      </c>
      <c r="P1751" s="169" t="s">
        <v>15081</v>
      </c>
      <c r="Q1751" s="9">
        <v>33.549999999999997</v>
      </c>
    </row>
    <row r="1752" spans="15:17" x14ac:dyDescent="0.2">
      <c r="O1752" s="9">
        <v>34030</v>
      </c>
      <c r="P1752" s="169" t="s">
        <v>15082</v>
      </c>
      <c r="Q1752" s="9">
        <v>1935.07</v>
      </c>
    </row>
    <row r="1753" spans="15:17" x14ac:dyDescent="0.2">
      <c r="O1753" s="9">
        <v>3404</v>
      </c>
      <c r="P1753" s="169" t="s">
        <v>15083</v>
      </c>
      <c r="Q1753" s="9">
        <v>35.71</v>
      </c>
    </row>
    <row r="1754" spans="15:17" x14ac:dyDescent="0.2">
      <c r="O1754" s="9">
        <v>3405</v>
      </c>
      <c r="P1754" s="169" t="s">
        <v>15084</v>
      </c>
      <c r="Q1754" s="9">
        <v>52.35</v>
      </c>
    </row>
    <row r="1755" spans="15:17" x14ac:dyDescent="0.2">
      <c r="O1755" s="9" t="s">
        <v>15085</v>
      </c>
      <c r="P1755" s="169" t="s">
        <v>15086</v>
      </c>
      <c r="Q1755" s="9">
        <v>52.35</v>
      </c>
    </row>
    <row r="1756" spans="15:17" x14ac:dyDescent="0.2">
      <c r="O1756" s="9">
        <v>3406</v>
      </c>
      <c r="P1756" s="169" t="s">
        <v>15087</v>
      </c>
      <c r="Q1756" s="9">
        <v>59.45</v>
      </c>
    </row>
    <row r="1757" spans="15:17" x14ac:dyDescent="0.2">
      <c r="O1757" s="9">
        <v>3408</v>
      </c>
      <c r="P1757" s="169" t="s">
        <v>15088</v>
      </c>
      <c r="Q1757" s="9">
        <v>83.46</v>
      </c>
    </row>
    <row r="1758" spans="15:17" x14ac:dyDescent="0.2">
      <c r="O1758" s="9">
        <v>3414</v>
      </c>
      <c r="P1758" s="169" t="s">
        <v>15089</v>
      </c>
      <c r="Q1758" s="9">
        <v>55.99</v>
      </c>
    </row>
    <row r="1759" spans="15:17" x14ac:dyDescent="0.2">
      <c r="O1759" s="9" t="s">
        <v>15090</v>
      </c>
      <c r="P1759" s="169" t="s">
        <v>15091</v>
      </c>
      <c r="Q1759" s="9">
        <v>67.290000000000006</v>
      </c>
    </row>
    <row r="1760" spans="15:17" x14ac:dyDescent="0.2">
      <c r="O1760" s="9" t="s">
        <v>15092</v>
      </c>
      <c r="P1760" s="169" t="s">
        <v>15093</v>
      </c>
      <c r="Q1760" s="9">
        <v>99.78</v>
      </c>
    </row>
    <row r="1761" spans="15:17" x14ac:dyDescent="0.2">
      <c r="O1761" s="9" t="s">
        <v>15094</v>
      </c>
      <c r="P1761" s="169" t="s">
        <v>15095</v>
      </c>
      <c r="Q1761" s="9">
        <v>145.71</v>
      </c>
    </row>
    <row r="1762" spans="15:17" x14ac:dyDescent="0.2">
      <c r="O1762" s="9" t="s">
        <v>15096</v>
      </c>
      <c r="P1762" s="169" t="s">
        <v>15097</v>
      </c>
      <c r="Q1762" s="9">
        <v>190.76</v>
      </c>
    </row>
    <row r="1763" spans="15:17" x14ac:dyDescent="0.2">
      <c r="O1763" s="9">
        <v>35019</v>
      </c>
      <c r="P1763" s="169" t="s">
        <v>15098</v>
      </c>
      <c r="Q1763" s="9">
        <v>409.52</v>
      </c>
    </row>
    <row r="1764" spans="15:17" x14ac:dyDescent="0.2">
      <c r="O1764" s="9">
        <v>35021</v>
      </c>
      <c r="P1764" s="169" t="s">
        <v>15099</v>
      </c>
      <c r="Q1764" s="9">
        <v>454.95</v>
      </c>
    </row>
    <row r="1765" spans="15:17" x14ac:dyDescent="0.2">
      <c r="O1765" s="9">
        <v>35023</v>
      </c>
      <c r="P1765" s="169" t="s">
        <v>15100</v>
      </c>
      <c r="Q1765" s="9">
        <v>591.24</v>
      </c>
    </row>
    <row r="1766" spans="15:17" x14ac:dyDescent="0.2">
      <c r="O1766" s="9">
        <v>35025</v>
      </c>
      <c r="P1766" s="169" t="s">
        <v>15101</v>
      </c>
      <c r="Q1766" s="9">
        <v>659.05</v>
      </c>
    </row>
    <row r="1767" spans="15:17" x14ac:dyDescent="0.2">
      <c r="O1767" s="9">
        <v>35028</v>
      </c>
      <c r="P1767" s="169" t="s">
        <v>15102</v>
      </c>
      <c r="Q1767" s="9">
        <v>863.82</v>
      </c>
    </row>
    <row r="1768" spans="15:17" x14ac:dyDescent="0.2">
      <c r="O1768" s="9" t="s">
        <v>15103</v>
      </c>
      <c r="P1768" s="169" t="s">
        <v>15104</v>
      </c>
      <c r="Q1768" s="9">
        <v>12.48</v>
      </c>
    </row>
    <row r="1769" spans="15:17" x14ac:dyDescent="0.2">
      <c r="O1769" s="9" t="s">
        <v>15105</v>
      </c>
      <c r="P1769" s="169" t="s">
        <v>15106</v>
      </c>
      <c r="Q1769" s="9">
        <v>19</v>
      </c>
    </row>
    <row r="1770" spans="15:17" x14ac:dyDescent="0.2">
      <c r="O1770" s="9">
        <v>35031</v>
      </c>
      <c r="P1770" s="169" t="s">
        <v>15107</v>
      </c>
      <c r="Q1770" s="9">
        <v>954.68</v>
      </c>
    </row>
    <row r="1771" spans="15:17" x14ac:dyDescent="0.2">
      <c r="O1771" s="9" t="s">
        <v>15108</v>
      </c>
      <c r="P1771" s="169" t="s">
        <v>15109</v>
      </c>
      <c r="Q1771" s="9">
        <v>13.88</v>
      </c>
    </row>
    <row r="1772" spans="15:17" x14ac:dyDescent="0.2">
      <c r="O1772" s="9" t="s">
        <v>15110</v>
      </c>
      <c r="P1772" s="169" t="s">
        <v>15111</v>
      </c>
      <c r="Q1772" s="9">
        <v>20.03</v>
      </c>
    </row>
    <row r="1773" spans="15:17" x14ac:dyDescent="0.2">
      <c r="O1773" s="9" t="s">
        <v>15112</v>
      </c>
      <c r="P1773" s="169" t="s">
        <v>15113</v>
      </c>
      <c r="Q1773" s="9">
        <v>24.26</v>
      </c>
    </row>
    <row r="1774" spans="15:17" x14ac:dyDescent="0.2">
      <c r="O1774" s="9" t="s">
        <v>15114</v>
      </c>
      <c r="P1774" s="169" t="s">
        <v>15115</v>
      </c>
      <c r="Q1774" s="9">
        <v>30</v>
      </c>
    </row>
    <row r="1775" spans="15:17" x14ac:dyDescent="0.2">
      <c r="O1775" s="9" t="s">
        <v>15116</v>
      </c>
      <c r="P1775" s="169" t="s">
        <v>15117</v>
      </c>
      <c r="Q1775" s="9">
        <v>44.29</v>
      </c>
    </row>
    <row r="1776" spans="15:17" x14ac:dyDescent="0.2">
      <c r="O1776" s="9" t="s">
        <v>15118</v>
      </c>
      <c r="P1776" s="169" t="s">
        <v>15119</v>
      </c>
      <c r="Q1776" s="9">
        <v>67.290000000000006</v>
      </c>
    </row>
    <row r="1777" spans="15:17" x14ac:dyDescent="0.2">
      <c r="O1777" s="9" t="s">
        <v>15120</v>
      </c>
      <c r="P1777" s="169" t="s">
        <v>15121</v>
      </c>
      <c r="Q1777" s="9">
        <v>99.78</v>
      </c>
    </row>
    <row r="1778" spans="15:17" x14ac:dyDescent="0.2">
      <c r="O1778" s="9" t="s">
        <v>15122</v>
      </c>
      <c r="P1778" s="169" t="s">
        <v>15123</v>
      </c>
      <c r="Q1778" s="9">
        <v>126.1</v>
      </c>
    </row>
    <row r="1779" spans="15:17" x14ac:dyDescent="0.2">
      <c r="O1779" s="9" t="s">
        <v>15124</v>
      </c>
      <c r="P1779" s="169" t="s">
        <v>15125</v>
      </c>
      <c r="Q1779" s="9">
        <v>145.71</v>
      </c>
    </row>
    <row r="1780" spans="15:17" x14ac:dyDescent="0.2">
      <c r="O1780" s="9" t="s">
        <v>15126</v>
      </c>
      <c r="P1780" s="169" t="s">
        <v>15127</v>
      </c>
      <c r="Q1780" s="9">
        <v>190.76</v>
      </c>
    </row>
    <row r="1781" spans="15:17" x14ac:dyDescent="0.2">
      <c r="O1781" s="9">
        <v>35119</v>
      </c>
      <c r="P1781" s="169" t="s">
        <v>15128</v>
      </c>
      <c r="Q1781" s="9">
        <v>409.52</v>
      </c>
    </row>
    <row r="1782" spans="15:17" x14ac:dyDescent="0.2">
      <c r="O1782" s="9">
        <v>35121</v>
      </c>
      <c r="P1782" s="169" t="s">
        <v>15129</v>
      </c>
      <c r="Q1782" s="9">
        <v>454.95</v>
      </c>
    </row>
    <row r="1783" spans="15:17" x14ac:dyDescent="0.2">
      <c r="O1783" s="9">
        <v>35123</v>
      </c>
      <c r="P1783" s="169" t="s">
        <v>15130</v>
      </c>
      <c r="Q1783" s="9">
        <v>591.24</v>
      </c>
    </row>
    <row r="1784" spans="15:17" x14ac:dyDescent="0.2">
      <c r="O1784" s="9">
        <v>35125</v>
      </c>
      <c r="P1784" s="169" t="s">
        <v>15131</v>
      </c>
      <c r="Q1784" s="9">
        <v>659.05</v>
      </c>
    </row>
    <row r="1785" spans="15:17" x14ac:dyDescent="0.2">
      <c r="O1785" s="9">
        <v>35128</v>
      </c>
      <c r="P1785" s="169" t="s">
        <v>15132</v>
      </c>
      <c r="Q1785" s="9">
        <v>863.82</v>
      </c>
    </row>
    <row r="1786" spans="15:17" x14ac:dyDescent="0.2">
      <c r="O1786" s="9" t="s">
        <v>15133</v>
      </c>
      <c r="P1786" s="169" t="s">
        <v>15134</v>
      </c>
      <c r="Q1786" s="9">
        <v>12.48</v>
      </c>
    </row>
    <row r="1787" spans="15:17" x14ac:dyDescent="0.2">
      <c r="O1787" s="9">
        <v>35131</v>
      </c>
      <c r="P1787" s="169" t="s">
        <v>15135</v>
      </c>
      <c r="Q1787" s="9">
        <v>954.68</v>
      </c>
    </row>
    <row r="1788" spans="15:17" x14ac:dyDescent="0.2">
      <c r="O1788" s="9" t="s">
        <v>15136</v>
      </c>
      <c r="P1788" s="169" t="s">
        <v>15137</v>
      </c>
      <c r="Q1788" s="9">
        <v>13.88</v>
      </c>
    </row>
    <row r="1789" spans="15:17" x14ac:dyDescent="0.2">
      <c r="O1789" s="9" t="s">
        <v>15138</v>
      </c>
      <c r="P1789" s="169" t="s">
        <v>15139</v>
      </c>
      <c r="Q1789" s="9">
        <v>20.03</v>
      </c>
    </row>
    <row r="1790" spans="15:17" x14ac:dyDescent="0.2">
      <c r="O1790" s="9" t="s">
        <v>15140</v>
      </c>
      <c r="P1790" s="169" t="s">
        <v>15141</v>
      </c>
      <c r="Q1790" s="9">
        <v>24.26</v>
      </c>
    </row>
    <row r="1791" spans="15:17" x14ac:dyDescent="0.2">
      <c r="O1791" s="9" t="s">
        <v>15142</v>
      </c>
      <c r="P1791" s="169" t="s">
        <v>15143</v>
      </c>
      <c r="Q1791" s="9">
        <v>44.29</v>
      </c>
    </row>
    <row r="1792" spans="15:17" x14ac:dyDescent="0.2">
      <c r="O1792" s="9" t="s">
        <v>15144</v>
      </c>
      <c r="P1792" s="169" t="s">
        <v>15145</v>
      </c>
      <c r="Q1792" s="9">
        <v>72.73</v>
      </c>
    </row>
    <row r="1793" spans="15:17" x14ac:dyDescent="0.2">
      <c r="O1793" s="9" t="s">
        <v>15146</v>
      </c>
      <c r="P1793" s="169" t="s">
        <v>15147</v>
      </c>
      <c r="Q1793" s="9">
        <v>25.56</v>
      </c>
    </row>
    <row r="1794" spans="15:17" x14ac:dyDescent="0.2">
      <c r="O1794" s="9" t="s">
        <v>15148</v>
      </c>
      <c r="P1794" s="169" t="s">
        <v>15149</v>
      </c>
      <c r="Q1794" s="9">
        <v>26.5</v>
      </c>
    </row>
    <row r="1795" spans="15:17" x14ac:dyDescent="0.2">
      <c r="O1795" s="9" t="s">
        <v>15150</v>
      </c>
      <c r="P1795" s="169" t="s">
        <v>15151</v>
      </c>
      <c r="Q1795" s="9">
        <v>35.39</v>
      </c>
    </row>
    <row r="1796" spans="15:17" x14ac:dyDescent="0.2">
      <c r="O1796" s="9" t="s">
        <v>15152</v>
      </c>
      <c r="P1796" s="169" t="s">
        <v>15153</v>
      </c>
      <c r="Q1796" s="9">
        <v>294.95999999999998</v>
      </c>
    </row>
    <row r="1797" spans="15:17" x14ac:dyDescent="0.2">
      <c r="O1797" s="9" t="s">
        <v>15154</v>
      </c>
      <c r="P1797" s="169" t="s">
        <v>15155</v>
      </c>
      <c r="Q1797" s="9">
        <v>444.74</v>
      </c>
    </row>
    <row r="1798" spans="15:17" x14ac:dyDescent="0.2">
      <c r="O1798" s="9" t="s">
        <v>15156</v>
      </c>
      <c r="P1798" s="169" t="s">
        <v>15157</v>
      </c>
      <c r="Q1798" s="9">
        <v>458.37</v>
      </c>
    </row>
    <row r="1799" spans="15:17" x14ac:dyDescent="0.2">
      <c r="O1799" s="9">
        <v>35319</v>
      </c>
      <c r="P1799" s="169" t="s">
        <v>15158</v>
      </c>
      <c r="Q1799" s="9">
        <v>512.41999999999996</v>
      </c>
    </row>
    <row r="1800" spans="15:17" x14ac:dyDescent="0.2">
      <c r="O1800" s="9">
        <v>35321</v>
      </c>
      <c r="P1800" s="169" t="s">
        <v>15159</v>
      </c>
      <c r="Q1800" s="9">
        <v>657.6</v>
      </c>
    </row>
    <row r="1801" spans="15:17" x14ac:dyDescent="0.2">
      <c r="O1801" s="9">
        <v>35323</v>
      </c>
      <c r="P1801" s="169" t="s">
        <v>15160</v>
      </c>
      <c r="Q1801" s="9">
        <v>821.18</v>
      </c>
    </row>
    <row r="1802" spans="15:17" x14ac:dyDescent="0.2">
      <c r="O1802" s="9">
        <v>35325</v>
      </c>
      <c r="P1802" s="169" t="s">
        <v>15161</v>
      </c>
      <c r="Q1802" s="9">
        <v>990.66</v>
      </c>
    </row>
    <row r="1803" spans="15:17" x14ac:dyDescent="0.2">
      <c r="O1803" s="9">
        <v>35328</v>
      </c>
      <c r="P1803" s="169" t="s">
        <v>15162</v>
      </c>
      <c r="Q1803" s="9">
        <v>1392.07</v>
      </c>
    </row>
    <row r="1804" spans="15:17" x14ac:dyDescent="0.2">
      <c r="O1804" s="9">
        <v>35331</v>
      </c>
      <c r="P1804" s="169" t="s">
        <v>15163</v>
      </c>
      <c r="Q1804" s="9">
        <v>1682.43</v>
      </c>
    </row>
    <row r="1805" spans="15:17" x14ac:dyDescent="0.2">
      <c r="O1805" s="9" t="s">
        <v>15164</v>
      </c>
      <c r="P1805" s="169" t="s">
        <v>15165</v>
      </c>
      <c r="Q1805" s="9">
        <v>50.41</v>
      </c>
    </row>
    <row r="1806" spans="15:17" x14ac:dyDescent="0.2">
      <c r="O1806" s="9" t="s">
        <v>15166</v>
      </c>
      <c r="P1806" s="169" t="s">
        <v>15167</v>
      </c>
      <c r="Q1806" s="9">
        <v>117.24</v>
      </c>
    </row>
    <row r="1807" spans="15:17" x14ac:dyDescent="0.2">
      <c r="O1807" s="9" t="s">
        <v>15168</v>
      </c>
      <c r="P1807" s="169" t="s">
        <v>15169</v>
      </c>
      <c r="Q1807" s="9">
        <v>60.62</v>
      </c>
    </row>
    <row r="1808" spans="15:17" x14ac:dyDescent="0.2">
      <c r="O1808" s="9" t="s">
        <v>15170</v>
      </c>
      <c r="P1808" s="169" t="s">
        <v>15171</v>
      </c>
      <c r="Q1808" s="9">
        <v>96.79</v>
      </c>
    </row>
    <row r="1809" spans="15:17" x14ac:dyDescent="0.2">
      <c r="O1809" s="9" t="s">
        <v>15172</v>
      </c>
      <c r="P1809" s="169" t="s">
        <v>15173</v>
      </c>
      <c r="Q1809" s="9">
        <v>96.78</v>
      </c>
    </row>
    <row r="1810" spans="15:17" x14ac:dyDescent="0.2">
      <c r="O1810" s="9" t="s">
        <v>15174</v>
      </c>
      <c r="P1810" s="169" t="s">
        <v>15175</v>
      </c>
      <c r="Q1810" s="9">
        <v>137.66</v>
      </c>
    </row>
    <row r="1811" spans="15:17" x14ac:dyDescent="0.2">
      <c r="O1811" s="9" t="s">
        <v>15176</v>
      </c>
      <c r="P1811" s="169" t="s">
        <v>15177</v>
      </c>
      <c r="Q1811" s="9">
        <v>144.87</v>
      </c>
    </row>
    <row r="1812" spans="15:17" x14ac:dyDescent="0.2">
      <c r="O1812" s="9" t="s">
        <v>15178</v>
      </c>
      <c r="P1812" s="169" t="s">
        <v>15179</v>
      </c>
      <c r="Q1812" s="9">
        <v>185.46</v>
      </c>
    </row>
    <row r="1813" spans="15:17" x14ac:dyDescent="0.2">
      <c r="O1813" s="9">
        <v>35519</v>
      </c>
      <c r="P1813" s="169" t="s">
        <v>15180</v>
      </c>
      <c r="Q1813" s="9">
        <v>289.69</v>
      </c>
    </row>
    <row r="1814" spans="15:17" x14ac:dyDescent="0.2">
      <c r="O1814" s="9" t="s">
        <v>15181</v>
      </c>
      <c r="P1814" s="169" t="s">
        <v>15182</v>
      </c>
      <c r="Q1814" s="9">
        <v>17.11</v>
      </c>
    </row>
    <row r="1815" spans="15:17" x14ac:dyDescent="0.2">
      <c r="O1815" s="9" t="s">
        <v>15183</v>
      </c>
      <c r="P1815" s="169" t="s">
        <v>15184</v>
      </c>
      <c r="Q1815" s="9">
        <v>17.11</v>
      </c>
    </row>
    <row r="1816" spans="15:17" x14ac:dyDescent="0.2">
      <c r="O1816" s="9" t="s">
        <v>15185</v>
      </c>
      <c r="P1816" s="169" t="s">
        <v>15186</v>
      </c>
      <c r="Q1816" s="9">
        <v>17.11</v>
      </c>
    </row>
    <row r="1817" spans="15:17" x14ac:dyDescent="0.2">
      <c r="O1817" s="9" t="s">
        <v>15187</v>
      </c>
      <c r="P1817" s="169" t="s">
        <v>15188</v>
      </c>
      <c r="Q1817" s="9">
        <v>17.11</v>
      </c>
    </row>
    <row r="1818" spans="15:17" x14ac:dyDescent="0.2">
      <c r="O1818" s="9">
        <v>35521</v>
      </c>
      <c r="P1818" s="169" t="s">
        <v>15189</v>
      </c>
      <c r="Q1818" s="9">
        <v>323.93</v>
      </c>
    </row>
    <row r="1819" spans="15:17" x14ac:dyDescent="0.2">
      <c r="O1819" s="9">
        <v>35523</v>
      </c>
      <c r="P1819" s="169" t="s">
        <v>15190</v>
      </c>
      <c r="Q1819" s="9">
        <v>446.39</v>
      </c>
    </row>
    <row r="1820" spans="15:17" x14ac:dyDescent="0.2">
      <c r="O1820" s="9">
        <v>35525</v>
      </c>
      <c r="P1820" s="169" t="s">
        <v>15191</v>
      </c>
      <c r="Q1820" s="9">
        <v>553.04999999999995</v>
      </c>
    </row>
    <row r="1821" spans="15:17" x14ac:dyDescent="0.2">
      <c r="O1821" s="9">
        <v>35526</v>
      </c>
      <c r="P1821" s="169" t="s">
        <v>15192</v>
      </c>
      <c r="Q1821" s="9">
        <v>672.88</v>
      </c>
    </row>
    <row r="1822" spans="15:17" x14ac:dyDescent="0.2">
      <c r="O1822" s="9">
        <v>35528</v>
      </c>
      <c r="P1822" s="169" t="s">
        <v>15193</v>
      </c>
      <c r="Q1822" s="9">
        <v>672.88</v>
      </c>
    </row>
    <row r="1823" spans="15:17" x14ac:dyDescent="0.2">
      <c r="O1823" s="9" t="s">
        <v>15194</v>
      </c>
      <c r="P1823" s="169" t="s">
        <v>15195</v>
      </c>
      <c r="Q1823" s="9">
        <v>10.92</v>
      </c>
    </row>
    <row r="1824" spans="15:17" x14ac:dyDescent="0.2">
      <c r="O1824" s="9" t="s">
        <v>15196</v>
      </c>
      <c r="P1824" s="169" t="s">
        <v>15197</v>
      </c>
      <c r="Q1824" s="9">
        <v>17.11</v>
      </c>
    </row>
    <row r="1825" spans="15:17" x14ac:dyDescent="0.2">
      <c r="O1825" s="9">
        <v>35531</v>
      </c>
      <c r="P1825" s="169" t="s">
        <v>15198</v>
      </c>
      <c r="Q1825" s="9">
        <v>932.95</v>
      </c>
    </row>
    <row r="1826" spans="15:17" x14ac:dyDescent="0.2">
      <c r="O1826" s="9" t="s">
        <v>15199</v>
      </c>
      <c r="P1826" s="169" t="s">
        <v>15200</v>
      </c>
      <c r="Q1826" s="9">
        <v>12.45</v>
      </c>
    </row>
    <row r="1827" spans="15:17" x14ac:dyDescent="0.2">
      <c r="O1827" s="9" t="s">
        <v>15201</v>
      </c>
      <c r="P1827" s="169" t="s">
        <v>15202</v>
      </c>
      <c r="Q1827" s="9">
        <v>14.55</v>
      </c>
    </row>
    <row r="1828" spans="15:17" x14ac:dyDescent="0.2">
      <c r="O1828" s="9" t="s">
        <v>15203</v>
      </c>
      <c r="P1828" s="169" t="s">
        <v>15204</v>
      </c>
      <c r="Q1828" s="9">
        <v>19.399999999999999</v>
      </c>
    </row>
    <row r="1829" spans="15:17" x14ac:dyDescent="0.2">
      <c r="O1829" s="9" t="s">
        <v>15205</v>
      </c>
      <c r="P1829" s="169" t="s">
        <v>15206</v>
      </c>
      <c r="Q1829" s="9">
        <v>19.440000000000001</v>
      </c>
    </row>
    <row r="1830" spans="15:17" x14ac:dyDescent="0.2">
      <c r="O1830" s="9" t="s">
        <v>15207</v>
      </c>
      <c r="P1830" s="169" t="s">
        <v>15208</v>
      </c>
      <c r="Q1830" s="9">
        <v>35.94</v>
      </c>
    </row>
    <row r="1831" spans="15:17" x14ac:dyDescent="0.2">
      <c r="O1831" s="9" t="s">
        <v>15209</v>
      </c>
      <c r="P1831" s="169" t="s">
        <v>15210</v>
      </c>
      <c r="Q1831" s="9">
        <v>37.21</v>
      </c>
    </row>
    <row r="1832" spans="15:17" x14ac:dyDescent="0.2">
      <c r="O1832" s="9" t="s">
        <v>15211</v>
      </c>
      <c r="P1832" s="169" t="s">
        <v>15212</v>
      </c>
      <c r="Q1832" s="9">
        <v>40.369999999999997</v>
      </c>
    </row>
    <row r="1833" spans="15:17" x14ac:dyDescent="0.2">
      <c r="O1833" s="9" t="s">
        <v>15213</v>
      </c>
      <c r="P1833" s="169" t="s">
        <v>15214</v>
      </c>
      <c r="Q1833" s="9">
        <v>69.3</v>
      </c>
    </row>
    <row r="1834" spans="15:17" x14ac:dyDescent="0.2">
      <c r="O1834" s="9" t="s">
        <v>15215</v>
      </c>
      <c r="P1834" s="169" t="s">
        <v>15216</v>
      </c>
      <c r="Q1834" s="9">
        <v>60.62</v>
      </c>
    </row>
    <row r="1835" spans="15:17" x14ac:dyDescent="0.2">
      <c r="O1835" s="9" t="s">
        <v>15217</v>
      </c>
      <c r="P1835" s="169" t="s">
        <v>15218</v>
      </c>
      <c r="Q1835" s="9">
        <v>96.78</v>
      </c>
    </row>
    <row r="1836" spans="15:17" x14ac:dyDescent="0.2">
      <c r="O1836" s="9" t="s">
        <v>15219</v>
      </c>
      <c r="P1836" s="169" t="s">
        <v>15220</v>
      </c>
      <c r="Q1836" s="9">
        <v>96.78</v>
      </c>
    </row>
    <row r="1837" spans="15:17" x14ac:dyDescent="0.2">
      <c r="O1837" s="9" t="s">
        <v>15221</v>
      </c>
      <c r="P1837" s="169" t="s">
        <v>15222</v>
      </c>
      <c r="Q1837" s="9">
        <v>137.66</v>
      </c>
    </row>
    <row r="1838" spans="15:17" x14ac:dyDescent="0.2">
      <c r="O1838" s="9" t="s">
        <v>15223</v>
      </c>
      <c r="P1838" s="169" t="s">
        <v>15224</v>
      </c>
      <c r="Q1838" s="9">
        <v>144.87</v>
      </c>
    </row>
    <row r="1839" spans="15:17" x14ac:dyDescent="0.2">
      <c r="O1839" s="9" t="s">
        <v>15225</v>
      </c>
      <c r="P1839" s="169" t="s">
        <v>15226</v>
      </c>
      <c r="Q1839" s="9">
        <v>185.46</v>
      </c>
    </row>
    <row r="1840" spans="15:17" x14ac:dyDescent="0.2">
      <c r="O1840" s="9">
        <v>35619</v>
      </c>
      <c r="P1840" s="169" t="s">
        <v>15227</v>
      </c>
      <c r="Q1840" s="9">
        <v>289.69</v>
      </c>
    </row>
    <row r="1841" spans="15:17" x14ac:dyDescent="0.2">
      <c r="O1841" s="9" t="s">
        <v>15228</v>
      </c>
      <c r="P1841" s="169" t="s">
        <v>15229</v>
      </c>
      <c r="Q1841" s="9">
        <v>17.11</v>
      </c>
    </row>
    <row r="1842" spans="15:17" x14ac:dyDescent="0.2">
      <c r="O1842" s="9" t="s">
        <v>15230</v>
      </c>
      <c r="P1842" s="169" t="s">
        <v>15231</v>
      </c>
      <c r="Q1842" s="9">
        <v>17.11</v>
      </c>
    </row>
    <row r="1843" spans="15:17" x14ac:dyDescent="0.2">
      <c r="O1843" s="9" t="s">
        <v>15232</v>
      </c>
      <c r="P1843" s="169" t="s">
        <v>15233</v>
      </c>
      <c r="Q1843" s="9">
        <v>17.11</v>
      </c>
    </row>
    <row r="1844" spans="15:17" x14ac:dyDescent="0.2">
      <c r="O1844" s="9" t="s">
        <v>15234</v>
      </c>
      <c r="P1844" s="169" t="s">
        <v>15235</v>
      </c>
      <c r="Q1844" s="9">
        <v>17.11</v>
      </c>
    </row>
    <row r="1845" spans="15:17" x14ac:dyDescent="0.2">
      <c r="O1845" s="9">
        <v>35621</v>
      </c>
      <c r="P1845" s="169" t="s">
        <v>15236</v>
      </c>
      <c r="Q1845" s="9">
        <v>323.93</v>
      </c>
    </row>
    <row r="1846" spans="15:17" x14ac:dyDescent="0.2">
      <c r="O1846" s="9">
        <v>35623</v>
      </c>
      <c r="P1846" s="169" t="s">
        <v>15237</v>
      </c>
      <c r="Q1846" s="9">
        <v>446.39</v>
      </c>
    </row>
    <row r="1847" spans="15:17" x14ac:dyDescent="0.2">
      <c r="O1847" s="9">
        <v>35625</v>
      </c>
      <c r="P1847" s="169" t="s">
        <v>15238</v>
      </c>
      <c r="Q1847" s="9">
        <v>553.04999999999995</v>
      </c>
    </row>
    <row r="1848" spans="15:17" x14ac:dyDescent="0.2">
      <c r="O1848" s="9">
        <v>35626</v>
      </c>
      <c r="P1848" s="169" t="s">
        <v>15239</v>
      </c>
      <c r="Q1848" s="9">
        <v>672.88</v>
      </c>
    </row>
    <row r="1849" spans="15:17" x14ac:dyDescent="0.2">
      <c r="O1849" s="9">
        <v>35628</v>
      </c>
      <c r="P1849" s="169" t="s">
        <v>15240</v>
      </c>
      <c r="Q1849" s="9">
        <v>672.88</v>
      </c>
    </row>
    <row r="1850" spans="15:17" x14ac:dyDescent="0.2">
      <c r="O1850" s="9" t="s">
        <v>15241</v>
      </c>
      <c r="P1850" s="169" t="s">
        <v>15242</v>
      </c>
      <c r="Q1850" s="9">
        <v>10.92</v>
      </c>
    </row>
    <row r="1851" spans="15:17" x14ac:dyDescent="0.2">
      <c r="O1851" s="9" t="s">
        <v>15243</v>
      </c>
      <c r="P1851" s="169" t="s">
        <v>15244</v>
      </c>
      <c r="Q1851" s="9">
        <v>17.11</v>
      </c>
    </row>
    <row r="1852" spans="15:17" x14ac:dyDescent="0.2">
      <c r="O1852" s="9">
        <v>35631</v>
      </c>
      <c r="P1852" s="169" t="s">
        <v>15245</v>
      </c>
      <c r="Q1852" s="9">
        <v>932.95</v>
      </c>
    </row>
    <row r="1853" spans="15:17" x14ac:dyDescent="0.2">
      <c r="O1853" s="9" t="s">
        <v>15246</v>
      </c>
      <c r="P1853" s="169" t="s">
        <v>15247</v>
      </c>
      <c r="Q1853" s="9">
        <v>12.45</v>
      </c>
    </row>
    <row r="1854" spans="15:17" x14ac:dyDescent="0.2">
      <c r="O1854" s="9" t="s">
        <v>15248</v>
      </c>
      <c r="P1854" s="169" t="s">
        <v>15249</v>
      </c>
      <c r="Q1854" s="9">
        <v>14.55</v>
      </c>
    </row>
    <row r="1855" spans="15:17" x14ac:dyDescent="0.2">
      <c r="O1855" s="9" t="s">
        <v>15250</v>
      </c>
      <c r="P1855" s="169" t="s">
        <v>15251</v>
      </c>
      <c r="Q1855" s="9">
        <v>19.399999999999999</v>
      </c>
    </row>
    <row r="1856" spans="15:17" x14ac:dyDescent="0.2">
      <c r="O1856" s="9" t="s">
        <v>15252</v>
      </c>
      <c r="P1856" s="169" t="s">
        <v>15253</v>
      </c>
      <c r="Q1856" s="9">
        <v>19.440000000000001</v>
      </c>
    </row>
    <row r="1857" spans="1:17" x14ac:dyDescent="0.2">
      <c r="O1857" s="9" t="s">
        <v>15254</v>
      </c>
      <c r="P1857" s="169" t="s">
        <v>15255</v>
      </c>
      <c r="Q1857" s="9">
        <v>35.94</v>
      </c>
    </row>
    <row r="1858" spans="1:17" x14ac:dyDescent="0.2">
      <c r="O1858" s="9" t="s">
        <v>15256</v>
      </c>
      <c r="P1858" s="169" t="s">
        <v>15257</v>
      </c>
      <c r="Q1858" s="9">
        <v>37.229999999999997</v>
      </c>
    </row>
    <row r="1859" spans="1:17" x14ac:dyDescent="0.2">
      <c r="O1859" s="9" t="s">
        <v>15258</v>
      </c>
      <c r="P1859" s="169" t="s">
        <v>15259</v>
      </c>
      <c r="Q1859" s="9">
        <v>40.44</v>
      </c>
    </row>
    <row r="1860" spans="1:17" x14ac:dyDescent="0.2">
      <c r="O1860" s="9" t="s">
        <v>15260</v>
      </c>
      <c r="P1860" s="169" t="s">
        <v>15261</v>
      </c>
      <c r="Q1860" s="9">
        <v>69.3</v>
      </c>
    </row>
    <row r="1861" spans="1:17" x14ac:dyDescent="0.2">
      <c r="O1861" s="9" t="s">
        <v>15262</v>
      </c>
      <c r="P1861" s="169" t="s">
        <v>15263</v>
      </c>
      <c r="Q1861" s="9">
        <v>75.64</v>
      </c>
    </row>
    <row r="1862" spans="1:17" x14ac:dyDescent="0.2">
      <c r="O1862" s="9" t="s">
        <v>15264</v>
      </c>
      <c r="P1862" s="169" t="s">
        <v>15265</v>
      </c>
      <c r="Q1862" s="9">
        <v>151.30000000000001</v>
      </c>
    </row>
    <row r="1863" spans="1:17" x14ac:dyDescent="0.2">
      <c r="O1863" s="9" t="s">
        <v>15266</v>
      </c>
      <c r="P1863" s="169" t="s">
        <v>15267</v>
      </c>
      <c r="Q1863" s="9">
        <v>221.72</v>
      </c>
    </row>
    <row r="1864" spans="1:17" x14ac:dyDescent="0.2">
      <c r="A1864" s="9" t="s">
        <v>8945</v>
      </c>
      <c r="O1864" s="9" t="s">
        <v>15268</v>
      </c>
      <c r="P1864" s="169" t="s">
        <v>15269</v>
      </c>
      <c r="Q1864" s="9">
        <v>316.89</v>
      </c>
    </row>
    <row r="1865" spans="1:17" x14ac:dyDescent="0.2">
      <c r="O1865" s="9" t="s">
        <v>15270</v>
      </c>
      <c r="P1865" s="169" t="s">
        <v>15271</v>
      </c>
      <c r="Q1865" s="9">
        <v>26.58</v>
      </c>
    </row>
    <row r="1866" spans="1:17" x14ac:dyDescent="0.2">
      <c r="O1866" s="9" t="s">
        <v>15272</v>
      </c>
      <c r="P1866" s="169" t="s">
        <v>15273</v>
      </c>
      <c r="Q1866" s="9">
        <v>26.58</v>
      </c>
    </row>
    <row r="1867" spans="1:17" x14ac:dyDescent="0.2">
      <c r="O1867" s="9" t="s">
        <v>15274</v>
      </c>
      <c r="P1867" s="169" t="s">
        <v>15275</v>
      </c>
      <c r="Q1867" s="9">
        <v>26.58</v>
      </c>
    </row>
    <row r="1868" spans="1:17" x14ac:dyDescent="0.2">
      <c r="O1868" s="9" t="s">
        <v>15276</v>
      </c>
      <c r="P1868" s="169" t="s">
        <v>15277</v>
      </c>
      <c r="Q1868" s="9">
        <v>26.5</v>
      </c>
    </row>
    <row r="1869" spans="1:17" x14ac:dyDescent="0.2">
      <c r="O1869" s="9" t="s">
        <v>15278</v>
      </c>
      <c r="P1869" s="169" t="s">
        <v>15279</v>
      </c>
      <c r="Q1869" s="9">
        <v>35.39</v>
      </c>
    </row>
    <row r="1870" spans="1:17" x14ac:dyDescent="0.2">
      <c r="O1870" s="9" t="s">
        <v>15280</v>
      </c>
      <c r="P1870" s="169" t="s">
        <v>15281</v>
      </c>
      <c r="Q1870" s="9">
        <v>49.45</v>
      </c>
    </row>
    <row r="1871" spans="1:17" x14ac:dyDescent="0.2">
      <c r="O1871" s="9">
        <v>35810</v>
      </c>
      <c r="P1871" s="169" t="s">
        <v>15282</v>
      </c>
      <c r="Q1871" s="9">
        <v>81.95</v>
      </c>
    </row>
    <row r="1872" spans="1:17" x14ac:dyDescent="0.2">
      <c r="O1872" s="9">
        <v>35812</v>
      </c>
      <c r="P1872" s="169" t="s">
        <v>15283</v>
      </c>
      <c r="Q1872" s="9">
        <v>129.04</v>
      </c>
    </row>
    <row r="1873" spans="15:17" x14ac:dyDescent="0.2">
      <c r="O1873" s="9">
        <v>3584</v>
      </c>
      <c r="P1873" s="169" t="s">
        <v>15284</v>
      </c>
      <c r="Q1873" s="9">
        <v>16.43</v>
      </c>
    </row>
    <row r="1874" spans="15:17" x14ac:dyDescent="0.2">
      <c r="O1874" s="9">
        <v>3585</v>
      </c>
      <c r="P1874" s="169" t="s">
        <v>15285</v>
      </c>
      <c r="Q1874" s="9">
        <v>18.739999999999998</v>
      </c>
    </row>
    <row r="1875" spans="15:17" x14ac:dyDescent="0.2">
      <c r="O1875" s="9">
        <v>3586</v>
      </c>
      <c r="P1875" s="169" t="s">
        <v>15286</v>
      </c>
      <c r="Q1875" s="9">
        <v>24.66</v>
      </c>
    </row>
    <row r="1876" spans="15:17" x14ac:dyDescent="0.2">
      <c r="O1876" s="9">
        <v>3587</v>
      </c>
      <c r="P1876" s="169" t="s">
        <v>15287</v>
      </c>
      <c r="Q1876" s="9">
        <v>42.78</v>
      </c>
    </row>
    <row r="1877" spans="15:17" x14ac:dyDescent="0.2">
      <c r="O1877" s="9">
        <v>3588</v>
      </c>
      <c r="P1877" s="169" t="s">
        <v>15288</v>
      </c>
      <c r="Q1877" s="9">
        <v>47.82</v>
      </c>
    </row>
    <row r="1878" spans="15:17" x14ac:dyDescent="0.2">
      <c r="O1878" s="9" t="s">
        <v>15289</v>
      </c>
      <c r="P1878" s="169" t="s">
        <v>15290</v>
      </c>
      <c r="Q1878" s="9">
        <v>99.14</v>
      </c>
    </row>
    <row r="1879" spans="15:17" x14ac:dyDescent="0.2">
      <c r="O1879" s="9" t="s">
        <v>15291</v>
      </c>
      <c r="P1879" s="169" t="s">
        <v>15292</v>
      </c>
      <c r="Q1879" s="9">
        <v>99.14</v>
      </c>
    </row>
    <row r="1880" spans="15:17" x14ac:dyDescent="0.2">
      <c r="O1880" s="9" t="s">
        <v>15293</v>
      </c>
      <c r="P1880" s="169" t="s">
        <v>15294</v>
      </c>
      <c r="Q1880" s="9">
        <v>138.26</v>
      </c>
    </row>
    <row r="1881" spans="15:17" x14ac:dyDescent="0.2">
      <c r="O1881" s="9" t="s">
        <v>15295</v>
      </c>
      <c r="P1881" s="169" t="s">
        <v>15296</v>
      </c>
      <c r="Q1881" s="9">
        <v>147.61000000000001</v>
      </c>
    </row>
    <row r="1882" spans="15:17" x14ac:dyDescent="0.2">
      <c r="O1882" s="9" t="s">
        <v>15297</v>
      </c>
      <c r="P1882" s="169" t="s">
        <v>15298</v>
      </c>
      <c r="Q1882" s="9">
        <v>206.61</v>
      </c>
    </row>
    <row r="1883" spans="15:17" x14ac:dyDescent="0.2">
      <c r="O1883" s="9" t="s">
        <v>15299</v>
      </c>
      <c r="P1883" s="169" t="s">
        <v>15300</v>
      </c>
      <c r="Q1883" s="9">
        <v>400.1</v>
      </c>
    </row>
    <row r="1884" spans="15:17" x14ac:dyDescent="0.2">
      <c r="O1884" s="9">
        <v>401008</v>
      </c>
      <c r="P1884" s="169" t="s">
        <v>2283</v>
      </c>
      <c r="Q1884" s="9">
        <v>45.42</v>
      </c>
    </row>
    <row r="1885" spans="15:17" x14ac:dyDescent="0.2">
      <c r="O1885" s="9">
        <v>401009</v>
      </c>
      <c r="P1885" s="169" t="s">
        <v>2286</v>
      </c>
      <c r="Q1885" s="9">
        <v>45.42</v>
      </c>
    </row>
    <row r="1886" spans="15:17" x14ac:dyDescent="0.2">
      <c r="O1886" s="9">
        <v>401010</v>
      </c>
      <c r="P1886" s="169" t="s">
        <v>2289</v>
      </c>
      <c r="Q1886" s="9">
        <v>54.63</v>
      </c>
    </row>
    <row r="1887" spans="15:17" x14ac:dyDescent="0.2">
      <c r="O1887" s="9">
        <v>401011</v>
      </c>
      <c r="P1887" s="169" t="s">
        <v>2292</v>
      </c>
      <c r="Q1887" s="9">
        <v>57</v>
      </c>
    </row>
    <row r="1888" spans="15:17" x14ac:dyDescent="0.2">
      <c r="O1888" s="9">
        <v>401012</v>
      </c>
      <c r="P1888" s="169" t="s">
        <v>2295</v>
      </c>
      <c r="Q1888" s="9">
        <v>57</v>
      </c>
    </row>
    <row r="1889" spans="15:17" x14ac:dyDescent="0.2">
      <c r="O1889" s="9" t="s">
        <v>2297</v>
      </c>
      <c r="P1889" s="169" t="s">
        <v>15301</v>
      </c>
      <c r="Q1889" s="9">
        <v>66</v>
      </c>
    </row>
    <row r="1890" spans="15:17" x14ac:dyDescent="0.2">
      <c r="O1890" s="9">
        <v>401014</v>
      </c>
      <c r="P1890" s="169" t="s">
        <v>2301</v>
      </c>
      <c r="Q1890" s="9">
        <v>63.72</v>
      </c>
    </row>
    <row r="1891" spans="15:17" x14ac:dyDescent="0.2">
      <c r="O1891" s="9">
        <v>401015</v>
      </c>
      <c r="P1891" s="169" t="s">
        <v>2304</v>
      </c>
      <c r="Q1891" s="9">
        <v>76.37</v>
      </c>
    </row>
    <row r="1892" spans="15:17" x14ac:dyDescent="0.2">
      <c r="O1892" s="9">
        <v>401016</v>
      </c>
      <c r="P1892" s="169" t="s">
        <v>2307</v>
      </c>
      <c r="Q1892" s="9">
        <v>87.31</v>
      </c>
    </row>
    <row r="1893" spans="15:17" x14ac:dyDescent="0.2">
      <c r="O1893" s="9">
        <v>401017</v>
      </c>
      <c r="P1893" s="169" t="s">
        <v>2310</v>
      </c>
      <c r="Q1893" s="9">
        <v>98.75</v>
      </c>
    </row>
    <row r="1894" spans="15:17" x14ac:dyDescent="0.2">
      <c r="O1894" s="9">
        <v>401018</v>
      </c>
      <c r="P1894" s="169" t="s">
        <v>2313</v>
      </c>
      <c r="Q1894" s="9">
        <v>130.47</v>
      </c>
    </row>
    <row r="1895" spans="15:17" x14ac:dyDescent="0.2">
      <c r="O1895" s="9">
        <v>401019</v>
      </c>
      <c r="P1895" s="169" t="s">
        <v>2316</v>
      </c>
      <c r="Q1895" s="9">
        <v>174.06</v>
      </c>
    </row>
    <row r="1896" spans="15:17" x14ac:dyDescent="0.2">
      <c r="O1896" s="9" t="s">
        <v>15302</v>
      </c>
      <c r="P1896" s="169" t="s">
        <v>15303</v>
      </c>
      <c r="Q1896" s="9">
        <v>208.92</v>
      </c>
    </row>
    <row r="1897" spans="15:17" x14ac:dyDescent="0.2">
      <c r="O1897" s="9">
        <v>401020</v>
      </c>
      <c r="P1897" s="169" t="s">
        <v>2319</v>
      </c>
      <c r="Q1897" s="9">
        <v>174.06</v>
      </c>
    </row>
    <row r="1898" spans="15:17" x14ac:dyDescent="0.2">
      <c r="O1898" s="9" t="s">
        <v>15304</v>
      </c>
      <c r="P1898" s="169" t="s">
        <v>15305</v>
      </c>
      <c r="Q1898" s="9">
        <v>217.72</v>
      </c>
    </row>
    <row r="1899" spans="15:17" x14ac:dyDescent="0.2">
      <c r="O1899" s="9">
        <v>401021</v>
      </c>
      <c r="P1899" s="169" t="s">
        <v>2322</v>
      </c>
      <c r="Q1899" s="9">
        <v>169.38</v>
      </c>
    </row>
    <row r="1900" spans="15:17" x14ac:dyDescent="0.2">
      <c r="O1900" s="9">
        <v>401022</v>
      </c>
      <c r="P1900" s="169" t="s">
        <v>2325</v>
      </c>
      <c r="Q1900" s="9">
        <v>190.76</v>
      </c>
    </row>
    <row r="1901" spans="15:17" x14ac:dyDescent="0.2">
      <c r="O1901" s="9" t="s">
        <v>15306</v>
      </c>
      <c r="P1901" s="169" t="s">
        <v>15307</v>
      </c>
      <c r="Q1901" s="9">
        <v>190.76</v>
      </c>
    </row>
    <row r="1902" spans="15:17" x14ac:dyDescent="0.2">
      <c r="O1902" s="9" t="s">
        <v>15308</v>
      </c>
      <c r="P1902" s="169" t="s">
        <v>15309</v>
      </c>
      <c r="Q1902" s="9">
        <v>231.18</v>
      </c>
    </row>
    <row r="1903" spans="15:17" x14ac:dyDescent="0.2">
      <c r="O1903" s="9" t="s">
        <v>2327</v>
      </c>
      <c r="P1903" s="169" t="s">
        <v>2328</v>
      </c>
      <c r="Q1903" s="9">
        <v>274.43</v>
      </c>
    </row>
    <row r="1904" spans="15:17" x14ac:dyDescent="0.2">
      <c r="O1904" s="9">
        <v>401024</v>
      </c>
      <c r="P1904" s="169" t="s">
        <v>2331</v>
      </c>
      <c r="Q1904" s="9">
        <v>238.45</v>
      </c>
    </row>
    <row r="1905" spans="15:17" x14ac:dyDescent="0.2">
      <c r="O1905" s="9" t="s">
        <v>15310</v>
      </c>
      <c r="P1905" s="169" t="s">
        <v>15311</v>
      </c>
      <c r="Q1905" s="9">
        <v>244</v>
      </c>
    </row>
    <row r="1906" spans="15:17" x14ac:dyDescent="0.2">
      <c r="O1906" s="9">
        <v>401025</v>
      </c>
      <c r="P1906" s="169" t="s">
        <v>2334</v>
      </c>
      <c r="Q1906" s="9">
        <v>262.3</v>
      </c>
    </row>
    <row r="1907" spans="15:17" x14ac:dyDescent="0.2">
      <c r="O1907" s="9" t="s">
        <v>15312</v>
      </c>
      <c r="P1907" s="169" t="s">
        <v>15313</v>
      </c>
      <c r="Q1907" s="9">
        <v>327.06</v>
      </c>
    </row>
    <row r="1908" spans="15:17" x14ac:dyDescent="0.2">
      <c r="O1908" s="9">
        <v>401026</v>
      </c>
      <c r="P1908" s="169" t="s">
        <v>15314</v>
      </c>
      <c r="Q1908" s="9">
        <v>266.99</v>
      </c>
    </row>
    <row r="1909" spans="15:17" x14ac:dyDescent="0.2">
      <c r="O1909" s="9" t="s">
        <v>2336</v>
      </c>
      <c r="P1909" s="169" t="s">
        <v>2337</v>
      </c>
      <c r="Q1909" s="9">
        <v>321.08</v>
      </c>
    </row>
    <row r="1910" spans="15:17" x14ac:dyDescent="0.2">
      <c r="O1910" s="9">
        <v>401027</v>
      </c>
      <c r="P1910" s="169" t="s">
        <v>2340</v>
      </c>
      <c r="Q1910" s="9">
        <v>251.57</v>
      </c>
    </row>
    <row r="1911" spans="15:17" x14ac:dyDescent="0.2">
      <c r="O1911" s="9">
        <v>401028</v>
      </c>
      <c r="P1911" s="169" t="s">
        <v>15315</v>
      </c>
      <c r="Q1911" s="9">
        <v>251.57</v>
      </c>
    </row>
    <row r="1912" spans="15:17" x14ac:dyDescent="0.2">
      <c r="O1912" s="9" t="s">
        <v>15316</v>
      </c>
      <c r="P1912" s="169" t="s">
        <v>2343</v>
      </c>
      <c r="Q1912" s="9">
        <v>344.2</v>
      </c>
    </row>
    <row r="1913" spans="15:17" x14ac:dyDescent="0.2">
      <c r="O1913" s="9">
        <v>401029</v>
      </c>
      <c r="P1913" s="169" t="s">
        <v>2346</v>
      </c>
      <c r="Q1913" s="9">
        <v>291.13</v>
      </c>
    </row>
    <row r="1914" spans="15:17" x14ac:dyDescent="0.2">
      <c r="O1914" s="9" t="s">
        <v>2348</v>
      </c>
      <c r="P1914" s="169" t="s">
        <v>15317</v>
      </c>
      <c r="Q1914" s="9">
        <v>288</v>
      </c>
    </row>
    <row r="1915" spans="15:17" x14ac:dyDescent="0.2">
      <c r="O1915" s="9">
        <v>401031</v>
      </c>
      <c r="P1915" s="169" t="s">
        <v>2352</v>
      </c>
      <c r="Q1915" s="9">
        <v>329.42</v>
      </c>
    </row>
    <row r="1916" spans="15:17" x14ac:dyDescent="0.2">
      <c r="O1916" s="9" t="s">
        <v>15318</v>
      </c>
      <c r="P1916" s="169" t="s">
        <v>2355</v>
      </c>
      <c r="Q1916" s="9">
        <v>423.92</v>
      </c>
    </row>
    <row r="1917" spans="15:17" x14ac:dyDescent="0.2">
      <c r="O1917" s="9">
        <v>401033</v>
      </c>
      <c r="P1917" s="169" t="s">
        <v>2358</v>
      </c>
      <c r="Q1917" s="9">
        <v>381.95</v>
      </c>
    </row>
    <row r="1918" spans="15:17" x14ac:dyDescent="0.2">
      <c r="O1918" s="9">
        <v>401034</v>
      </c>
      <c r="P1918" s="169" t="s">
        <v>2361</v>
      </c>
      <c r="Q1918" s="9">
        <v>365.21</v>
      </c>
    </row>
    <row r="1919" spans="15:17" x14ac:dyDescent="0.2">
      <c r="O1919" s="9" t="s">
        <v>2363</v>
      </c>
      <c r="P1919" s="169" t="s">
        <v>15319</v>
      </c>
      <c r="Q1919" s="9">
        <v>469</v>
      </c>
    </row>
    <row r="1920" spans="15:17" x14ac:dyDescent="0.2">
      <c r="O1920" s="9">
        <v>401036</v>
      </c>
      <c r="P1920" s="169" t="s">
        <v>2367</v>
      </c>
      <c r="Q1920" s="9">
        <v>470.26</v>
      </c>
    </row>
    <row r="1921" spans="15:17" x14ac:dyDescent="0.2">
      <c r="O1921" s="9" t="s">
        <v>15320</v>
      </c>
      <c r="P1921" s="169" t="s">
        <v>15321</v>
      </c>
      <c r="Q1921" s="9">
        <v>488</v>
      </c>
    </row>
    <row r="1922" spans="15:17" x14ac:dyDescent="0.2">
      <c r="O1922" s="9">
        <v>401037</v>
      </c>
      <c r="P1922" s="169" t="s">
        <v>2370</v>
      </c>
      <c r="Q1922" s="9">
        <v>436.97</v>
      </c>
    </row>
    <row r="1923" spans="15:17" x14ac:dyDescent="0.2">
      <c r="O1923" s="9">
        <v>401038</v>
      </c>
      <c r="P1923" s="169" t="s">
        <v>2373</v>
      </c>
      <c r="Q1923" s="9">
        <v>458.64</v>
      </c>
    </row>
    <row r="1924" spans="15:17" x14ac:dyDescent="0.2">
      <c r="O1924" s="9" t="s">
        <v>15322</v>
      </c>
      <c r="P1924" s="169" t="s">
        <v>15323</v>
      </c>
      <c r="Q1924" s="9">
        <v>944.52</v>
      </c>
    </row>
    <row r="1925" spans="15:17" x14ac:dyDescent="0.2">
      <c r="O1925" s="9">
        <v>401039</v>
      </c>
      <c r="P1925" s="169" t="s">
        <v>2376</v>
      </c>
      <c r="Q1925" s="9">
        <v>479.27</v>
      </c>
    </row>
    <row r="1926" spans="15:17" x14ac:dyDescent="0.2">
      <c r="O1926" s="9">
        <v>401040</v>
      </c>
      <c r="P1926" s="169" t="s">
        <v>2379</v>
      </c>
      <c r="Q1926" s="9">
        <v>524.16</v>
      </c>
    </row>
    <row r="1927" spans="15:17" x14ac:dyDescent="0.2">
      <c r="O1927" s="9" t="s">
        <v>15324</v>
      </c>
      <c r="P1927" s="169" t="s">
        <v>15325</v>
      </c>
      <c r="Q1927" s="9">
        <v>552</v>
      </c>
    </row>
    <row r="1928" spans="15:17" x14ac:dyDescent="0.2">
      <c r="O1928" s="9">
        <v>401041</v>
      </c>
      <c r="P1928" s="169" t="s">
        <v>2382</v>
      </c>
      <c r="Q1928" s="9">
        <v>592.54</v>
      </c>
    </row>
    <row r="1929" spans="15:17" x14ac:dyDescent="0.2">
      <c r="O1929" s="9">
        <v>401042</v>
      </c>
      <c r="P1929" s="169" t="s">
        <v>2385</v>
      </c>
      <c r="Q1929" s="9">
        <v>600.6</v>
      </c>
    </row>
    <row r="1930" spans="15:17" x14ac:dyDescent="0.2">
      <c r="O1930" s="9">
        <v>401043</v>
      </c>
      <c r="P1930" s="169" t="s">
        <v>2388</v>
      </c>
      <c r="Q1930" s="9">
        <v>631.88</v>
      </c>
    </row>
    <row r="1931" spans="15:17" x14ac:dyDescent="0.2">
      <c r="O1931" s="9">
        <v>401044</v>
      </c>
      <c r="P1931" s="169" t="s">
        <v>15326</v>
      </c>
      <c r="Q1931" s="9">
        <v>633.36</v>
      </c>
    </row>
    <row r="1932" spans="15:17" x14ac:dyDescent="0.2">
      <c r="O1932" s="9">
        <v>401045</v>
      </c>
      <c r="P1932" s="169" t="s">
        <v>2394</v>
      </c>
      <c r="Q1932" s="9">
        <v>628.99</v>
      </c>
    </row>
    <row r="1933" spans="15:17" x14ac:dyDescent="0.2">
      <c r="O1933" s="9">
        <v>401046</v>
      </c>
      <c r="P1933" s="169" t="s">
        <v>2397</v>
      </c>
      <c r="Q1933" s="9">
        <v>657.38</v>
      </c>
    </row>
    <row r="1934" spans="15:17" x14ac:dyDescent="0.2">
      <c r="O1934" s="9">
        <v>401047</v>
      </c>
      <c r="P1934" s="169" t="s">
        <v>2400</v>
      </c>
      <c r="Q1934" s="9">
        <v>644.28</v>
      </c>
    </row>
    <row r="1935" spans="15:17" x14ac:dyDescent="0.2">
      <c r="O1935" s="9">
        <v>401048</v>
      </c>
      <c r="P1935" s="169" t="s">
        <v>2403</v>
      </c>
      <c r="Q1935" s="9">
        <v>747.54</v>
      </c>
    </row>
    <row r="1936" spans="15:17" x14ac:dyDescent="0.2">
      <c r="O1936" s="9">
        <v>401050</v>
      </c>
      <c r="P1936" s="169" t="s">
        <v>2406</v>
      </c>
      <c r="Q1936" s="9">
        <v>740.38</v>
      </c>
    </row>
    <row r="1937" spans="15:17" x14ac:dyDescent="0.2">
      <c r="O1937" s="9">
        <v>401051</v>
      </c>
      <c r="P1937" s="169" t="s">
        <v>2409</v>
      </c>
      <c r="Q1937" s="9">
        <v>823.13</v>
      </c>
    </row>
    <row r="1938" spans="15:17" x14ac:dyDescent="0.2">
      <c r="O1938" s="9">
        <v>401052</v>
      </c>
      <c r="P1938" s="169" t="s">
        <v>2412</v>
      </c>
      <c r="Q1938" s="9">
        <v>746.93</v>
      </c>
    </row>
    <row r="1939" spans="15:17" x14ac:dyDescent="0.2">
      <c r="O1939" s="9">
        <v>401053</v>
      </c>
      <c r="P1939" s="169" t="s">
        <v>2415</v>
      </c>
      <c r="Q1939" s="9">
        <v>902.52</v>
      </c>
    </row>
    <row r="1940" spans="15:17" x14ac:dyDescent="0.2">
      <c r="O1940" s="9">
        <v>401054</v>
      </c>
      <c r="P1940" s="169" t="s">
        <v>2418</v>
      </c>
      <c r="Q1940" s="9">
        <v>902.52</v>
      </c>
    </row>
    <row r="1941" spans="15:17" x14ac:dyDescent="0.2">
      <c r="O1941" s="9">
        <v>401055</v>
      </c>
      <c r="P1941" s="169" t="s">
        <v>2421</v>
      </c>
      <c r="Q1941" s="9">
        <v>864.39</v>
      </c>
    </row>
    <row r="1942" spans="15:17" x14ac:dyDescent="0.2">
      <c r="O1942" s="9">
        <v>401056</v>
      </c>
      <c r="P1942" s="169" t="s">
        <v>2424</v>
      </c>
      <c r="Q1942" s="9">
        <v>982.4</v>
      </c>
    </row>
    <row r="1943" spans="15:17" x14ac:dyDescent="0.2">
      <c r="O1943" s="9">
        <v>401057</v>
      </c>
      <c r="P1943" s="169" t="s">
        <v>2427</v>
      </c>
      <c r="Q1943" s="9">
        <v>982.4</v>
      </c>
    </row>
    <row r="1944" spans="15:17" x14ac:dyDescent="0.2">
      <c r="O1944" s="9">
        <v>401058</v>
      </c>
      <c r="P1944" s="169" t="s">
        <v>2430</v>
      </c>
      <c r="Q1944" s="9">
        <v>1306.5899999999999</v>
      </c>
    </row>
    <row r="1945" spans="15:17" x14ac:dyDescent="0.2">
      <c r="O1945" s="9" t="s">
        <v>15327</v>
      </c>
      <c r="P1945" s="169" t="s">
        <v>15328</v>
      </c>
      <c r="Q1945" s="9">
        <v>1893</v>
      </c>
    </row>
    <row r="1946" spans="15:17" x14ac:dyDescent="0.2">
      <c r="O1946" s="9">
        <v>401060</v>
      </c>
      <c r="P1946" s="169" t="s">
        <v>2433</v>
      </c>
      <c r="Q1946" s="9">
        <v>1113.8399999999999</v>
      </c>
    </row>
    <row r="1947" spans="15:17" x14ac:dyDescent="0.2">
      <c r="O1947" s="9">
        <v>401062</v>
      </c>
      <c r="P1947" s="169" t="s">
        <v>2436</v>
      </c>
      <c r="Q1947" s="9">
        <v>1113.8399999999999</v>
      </c>
    </row>
    <row r="1948" spans="15:17" x14ac:dyDescent="0.2">
      <c r="O1948" s="9">
        <v>401063</v>
      </c>
      <c r="P1948" s="169" t="s">
        <v>2439</v>
      </c>
      <c r="Q1948" s="9">
        <v>1318.2</v>
      </c>
    </row>
    <row r="1949" spans="15:17" x14ac:dyDescent="0.2">
      <c r="O1949" s="9">
        <v>401065</v>
      </c>
      <c r="P1949" s="169" t="s">
        <v>2442</v>
      </c>
      <c r="Q1949" s="9">
        <v>1318.2</v>
      </c>
    </row>
    <row r="1950" spans="15:17" x14ac:dyDescent="0.2">
      <c r="O1950" s="9">
        <v>401067</v>
      </c>
      <c r="P1950" s="169" t="s">
        <v>2445</v>
      </c>
      <c r="Q1950" s="9">
        <v>1481.57</v>
      </c>
    </row>
    <row r="1951" spans="15:17" x14ac:dyDescent="0.2">
      <c r="O1951" s="9">
        <v>401068</v>
      </c>
      <c r="P1951" s="169" t="s">
        <v>2448</v>
      </c>
      <c r="Q1951" s="9">
        <v>1571.38</v>
      </c>
    </row>
    <row r="1952" spans="15:17" x14ac:dyDescent="0.2">
      <c r="O1952" s="9">
        <v>401070</v>
      </c>
      <c r="P1952" s="169" t="s">
        <v>2451</v>
      </c>
      <c r="Q1952" s="9">
        <v>1571.38</v>
      </c>
    </row>
    <row r="1953" spans="15:17" x14ac:dyDescent="0.2">
      <c r="O1953" s="9">
        <v>401072</v>
      </c>
      <c r="P1953" s="169" t="s">
        <v>2454</v>
      </c>
      <c r="Q1953" s="9">
        <v>1550.64</v>
      </c>
    </row>
    <row r="1954" spans="15:17" x14ac:dyDescent="0.2">
      <c r="O1954" s="9">
        <v>401075</v>
      </c>
      <c r="P1954" s="169" t="s">
        <v>2457</v>
      </c>
      <c r="Q1954" s="9">
        <v>1565.16</v>
      </c>
    </row>
    <row r="1955" spans="15:17" x14ac:dyDescent="0.2">
      <c r="O1955" s="9">
        <v>401077</v>
      </c>
      <c r="P1955" s="169" t="s">
        <v>15329</v>
      </c>
      <c r="Q1955" s="9">
        <v>1770.18</v>
      </c>
    </row>
    <row r="1956" spans="15:17" x14ac:dyDescent="0.2">
      <c r="O1956" s="9">
        <v>401080</v>
      </c>
      <c r="P1956" s="169" t="s">
        <v>2460</v>
      </c>
      <c r="Q1956" s="9">
        <v>1736.28</v>
      </c>
    </row>
    <row r="1957" spans="15:17" x14ac:dyDescent="0.2">
      <c r="O1957" s="9">
        <v>401082</v>
      </c>
      <c r="P1957" s="169" t="s">
        <v>2463</v>
      </c>
      <c r="Q1957" s="9">
        <v>1824.13</v>
      </c>
    </row>
    <row r="1958" spans="15:17" x14ac:dyDescent="0.2">
      <c r="O1958" s="9">
        <v>401085</v>
      </c>
      <c r="P1958" s="169" t="s">
        <v>2466</v>
      </c>
      <c r="Q1958" s="9">
        <v>2138.2600000000002</v>
      </c>
    </row>
    <row r="1959" spans="15:17" x14ac:dyDescent="0.2">
      <c r="O1959" s="9">
        <v>401087</v>
      </c>
      <c r="P1959" s="169" t="s">
        <v>2469</v>
      </c>
      <c r="Q1959" s="9">
        <v>2473.02</v>
      </c>
    </row>
    <row r="1960" spans="15:17" x14ac:dyDescent="0.2">
      <c r="O1960" s="9">
        <v>401092</v>
      </c>
      <c r="P1960" s="169" t="s">
        <v>15330</v>
      </c>
      <c r="Q1960" s="9">
        <v>2473.02</v>
      </c>
    </row>
    <row r="1961" spans="15:17" x14ac:dyDescent="0.2">
      <c r="O1961" s="9">
        <v>401095</v>
      </c>
      <c r="P1961" s="169" t="s">
        <v>2472</v>
      </c>
      <c r="Q1961" s="9">
        <v>2473.02</v>
      </c>
    </row>
    <row r="1962" spans="15:17" x14ac:dyDescent="0.2">
      <c r="O1962" s="9">
        <v>401097</v>
      </c>
      <c r="P1962" s="169" t="s">
        <v>15331</v>
      </c>
      <c r="Q1962" s="9">
        <v>2966.66</v>
      </c>
    </row>
    <row r="1963" spans="15:17" x14ac:dyDescent="0.2">
      <c r="O1963" s="9">
        <v>401100</v>
      </c>
      <c r="P1963" s="169" t="s">
        <v>2475</v>
      </c>
      <c r="Q1963" s="9">
        <v>2841.69</v>
      </c>
    </row>
    <row r="1964" spans="15:17" x14ac:dyDescent="0.2">
      <c r="O1964" s="9">
        <v>401102</v>
      </c>
      <c r="P1964" s="169" t="s">
        <v>15332</v>
      </c>
      <c r="Q1964" s="9">
        <v>5426.14</v>
      </c>
    </row>
    <row r="1965" spans="15:17" x14ac:dyDescent="0.2">
      <c r="O1965" s="9">
        <v>401105</v>
      </c>
      <c r="P1965" s="169" t="s">
        <v>2478</v>
      </c>
      <c r="Q1965" s="9">
        <v>5045.97</v>
      </c>
    </row>
    <row r="1966" spans="15:17" x14ac:dyDescent="0.2">
      <c r="O1966" s="9">
        <v>401107</v>
      </c>
      <c r="P1966" s="169" t="s">
        <v>15333</v>
      </c>
      <c r="Q1966" s="9">
        <v>5900.96</v>
      </c>
    </row>
    <row r="1967" spans="15:17" x14ac:dyDescent="0.2">
      <c r="O1967" s="9">
        <v>401110</v>
      </c>
      <c r="P1967" s="169" t="s">
        <v>15334</v>
      </c>
      <c r="Q1967" s="9">
        <v>5426.14</v>
      </c>
    </row>
    <row r="1968" spans="15:17" x14ac:dyDescent="0.2">
      <c r="O1968" s="9">
        <v>401112</v>
      </c>
      <c r="P1968" s="169" t="s">
        <v>15335</v>
      </c>
      <c r="Q1968" s="9">
        <v>6090.9</v>
      </c>
    </row>
    <row r="1969" spans="15:17" x14ac:dyDescent="0.2">
      <c r="O1969" s="9">
        <v>401115</v>
      </c>
      <c r="P1969" s="169" t="s">
        <v>15336</v>
      </c>
      <c r="Q1969" s="9">
        <v>5900.33</v>
      </c>
    </row>
    <row r="1970" spans="15:17" x14ac:dyDescent="0.2">
      <c r="O1970" s="9">
        <v>401117</v>
      </c>
      <c r="P1970" s="169" t="s">
        <v>15337</v>
      </c>
      <c r="Q1970" s="9">
        <v>6544.22</v>
      </c>
    </row>
    <row r="1971" spans="15:17" x14ac:dyDescent="0.2">
      <c r="O1971" s="9">
        <v>401120</v>
      </c>
      <c r="P1971" s="169" t="s">
        <v>15338</v>
      </c>
      <c r="Q1971" s="9">
        <v>6069.08</v>
      </c>
    </row>
    <row r="1972" spans="15:17" x14ac:dyDescent="0.2">
      <c r="O1972" s="9">
        <v>401122</v>
      </c>
      <c r="P1972" s="169" t="s">
        <v>15339</v>
      </c>
      <c r="Q1972" s="9">
        <v>7019.04</v>
      </c>
    </row>
    <row r="1973" spans="15:17" x14ac:dyDescent="0.2">
      <c r="O1973" s="9">
        <v>401125</v>
      </c>
      <c r="P1973" s="169" t="s">
        <v>15340</v>
      </c>
      <c r="Q1973" s="9">
        <v>6544.22</v>
      </c>
    </row>
    <row r="1974" spans="15:17" x14ac:dyDescent="0.2">
      <c r="O1974" s="9">
        <v>401127</v>
      </c>
      <c r="P1974" s="169" t="s">
        <v>15341</v>
      </c>
      <c r="Q1974" s="9">
        <v>7467.55</v>
      </c>
    </row>
    <row r="1975" spans="15:17" x14ac:dyDescent="0.2">
      <c r="O1975" s="9">
        <v>401130</v>
      </c>
      <c r="P1975" s="169" t="s">
        <v>15342</v>
      </c>
      <c r="Q1975" s="9">
        <v>7019.04</v>
      </c>
    </row>
    <row r="1976" spans="15:17" x14ac:dyDescent="0.2">
      <c r="O1976" s="9">
        <v>401132</v>
      </c>
      <c r="P1976" s="169" t="s">
        <v>15343</v>
      </c>
      <c r="Q1976" s="9">
        <v>8421.7000000000007</v>
      </c>
    </row>
    <row r="1977" spans="15:17" x14ac:dyDescent="0.2">
      <c r="O1977" s="9">
        <v>401135</v>
      </c>
      <c r="P1977" s="169" t="s">
        <v>15344</v>
      </c>
      <c r="Q1977" s="9">
        <v>7657.79</v>
      </c>
    </row>
    <row r="1978" spans="15:17" x14ac:dyDescent="0.2">
      <c r="O1978" s="9">
        <v>401137</v>
      </c>
      <c r="P1978" s="169" t="s">
        <v>15345</v>
      </c>
      <c r="Q1978" s="9">
        <v>9349.86</v>
      </c>
    </row>
    <row r="1979" spans="15:17" x14ac:dyDescent="0.2">
      <c r="O1979" s="9">
        <v>401140</v>
      </c>
      <c r="P1979" s="169" t="s">
        <v>15346</v>
      </c>
      <c r="Q1979" s="9">
        <v>7946.88</v>
      </c>
    </row>
    <row r="1980" spans="15:17" x14ac:dyDescent="0.2">
      <c r="O1980" s="9">
        <v>401142</v>
      </c>
      <c r="P1980" s="169" t="s">
        <v>15347</v>
      </c>
      <c r="Q1980" s="9">
        <v>10549.1</v>
      </c>
    </row>
    <row r="1981" spans="15:17" x14ac:dyDescent="0.2">
      <c r="O1981" s="9">
        <v>401145</v>
      </c>
      <c r="P1981" s="169" t="s">
        <v>15348</v>
      </c>
      <c r="Q1981" s="9">
        <v>8875.0400000000009</v>
      </c>
    </row>
    <row r="1982" spans="15:17" x14ac:dyDescent="0.2">
      <c r="O1982" s="9">
        <v>401147</v>
      </c>
      <c r="P1982" s="169" t="s">
        <v>15349</v>
      </c>
      <c r="Q1982" s="9">
        <v>11360.48</v>
      </c>
    </row>
    <row r="1983" spans="15:17" x14ac:dyDescent="0.2">
      <c r="O1983" s="9">
        <v>401150</v>
      </c>
      <c r="P1983" s="169" t="s">
        <v>15350</v>
      </c>
      <c r="Q1983" s="9">
        <v>9302.7099999999991</v>
      </c>
    </row>
    <row r="1984" spans="15:17" x14ac:dyDescent="0.2">
      <c r="O1984" s="9">
        <v>401155</v>
      </c>
      <c r="P1984" s="169" t="s">
        <v>15351</v>
      </c>
      <c r="Q1984" s="9">
        <v>11108.49</v>
      </c>
    </row>
    <row r="1985" spans="15:17" x14ac:dyDescent="0.2">
      <c r="O1985" s="9">
        <v>401160</v>
      </c>
      <c r="P1985" s="169" t="s">
        <v>15352</v>
      </c>
      <c r="Q1985" s="9">
        <v>11330.3</v>
      </c>
    </row>
    <row r="1986" spans="15:17" x14ac:dyDescent="0.2">
      <c r="O1986" s="9">
        <v>401165</v>
      </c>
      <c r="P1986" s="169" t="s">
        <v>15353</v>
      </c>
      <c r="Q1986" s="9">
        <v>13508.05</v>
      </c>
    </row>
    <row r="1987" spans="15:17" x14ac:dyDescent="0.2">
      <c r="O1987" s="9">
        <v>401170</v>
      </c>
      <c r="P1987" s="169" t="s">
        <v>15354</v>
      </c>
      <c r="Q1987" s="9">
        <v>13809.34</v>
      </c>
    </row>
    <row r="1988" spans="15:17" x14ac:dyDescent="0.2">
      <c r="O1988" s="9">
        <v>401175</v>
      </c>
      <c r="P1988" s="169" t="s">
        <v>15355</v>
      </c>
      <c r="Q1988" s="9">
        <v>17005.68</v>
      </c>
    </row>
    <row r="1989" spans="15:17" x14ac:dyDescent="0.2">
      <c r="O1989" s="9">
        <v>401180</v>
      </c>
      <c r="P1989" s="169" t="s">
        <v>15356</v>
      </c>
      <c r="Q1989" s="9">
        <v>17184.669999999998</v>
      </c>
    </row>
    <row r="1990" spans="15:17" x14ac:dyDescent="0.2">
      <c r="O1990" s="9">
        <v>401185</v>
      </c>
      <c r="P1990" s="169" t="s">
        <v>15357</v>
      </c>
      <c r="Q1990" s="9">
        <v>19755.2</v>
      </c>
    </row>
    <row r="1991" spans="15:17" x14ac:dyDescent="0.2">
      <c r="O1991" s="9">
        <v>401190</v>
      </c>
      <c r="P1991" s="169" t="s">
        <v>15358</v>
      </c>
      <c r="Q1991" s="9">
        <v>18330.32</v>
      </c>
    </row>
    <row r="1992" spans="15:17" x14ac:dyDescent="0.2">
      <c r="O1992" s="9">
        <v>401195</v>
      </c>
      <c r="P1992" s="169" t="s">
        <v>15359</v>
      </c>
      <c r="Q1992" s="9">
        <v>21371.26</v>
      </c>
    </row>
    <row r="1993" spans="15:17" x14ac:dyDescent="0.2">
      <c r="O1993" s="9">
        <v>401200</v>
      </c>
      <c r="P1993" s="169" t="s">
        <v>15360</v>
      </c>
      <c r="Q1993" s="9">
        <v>20150.28</v>
      </c>
    </row>
    <row r="1994" spans="15:17" x14ac:dyDescent="0.2">
      <c r="O1994" s="9">
        <v>401205</v>
      </c>
      <c r="P1994" s="169" t="s">
        <v>15361</v>
      </c>
      <c r="Q1994" s="9">
        <v>56007.91</v>
      </c>
    </row>
    <row r="1995" spans="15:17" x14ac:dyDescent="0.2">
      <c r="O1995" s="9">
        <v>401210</v>
      </c>
      <c r="P1995" s="169" t="s">
        <v>15362</v>
      </c>
      <c r="Q1995" s="9">
        <v>55859.98</v>
      </c>
    </row>
    <row r="1996" spans="15:17" x14ac:dyDescent="0.2">
      <c r="O1996" s="9">
        <v>401215</v>
      </c>
      <c r="P1996" s="169" t="s">
        <v>15363</v>
      </c>
      <c r="Q1996" s="9">
        <v>56990.16</v>
      </c>
    </row>
    <row r="1997" spans="15:17" x14ac:dyDescent="0.2">
      <c r="O1997" s="9">
        <v>401220</v>
      </c>
      <c r="P1997" s="169" t="s">
        <v>15364</v>
      </c>
      <c r="Q1997" s="9">
        <v>51332.800000000003</v>
      </c>
    </row>
    <row r="1998" spans="15:17" x14ac:dyDescent="0.2">
      <c r="O1998" s="9">
        <v>401225</v>
      </c>
      <c r="P1998" s="169" t="s">
        <v>15365</v>
      </c>
      <c r="Q1998" s="9">
        <v>65840.100000000006</v>
      </c>
    </row>
    <row r="1999" spans="15:17" x14ac:dyDescent="0.2">
      <c r="O1999" s="9">
        <v>401230</v>
      </c>
      <c r="P1999" s="169" t="s">
        <v>15366</v>
      </c>
      <c r="Q1999" s="9">
        <v>56595.91</v>
      </c>
    </row>
    <row r="2000" spans="15:17" x14ac:dyDescent="0.2">
      <c r="O2000" s="9">
        <v>401235</v>
      </c>
      <c r="P2000" s="169" t="s">
        <v>15367</v>
      </c>
      <c r="Q2000" s="9">
        <v>78893.279999999999</v>
      </c>
    </row>
    <row r="2001" spans="15:17" x14ac:dyDescent="0.2">
      <c r="O2001" s="9">
        <v>401240</v>
      </c>
      <c r="P2001" s="169" t="s">
        <v>15368</v>
      </c>
      <c r="Q2001" s="9">
        <v>67574.09</v>
      </c>
    </row>
    <row r="2002" spans="15:17" x14ac:dyDescent="0.2">
      <c r="O2002" s="9">
        <v>401245</v>
      </c>
      <c r="P2002" s="169" t="s">
        <v>15369</v>
      </c>
      <c r="Q2002" s="9">
        <v>79090</v>
      </c>
    </row>
    <row r="2003" spans="15:17" x14ac:dyDescent="0.2">
      <c r="O2003" s="9">
        <v>401250</v>
      </c>
      <c r="P2003" s="169" t="s">
        <v>15370</v>
      </c>
      <c r="Q2003" s="9">
        <v>71887.64</v>
      </c>
    </row>
    <row r="2004" spans="15:17" x14ac:dyDescent="0.2">
      <c r="O2004" s="9">
        <v>401255</v>
      </c>
      <c r="P2004" s="169" t="s">
        <v>15371</v>
      </c>
      <c r="Q2004" s="9">
        <v>93088.15</v>
      </c>
    </row>
    <row r="2005" spans="15:17" x14ac:dyDescent="0.2">
      <c r="O2005" s="9">
        <v>401260</v>
      </c>
      <c r="P2005" s="169" t="s">
        <v>15372</v>
      </c>
      <c r="Q2005" s="9">
        <v>90041.96</v>
      </c>
    </row>
    <row r="2006" spans="15:17" x14ac:dyDescent="0.2">
      <c r="O2006" s="9">
        <v>401265</v>
      </c>
      <c r="P2006" s="169" t="s">
        <v>15373</v>
      </c>
      <c r="Q2006" s="9">
        <v>111669.29</v>
      </c>
    </row>
    <row r="2007" spans="15:17" x14ac:dyDescent="0.2">
      <c r="O2007" s="9">
        <v>401270</v>
      </c>
      <c r="P2007" s="169" t="s">
        <v>15374</v>
      </c>
      <c r="Q2007" s="9">
        <v>94939.72</v>
      </c>
    </row>
    <row r="2008" spans="15:17" x14ac:dyDescent="0.2">
      <c r="O2008" s="9">
        <v>401275</v>
      </c>
      <c r="P2008" s="169" t="s">
        <v>15375</v>
      </c>
      <c r="Q2008" s="9">
        <v>114629.64</v>
      </c>
    </row>
    <row r="2009" spans="15:17" x14ac:dyDescent="0.2">
      <c r="O2009" s="9">
        <v>401280</v>
      </c>
      <c r="P2009" s="169" t="s">
        <v>15376</v>
      </c>
      <c r="Q2009" s="9">
        <v>88701.88</v>
      </c>
    </row>
    <row r="2010" spans="15:17" x14ac:dyDescent="0.2">
      <c r="O2010" s="9">
        <v>401285</v>
      </c>
      <c r="P2010" s="169" t="s">
        <v>15377</v>
      </c>
      <c r="Q2010" s="9">
        <v>132454.9</v>
      </c>
    </row>
    <row r="2011" spans="15:17" x14ac:dyDescent="0.2">
      <c r="O2011" s="9">
        <v>401290</v>
      </c>
      <c r="P2011" s="169" t="s">
        <v>15378</v>
      </c>
      <c r="Q2011" s="9">
        <v>101958.46</v>
      </c>
    </row>
    <row r="2012" spans="15:17" x14ac:dyDescent="0.2">
      <c r="O2012" s="9">
        <v>401295</v>
      </c>
      <c r="P2012" s="169" t="s">
        <v>15379</v>
      </c>
      <c r="Q2012" s="9">
        <v>117578.06</v>
      </c>
    </row>
    <row r="2013" spans="15:17" x14ac:dyDescent="0.2">
      <c r="O2013" s="9">
        <v>401300</v>
      </c>
      <c r="P2013" s="169" t="s">
        <v>15380</v>
      </c>
      <c r="Q2013" s="9">
        <v>118504.44</v>
      </c>
    </row>
    <row r="2014" spans="15:17" x14ac:dyDescent="0.2">
      <c r="O2014" s="9">
        <v>401310</v>
      </c>
      <c r="P2014" s="169" t="s">
        <v>15381</v>
      </c>
      <c r="Q2014" s="9">
        <v>282407.21999999997</v>
      </c>
    </row>
    <row r="2015" spans="15:17" x14ac:dyDescent="0.2">
      <c r="O2015" s="9">
        <v>401320</v>
      </c>
      <c r="P2015" s="169" t="s">
        <v>15382</v>
      </c>
      <c r="Q2015" s="9">
        <v>230684.03</v>
      </c>
    </row>
    <row r="2016" spans="15:17" x14ac:dyDescent="0.2">
      <c r="O2016" s="9">
        <v>401340</v>
      </c>
      <c r="P2016" s="169" t="s">
        <v>15383</v>
      </c>
      <c r="Q2016" s="9">
        <v>247973.97</v>
      </c>
    </row>
    <row r="2017" spans="15:17" x14ac:dyDescent="0.2">
      <c r="O2017" s="9">
        <v>401360</v>
      </c>
      <c r="P2017" s="169" t="s">
        <v>15384</v>
      </c>
      <c r="Q2017" s="9">
        <v>299879.58</v>
      </c>
    </row>
    <row r="2018" spans="15:17" x14ac:dyDescent="0.2">
      <c r="O2018" s="9">
        <v>40216</v>
      </c>
      <c r="P2018" s="169" t="s">
        <v>15385</v>
      </c>
      <c r="Q2018" s="9">
        <v>197.61</v>
      </c>
    </row>
    <row r="2019" spans="15:17" x14ac:dyDescent="0.2">
      <c r="O2019" s="9">
        <v>40217</v>
      </c>
      <c r="P2019" s="169" t="s">
        <v>15386</v>
      </c>
      <c r="Q2019" s="9">
        <v>197.61</v>
      </c>
    </row>
    <row r="2020" spans="15:17" x14ac:dyDescent="0.2">
      <c r="O2020" s="9">
        <v>40219</v>
      </c>
      <c r="P2020" s="169" t="s">
        <v>15387</v>
      </c>
      <c r="Q2020" s="9">
        <v>258.83999999999997</v>
      </c>
    </row>
    <row r="2021" spans="15:17" x14ac:dyDescent="0.2">
      <c r="O2021" s="9">
        <v>40220</v>
      </c>
      <c r="P2021" s="169" t="s">
        <v>15388</v>
      </c>
      <c r="Q2021" s="9">
        <v>282.02999999999997</v>
      </c>
    </row>
    <row r="2022" spans="15:17" x14ac:dyDescent="0.2">
      <c r="O2022" s="9">
        <v>40225</v>
      </c>
      <c r="P2022" s="169" t="s">
        <v>15389</v>
      </c>
      <c r="Q2022" s="9">
        <v>337.65</v>
      </c>
    </row>
    <row r="2023" spans="15:17" x14ac:dyDescent="0.2">
      <c r="O2023" s="9" t="s">
        <v>15390</v>
      </c>
      <c r="P2023" s="169" t="s">
        <v>15391</v>
      </c>
      <c r="Q2023" s="9">
        <v>299.45999999999998</v>
      </c>
    </row>
    <row r="2024" spans="15:17" x14ac:dyDescent="0.2">
      <c r="O2024" s="9">
        <v>40227</v>
      </c>
      <c r="P2024" s="169" t="s">
        <v>15392</v>
      </c>
      <c r="Q2024" s="9">
        <v>420.26</v>
      </c>
    </row>
    <row r="2025" spans="15:17" x14ac:dyDescent="0.2">
      <c r="O2025" s="9">
        <v>40228</v>
      </c>
      <c r="P2025" s="169" t="s">
        <v>15393</v>
      </c>
      <c r="Q2025" s="9">
        <v>465.4</v>
      </c>
    </row>
    <row r="2026" spans="15:17" x14ac:dyDescent="0.2">
      <c r="O2026" s="9">
        <v>40229</v>
      </c>
      <c r="P2026" s="169" t="s">
        <v>15394</v>
      </c>
      <c r="Q2026" s="9">
        <v>513.32000000000005</v>
      </c>
    </row>
    <row r="2027" spans="15:17" x14ac:dyDescent="0.2">
      <c r="O2027" s="9">
        <v>40230</v>
      </c>
      <c r="P2027" s="169" t="s">
        <v>15395</v>
      </c>
      <c r="Q2027" s="9">
        <v>513.32000000000005</v>
      </c>
    </row>
    <row r="2028" spans="15:17" x14ac:dyDescent="0.2">
      <c r="O2028" s="9">
        <v>40232</v>
      </c>
      <c r="P2028" s="169" t="s">
        <v>15396</v>
      </c>
      <c r="Q2028" s="9">
        <v>719.17</v>
      </c>
    </row>
    <row r="2029" spans="15:17" x14ac:dyDescent="0.2">
      <c r="O2029" s="9">
        <v>40235</v>
      </c>
      <c r="P2029" s="169" t="s">
        <v>15397</v>
      </c>
      <c r="Q2029" s="9">
        <v>874.3</v>
      </c>
    </row>
    <row r="2030" spans="15:17" x14ac:dyDescent="0.2">
      <c r="O2030" s="9">
        <v>40238</v>
      </c>
      <c r="P2030" s="169" t="s">
        <v>15398</v>
      </c>
      <c r="Q2030" s="9">
        <v>934.06</v>
      </c>
    </row>
    <row r="2031" spans="15:17" x14ac:dyDescent="0.2">
      <c r="O2031" s="9">
        <v>40240</v>
      </c>
      <c r="P2031" s="169" t="s">
        <v>15399</v>
      </c>
      <c r="Q2031" s="9">
        <v>961.67</v>
      </c>
    </row>
    <row r="2032" spans="15:17" x14ac:dyDescent="0.2">
      <c r="O2032" s="9">
        <v>40245</v>
      </c>
      <c r="P2032" s="169" t="s">
        <v>15400</v>
      </c>
      <c r="Q2032" s="9">
        <v>1193.05</v>
      </c>
    </row>
    <row r="2033" spans="15:17" x14ac:dyDescent="0.2">
      <c r="O2033" s="9">
        <v>40248</v>
      </c>
      <c r="P2033" s="169" t="s">
        <v>15401</v>
      </c>
      <c r="Q2033" s="9">
        <v>1392.66</v>
      </c>
    </row>
    <row r="2034" spans="15:17" x14ac:dyDescent="0.2">
      <c r="O2034" s="9">
        <v>40265</v>
      </c>
      <c r="P2034" s="169" t="s">
        <v>15402</v>
      </c>
      <c r="Q2034" s="9">
        <v>4549.33</v>
      </c>
    </row>
    <row r="2035" spans="15:17" x14ac:dyDescent="0.2">
      <c r="O2035" s="9">
        <v>40270</v>
      </c>
      <c r="P2035" s="169" t="s">
        <v>15403</v>
      </c>
      <c r="Q2035" s="9">
        <v>4695.9399999999996</v>
      </c>
    </row>
    <row r="2036" spans="15:17" x14ac:dyDescent="0.2">
      <c r="O2036" s="9">
        <v>40275</v>
      </c>
      <c r="P2036" s="169" t="s">
        <v>15404</v>
      </c>
      <c r="Q2036" s="9">
        <v>5002.2299999999996</v>
      </c>
    </row>
    <row r="2037" spans="15:17" x14ac:dyDescent="0.2">
      <c r="O2037" s="9">
        <v>403004</v>
      </c>
      <c r="P2037" s="169" t="s">
        <v>2099</v>
      </c>
      <c r="Q2037" s="9">
        <v>27.26</v>
      </c>
    </row>
    <row r="2038" spans="15:17" x14ac:dyDescent="0.2">
      <c r="O2038" s="9">
        <v>403005</v>
      </c>
      <c r="P2038" s="169" t="s">
        <v>2102</v>
      </c>
      <c r="Q2038" s="9">
        <v>27.26</v>
      </c>
    </row>
    <row r="2039" spans="15:17" x14ac:dyDescent="0.2">
      <c r="O2039" s="9">
        <v>403006</v>
      </c>
      <c r="P2039" s="169" t="s">
        <v>2105</v>
      </c>
      <c r="Q2039" s="9">
        <v>36.47</v>
      </c>
    </row>
    <row r="2040" spans="15:17" x14ac:dyDescent="0.2">
      <c r="O2040" s="9">
        <v>403007</v>
      </c>
      <c r="P2040" s="169" t="s">
        <v>2108</v>
      </c>
      <c r="Q2040" s="9">
        <v>45.42</v>
      </c>
    </row>
    <row r="2041" spans="15:17" x14ac:dyDescent="0.2">
      <c r="O2041" s="9" t="s">
        <v>2110</v>
      </c>
      <c r="P2041" s="169" t="s">
        <v>15405</v>
      </c>
      <c r="Q2041" s="9">
        <v>51.4</v>
      </c>
    </row>
    <row r="2042" spans="15:17" x14ac:dyDescent="0.2">
      <c r="O2042" s="9">
        <v>403009</v>
      </c>
      <c r="P2042" s="169" t="s">
        <v>2114</v>
      </c>
      <c r="Q2042" s="9">
        <v>54.63</v>
      </c>
    </row>
    <row r="2043" spans="15:17" x14ac:dyDescent="0.2">
      <c r="O2043" s="9" t="s">
        <v>15406</v>
      </c>
      <c r="P2043" s="169" t="s">
        <v>2117</v>
      </c>
      <c r="Q2043" s="9">
        <v>73.08</v>
      </c>
    </row>
    <row r="2044" spans="15:17" x14ac:dyDescent="0.2">
      <c r="O2044" s="9">
        <v>403011</v>
      </c>
      <c r="P2044" s="169" t="s">
        <v>15407</v>
      </c>
      <c r="Q2044" s="9">
        <v>63.72</v>
      </c>
    </row>
    <row r="2045" spans="15:17" x14ac:dyDescent="0.2">
      <c r="O2045" s="9" t="s">
        <v>2122</v>
      </c>
      <c r="P2045" s="169" t="s">
        <v>2123</v>
      </c>
      <c r="Q2045" s="9">
        <v>84.88</v>
      </c>
    </row>
    <row r="2046" spans="15:17" x14ac:dyDescent="0.2">
      <c r="O2046" s="9">
        <v>403013</v>
      </c>
      <c r="P2046" s="169" t="s">
        <v>2126</v>
      </c>
      <c r="Q2046" s="9">
        <v>82.3</v>
      </c>
    </row>
    <row r="2047" spans="15:17" x14ac:dyDescent="0.2">
      <c r="O2047" s="9">
        <v>403014</v>
      </c>
      <c r="P2047" s="169" t="s">
        <v>2129</v>
      </c>
      <c r="Q2047" s="9">
        <v>94.34</v>
      </c>
    </row>
    <row r="2048" spans="15:17" x14ac:dyDescent="0.2">
      <c r="O2048" s="9" t="s">
        <v>15408</v>
      </c>
      <c r="P2048" s="169" t="s">
        <v>15409</v>
      </c>
      <c r="Q2048" s="9">
        <v>94</v>
      </c>
    </row>
    <row r="2049" spans="15:17" x14ac:dyDescent="0.2">
      <c r="O2049" s="9" t="s">
        <v>15410</v>
      </c>
      <c r="P2049" s="169" t="s">
        <v>2132</v>
      </c>
      <c r="Q2049" s="9">
        <v>108.46</v>
      </c>
    </row>
    <row r="2050" spans="15:17" x14ac:dyDescent="0.2">
      <c r="O2050" s="9" t="s">
        <v>2134</v>
      </c>
      <c r="P2050" s="169" t="s">
        <v>2135</v>
      </c>
      <c r="Q2050" s="9">
        <v>115.76</v>
      </c>
    </row>
    <row r="2051" spans="15:17" x14ac:dyDescent="0.2">
      <c r="O2051" s="9">
        <v>403017</v>
      </c>
      <c r="P2051" s="169" t="s">
        <v>15411</v>
      </c>
      <c r="Q2051" s="9">
        <v>150.33000000000001</v>
      </c>
    </row>
    <row r="2052" spans="15:17" x14ac:dyDescent="0.2">
      <c r="O2052" s="9" t="s">
        <v>2137</v>
      </c>
      <c r="P2052" s="169" t="s">
        <v>15412</v>
      </c>
      <c r="Q2052" s="9">
        <v>153</v>
      </c>
    </row>
    <row r="2053" spans="15:17" x14ac:dyDescent="0.2">
      <c r="O2053" s="9" t="s">
        <v>2140</v>
      </c>
      <c r="P2053" s="169" t="s">
        <v>15413</v>
      </c>
      <c r="Q2053" s="9">
        <v>168</v>
      </c>
    </row>
    <row r="2054" spans="15:17" x14ac:dyDescent="0.2">
      <c r="O2054" s="9" t="s">
        <v>2143</v>
      </c>
      <c r="P2054" s="169" t="s">
        <v>15414</v>
      </c>
      <c r="Q2054" s="9">
        <v>204</v>
      </c>
    </row>
    <row r="2055" spans="15:17" x14ac:dyDescent="0.2">
      <c r="O2055" s="9">
        <v>403020</v>
      </c>
      <c r="P2055" s="169" t="s">
        <v>15415</v>
      </c>
      <c r="Q2055" s="9">
        <v>196.73</v>
      </c>
    </row>
    <row r="2056" spans="15:17" x14ac:dyDescent="0.2">
      <c r="O2056" s="9" t="s">
        <v>2146</v>
      </c>
      <c r="P2056" s="169" t="s">
        <v>15416</v>
      </c>
      <c r="Q2056" s="9">
        <v>169</v>
      </c>
    </row>
    <row r="2057" spans="15:17" x14ac:dyDescent="0.2">
      <c r="O2057" s="9">
        <v>403021</v>
      </c>
      <c r="P2057" s="169" t="s">
        <v>2150</v>
      </c>
      <c r="Q2057" s="9">
        <v>229.85</v>
      </c>
    </row>
    <row r="2058" spans="15:17" x14ac:dyDescent="0.2">
      <c r="O2058" s="9" t="s">
        <v>15417</v>
      </c>
      <c r="P2058" s="169" t="s">
        <v>15418</v>
      </c>
      <c r="Q2058" s="9">
        <v>283</v>
      </c>
    </row>
    <row r="2059" spans="15:17" x14ac:dyDescent="0.2">
      <c r="O2059" s="9" t="s">
        <v>2152</v>
      </c>
      <c r="P2059" s="169" t="s">
        <v>2153</v>
      </c>
      <c r="Q2059" s="9">
        <v>290.94</v>
      </c>
    </row>
    <row r="2060" spans="15:17" x14ac:dyDescent="0.2">
      <c r="O2060" s="9" t="s">
        <v>2155</v>
      </c>
      <c r="P2060" s="169" t="s">
        <v>2156</v>
      </c>
      <c r="Q2060" s="9">
        <v>276.26</v>
      </c>
    </row>
    <row r="2061" spans="15:17" x14ac:dyDescent="0.2">
      <c r="O2061" s="9">
        <v>403024</v>
      </c>
      <c r="P2061" s="169" t="s">
        <v>15419</v>
      </c>
      <c r="Q2061" s="9">
        <v>287.22000000000003</v>
      </c>
    </row>
    <row r="2062" spans="15:17" x14ac:dyDescent="0.2">
      <c r="O2062" s="9" t="s">
        <v>2158</v>
      </c>
      <c r="P2062" s="169" t="s">
        <v>2159</v>
      </c>
      <c r="Q2062" s="9">
        <v>337.88</v>
      </c>
    </row>
    <row r="2063" spans="15:17" x14ac:dyDescent="0.2">
      <c r="O2063" s="9" t="s">
        <v>2161</v>
      </c>
      <c r="P2063" s="169" t="s">
        <v>15420</v>
      </c>
      <c r="Q2063" s="9">
        <v>215</v>
      </c>
    </row>
    <row r="2064" spans="15:17" x14ac:dyDescent="0.2">
      <c r="O2064" s="9">
        <v>403026</v>
      </c>
      <c r="P2064" s="169" t="s">
        <v>2165</v>
      </c>
      <c r="Q2064" s="9">
        <v>290.88</v>
      </c>
    </row>
    <row r="2065" spans="15:17" x14ac:dyDescent="0.2">
      <c r="O2065" s="9">
        <v>403027</v>
      </c>
      <c r="P2065" s="169" t="s">
        <v>2168</v>
      </c>
      <c r="Q2065" s="9">
        <v>290.88</v>
      </c>
    </row>
    <row r="2066" spans="15:17" x14ac:dyDescent="0.2">
      <c r="O2066" s="9">
        <v>403028</v>
      </c>
      <c r="P2066" s="169" t="s">
        <v>2171</v>
      </c>
      <c r="Q2066" s="9">
        <v>349.43</v>
      </c>
    </row>
    <row r="2067" spans="15:17" x14ac:dyDescent="0.2">
      <c r="O2067" s="9">
        <v>403029</v>
      </c>
      <c r="P2067" s="169" t="s">
        <v>15421</v>
      </c>
      <c r="Q2067" s="9">
        <v>349.43</v>
      </c>
    </row>
    <row r="2068" spans="15:17" x14ac:dyDescent="0.2">
      <c r="O2068" s="9">
        <v>403030</v>
      </c>
      <c r="P2068" s="169" t="s">
        <v>15422</v>
      </c>
      <c r="Q2068" s="9">
        <v>349.44</v>
      </c>
    </row>
    <row r="2069" spans="15:17" x14ac:dyDescent="0.2">
      <c r="O2069" s="9">
        <v>403031</v>
      </c>
      <c r="P2069" s="169" t="s">
        <v>15423</v>
      </c>
      <c r="Q2069" s="9">
        <v>526.45000000000005</v>
      </c>
    </row>
    <row r="2070" spans="15:17" x14ac:dyDescent="0.2">
      <c r="O2070" s="9">
        <v>403032</v>
      </c>
      <c r="P2070" s="169" t="s">
        <v>2183</v>
      </c>
      <c r="Q2070" s="9">
        <v>526.45000000000005</v>
      </c>
    </row>
    <row r="2071" spans="15:17" x14ac:dyDescent="0.2">
      <c r="O2071" s="9" t="s">
        <v>15424</v>
      </c>
      <c r="P2071" s="169" t="s">
        <v>15425</v>
      </c>
      <c r="Q2071" s="9">
        <v>582.27</v>
      </c>
    </row>
    <row r="2072" spans="15:17" x14ac:dyDescent="0.2">
      <c r="O2072" s="9">
        <v>403033</v>
      </c>
      <c r="P2072" s="169" t="s">
        <v>2186</v>
      </c>
      <c r="Q2072" s="9">
        <v>526.45000000000005</v>
      </c>
    </row>
    <row r="2073" spans="15:17" x14ac:dyDescent="0.2">
      <c r="O2073" s="9">
        <v>403034</v>
      </c>
      <c r="P2073" s="169" t="s">
        <v>15426</v>
      </c>
      <c r="Q2073" s="9">
        <v>491.2</v>
      </c>
    </row>
    <row r="2074" spans="15:17" x14ac:dyDescent="0.2">
      <c r="O2074" s="9">
        <v>403035</v>
      </c>
      <c r="P2074" s="169" t="s">
        <v>15427</v>
      </c>
      <c r="Q2074" s="9">
        <v>491.2</v>
      </c>
    </row>
    <row r="2075" spans="15:17" x14ac:dyDescent="0.2">
      <c r="O2075" s="9">
        <v>403036</v>
      </c>
      <c r="P2075" s="169" t="s">
        <v>2195</v>
      </c>
      <c r="Q2075" s="9">
        <v>633.33000000000004</v>
      </c>
    </row>
    <row r="2076" spans="15:17" x14ac:dyDescent="0.2">
      <c r="O2076" s="9">
        <v>403037</v>
      </c>
      <c r="P2076" s="169" t="s">
        <v>2198</v>
      </c>
      <c r="Q2076" s="9">
        <v>633.33000000000004</v>
      </c>
    </row>
    <row r="2077" spans="15:17" x14ac:dyDescent="0.2">
      <c r="O2077" s="9">
        <v>403038</v>
      </c>
      <c r="P2077" s="169" t="s">
        <v>2201</v>
      </c>
      <c r="Q2077" s="9">
        <v>748.73</v>
      </c>
    </row>
    <row r="2078" spans="15:17" x14ac:dyDescent="0.2">
      <c r="O2078" s="9">
        <v>403039</v>
      </c>
      <c r="P2078" s="169" t="s">
        <v>2204</v>
      </c>
      <c r="Q2078" s="9">
        <v>748.73</v>
      </c>
    </row>
    <row r="2079" spans="15:17" x14ac:dyDescent="0.2">
      <c r="O2079" s="9">
        <v>403040</v>
      </c>
      <c r="P2079" s="169" t="s">
        <v>2207</v>
      </c>
      <c r="Q2079" s="9">
        <v>789.43</v>
      </c>
    </row>
    <row r="2080" spans="15:17" x14ac:dyDescent="0.2">
      <c r="O2080" s="9">
        <v>403041</v>
      </c>
      <c r="P2080" s="169" t="s">
        <v>2210</v>
      </c>
      <c r="Q2080" s="9">
        <v>789.43</v>
      </c>
    </row>
    <row r="2081" spans="15:17" x14ac:dyDescent="0.2">
      <c r="O2081" s="9">
        <v>403042</v>
      </c>
      <c r="P2081" s="169" t="s">
        <v>2213</v>
      </c>
      <c r="Q2081" s="9">
        <v>865.57</v>
      </c>
    </row>
    <row r="2082" spans="15:17" x14ac:dyDescent="0.2">
      <c r="O2082" s="9">
        <v>403044</v>
      </c>
      <c r="P2082" s="169" t="s">
        <v>2216</v>
      </c>
      <c r="Q2082" s="9">
        <v>865.57</v>
      </c>
    </row>
    <row r="2083" spans="15:17" x14ac:dyDescent="0.2">
      <c r="O2083" s="9">
        <v>403045</v>
      </c>
      <c r="P2083" s="169" t="s">
        <v>2219</v>
      </c>
      <c r="Q2083" s="9">
        <v>986.7</v>
      </c>
    </row>
    <row r="2084" spans="15:17" x14ac:dyDescent="0.2">
      <c r="O2084" s="9" t="s">
        <v>15428</v>
      </c>
      <c r="P2084" s="169" t="s">
        <v>15429</v>
      </c>
      <c r="Q2084" s="9">
        <v>1224.8</v>
      </c>
    </row>
    <row r="2085" spans="15:17" x14ac:dyDescent="0.2">
      <c r="O2085" s="9">
        <v>403046</v>
      </c>
      <c r="P2085" s="169" t="s">
        <v>2222</v>
      </c>
      <c r="Q2085" s="9">
        <v>944.27</v>
      </c>
    </row>
    <row r="2086" spans="15:17" x14ac:dyDescent="0.2">
      <c r="O2086" s="9">
        <v>403047</v>
      </c>
      <c r="P2086" s="169" t="s">
        <v>2225</v>
      </c>
      <c r="Q2086" s="9">
        <v>944.27</v>
      </c>
    </row>
    <row r="2087" spans="15:17" x14ac:dyDescent="0.2">
      <c r="O2087" s="9">
        <v>403048</v>
      </c>
      <c r="P2087" s="169" t="s">
        <v>2228</v>
      </c>
      <c r="Q2087" s="9">
        <v>944.27</v>
      </c>
    </row>
    <row r="2088" spans="15:17" x14ac:dyDescent="0.2">
      <c r="O2088" s="9" t="s">
        <v>15430</v>
      </c>
      <c r="P2088" s="169" t="s">
        <v>15431</v>
      </c>
      <c r="Q2088" s="9">
        <v>1696</v>
      </c>
    </row>
    <row r="2089" spans="15:17" x14ac:dyDescent="0.2">
      <c r="O2089" s="9">
        <v>403050</v>
      </c>
      <c r="P2089" s="169" t="s">
        <v>2231</v>
      </c>
      <c r="Q2089" s="9">
        <v>1170.5</v>
      </c>
    </row>
    <row r="2090" spans="15:17" x14ac:dyDescent="0.2">
      <c r="O2090" s="9">
        <v>403052</v>
      </c>
      <c r="P2090" s="169" t="s">
        <v>2234</v>
      </c>
      <c r="Q2090" s="9">
        <v>1174.3599999999999</v>
      </c>
    </row>
    <row r="2091" spans="15:17" x14ac:dyDescent="0.2">
      <c r="O2091" s="9">
        <v>403054</v>
      </c>
      <c r="P2091" s="169" t="s">
        <v>2237</v>
      </c>
      <c r="Q2091" s="9">
        <v>1174.3599999999999</v>
      </c>
    </row>
    <row r="2092" spans="15:17" x14ac:dyDescent="0.2">
      <c r="O2092" s="9">
        <v>403055</v>
      </c>
      <c r="P2092" s="169" t="s">
        <v>2240</v>
      </c>
      <c r="Q2092" s="9">
        <v>1255.44</v>
      </c>
    </row>
    <row r="2093" spans="15:17" x14ac:dyDescent="0.2">
      <c r="O2093" s="9">
        <v>403056</v>
      </c>
      <c r="P2093" s="169" t="s">
        <v>2243</v>
      </c>
      <c r="Q2093" s="9">
        <v>1259.73</v>
      </c>
    </row>
    <row r="2094" spans="15:17" x14ac:dyDescent="0.2">
      <c r="O2094" s="9">
        <v>403057</v>
      </c>
      <c r="P2094" s="169" t="s">
        <v>2246</v>
      </c>
      <c r="Q2094" s="9">
        <v>1340.08</v>
      </c>
    </row>
    <row r="2095" spans="15:17" x14ac:dyDescent="0.2">
      <c r="O2095" s="9">
        <v>403058</v>
      </c>
      <c r="P2095" s="169" t="s">
        <v>2249</v>
      </c>
      <c r="Q2095" s="9">
        <v>1560.41</v>
      </c>
    </row>
    <row r="2096" spans="15:17" x14ac:dyDescent="0.2">
      <c r="O2096" s="9">
        <v>403060</v>
      </c>
      <c r="P2096" s="169" t="s">
        <v>2252</v>
      </c>
      <c r="Q2096" s="9">
        <v>1560.42</v>
      </c>
    </row>
    <row r="2097" spans="15:17" x14ac:dyDescent="0.2">
      <c r="O2097" s="9">
        <v>403062</v>
      </c>
      <c r="P2097" s="169" t="s">
        <v>2255</v>
      </c>
      <c r="Q2097" s="9">
        <v>1578.78</v>
      </c>
    </row>
    <row r="2098" spans="15:17" x14ac:dyDescent="0.2">
      <c r="O2098" s="9">
        <v>403063</v>
      </c>
      <c r="P2098" s="169" t="s">
        <v>2258</v>
      </c>
      <c r="Q2098" s="9">
        <v>1578.78</v>
      </c>
    </row>
    <row r="2099" spans="15:17" x14ac:dyDescent="0.2">
      <c r="O2099" s="9">
        <v>403065</v>
      </c>
      <c r="P2099" s="169" t="s">
        <v>2261</v>
      </c>
      <c r="Q2099" s="9">
        <v>1648.77</v>
      </c>
    </row>
    <row r="2100" spans="15:17" x14ac:dyDescent="0.2">
      <c r="O2100" s="9">
        <v>403067</v>
      </c>
      <c r="P2100" s="169" t="s">
        <v>2264</v>
      </c>
      <c r="Q2100" s="9">
        <v>1958.55</v>
      </c>
    </row>
    <row r="2101" spans="15:17" x14ac:dyDescent="0.2">
      <c r="O2101" s="9">
        <v>403068</v>
      </c>
      <c r="P2101" s="169" t="s">
        <v>2267</v>
      </c>
      <c r="Q2101" s="9">
        <v>1958.55</v>
      </c>
    </row>
    <row r="2102" spans="15:17" x14ac:dyDescent="0.2">
      <c r="O2102" s="9">
        <v>403070</v>
      </c>
      <c r="P2102" s="169" t="s">
        <v>2270</v>
      </c>
      <c r="Q2102" s="9">
        <v>2209.48</v>
      </c>
    </row>
    <row r="2103" spans="15:17" x14ac:dyDescent="0.2">
      <c r="O2103" s="9">
        <v>403072</v>
      </c>
      <c r="P2103" s="169" t="s">
        <v>15432</v>
      </c>
      <c r="Q2103" s="9">
        <v>2209.48</v>
      </c>
    </row>
    <row r="2104" spans="15:17" x14ac:dyDescent="0.2">
      <c r="O2104" s="9">
        <v>403075</v>
      </c>
      <c r="P2104" s="169" t="s">
        <v>2273</v>
      </c>
      <c r="Q2104" s="9">
        <v>2235.46</v>
      </c>
    </row>
    <row r="2105" spans="15:17" x14ac:dyDescent="0.2">
      <c r="O2105" s="9">
        <v>403077</v>
      </c>
      <c r="P2105" s="169" t="s">
        <v>15433</v>
      </c>
      <c r="Q2105" s="9">
        <v>2284.34</v>
      </c>
    </row>
    <row r="2106" spans="15:17" x14ac:dyDescent="0.2">
      <c r="O2106" s="9">
        <v>403078</v>
      </c>
      <c r="P2106" s="169" t="s">
        <v>15434</v>
      </c>
      <c r="Q2106" s="9">
        <v>2284.34</v>
      </c>
    </row>
    <row r="2107" spans="15:17" x14ac:dyDescent="0.2">
      <c r="O2107" s="9">
        <v>403080</v>
      </c>
      <c r="P2107" s="169" t="s">
        <v>15435</v>
      </c>
      <c r="Q2107" s="9">
        <v>2327.5100000000002</v>
      </c>
    </row>
    <row r="2108" spans="15:17" x14ac:dyDescent="0.2">
      <c r="O2108" s="9">
        <v>403082</v>
      </c>
      <c r="P2108" s="169" t="s">
        <v>15436</v>
      </c>
      <c r="Q2108" s="9">
        <v>2327.5100000000002</v>
      </c>
    </row>
    <row r="2109" spans="15:17" x14ac:dyDescent="0.2">
      <c r="O2109" s="9">
        <v>403085</v>
      </c>
      <c r="P2109" s="169" t="s">
        <v>15437</v>
      </c>
      <c r="Q2109" s="9">
        <v>2754.69</v>
      </c>
    </row>
    <row r="2110" spans="15:17" x14ac:dyDescent="0.2">
      <c r="O2110" s="9">
        <v>403087</v>
      </c>
      <c r="P2110" s="169" t="s">
        <v>15438</v>
      </c>
      <c r="Q2110" s="9">
        <v>3138.37</v>
      </c>
    </row>
    <row r="2111" spans="15:17" x14ac:dyDescent="0.2">
      <c r="O2111" s="9">
        <v>403088</v>
      </c>
      <c r="P2111" s="169" t="s">
        <v>2276</v>
      </c>
      <c r="Q2111" s="9">
        <v>3138.37</v>
      </c>
    </row>
    <row r="2112" spans="15:17" x14ac:dyDescent="0.2">
      <c r="O2112" s="9">
        <v>403090</v>
      </c>
      <c r="P2112" s="169" t="s">
        <v>15439</v>
      </c>
      <c r="Q2112" s="9">
        <v>3058.91</v>
      </c>
    </row>
    <row r="2113" spans="15:17" x14ac:dyDescent="0.2">
      <c r="O2113" s="9">
        <v>403092</v>
      </c>
      <c r="P2113" s="169" t="s">
        <v>15440</v>
      </c>
      <c r="Q2113" s="9">
        <v>3527.57</v>
      </c>
    </row>
    <row r="2114" spans="15:17" x14ac:dyDescent="0.2">
      <c r="O2114" s="9">
        <v>403095</v>
      </c>
      <c r="P2114" s="169" t="s">
        <v>15441</v>
      </c>
      <c r="Q2114" s="9">
        <v>3372.83</v>
      </c>
    </row>
    <row r="2115" spans="15:17" x14ac:dyDescent="0.2">
      <c r="O2115" s="9">
        <v>403097</v>
      </c>
      <c r="P2115" s="169" t="s">
        <v>15442</v>
      </c>
      <c r="Q2115" s="9">
        <v>3925.12</v>
      </c>
    </row>
    <row r="2116" spans="15:17" x14ac:dyDescent="0.2">
      <c r="O2116" s="9">
        <v>403100</v>
      </c>
      <c r="P2116" s="169" t="s">
        <v>15443</v>
      </c>
      <c r="Q2116" s="9">
        <v>3771.96</v>
      </c>
    </row>
    <row r="2117" spans="15:17" x14ac:dyDescent="0.2">
      <c r="O2117" s="9">
        <v>403102</v>
      </c>
      <c r="P2117" s="169" t="s">
        <v>15444</v>
      </c>
      <c r="Q2117" s="9">
        <v>10215.129999999999</v>
      </c>
    </row>
    <row r="2118" spans="15:17" x14ac:dyDescent="0.2">
      <c r="O2118" s="9">
        <v>403105</v>
      </c>
      <c r="P2118" s="169" t="s">
        <v>2279</v>
      </c>
      <c r="Q2118" s="9">
        <v>8882.4</v>
      </c>
    </row>
    <row r="2119" spans="15:17" x14ac:dyDescent="0.2">
      <c r="O2119" s="9">
        <v>403107</v>
      </c>
      <c r="P2119" s="169" t="s">
        <v>15445</v>
      </c>
      <c r="Q2119" s="9">
        <v>10561.29</v>
      </c>
    </row>
    <row r="2120" spans="15:17" x14ac:dyDescent="0.2">
      <c r="O2120" s="9">
        <v>403110</v>
      </c>
      <c r="P2120" s="169" t="s">
        <v>15446</v>
      </c>
      <c r="Q2120" s="9">
        <v>8882.23</v>
      </c>
    </row>
    <row r="2121" spans="15:17" x14ac:dyDescent="0.2">
      <c r="O2121" s="9">
        <v>403112</v>
      </c>
      <c r="P2121" s="169" t="s">
        <v>15447</v>
      </c>
      <c r="Q2121" s="9">
        <v>11228.94</v>
      </c>
    </row>
    <row r="2122" spans="15:17" x14ac:dyDescent="0.2">
      <c r="O2122" s="9">
        <v>403115</v>
      </c>
      <c r="P2122" s="169" t="s">
        <v>15448</v>
      </c>
      <c r="Q2122" s="9">
        <v>9764.0400000000009</v>
      </c>
    </row>
    <row r="2123" spans="15:17" x14ac:dyDescent="0.2">
      <c r="O2123" s="9">
        <v>403117</v>
      </c>
      <c r="P2123" s="169" t="s">
        <v>15449</v>
      </c>
      <c r="Q2123" s="9">
        <v>11563.59</v>
      </c>
    </row>
    <row r="2124" spans="15:17" x14ac:dyDescent="0.2">
      <c r="O2124" s="9">
        <v>403120</v>
      </c>
      <c r="P2124" s="169" t="s">
        <v>15450</v>
      </c>
      <c r="Q2124" s="9">
        <v>9312.9699999999993</v>
      </c>
    </row>
    <row r="2125" spans="15:17" x14ac:dyDescent="0.2">
      <c r="O2125" s="9">
        <v>403122</v>
      </c>
      <c r="P2125" s="169" t="s">
        <v>15451</v>
      </c>
      <c r="Q2125" s="9">
        <v>12103.2</v>
      </c>
    </row>
    <row r="2126" spans="15:17" x14ac:dyDescent="0.2">
      <c r="O2126" s="9">
        <v>403125</v>
      </c>
      <c r="P2126" s="169" t="s">
        <v>15452</v>
      </c>
      <c r="Q2126" s="9">
        <v>9764.0400000000009</v>
      </c>
    </row>
    <row r="2127" spans="15:17" x14ac:dyDescent="0.2">
      <c r="O2127" s="9">
        <v>403127</v>
      </c>
      <c r="P2127" s="169" t="s">
        <v>15453</v>
      </c>
      <c r="Q2127" s="9">
        <v>12429.48</v>
      </c>
    </row>
    <row r="2128" spans="15:17" x14ac:dyDescent="0.2">
      <c r="O2128" s="9">
        <v>403130</v>
      </c>
      <c r="P2128" s="169" t="s">
        <v>15454</v>
      </c>
      <c r="Q2128" s="9">
        <v>9585.01</v>
      </c>
    </row>
    <row r="2129" spans="15:17" x14ac:dyDescent="0.2">
      <c r="O2129" s="9">
        <v>403132</v>
      </c>
      <c r="P2129" s="169" t="s">
        <v>15455</v>
      </c>
      <c r="Q2129" s="9">
        <v>13315</v>
      </c>
    </row>
    <row r="2130" spans="15:17" x14ac:dyDescent="0.2">
      <c r="O2130" s="9">
        <v>403135</v>
      </c>
      <c r="P2130" s="169" t="s">
        <v>15456</v>
      </c>
      <c r="Q2130" s="9">
        <v>10374.58</v>
      </c>
    </row>
    <row r="2131" spans="15:17" x14ac:dyDescent="0.2">
      <c r="O2131" s="9">
        <v>403137</v>
      </c>
      <c r="P2131" s="169" t="s">
        <v>15457</v>
      </c>
      <c r="Q2131" s="9">
        <v>14196</v>
      </c>
    </row>
    <row r="2132" spans="15:17" x14ac:dyDescent="0.2">
      <c r="O2132" s="9">
        <v>403140</v>
      </c>
      <c r="P2132" s="169" t="s">
        <v>15458</v>
      </c>
      <c r="Q2132" s="9">
        <v>10181.780000000001</v>
      </c>
    </row>
    <row r="2133" spans="15:17" x14ac:dyDescent="0.2">
      <c r="O2133" s="9">
        <v>403142</v>
      </c>
      <c r="P2133" s="169" t="s">
        <v>15459</v>
      </c>
      <c r="Q2133" s="9">
        <v>15098.61</v>
      </c>
    </row>
    <row r="2134" spans="15:17" x14ac:dyDescent="0.2">
      <c r="O2134" s="9">
        <v>403145</v>
      </c>
      <c r="P2134" s="169" t="s">
        <v>15460</v>
      </c>
      <c r="Q2134" s="9">
        <v>10565.14</v>
      </c>
    </row>
    <row r="2135" spans="15:17" x14ac:dyDescent="0.2">
      <c r="O2135" s="9">
        <v>403147</v>
      </c>
      <c r="P2135" s="169" t="s">
        <v>15461</v>
      </c>
      <c r="Q2135" s="9">
        <v>15984.44</v>
      </c>
    </row>
    <row r="2136" spans="15:17" x14ac:dyDescent="0.2">
      <c r="O2136" s="9">
        <v>403165</v>
      </c>
      <c r="P2136" s="169" t="s">
        <v>15462</v>
      </c>
      <c r="Q2136" s="9">
        <v>17077.73</v>
      </c>
    </row>
    <row r="2137" spans="15:17" x14ac:dyDescent="0.2">
      <c r="O2137" s="9">
        <v>403170</v>
      </c>
      <c r="P2137" s="169" t="s">
        <v>15463</v>
      </c>
      <c r="Q2137" s="9">
        <v>21586.799999999999</v>
      </c>
    </row>
    <row r="2138" spans="15:17" x14ac:dyDescent="0.2">
      <c r="O2138" s="9">
        <v>403175</v>
      </c>
      <c r="P2138" s="169" t="s">
        <v>15464</v>
      </c>
      <c r="Q2138" s="9">
        <v>25300.639999999999</v>
      </c>
    </row>
    <row r="2139" spans="15:17" x14ac:dyDescent="0.2">
      <c r="O2139" s="9">
        <v>403178</v>
      </c>
      <c r="P2139" s="169" t="s">
        <v>15465</v>
      </c>
      <c r="Q2139" s="9">
        <v>26043.41</v>
      </c>
    </row>
    <row r="2140" spans="15:17" x14ac:dyDescent="0.2">
      <c r="O2140" s="9">
        <v>403180</v>
      </c>
      <c r="P2140" s="169" t="s">
        <v>15466</v>
      </c>
      <c r="Q2140" s="9">
        <v>26043.41</v>
      </c>
    </row>
    <row r="2141" spans="15:17" x14ac:dyDescent="0.2">
      <c r="O2141" s="9">
        <v>403185</v>
      </c>
      <c r="P2141" s="169" t="s">
        <v>15467</v>
      </c>
      <c r="Q2141" s="9">
        <v>26620.46</v>
      </c>
    </row>
    <row r="2142" spans="15:17" x14ac:dyDescent="0.2">
      <c r="O2142" s="9">
        <v>403190</v>
      </c>
      <c r="P2142" s="169" t="s">
        <v>15468</v>
      </c>
      <c r="Q2142" s="9">
        <v>27520.6</v>
      </c>
    </row>
    <row r="2143" spans="15:17" x14ac:dyDescent="0.2">
      <c r="O2143" s="9">
        <v>403195</v>
      </c>
      <c r="P2143" s="169" t="s">
        <v>15469</v>
      </c>
      <c r="Q2143" s="9">
        <v>30046.97</v>
      </c>
    </row>
    <row r="2144" spans="15:17" x14ac:dyDescent="0.2">
      <c r="O2144" s="9">
        <v>403200</v>
      </c>
      <c r="P2144" s="169" t="s">
        <v>15470</v>
      </c>
      <c r="Q2144" s="9">
        <v>28541.17</v>
      </c>
    </row>
    <row r="2145" spans="15:17" x14ac:dyDescent="0.2">
      <c r="O2145" s="9">
        <v>403205</v>
      </c>
      <c r="P2145" s="169" t="s">
        <v>15471</v>
      </c>
      <c r="Q2145" s="9">
        <v>56116.61</v>
      </c>
    </row>
    <row r="2146" spans="15:17" x14ac:dyDescent="0.2">
      <c r="O2146" s="9">
        <v>403210</v>
      </c>
      <c r="P2146" s="169" t="s">
        <v>15472</v>
      </c>
      <c r="Q2146" s="9">
        <v>61010.78</v>
      </c>
    </row>
    <row r="2147" spans="15:17" x14ac:dyDescent="0.2">
      <c r="O2147" s="9">
        <v>403215</v>
      </c>
      <c r="P2147" s="169" t="s">
        <v>15473</v>
      </c>
      <c r="Q2147" s="9">
        <v>65128.800000000003</v>
      </c>
    </row>
    <row r="2148" spans="15:17" x14ac:dyDescent="0.2">
      <c r="O2148" s="9">
        <v>403220</v>
      </c>
      <c r="P2148" s="169" t="s">
        <v>15474</v>
      </c>
      <c r="Q2148" s="9">
        <v>65839.37</v>
      </c>
    </row>
    <row r="2149" spans="15:17" x14ac:dyDescent="0.2">
      <c r="O2149" s="9">
        <v>403225</v>
      </c>
      <c r="P2149" s="169" t="s">
        <v>15475</v>
      </c>
      <c r="Q2149" s="9">
        <v>87421.41</v>
      </c>
    </row>
    <row r="2150" spans="15:17" x14ac:dyDescent="0.2">
      <c r="O2150" s="9">
        <v>403230</v>
      </c>
      <c r="P2150" s="169" t="s">
        <v>15476</v>
      </c>
      <c r="Q2150" s="9">
        <v>93672.35</v>
      </c>
    </row>
    <row r="2151" spans="15:17" x14ac:dyDescent="0.2">
      <c r="O2151" s="9">
        <v>403235</v>
      </c>
      <c r="P2151" s="169" t="s">
        <v>15477</v>
      </c>
      <c r="Q2151" s="9">
        <v>94512.88</v>
      </c>
    </row>
    <row r="2152" spans="15:17" x14ac:dyDescent="0.2">
      <c r="O2152" s="9">
        <v>403240</v>
      </c>
      <c r="P2152" s="169" t="s">
        <v>15478</v>
      </c>
      <c r="Q2152" s="9">
        <v>95098.29</v>
      </c>
    </row>
    <row r="2153" spans="15:17" x14ac:dyDescent="0.2">
      <c r="O2153" s="9">
        <v>403245</v>
      </c>
      <c r="P2153" s="169" t="s">
        <v>15479</v>
      </c>
      <c r="Q2153" s="9">
        <v>98156.39</v>
      </c>
    </row>
    <row r="2154" spans="15:17" x14ac:dyDescent="0.2">
      <c r="O2154" s="9">
        <v>403250</v>
      </c>
      <c r="P2154" s="169" t="s">
        <v>15480</v>
      </c>
      <c r="Q2154" s="9">
        <v>101128.65</v>
      </c>
    </row>
    <row r="2155" spans="15:17" x14ac:dyDescent="0.2">
      <c r="O2155" s="9">
        <v>403255</v>
      </c>
      <c r="P2155" s="169" t="s">
        <v>15481</v>
      </c>
      <c r="Q2155" s="9">
        <v>128043.59</v>
      </c>
    </row>
    <row r="2156" spans="15:17" x14ac:dyDescent="0.2">
      <c r="O2156" s="9">
        <v>403260</v>
      </c>
      <c r="P2156" s="169" t="s">
        <v>15482</v>
      </c>
      <c r="Q2156" s="9">
        <v>109657.98</v>
      </c>
    </row>
    <row r="2157" spans="15:17" x14ac:dyDescent="0.2">
      <c r="O2157" s="9">
        <v>403265</v>
      </c>
      <c r="P2157" s="169" t="s">
        <v>15483</v>
      </c>
      <c r="Q2157" s="9">
        <v>111668.11</v>
      </c>
    </row>
    <row r="2158" spans="15:17" x14ac:dyDescent="0.2">
      <c r="O2158" s="9">
        <v>403270</v>
      </c>
      <c r="P2158" s="169" t="s">
        <v>15484</v>
      </c>
      <c r="Q2158" s="9">
        <v>114616.53</v>
      </c>
    </row>
    <row r="2159" spans="15:17" x14ac:dyDescent="0.2">
      <c r="O2159" s="9">
        <v>403275</v>
      </c>
      <c r="P2159" s="169" t="s">
        <v>15485</v>
      </c>
      <c r="Q2159" s="9">
        <v>115981.65</v>
      </c>
    </row>
    <row r="2160" spans="15:17" x14ac:dyDescent="0.2">
      <c r="O2160" s="9">
        <v>403280</v>
      </c>
      <c r="P2160" s="169" t="s">
        <v>15486</v>
      </c>
      <c r="Q2160" s="9">
        <v>119002.81</v>
      </c>
    </row>
    <row r="2161" spans="15:17" x14ac:dyDescent="0.2">
      <c r="O2161" s="9">
        <v>403285</v>
      </c>
      <c r="P2161" s="169" t="s">
        <v>15487</v>
      </c>
      <c r="Q2161" s="9">
        <v>128056.71</v>
      </c>
    </row>
    <row r="2162" spans="15:17" x14ac:dyDescent="0.2">
      <c r="O2162" s="9">
        <v>403290</v>
      </c>
      <c r="P2162" s="169" t="s">
        <v>15488</v>
      </c>
      <c r="Q2162" s="9">
        <v>138449.51999999999</v>
      </c>
    </row>
    <row r="2163" spans="15:17" x14ac:dyDescent="0.2">
      <c r="O2163" s="9">
        <v>403295</v>
      </c>
      <c r="P2163" s="169" t="s">
        <v>15489</v>
      </c>
      <c r="Q2163" s="9">
        <v>132454.9</v>
      </c>
    </row>
    <row r="2164" spans="15:17" x14ac:dyDescent="0.2">
      <c r="O2164" s="9">
        <v>403300</v>
      </c>
      <c r="P2164" s="169" t="s">
        <v>15490</v>
      </c>
      <c r="Q2164" s="9">
        <v>127386.67</v>
      </c>
    </row>
    <row r="2165" spans="15:17" x14ac:dyDescent="0.2">
      <c r="O2165" s="9">
        <v>403310</v>
      </c>
      <c r="P2165" s="169" t="s">
        <v>15491</v>
      </c>
      <c r="Q2165" s="9">
        <v>318944.78000000003</v>
      </c>
    </row>
    <row r="2166" spans="15:17" x14ac:dyDescent="0.2">
      <c r="O2166" s="9">
        <v>403320</v>
      </c>
      <c r="P2166" s="169" t="s">
        <v>15492</v>
      </c>
      <c r="Q2166" s="9">
        <v>229063.76</v>
      </c>
    </row>
    <row r="2167" spans="15:17" x14ac:dyDescent="0.2">
      <c r="O2167" s="9">
        <v>403340</v>
      </c>
      <c r="P2167" s="169" t="s">
        <v>15493</v>
      </c>
      <c r="Q2167" s="9">
        <v>296182.42</v>
      </c>
    </row>
    <row r="2168" spans="15:17" x14ac:dyDescent="0.2">
      <c r="O2168" s="9">
        <v>403360</v>
      </c>
      <c r="P2168" s="169" t="s">
        <v>15494</v>
      </c>
      <c r="Q2168" s="9">
        <v>288673.65999999997</v>
      </c>
    </row>
    <row r="2169" spans="15:17" x14ac:dyDescent="0.2">
      <c r="O2169" s="9">
        <v>40424</v>
      </c>
      <c r="P2169" s="169" t="s">
        <v>15495</v>
      </c>
      <c r="Q2169" s="9">
        <v>253.19</v>
      </c>
    </row>
    <row r="2170" spans="15:17" x14ac:dyDescent="0.2">
      <c r="O2170" s="9">
        <v>40425</v>
      </c>
      <c r="P2170" s="169" t="s">
        <v>15496</v>
      </c>
      <c r="Q2170" s="9">
        <v>253.19</v>
      </c>
    </row>
    <row r="2171" spans="15:17" x14ac:dyDescent="0.2">
      <c r="O2171" s="9">
        <v>40427</v>
      </c>
      <c r="P2171" s="169" t="s">
        <v>15497</v>
      </c>
      <c r="Q2171" s="9">
        <v>294.89</v>
      </c>
    </row>
    <row r="2172" spans="15:17" x14ac:dyDescent="0.2">
      <c r="O2172" s="9">
        <v>40428</v>
      </c>
      <c r="P2172" s="169" t="s">
        <v>15498</v>
      </c>
      <c r="Q2172" s="9">
        <v>362.33</v>
      </c>
    </row>
    <row r="2173" spans="15:17" x14ac:dyDescent="0.2">
      <c r="O2173" s="9">
        <v>40475</v>
      </c>
      <c r="P2173" s="169" t="s">
        <v>15499</v>
      </c>
      <c r="Q2173" s="9">
        <v>3269.61</v>
      </c>
    </row>
    <row r="2174" spans="15:17" x14ac:dyDescent="0.2">
      <c r="O2174" s="9">
        <v>40480</v>
      </c>
      <c r="P2174" s="169" t="s">
        <v>15500</v>
      </c>
      <c r="Q2174" s="9">
        <v>6193.96</v>
      </c>
    </row>
    <row r="2175" spans="15:17" x14ac:dyDescent="0.2">
      <c r="O2175" s="9">
        <v>40804</v>
      </c>
      <c r="P2175" s="169" t="s">
        <v>15501</v>
      </c>
      <c r="Q2175" s="9">
        <v>358.55</v>
      </c>
    </row>
    <row r="2176" spans="15:17" x14ac:dyDescent="0.2">
      <c r="O2176" s="9">
        <v>40805</v>
      </c>
      <c r="P2176" s="169" t="s">
        <v>15502</v>
      </c>
      <c r="Q2176" s="9">
        <v>372.75</v>
      </c>
    </row>
    <row r="2177" spans="15:17" x14ac:dyDescent="0.2">
      <c r="O2177" s="9">
        <v>40806</v>
      </c>
      <c r="P2177" s="169" t="s">
        <v>15503</v>
      </c>
      <c r="Q2177" s="9">
        <v>410.7</v>
      </c>
    </row>
    <row r="2178" spans="15:17" x14ac:dyDescent="0.2">
      <c r="O2178" s="9">
        <v>40807</v>
      </c>
      <c r="P2178" s="169" t="s">
        <v>15504</v>
      </c>
      <c r="Q2178" s="9">
        <v>471.53</v>
      </c>
    </row>
    <row r="2179" spans="15:17" x14ac:dyDescent="0.2">
      <c r="O2179" s="9">
        <v>40808</v>
      </c>
      <c r="P2179" s="169" t="s">
        <v>15505</v>
      </c>
      <c r="Q2179" s="9">
        <v>503.47</v>
      </c>
    </row>
    <row r="2180" spans="15:17" x14ac:dyDescent="0.2">
      <c r="O2180" s="9">
        <v>40809</v>
      </c>
      <c r="P2180" s="169" t="s">
        <v>15506</v>
      </c>
      <c r="Q2180" s="9">
        <v>708.82</v>
      </c>
    </row>
    <row r="2181" spans="15:17" x14ac:dyDescent="0.2">
      <c r="O2181" s="9">
        <v>40810</v>
      </c>
      <c r="P2181" s="169" t="s">
        <v>15507</v>
      </c>
      <c r="Q2181" s="9">
        <v>708.82</v>
      </c>
    </row>
    <row r="2182" spans="15:17" x14ac:dyDescent="0.2">
      <c r="O2182" s="9">
        <v>408100</v>
      </c>
      <c r="P2182" s="169" t="s">
        <v>15508</v>
      </c>
      <c r="Q2182" s="9">
        <v>47777.84</v>
      </c>
    </row>
    <row r="2183" spans="15:17" x14ac:dyDescent="0.2">
      <c r="O2183" s="9">
        <v>40811</v>
      </c>
      <c r="P2183" s="169" t="s">
        <v>15509</v>
      </c>
      <c r="Q2183" s="9">
        <v>750.62</v>
      </c>
    </row>
    <row r="2184" spans="15:17" x14ac:dyDescent="0.2">
      <c r="O2184" s="9">
        <v>40812</v>
      </c>
      <c r="P2184" s="169" t="s">
        <v>15510</v>
      </c>
      <c r="Q2184" s="9">
        <v>750.62</v>
      </c>
    </row>
    <row r="2185" spans="15:17" x14ac:dyDescent="0.2">
      <c r="O2185" s="9">
        <v>40813</v>
      </c>
      <c r="P2185" s="169" t="s">
        <v>15511</v>
      </c>
      <c r="Q2185" s="9">
        <v>1009.93</v>
      </c>
    </row>
    <row r="2186" spans="15:17" x14ac:dyDescent="0.2">
      <c r="O2186" s="9">
        <v>40814</v>
      </c>
      <c r="P2186" s="169" t="s">
        <v>15512</v>
      </c>
      <c r="Q2186" s="9">
        <v>1009.93</v>
      </c>
    </row>
    <row r="2187" spans="15:17" x14ac:dyDescent="0.2">
      <c r="O2187" s="9">
        <v>40815</v>
      </c>
      <c r="P2187" s="169" t="s">
        <v>15513</v>
      </c>
      <c r="Q2187" s="9">
        <v>1116.75</v>
      </c>
    </row>
    <row r="2188" spans="15:17" x14ac:dyDescent="0.2">
      <c r="O2188" s="9">
        <v>40816</v>
      </c>
      <c r="P2188" s="169" t="s">
        <v>15514</v>
      </c>
      <c r="Q2188" s="9">
        <v>1274.02</v>
      </c>
    </row>
    <row r="2189" spans="15:17" x14ac:dyDescent="0.2">
      <c r="O2189" s="9">
        <v>40817</v>
      </c>
      <c r="P2189" s="169" t="s">
        <v>15515</v>
      </c>
      <c r="Q2189" s="9">
        <v>1514.92</v>
      </c>
    </row>
    <row r="2190" spans="15:17" x14ac:dyDescent="0.2">
      <c r="O2190" s="9">
        <v>40818</v>
      </c>
      <c r="P2190" s="169" t="s">
        <v>15516</v>
      </c>
      <c r="Q2190" s="9">
        <v>2010.81</v>
      </c>
    </row>
    <row r="2191" spans="15:17" x14ac:dyDescent="0.2">
      <c r="O2191" s="9">
        <v>40819</v>
      </c>
      <c r="P2191" s="169" t="s">
        <v>15517</v>
      </c>
      <c r="Q2191" s="9">
        <v>2214.73</v>
      </c>
    </row>
    <row r="2192" spans="15:17" x14ac:dyDescent="0.2">
      <c r="O2192" s="9">
        <v>40820</v>
      </c>
      <c r="P2192" s="169" t="s">
        <v>15518</v>
      </c>
      <c r="Q2192" s="9">
        <v>2104.0300000000002</v>
      </c>
    </row>
    <row r="2193" spans="15:17" x14ac:dyDescent="0.2">
      <c r="O2193" s="9">
        <v>40821</v>
      </c>
      <c r="P2193" s="169" t="s">
        <v>15519</v>
      </c>
      <c r="Q2193" s="9">
        <v>2385.5</v>
      </c>
    </row>
    <row r="2194" spans="15:17" x14ac:dyDescent="0.2">
      <c r="O2194" s="9">
        <v>40822</v>
      </c>
      <c r="P2194" s="169" t="s">
        <v>15520</v>
      </c>
      <c r="Q2194" s="9">
        <v>2482.2600000000002</v>
      </c>
    </row>
    <row r="2195" spans="15:17" x14ac:dyDescent="0.2">
      <c r="O2195" s="9">
        <v>40823</v>
      </c>
      <c r="P2195" s="169" t="s">
        <v>15521</v>
      </c>
      <c r="Q2195" s="9">
        <v>2861.01</v>
      </c>
    </row>
    <row r="2196" spans="15:17" x14ac:dyDescent="0.2">
      <c r="O2196" s="9">
        <v>40824</v>
      </c>
      <c r="P2196" s="169" t="s">
        <v>15522</v>
      </c>
      <c r="Q2196" s="9">
        <v>2861.01</v>
      </c>
    </row>
    <row r="2197" spans="15:17" x14ac:dyDescent="0.2">
      <c r="O2197" s="9">
        <v>40825</v>
      </c>
      <c r="P2197" s="169" t="s">
        <v>15523</v>
      </c>
      <c r="Q2197" s="9">
        <v>3168.93</v>
      </c>
    </row>
    <row r="2198" spans="15:17" x14ac:dyDescent="0.2">
      <c r="O2198" s="9">
        <v>40826</v>
      </c>
      <c r="P2198" s="169" t="s">
        <v>15524</v>
      </c>
      <c r="Q2198" s="9">
        <v>3886.3</v>
      </c>
    </row>
    <row r="2199" spans="15:17" x14ac:dyDescent="0.2">
      <c r="O2199" s="9">
        <v>40827</v>
      </c>
      <c r="P2199" s="169" t="s">
        <v>15525</v>
      </c>
      <c r="Q2199" s="9">
        <v>4322.21</v>
      </c>
    </row>
    <row r="2200" spans="15:17" x14ac:dyDescent="0.2">
      <c r="O2200" s="9">
        <v>40828</v>
      </c>
      <c r="P2200" s="169" t="s">
        <v>15526</v>
      </c>
      <c r="Q2200" s="9">
        <v>3760.4</v>
      </c>
    </row>
    <row r="2201" spans="15:17" x14ac:dyDescent="0.2">
      <c r="O2201" s="9">
        <v>40829</v>
      </c>
      <c r="P2201" s="169" t="s">
        <v>15527</v>
      </c>
      <c r="Q2201" s="9">
        <v>6148.41</v>
      </c>
    </row>
    <row r="2202" spans="15:17" x14ac:dyDescent="0.2">
      <c r="O2202" s="9">
        <v>40830</v>
      </c>
      <c r="P2202" s="169" t="s">
        <v>15528</v>
      </c>
      <c r="Q2202" s="9">
        <v>3742.17</v>
      </c>
    </row>
    <row r="2203" spans="15:17" x14ac:dyDescent="0.2">
      <c r="O2203" s="9">
        <v>40831</v>
      </c>
      <c r="P2203" s="169" t="s">
        <v>15529</v>
      </c>
      <c r="Q2203" s="9">
        <v>5806.84</v>
      </c>
    </row>
    <row r="2204" spans="15:17" x14ac:dyDescent="0.2">
      <c r="O2204" s="9">
        <v>40832</v>
      </c>
      <c r="P2204" s="169" t="s">
        <v>15530</v>
      </c>
      <c r="Q2204" s="9">
        <v>4844.5600000000004</v>
      </c>
    </row>
    <row r="2205" spans="15:17" x14ac:dyDescent="0.2">
      <c r="O2205" s="9">
        <v>40833</v>
      </c>
      <c r="P2205" s="169" t="s">
        <v>15531</v>
      </c>
      <c r="Q2205" s="9">
        <v>5160.3599999999997</v>
      </c>
    </row>
    <row r="2206" spans="15:17" x14ac:dyDescent="0.2">
      <c r="O2206" s="9">
        <v>40834</v>
      </c>
      <c r="P2206" s="169" t="s">
        <v>15532</v>
      </c>
      <c r="Q2206" s="9">
        <v>5160.3599999999997</v>
      </c>
    </row>
    <row r="2207" spans="15:17" x14ac:dyDescent="0.2">
      <c r="O2207" s="9">
        <v>40835</v>
      </c>
      <c r="P2207" s="169" t="s">
        <v>15533</v>
      </c>
      <c r="Q2207" s="9">
        <v>5770.98</v>
      </c>
    </row>
    <row r="2208" spans="15:17" x14ac:dyDescent="0.2">
      <c r="O2208" s="9">
        <v>40836</v>
      </c>
      <c r="P2208" s="169" t="s">
        <v>15534</v>
      </c>
      <c r="Q2208" s="9">
        <v>5678.37</v>
      </c>
    </row>
    <row r="2209" spans="15:17" x14ac:dyDescent="0.2">
      <c r="O2209" s="9" t="s">
        <v>15535</v>
      </c>
      <c r="P2209" s="169" t="s">
        <v>15536</v>
      </c>
      <c r="Q2209" s="9">
        <v>5616</v>
      </c>
    </row>
    <row r="2210" spans="15:17" x14ac:dyDescent="0.2">
      <c r="O2210" s="9">
        <v>40837</v>
      </c>
      <c r="P2210" s="169" t="s">
        <v>15537</v>
      </c>
      <c r="Q2210" s="9">
        <v>9079.76</v>
      </c>
    </row>
    <row r="2211" spans="15:17" x14ac:dyDescent="0.2">
      <c r="O2211" s="9">
        <v>40838</v>
      </c>
      <c r="P2211" s="169" t="s">
        <v>15538</v>
      </c>
      <c r="Q2211" s="9">
        <v>6802.87</v>
      </c>
    </row>
    <row r="2212" spans="15:17" x14ac:dyDescent="0.2">
      <c r="O2212" s="9">
        <v>40839</v>
      </c>
      <c r="P2212" s="169" t="s">
        <v>15539</v>
      </c>
      <c r="Q2212" s="9">
        <v>9079.76</v>
      </c>
    </row>
    <row r="2213" spans="15:17" x14ac:dyDescent="0.2">
      <c r="O2213" s="9">
        <v>40840</v>
      </c>
      <c r="P2213" s="169" t="s">
        <v>15540</v>
      </c>
      <c r="Q2213" s="9">
        <v>6376.66</v>
      </c>
    </row>
    <row r="2214" spans="15:17" x14ac:dyDescent="0.2">
      <c r="O2214" s="9" t="s">
        <v>15541</v>
      </c>
      <c r="P2214" s="169" t="s">
        <v>15542</v>
      </c>
      <c r="Q2214" s="9">
        <v>6292</v>
      </c>
    </row>
    <row r="2215" spans="15:17" x14ac:dyDescent="0.2">
      <c r="O2215" s="9">
        <v>40842</v>
      </c>
      <c r="P2215" s="169" t="s">
        <v>15543</v>
      </c>
      <c r="Q2215" s="9">
        <v>6802.87</v>
      </c>
    </row>
    <row r="2216" spans="15:17" x14ac:dyDescent="0.2">
      <c r="O2216" s="9">
        <v>40844</v>
      </c>
      <c r="P2216" s="169" t="s">
        <v>15544</v>
      </c>
      <c r="Q2216" s="9">
        <v>7711.37</v>
      </c>
    </row>
    <row r="2217" spans="15:17" x14ac:dyDescent="0.2">
      <c r="O2217" s="9">
        <v>40845</v>
      </c>
      <c r="P2217" s="169" t="s">
        <v>15545</v>
      </c>
      <c r="Q2217" s="9">
        <v>7259.96</v>
      </c>
    </row>
    <row r="2218" spans="15:17" x14ac:dyDescent="0.2">
      <c r="O2218" s="9">
        <v>40846</v>
      </c>
      <c r="P2218" s="169" t="s">
        <v>15546</v>
      </c>
      <c r="Q2218" s="9">
        <v>8168.43</v>
      </c>
    </row>
    <row r="2219" spans="15:17" x14ac:dyDescent="0.2">
      <c r="O2219" s="9">
        <v>40847</v>
      </c>
      <c r="P2219" s="169" t="s">
        <v>15547</v>
      </c>
      <c r="Q2219" s="9">
        <v>8168.43</v>
      </c>
    </row>
    <row r="2220" spans="15:17" x14ac:dyDescent="0.2">
      <c r="O2220" s="9">
        <v>40848</v>
      </c>
      <c r="P2220" s="169" t="s">
        <v>15548</v>
      </c>
      <c r="Q2220" s="9">
        <v>8168.43</v>
      </c>
    </row>
    <row r="2221" spans="15:17" x14ac:dyDescent="0.2">
      <c r="O2221" s="9">
        <v>40850</v>
      </c>
      <c r="P2221" s="169" t="s">
        <v>15549</v>
      </c>
      <c r="Q2221" s="9">
        <v>7500.99</v>
      </c>
    </row>
    <row r="2222" spans="15:17" x14ac:dyDescent="0.2">
      <c r="O2222" s="9">
        <v>40852</v>
      </c>
      <c r="P2222" s="169" t="s">
        <v>15550</v>
      </c>
      <c r="Q2222" s="9">
        <v>7896.46</v>
      </c>
    </row>
    <row r="2223" spans="15:17" x14ac:dyDescent="0.2">
      <c r="O2223" s="9">
        <v>40855</v>
      </c>
      <c r="P2223" s="169" t="s">
        <v>15551</v>
      </c>
      <c r="Q2223" s="9">
        <v>8202.11</v>
      </c>
    </row>
    <row r="2224" spans="15:17" x14ac:dyDescent="0.2">
      <c r="O2224" s="9">
        <v>40856</v>
      </c>
      <c r="P2224" s="169" t="s">
        <v>15552</v>
      </c>
      <c r="Q2224" s="9">
        <v>9708.36</v>
      </c>
    </row>
    <row r="2225" spans="15:17" x14ac:dyDescent="0.2">
      <c r="O2225" s="9">
        <v>40858</v>
      </c>
      <c r="P2225" s="169" t="s">
        <v>15553</v>
      </c>
      <c r="Q2225" s="9">
        <v>10324.82</v>
      </c>
    </row>
    <row r="2226" spans="15:17" x14ac:dyDescent="0.2">
      <c r="O2226" s="9">
        <v>40860</v>
      </c>
      <c r="P2226" s="169" t="s">
        <v>15554</v>
      </c>
      <c r="Q2226" s="9">
        <v>10627.64</v>
      </c>
    </row>
    <row r="2227" spans="15:17" x14ac:dyDescent="0.2">
      <c r="O2227" s="9">
        <v>40862</v>
      </c>
      <c r="P2227" s="169" t="s">
        <v>15555</v>
      </c>
      <c r="Q2227" s="9">
        <v>10627.64</v>
      </c>
    </row>
    <row r="2228" spans="15:17" x14ac:dyDescent="0.2">
      <c r="O2228" s="9">
        <v>40865</v>
      </c>
      <c r="P2228" s="169" t="s">
        <v>15556</v>
      </c>
      <c r="Q2228" s="9">
        <v>13602.84</v>
      </c>
    </row>
    <row r="2229" spans="15:17" x14ac:dyDescent="0.2">
      <c r="O2229" s="9">
        <v>40868</v>
      </c>
      <c r="P2229" s="169" t="s">
        <v>15557</v>
      </c>
      <c r="Q2229" s="9">
        <v>16331.36</v>
      </c>
    </row>
    <row r="2230" spans="15:17" x14ac:dyDescent="0.2">
      <c r="O2230" s="9">
        <v>40870</v>
      </c>
      <c r="P2230" s="169" t="s">
        <v>15558</v>
      </c>
      <c r="Q2230" s="9">
        <v>19034.52</v>
      </c>
    </row>
    <row r="2231" spans="15:17" x14ac:dyDescent="0.2">
      <c r="O2231" s="9">
        <v>40872</v>
      </c>
      <c r="P2231" s="169" t="s">
        <v>15559</v>
      </c>
      <c r="Q2231" s="9">
        <v>20400.09</v>
      </c>
    </row>
    <row r="2232" spans="15:17" x14ac:dyDescent="0.2">
      <c r="O2232" s="9">
        <v>40875</v>
      </c>
      <c r="P2232" s="169" t="s">
        <v>15560</v>
      </c>
      <c r="Q2232" s="9">
        <v>21765.85</v>
      </c>
    </row>
    <row r="2233" spans="15:17" x14ac:dyDescent="0.2">
      <c r="O2233" s="9">
        <v>40878</v>
      </c>
      <c r="P2233" s="169" t="s">
        <v>15561</v>
      </c>
      <c r="Q2233" s="9">
        <v>24925.99</v>
      </c>
    </row>
    <row r="2234" spans="15:17" x14ac:dyDescent="0.2">
      <c r="O2234" s="9">
        <v>40880</v>
      </c>
      <c r="P2234" s="169" t="s">
        <v>15562</v>
      </c>
      <c r="Q2234" s="9">
        <v>24925.99</v>
      </c>
    </row>
    <row r="2235" spans="15:17" x14ac:dyDescent="0.2">
      <c r="O2235" s="9">
        <v>40882</v>
      </c>
      <c r="P2235" s="169" t="s">
        <v>15563</v>
      </c>
      <c r="Q2235" s="9">
        <v>26291.63</v>
      </c>
    </row>
    <row r="2236" spans="15:17" x14ac:dyDescent="0.2">
      <c r="O2236" s="9">
        <v>40885</v>
      </c>
      <c r="P2236" s="169" t="s">
        <v>15564</v>
      </c>
      <c r="Q2236" s="9">
        <v>32780.35</v>
      </c>
    </row>
    <row r="2237" spans="15:17" x14ac:dyDescent="0.2">
      <c r="O2237" s="9">
        <v>40887</v>
      </c>
      <c r="P2237" s="169" t="s">
        <v>15565</v>
      </c>
      <c r="Q2237" s="9">
        <v>41279.839999999997</v>
      </c>
    </row>
    <row r="2238" spans="15:17" x14ac:dyDescent="0.2">
      <c r="O2238" s="9">
        <v>40890</v>
      </c>
      <c r="P2238" s="169" t="s">
        <v>15566</v>
      </c>
      <c r="Q2238" s="9">
        <v>41279.839999999997</v>
      </c>
    </row>
    <row r="2239" spans="15:17" x14ac:dyDescent="0.2">
      <c r="O2239" s="9">
        <v>40892</v>
      </c>
      <c r="P2239" s="169" t="s">
        <v>15567</v>
      </c>
      <c r="Q2239" s="9">
        <v>45533.68</v>
      </c>
    </row>
    <row r="2240" spans="15:17" x14ac:dyDescent="0.2">
      <c r="O2240" s="9">
        <v>40895</v>
      </c>
      <c r="P2240" s="169" t="s">
        <v>15568</v>
      </c>
      <c r="Q2240" s="9">
        <v>45533.68</v>
      </c>
    </row>
    <row r="2241" spans="15:17" x14ac:dyDescent="0.2">
      <c r="O2241" s="9">
        <v>40908</v>
      </c>
      <c r="P2241" s="169" t="s">
        <v>15569</v>
      </c>
      <c r="Q2241" s="9">
        <v>555.41</v>
      </c>
    </row>
    <row r="2242" spans="15:17" x14ac:dyDescent="0.2">
      <c r="O2242" s="9">
        <v>40909</v>
      </c>
      <c r="P2242" s="169" t="s">
        <v>15570</v>
      </c>
      <c r="Q2242" s="9">
        <v>660.14</v>
      </c>
    </row>
    <row r="2243" spans="15:17" x14ac:dyDescent="0.2">
      <c r="O2243" s="9">
        <v>40910</v>
      </c>
      <c r="P2243" s="169" t="s">
        <v>15571</v>
      </c>
      <c r="Q2243" s="9">
        <v>729.8</v>
      </c>
    </row>
    <row r="2244" spans="15:17" x14ac:dyDescent="0.2">
      <c r="O2244" s="9">
        <v>409100</v>
      </c>
      <c r="P2244" s="169" t="s">
        <v>15572</v>
      </c>
      <c r="Q2244" s="9">
        <v>47356</v>
      </c>
    </row>
    <row r="2245" spans="15:17" x14ac:dyDescent="0.2">
      <c r="O2245" s="9">
        <v>40911</v>
      </c>
      <c r="P2245" s="169" t="s">
        <v>15573</v>
      </c>
      <c r="Q2245" s="9">
        <v>909.03</v>
      </c>
    </row>
    <row r="2246" spans="15:17" x14ac:dyDescent="0.2">
      <c r="O2246" s="9">
        <v>40912</v>
      </c>
      <c r="P2246" s="169" t="s">
        <v>15574</v>
      </c>
      <c r="Q2246" s="9">
        <v>909.03</v>
      </c>
    </row>
    <row r="2247" spans="15:17" x14ac:dyDescent="0.2">
      <c r="O2247" s="9">
        <v>40913</v>
      </c>
      <c r="P2247" s="169" t="s">
        <v>15575</v>
      </c>
      <c r="Q2247" s="9">
        <v>909.03</v>
      </c>
    </row>
    <row r="2248" spans="15:17" x14ac:dyDescent="0.2">
      <c r="O2248" s="9">
        <v>40914</v>
      </c>
      <c r="P2248" s="169" t="s">
        <v>15576</v>
      </c>
      <c r="Q2248" s="9">
        <v>955.07</v>
      </c>
    </row>
    <row r="2249" spans="15:17" x14ac:dyDescent="0.2">
      <c r="O2249" s="9">
        <v>40915</v>
      </c>
      <c r="P2249" s="169" t="s">
        <v>15577</v>
      </c>
      <c r="Q2249" s="9">
        <v>955.07</v>
      </c>
    </row>
    <row r="2250" spans="15:17" x14ac:dyDescent="0.2">
      <c r="O2250" s="9">
        <v>40916</v>
      </c>
      <c r="P2250" s="169" t="s">
        <v>15578</v>
      </c>
      <c r="Q2250" s="9">
        <v>1004.91</v>
      </c>
    </row>
    <row r="2251" spans="15:17" x14ac:dyDescent="0.2">
      <c r="O2251" s="9">
        <v>40917</v>
      </c>
      <c r="P2251" s="169" t="s">
        <v>15579</v>
      </c>
      <c r="Q2251" s="9">
        <v>1267.68</v>
      </c>
    </row>
    <row r="2252" spans="15:17" x14ac:dyDescent="0.2">
      <c r="O2252" s="9">
        <v>40918</v>
      </c>
      <c r="P2252" s="169" t="s">
        <v>15580</v>
      </c>
      <c r="Q2252" s="9">
        <v>1125.92</v>
      </c>
    </row>
    <row r="2253" spans="15:17" x14ac:dyDescent="0.2">
      <c r="O2253" s="9">
        <v>40919</v>
      </c>
      <c r="P2253" s="169" t="s">
        <v>15581</v>
      </c>
      <c r="Q2253" s="9">
        <v>1221.72</v>
      </c>
    </row>
    <row r="2254" spans="15:17" x14ac:dyDescent="0.2">
      <c r="O2254" s="9">
        <v>40920</v>
      </c>
      <c r="P2254" s="169" t="s">
        <v>15582</v>
      </c>
      <c r="Q2254" s="9">
        <v>1363.39</v>
      </c>
    </row>
    <row r="2255" spans="15:17" x14ac:dyDescent="0.2">
      <c r="O2255" s="9">
        <v>40921</v>
      </c>
      <c r="P2255" s="169" t="s">
        <v>15583</v>
      </c>
      <c r="Q2255" s="9">
        <v>1497.01</v>
      </c>
    </row>
    <row r="2256" spans="15:17" x14ac:dyDescent="0.2">
      <c r="O2256" s="9">
        <v>40922</v>
      </c>
      <c r="P2256" s="169" t="s">
        <v>15584</v>
      </c>
      <c r="Q2256" s="9">
        <v>1626.31</v>
      </c>
    </row>
    <row r="2257" spans="15:17" x14ac:dyDescent="0.2">
      <c r="O2257" s="9">
        <v>40923</v>
      </c>
      <c r="P2257" s="169" t="s">
        <v>15585</v>
      </c>
      <c r="Q2257" s="9">
        <v>2172.4899999999998</v>
      </c>
    </row>
    <row r="2258" spans="15:17" x14ac:dyDescent="0.2">
      <c r="O2258" s="9">
        <v>40924</v>
      </c>
      <c r="P2258" s="169" t="s">
        <v>15586</v>
      </c>
      <c r="Q2258" s="9">
        <v>2530.15</v>
      </c>
    </row>
    <row r="2259" spans="15:17" x14ac:dyDescent="0.2">
      <c r="O2259" s="9">
        <v>40925</v>
      </c>
      <c r="P2259" s="169" t="s">
        <v>15587</v>
      </c>
      <c r="Q2259" s="9">
        <v>2390.61</v>
      </c>
    </row>
    <row r="2260" spans="15:17" x14ac:dyDescent="0.2">
      <c r="O2260" s="9">
        <v>40926</v>
      </c>
      <c r="P2260" s="169" t="s">
        <v>15588</v>
      </c>
      <c r="Q2260" s="9">
        <v>2473.36</v>
      </c>
    </row>
    <row r="2261" spans="15:17" x14ac:dyDescent="0.2">
      <c r="O2261" s="9">
        <v>40928</v>
      </c>
      <c r="P2261" s="169" t="s">
        <v>15589</v>
      </c>
      <c r="Q2261" s="9">
        <v>2559.88</v>
      </c>
    </row>
    <row r="2262" spans="15:17" x14ac:dyDescent="0.2">
      <c r="O2262" s="9">
        <v>40929</v>
      </c>
      <c r="P2262" s="169" t="s">
        <v>15590</v>
      </c>
      <c r="Q2262" s="9">
        <v>2993.04</v>
      </c>
    </row>
    <row r="2263" spans="15:17" x14ac:dyDescent="0.2">
      <c r="O2263" s="9">
        <v>40930</v>
      </c>
      <c r="P2263" s="169" t="s">
        <v>15591</v>
      </c>
      <c r="Q2263" s="9">
        <v>2993.04</v>
      </c>
    </row>
    <row r="2264" spans="15:17" x14ac:dyDescent="0.2">
      <c r="O2264" s="9">
        <v>40932</v>
      </c>
      <c r="P2264" s="169" t="s">
        <v>15592</v>
      </c>
      <c r="Q2264" s="9">
        <v>2993.04</v>
      </c>
    </row>
    <row r="2265" spans="15:17" x14ac:dyDescent="0.2">
      <c r="O2265" s="9">
        <v>40933</v>
      </c>
      <c r="P2265" s="169" t="s">
        <v>15593</v>
      </c>
      <c r="Q2265" s="9">
        <v>3839.83</v>
      </c>
    </row>
    <row r="2266" spans="15:17" x14ac:dyDescent="0.2">
      <c r="O2266" s="9">
        <v>40934</v>
      </c>
      <c r="P2266" s="169" t="s">
        <v>15594</v>
      </c>
      <c r="Q2266" s="9">
        <v>3101.58</v>
      </c>
    </row>
    <row r="2267" spans="15:17" x14ac:dyDescent="0.2">
      <c r="O2267" s="9">
        <v>40935</v>
      </c>
      <c r="P2267" s="169" t="s">
        <v>15595</v>
      </c>
      <c r="Q2267" s="9">
        <v>3229.62</v>
      </c>
    </row>
    <row r="2268" spans="15:17" x14ac:dyDescent="0.2">
      <c r="O2268" s="9">
        <v>40936</v>
      </c>
      <c r="P2268" s="169" t="s">
        <v>15596</v>
      </c>
      <c r="Q2268" s="9">
        <v>3679.43</v>
      </c>
    </row>
    <row r="2269" spans="15:17" x14ac:dyDescent="0.2">
      <c r="O2269" s="9">
        <v>40937</v>
      </c>
      <c r="P2269" s="169" t="s">
        <v>15597</v>
      </c>
      <c r="Q2269" s="9">
        <v>4066.88</v>
      </c>
    </row>
    <row r="2270" spans="15:17" x14ac:dyDescent="0.2">
      <c r="O2270" s="9">
        <v>40938</v>
      </c>
      <c r="P2270" s="169" t="s">
        <v>15598</v>
      </c>
      <c r="Q2270" s="9">
        <v>3870.25</v>
      </c>
    </row>
    <row r="2271" spans="15:17" x14ac:dyDescent="0.2">
      <c r="O2271" s="9">
        <v>40940</v>
      </c>
      <c r="P2271" s="169" t="s">
        <v>15599</v>
      </c>
      <c r="Q2271" s="9">
        <v>5160.3599999999997</v>
      </c>
    </row>
    <row r="2272" spans="15:17" x14ac:dyDescent="0.2">
      <c r="O2272" s="9">
        <v>40941</v>
      </c>
      <c r="P2272" s="169" t="s">
        <v>15600</v>
      </c>
      <c r="Q2272" s="9">
        <v>8586.68</v>
      </c>
    </row>
    <row r="2273" spans="15:17" x14ac:dyDescent="0.2">
      <c r="O2273" s="9">
        <v>40942</v>
      </c>
      <c r="P2273" s="169" t="s">
        <v>15601</v>
      </c>
      <c r="Q2273" s="9">
        <v>5485.08</v>
      </c>
    </row>
    <row r="2274" spans="15:17" x14ac:dyDescent="0.2">
      <c r="O2274" s="9">
        <v>40943</v>
      </c>
      <c r="P2274" s="169" t="s">
        <v>15602</v>
      </c>
      <c r="Q2274" s="9">
        <v>6453.42</v>
      </c>
    </row>
    <row r="2275" spans="15:17" x14ac:dyDescent="0.2">
      <c r="O2275" s="9">
        <v>40944</v>
      </c>
      <c r="P2275" s="169" t="s">
        <v>15603</v>
      </c>
      <c r="Q2275" s="9">
        <v>6775.12</v>
      </c>
    </row>
    <row r="2276" spans="15:17" x14ac:dyDescent="0.2">
      <c r="O2276" s="9">
        <v>40945</v>
      </c>
      <c r="P2276" s="169" t="s">
        <v>15604</v>
      </c>
      <c r="Q2276" s="9">
        <v>7099.89</v>
      </c>
    </row>
    <row r="2277" spans="15:17" x14ac:dyDescent="0.2">
      <c r="O2277" s="9">
        <v>40946</v>
      </c>
      <c r="P2277" s="169" t="s">
        <v>15605</v>
      </c>
      <c r="Q2277" s="9">
        <v>7421.65</v>
      </c>
    </row>
    <row r="2278" spans="15:17" x14ac:dyDescent="0.2">
      <c r="O2278" s="9">
        <v>40947</v>
      </c>
      <c r="P2278" s="169" t="s">
        <v>15606</v>
      </c>
      <c r="Q2278" s="9">
        <v>7740.53</v>
      </c>
    </row>
    <row r="2279" spans="15:17" x14ac:dyDescent="0.2">
      <c r="O2279" s="9">
        <v>40948</v>
      </c>
      <c r="P2279" s="169" t="s">
        <v>15607</v>
      </c>
      <c r="Q2279" s="9">
        <v>7740.53</v>
      </c>
    </row>
    <row r="2280" spans="15:17" x14ac:dyDescent="0.2">
      <c r="O2280" s="9">
        <v>40949</v>
      </c>
      <c r="P2280" s="169" t="s">
        <v>15608</v>
      </c>
      <c r="Q2280" s="9">
        <v>8390.0499999999993</v>
      </c>
    </row>
    <row r="2281" spans="15:17" x14ac:dyDescent="0.2">
      <c r="O2281" s="9">
        <v>40950</v>
      </c>
      <c r="P2281" s="169" t="s">
        <v>15609</v>
      </c>
      <c r="Q2281" s="9">
        <v>6682.32</v>
      </c>
    </row>
    <row r="2282" spans="15:17" x14ac:dyDescent="0.2">
      <c r="O2282" s="9">
        <v>40952</v>
      </c>
      <c r="P2282" s="169" t="s">
        <v>15610</v>
      </c>
      <c r="Q2282" s="9">
        <v>6985.11</v>
      </c>
    </row>
    <row r="2283" spans="15:17" x14ac:dyDescent="0.2">
      <c r="O2283" s="9">
        <v>40955</v>
      </c>
      <c r="P2283" s="169" t="s">
        <v>15611</v>
      </c>
      <c r="Q2283" s="9">
        <v>7285.17</v>
      </c>
    </row>
    <row r="2284" spans="15:17" x14ac:dyDescent="0.2">
      <c r="O2284" s="9">
        <v>40958</v>
      </c>
      <c r="P2284" s="169" t="s">
        <v>15612</v>
      </c>
      <c r="Q2284" s="9">
        <v>8202.11</v>
      </c>
    </row>
    <row r="2285" spans="15:17" x14ac:dyDescent="0.2">
      <c r="O2285" s="9">
        <v>40960</v>
      </c>
      <c r="P2285" s="169" t="s">
        <v>15613</v>
      </c>
      <c r="Q2285" s="9">
        <v>8202.11</v>
      </c>
    </row>
    <row r="2286" spans="15:17" x14ac:dyDescent="0.2">
      <c r="O2286" s="9">
        <v>40962</v>
      </c>
      <c r="P2286" s="169" t="s">
        <v>15614</v>
      </c>
      <c r="Q2286" s="9">
        <v>8202.11</v>
      </c>
    </row>
    <row r="2287" spans="15:17" x14ac:dyDescent="0.2">
      <c r="O2287" s="9">
        <v>40965</v>
      </c>
      <c r="P2287" s="169" t="s">
        <v>15615</v>
      </c>
      <c r="Q2287" s="9">
        <v>9713.56</v>
      </c>
    </row>
    <row r="2288" spans="15:17" x14ac:dyDescent="0.2">
      <c r="O2288" s="9">
        <v>40968</v>
      </c>
      <c r="P2288" s="169" t="s">
        <v>15616</v>
      </c>
      <c r="Q2288" s="9">
        <v>12750.44</v>
      </c>
    </row>
    <row r="2289" spans="15:17" x14ac:dyDescent="0.2">
      <c r="O2289" s="9">
        <v>40970</v>
      </c>
      <c r="P2289" s="169" t="s">
        <v>15617</v>
      </c>
      <c r="Q2289" s="9">
        <v>14875.65</v>
      </c>
    </row>
    <row r="2290" spans="15:17" x14ac:dyDescent="0.2">
      <c r="O2290" s="9">
        <v>40972</v>
      </c>
      <c r="P2290" s="169" t="s">
        <v>15618</v>
      </c>
      <c r="Q2290" s="9">
        <v>16392.189999999999</v>
      </c>
    </row>
    <row r="2291" spans="15:17" x14ac:dyDescent="0.2">
      <c r="O2291" s="9">
        <v>40975</v>
      </c>
      <c r="P2291" s="169" t="s">
        <v>15619</v>
      </c>
      <c r="Q2291" s="9">
        <v>20038.41</v>
      </c>
    </row>
    <row r="2292" spans="15:17" x14ac:dyDescent="0.2">
      <c r="O2292" s="9">
        <v>40980</v>
      </c>
      <c r="P2292" s="169" t="s">
        <v>15620</v>
      </c>
      <c r="Q2292" s="9">
        <v>27317.919999999998</v>
      </c>
    </row>
    <row r="2293" spans="15:17" x14ac:dyDescent="0.2">
      <c r="O2293" s="9">
        <v>40982</v>
      </c>
      <c r="P2293" s="169" t="s">
        <v>15621</v>
      </c>
      <c r="Q2293" s="9">
        <v>27317.919999999998</v>
      </c>
    </row>
    <row r="2294" spans="15:17" x14ac:dyDescent="0.2">
      <c r="O2294" s="9">
        <v>40985</v>
      </c>
      <c r="P2294" s="169" t="s">
        <v>15622</v>
      </c>
      <c r="Q2294" s="9">
        <v>40065.42</v>
      </c>
    </row>
    <row r="2295" spans="15:17" x14ac:dyDescent="0.2">
      <c r="O2295" s="9">
        <v>40990</v>
      </c>
      <c r="P2295" s="169" t="s">
        <v>15623</v>
      </c>
      <c r="Q2295" s="9">
        <v>39462.129999999997</v>
      </c>
    </row>
    <row r="2296" spans="15:17" x14ac:dyDescent="0.2">
      <c r="O2296" s="9">
        <v>40992</v>
      </c>
      <c r="P2296" s="169" t="s">
        <v>15624</v>
      </c>
      <c r="Q2296" s="9">
        <v>45530.91</v>
      </c>
    </row>
    <row r="2297" spans="15:17" x14ac:dyDescent="0.2">
      <c r="O2297" s="9">
        <v>40995</v>
      </c>
      <c r="P2297" s="169" t="s">
        <v>15625</v>
      </c>
      <c r="Q2297" s="9">
        <v>45530.91</v>
      </c>
    </row>
    <row r="2298" spans="15:17" x14ac:dyDescent="0.2">
      <c r="O2298" s="9">
        <v>41010</v>
      </c>
      <c r="P2298" s="169" t="s">
        <v>15626</v>
      </c>
      <c r="Q2298" s="9">
        <v>134.47</v>
      </c>
    </row>
    <row r="2299" spans="15:17" x14ac:dyDescent="0.2">
      <c r="O2299" s="9">
        <v>41016</v>
      </c>
      <c r="P2299" s="169" t="s">
        <v>15627</v>
      </c>
      <c r="Q2299" s="9">
        <v>277.86</v>
      </c>
    </row>
    <row r="2300" spans="15:17" x14ac:dyDescent="0.2">
      <c r="O2300" s="9">
        <v>41017</v>
      </c>
      <c r="P2300" s="169" t="s">
        <v>15628</v>
      </c>
      <c r="Q2300" s="9">
        <v>259</v>
      </c>
    </row>
    <row r="2301" spans="15:17" x14ac:dyDescent="0.2">
      <c r="O2301" s="9">
        <v>41019</v>
      </c>
      <c r="P2301" s="169" t="s">
        <v>15629</v>
      </c>
      <c r="Q2301" s="9">
        <v>610.5</v>
      </c>
    </row>
    <row r="2302" spans="15:17" x14ac:dyDescent="0.2">
      <c r="O2302" s="9">
        <v>41028</v>
      </c>
      <c r="P2302" s="169" t="s">
        <v>15630</v>
      </c>
      <c r="Q2302" s="9">
        <v>862</v>
      </c>
    </row>
    <row r="2303" spans="15:17" x14ac:dyDescent="0.2">
      <c r="O2303" s="9" t="s">
        <v>15631</v>
      </c>
      <c r="P2303" s="169" t="s">
        <v>15632</v>
      </c>
      <c r="Q2303" s="9">
        <v>490.5</v>
      </c>
    </row>
    <row r="2304" spans="15:17" x14ac:dyDescent="0.2">
      <c r="O2304" s="9">
        <v>41054</v>
      </c>
      <c r="P2304" s="169" t="s">
        <v>15633</v>
      </c>
      <c r="Q2304" s="9">
        <v>2307</v>
      </c>
    </row>
    <row r="2305" spans="15:17" x14ac:dyDescent="0.2">
      <c r="O2305" s="9" t="s">
        <v>15634</v>
      </c>
      <c r="P2305" s="169" t="s">
        <v>15635</v>
      </c>
      <c r="Q2305" s="9">
        <v>951</v>
      </c>
    </row>
    <row r="2306" spans="15:17" x14ac:dyDescent="0.2">
      <c r="O2306" s="9">
        <v>41122</v>
      </c>
      <c r="P2306" s="169" t="s">
        <v>15636</v>
      </c>
      <c r="Q2306" s="9">
        <v>292</v>
      </c>
    </row>
    <row r="2307" spans="15:17" x14ac:dyDescent="0.2">
      <c r="O2307" s="9">
        <v>41125</v>
      </c>
      <c r="P2307" s="169" t="s">
        <v>15637</v>
      </c>
      <c r="Q2307" s="9">
        <v>198</v>
      </c>
    </row>
    <row r="2308" spans="15:17" x14ac:dyDescent="0.2">
      <c r="O2308" s="9" t="s">
        <v>15638</v>
      </c>
      <c r="P2308" s="169" t="s">
        <v>15639</v>
      </c>
      <c r="Q2308" s="9">
        <v>303.5</v>
      </c>
    </row>
    <row r="2309" spans="15:17" x14ac:dyDescent="0.2">
      <c r="O2309" s="9" t="s">
        <v>15640</v>
      </c>
      <c r="P2309" s="169" t="s">
        <v>15641</v>
      </c>
      <c r="Q2309" s="9">
        <v>393</v>
      </c>
    </row>
    <row r="2310" spans="15:17" x14ac:dyDescent="0.2">
      <c r="O2310" s="9">
        <v>41131</v>
      </c>
      <c r="P2310" s="169" t="s">
        <v>15642</v>
      </c>
      <c r="Q2310" s="9">
        <v>773</v>
      </c>
    </row>
    <row r="2311" spans="15:17" x14ac:dyDescent="0.2">
      <c r="O2311" s="9">
        <v>41135</v>
      </c>
      <c r="P2311" s="169" t="s">
        <v>15643</v>
      </c>
      <c r="Q2311" s="9">
        <v>969</v>
      </c>
    </row>
    <row r="2312" spans="15:17" x14ac:dyDescent="0.2">
      <c r="O2312" s="9">
        <v>41216</v>
      </c>
      <c r="P2312" s="169" t="s">
        <v>15644</v>
      </c>
      <c r="Q2312" s="9">
        <v>288.08999999999997</v>
      </c>
    </row>
    <row r="2313" spans="15:17" x14ac:dyDescent="0.2">
      <c r="O2313" s="9">
        <v>41217</v>
      </c>
      <c r="P2313" s="169" t="s">
        <v>15645</v>
      </c>
      <c r="Q2313" s="9">
        <v>288.08999999999997</v>
      </c>
    </row>
    <row r="2314" spans="15:17" x14ac:dyDescent="0.2">
      <c r="O2314" s="9">
        <v>41218</v>
      </c>
      <c r="P2314" s="169" t="s">
        <v>15646</v>
      </c>
      <c r="Q2314" s="9">
        <v>324</v>
      </c>
    </row>
    <row r="2315" spans="15:17" x14ac:dyDescent="0.2">
      <c r="O2315" s="9">
        <v>41219</v>
      </c>
      <c r="P2315" s="169" t="s">
        <v>15647</v>
      </c>
      <c r="Q2315" s="9">
        <v>324</v>
      </c>
    </row>
    <row r="2316" spans="15:17" x14ac:dyDescent="0.2">
      <c r="O2316" s="9">
        <v>41220</v>
      </c>
      <c r="P2316" s="169" t="s">
        <v>15648</v>
      </c>
      <c r="Q2316" s="9">
        <v>324</v>
      </c>
    </row>
    <row r="2317" spans="15:17" x14ac:dyDescent="0.2">
      <c r="O2317" s="9">
        <v>41222</v>
      </c>
      <c r="P2317" s="169" t="s">
        <v>15649</v>
      </c>
      <c r="Q2317" s="9">
        <v>338.73</v>
      </c>
    </row>
    <row r="2318" spans="15:17" x14ac:dyDescent="0.2">
      <c r="O2318" s="9">
        <v>41224</v>
      </c>
      <c r="P2318" s="169" t="s">
        <v>15650</v>
      </c>
      <c r="Q2318" s="9">
        <v>431.92</v>
      </c>
    </row>
    <row r="2319" spans="15:17" x14ac:dyDescent="0.2">
      <c r="O2319" s="9">
        <v>41225</v>
      </c>
      <c r="P2319" s="169" t="s">
        <v>15651</v>
      </c>
      <c r="Q2319" s="9">
        <v>539.97</v>
      </c>
    </row>
    <row r="2320" spans="15:17" x14ac:dyDescent="0.2">
      <c r="O2320" s="9">
        <v>41226</v>
      </c>
      <c r="P2320" s="169" t="s">
        <v>15652</v>
      </c>
      <c r="Q2320" s="9">
        <v>355</v>
      </c>
    </row>
    <row r="2321" spans="15:17" x14ac:dyDescent="0.2">
      <c r="O2321" s="9">
        <v>41227</v>
      </c>
      <c r="P2321" s="169" t="s">
        <v>15653</v>
      </c>
      <c r="Q2321" s="9">
        <v>539.97</v>
      </c>
    </row>
    <row r="2322" spans="15:17" x14ac:dyDescent="0.2">
      <c r="O2322" s="9">
        <v>41228</v>
      </c>
      <c r="P2322" s="169" t="s">
        <v>15654</v>
      </c>
      <c r="Q2322" s="9">
        <v>539.97</v>
      </c>
    </row>
    <row r="2323" spans="15:17" x14ac:dyDescent="0.2">
      <c r="O2323" s="9">
        <v>41230</v>
      </c>
      <c r="P2323" s="169" t="s">
        <v>15655</v>
      </c>
      <c r="Q2323" s="9">
        <v>539.97</v>
      </c>
    </row>
    <row r="2324" spans="15:17" x14ac:dyDescent="0.2">
      <c r="O2324" s="9">
        <v>41232</v>
      </c>
      <c r="P2324" s="169" t="s">
        <v>15656</v>
      </c>
      <c r="Q2324" s="9">
        <v>576.04</v>
      </c>
    </row>
    <row r="2325" spans="15:17" x14ac:dyDescent="0.2">
      <c r="O2325" s="9">
        <v>41233</v>
      </c>
      <c r="P2325" s="169" t="s">
        <v>15657</v>
      </c>
      <c r="Q2325" s="9">
        <v>755.92</v>
      </c>
    </row>
    <row r="2326" spans="15:17" x14ac:dyDescent="0.2">
      <c r="O2326" s="9">
        <v>41235</v>
      </c>
      <c r="P2326" s="169" t="s">
        <v>15658</v>
      </c>
      <c r="Q2326" s="9">
        <v>931.48</v>
      </c>
    </row>
    <row r="2327" spans="15:17" x14ac:dyDescent="0.2">
      <c r="O2327" s="9">
        <v>41236</v>
      </c>
      <c r="P2327" s="169" t="s">
        <v>15659</v>
      </c>
      <c r="Q2327" s="9">
        <v>1047.97</v>
      </c>
    </row>
    <row r="2328" spans="15:17" x14ac:dyDescent="0.2">
      <c r="O2328" s="9">
        <v>41238</v>
      </c>
      <c r="P2328" s="169" t="s">
        <v>15660</v>
      </c>
      <c r="Q2328" s="9">
        <v>1164.46</v>
      </c>
    </row>
    <row r="2329" spans="15:17" x14ac:dyDescent="0.2">
      <c r="O2329" s="9">
        <v>41240</v>
      </c>
      <c r="P2329" s="169" t="s">
        <v>15661</v>
      </c>
      <c r="Q2329" s="9">
        <v>1358.5</v>
      </c>
    </row>
    <row r="2330" spans="15:17" x14ac:dyDescent="0.2">
      <c r="O2330" s="9">
        <v>41242</v>
      </c>
      <c r="P2330" s="169" t="s">
        <v>15662</v>
      </c>
      <c r="Q2330" s="9">
        <v>1552.56</v>
      </c>
    </row>
    <row r="2331" spans="15:17" x14ac:dyDescent="0.2">
      <c r="O2331" s="9">
        <v>41245</v>
      </c>
      <c r="P2331" s="169" t="s">
        <v>15663</v>
      </c>
      <c r="Q2331" s="9">
        <v>1746.62</v>
      </c>
    </row>
    <row r="2332" spans="15:17" x14ac:dyDescent="0.2">
      <c r="O2332" s="9">
        <v>41247</v>
      </c>
      <c r="P2332" s="169" t="s">
        <v>15664</v>
      </c>
      <c r="Q2332" s="9">
        <v>1940.66</v>
      </c>
    </row>
    <row r="2333" spans="15:17" x14ac:dyDescent="0.2">
      <c r="O2333" s="9">
        <v>41248</v>
      </c>
      <c r="P2333" s="169" t="s">
        <v>15665</v>
      </c>
      <c r="Q2333" s="9">
        <v>2134.7199999999998</v>
      </c>
    </row>
    <row r="2334" spans="15:17" x14ac:dyDescent="0.2">
      <c r="O2334" s="9">
        <v>41250</v>
      </c>
      <c r="P2334" s="169" t="s">
        <v>15666</v>
      </c>
      <c r="Q2334" s="9">
        <v>2328.7800000000002</v>
      </c>
    </row>
    <row r="2335" spans="15:17" x14ac:dyDescent="0.2">
      <c r="O2335" s="9">
        <v>41252</v>
      </c>
      <c r="P2335" s="169" t="s">
        <v>15667</v>
      </c>
      <c r="Q2335" s="9">
        <v>2522.96</v>
      </c>
    </row>
    <row r="2336" spans="15:17" x14ac:dyDescent="0.2">
      <c r="O2336" s="9">
        <v>41255</v>
      </c>
      <c r="P2336" s="169" t="s">
        <v>15668</v>
      </c>
      <c r="Q2336" s="9">
        <v>2716.89</v>
      </c>
    </row>
    <row r="2337" spans="15:17" x14ac:dyDescent="0.2">
      <c r="O2337" s="9">
        <v>41258</v>
      </c>
      <c r="P2337" s="169" t="s">
        <v>15669</v>
      </c>
      <c r="Q2337" s="9">
        <v>3105.12</v>
      </c>
    </row>
    <row r="2338" spans="15:17" x14ac:dyDescent="0.2">
      <c r="O2338" s="9">
        <v>41260</v>
      </c>
      <c r="P2338" s="169" t="s">
        <v>15670</v>
      </c>
      <c r="Q2338" s="9">
        <v>3299.06</v>
      </c>
    </row>
    <row r="2339" spans="15:17" x14ac:dyDescent="0.2">
      <c r="O2339" s="9">
        <v>41262</v>
      </c>
      <c r="P2339" s="169" t="s">
        <v>15671</v>
      </c>
      <c r="Q2339" s="9">
        <v>3493.24</v>
      </c>
    </row>
    <row r="2340" spans="15:17" x14ac:dyDescent="0.2">
      <c r="O2340" s="9">
        <v>41265</v>
      </c>
      <c r="P2340" s="169" t="s">
        <v>15672</v>
      </c>
      <c r="Q2340" s="9">
        <v>5822.02</v>
      </c>
    </row>
    <row r="2341" spans="15:17" x14ac:dyDescent="0.2">
      <c r="O2341" s="9">
        <v>41268</v>
      </c>
      <c r="P2341" s="169" t="s">
        <v>15673</v>
      </c>
      <c r="Q2341" s="9">
        <v>6210.12</v>
      </c>
    </row>
    <row r="2342" spans="15:17" x14ac:dyDescent="0.2">
      <c r="O2342" s="9">
        <v>41272</v>
      </c>
      <c r="P2342" s="169" t="s">
        <v>15674</v>
      </c>
      <c r="Q2342" s="9">
        <v>6404.18</v>
      </c>
    </row>
    <row r="2343" spans="15:17" x14ac:dyDescent="0.2">
      <c r="O2343" s="9">
        <v>41280</v>
      </c>
      <c r="P2343" s="169" t="s">
        <v>15675</v>
      </c>
      <c r="Q2343" s="9">
        <v>7374.44</v>
      </c>
    </row>
    <row r="2344" spans="15:17" x14ac:dyDescent="0.2">
      <c r="O2344" s="9">
        <v>41285</v>
      </c>
      <c r="P2344" s="169" t="s">
        <v>15676</v>
      </c>
      <c r="Q2344" s="9">
        <v>7374.44</v>
      </c>
    </row>
    <row r="2345" spans="15:17" x14ac:dyDescent="0.2">
      <c r="O2345" s="9">
        <v>41312</v>
      </c>
      <c r="P2345" s="169" t="s">
        <v>15677</v>
      </c>
      <c r="Q2345" s="9">
        <v>252.01</v>
      </c>
    </row>
    <row r="2346" spans="15:17" x14ac:dyDescent="0.2">
      <c r="O2346" s="9">
        <v>41314</v>
      </c>
      <c r="P2346" s="169" t="s">
        <v>15678</v>
      </c>
      <c r="Q2346" s="9">
        <v>324</v>
      </c>
    </row>
    <row r="2347" spans="15:17" x14ac:dyDescent="0.2">
      <c r="O2347" s="9">
        <v>41315</v>
      </c>
      <c r="P2347" s="169" t="s">
        <v>15679</v>
      </c>
      <c r="Q2347" s="9">
        <v>182</v>
      </c>
    </row>
    <row r="2348" spans="15:17" x14ac:dyDescent="0.2">
      <c r="O2348" s="9">
        <v>41316</v>
      </c>
      <c r="P2348" s="169" t="s">
        <v>15680</v>
      </c>
      <c r="Q2348" s="9">
        <v>395.99</v>
      </c>
    </row>
    <row r="2349" spans="15:17" x14ac:dyDescent="0.2">
      <c r="O2349" s="9">
        <v>41317</v>
      </c>
      <c r="P2349" s="169" t="s">
        <v>15681</v>
      </c>
      <c r="Q2349" s="9">
        <v>431.92</v>
      </c>
    </row>
    <row r="2350" spans="15:17" x14ac:dyDescent="0.2">
      <c r="O2350" s="9">
        <v>41318</v>
      </c>
      <c r="P2350" s="169" t="s">
        <v>15682</v>
      </c>
      <c r="Q2350" s="9">
        <v>504.05</v>
      </c>
    </row>
    <row r="2351" spans="15:17" x14ac:dyDescent="0.2">
      <c r="O2351" s="9">
        <v>41320</v>
      </c>
      <c r="P2351" s="169" t="s">
        <v>15683</v>
      </c>
      <c r="Q2351" s="9">
        <v>576.04</v>
      </c>
    </row>
    <row r="2352" spans="15:17" x14ac:dyDescent="0.2">
      <c r="O2352" s="9">
        <v>41322</v>
      </c>
      <c r="P2352" s="169" t="s">
        <v>15684</v>
      </c>
      <c r="Q2352" s="9">
        <v>648.02</v>
      </c>
    </row>
    <row r="2353" spans="15:17" x14ac:dyDescent="0.2">
      <c r="O2353" s="9">
        <v>41324</v>
      </c>
      <c r="P2353" s="169" t="s">
        <v>15685</v>
      </c>
      <c r="Q2353" s="9">
        <v>791.99</v>
      </c>
    </row>
    <row r="2354" spans="15:17" x14ac:dyDescent="0.2">
      <c r="O2354" s="9">
        <v>41325</v>
      </c>
      <c r="P2354" s="169" t="s">
        <v>15686</v>
      </c>
      <c r="Q2354" s="9">
        <v>351</v>
      </c>
    </row>
    <row r="2355" spans="15:17" x14ac:dyDescent="0.2">
      <c r="O2355" s="9">
        <v>41328</v>
      </c>
      <c r="P2355" s="169" t="s">
        <v>15687</v>
      </c>
      <c r="Q2355" s="9">
        <v>1007.96</v>
      </c>
    </row>
    <row r="2356" spans="15:17" x14ac:dyDescent="0.2">
      <c r="O2356" s="9">
        <v>41330</v>
      </c>
      <c r="P2356" s="169" t="s">
        <v>15688</v>
      </c>
      <c r="Q2356" s="9">
        <v>1082.9100000000001</v>
      </c>
    </row>
    <row r="2357" spans="15:17" x14ac:dyDescent="0.2">
      <c r="O2357" s="9">
        <v>41332</v>
      </c>
      <c r="P2357" s="169" t="s">
        <v>15689</v>
      </c>
      <c r="Q2357" s="9">
        <v>1187.6199999999999</v>
      </c>
    </row>
    <row r="2358" spans="15:17" x14ac:dyDescent="0.2">
      <c r="O2358" s="9">
        <v>41334</v>
      </c>
      <c r="P2358" s="169" t="s">
        <v>15690</v>
      </c>
      <c r="Q2358" s="9">
        <v>1292.57</v>
      </c>
    </row>
    <row r="2359" spans="15:17" x14ac:dyDescent="0.2">
      <c r="O2359" s="9">
        <v>41335</v>
      </c>
      <c r="P2359" s="169" t="s">
        <v>15691</v>
      </c>
      <c r="Q2359" s="9">
        <v>1397.41</v>
      </c>
    </row>
    <row r="2360" spans="15:17" x14ac:dyDescent="0.2">
      <c r="O2360" s="9">
        <v>41340</v>
      </c>
      <c r="P2360" s="169" t="s">
        <v>15692</v>
      </c>
      <c r="Q2360" s="9">
        <v>2134.7199999999998</v>
      </c>
    </row>
    <row r="2361" spans="15:17" x14ac:dyDescent="0.2">
      <c r="O2361" s="9">
        <v>41342</v>
      </c>
      <c r="P2361" s="169" t="s">
        <v>15693</v>
      </c>
      <c r="Q2361" s="9">
        <v>2522.8200000000002</v>
      </c>
    </row>
    <row r="2362" spans="15:17" x14ac:dyDescent="0.2">
      <c r="O2362" s="9">
        <v>41345</v>
      </c>
      <c r="P2362" s="169" t="s">
        <v>15694</v>
      </c>
      <c r="Q2362" s="9">
        <v>2910.94</v>
      </c>
    </row>
    <row r="2363" spans="15:17" x14ac:dyDescent="0.2">
      <c r="O2363" s="9">
        <v>41348</v>
      </c>
      <c r="P2363" s="169" t="s">
        <v>15695</v>
      </c>
      <c r="Q2363" s="9">
        <v>3299.06</v>
      </c>
    </row>
    <row r="2364" spans="15:17" x14ac:dyDescent="0.2">
      <c r="O2364" s="9">
        <v>41350</v>
      </c>
      <c r="P2364" s="169" t="s">
        <v>15696</v>
      </c>
      <c r="Q2364" s="9">
        <v>3687.29</v>
      </c>
    </row>
    <row r="2365" spans="15:17" x14ac:dyDescent="0.2">
      <c r="O2365" s="9">
        <v>41355</v>
      </c>
      <c r="P2365" s="169" t="s">
        <v>15697</v>
      </c>
      <c r="Q2365" s="9">
        <v>4075.4</v>
      </c>
    </row>
    <row r="2366" spans="15:17" x14ac:dyDescent="0.2">
      <c r="O2366" s="9">
        <v>41358</v>
      </c>
      <c r="P2366" s="169" t="s">
        <v>15698</v>
      </c>
      <c r="Q2366" s="9">
        <v>4269.46</v>
      </c>
    </row>
    <row r="2367" spans="15:17" x14ac:dyDescent="0.2">
      <c r="O2367" s="9">
        <v>41360</v>
      </c>
      <c r="P2367" s="169" t="s">
        <v>15699</v>
      </c>
      <c r="Q2367" s="9">
        <v>4657.5600000000004</v>
      </c>
    </row>
    <row r="2368" spans="15:17" x14ac:dyDescent="0.2">
      <c r="O2368" s="9">
        <v>41365</v>
      </c>
      <c r="P2368" s="169" t="s">
        <v>15700</v>
      </c>
      <c r="Q2368" s="9">
        <v>5433.92</v>
      </c>
    </row>
    <row r="2369" spans="15:17" x14ac:dyDescent="0.2">
      <c r="O2369" s="9">
        <v>41370</v>
      </c>
      <c r="P2369" s="169" t="s">
        <v>15701</v>
      </c>
      <c r="Q2369" s="9">
        <v>6210.12</v>
      </c>
    </row>
    <row r="2370" spans="15:17" x14ac:dyDescent="0.2">
      <c r="O2370" s="9">
        <v>41375</v>
      </c>
      <c r="P2370" s="169" t="s">
        <v>15702</v>
      </c>
      <c r="Q2370" s="9">
        <v>7762.68</v>
      </c>
    </row>
    <row r="2371" spans="15:17" x14ac:dyDescent="0.2">
      <c r="O2371" s="9">
        <v>41385</v>
      </c>
      <c r="P2371" s="169" t="s">
        <v>15703</v>
      </c>
      <c r="Q2371" s="9">
        <v>10867.81</v>
      </c>
    </row>
    <row r="2372" spans="15:17" x14ac:dyDescent="0.2">
      <c r="O2372" s="9">
        <v>41410</v>
      </c>
      <c r="P2372" s="169" t="s">
        <v>15704</v>
      </c>
      <c r="Q2372" s="9">
        <v>209.3</v>
      </c>
    </row>
    <row r="2373" spans="15:17" x14ac:dyDescent="0.2">
      <c r="O2373" s="9">
        <v>41411</v>
      </c>
      <c r="P2373" s="169" t="s">
        <v>15705</v>
      </c>
      <c r="Q2373" s="9">
        <v>195.24</v>
      </c>
    </row>
    <row r="2374" spans="15:17" x14ac:dyDescent="0.2">
      <c r="O2374" s="9">
        <v>41412</v>
      </c>
      <c r="P2374" s="169" t="s">
        <v>15706</v>
      </c>
      <c r="Q2374" s="9">
        <v>246.02</v>
      </c>
    </row>
    <row r="2375" spans="15:17" x14ac:dyDescent="0.2">
      <c r="O2375" s="9">
        <v>4143</v>
      </c>
      <c r="P2375" s="169" t="s">
        <v>15707</v>
      </c>
      <c r="Q2375" s="9">
        <v>52.93</v>
      </c>
    </row>
    <row r="2376" spans="15:17" x14ac:dyDescent="0.2">
      <c r="O2376" s="9">
        <v>4144</v>
      </c>
      <c r="P2376" s="169" t="s">
        <v>15708</v>
      </c>
      <c r="Q2376" s="9">
        <v>60.78</v>
      </c>
    </row>
    <row r="2377" spans="15:17" x14ac:dyDescent="0.2">
      <c r="O2377" s="9">
        <v>4145</v>
      </c>
      <c r="P2377" s="169" t="s">
        <v>15709</v>
      </c>
      <c r="Q2377" s="9">
        <v>65.09</v>
      </c>
    </row>
    <row r="2378" spans="15:17" x14ac:dyDescent="0.2">
      <c r="O2378" s="9">
        <v>4146</v>
      </c>
      <c r="P2378" s="169" t="s">
        <v>15710</v>
      </c>
      <c r="Q2378" s="9">
        <v>78.98</v>
      </c>
    </row>
    <row r="2379" spans="15:17" x14ac:dyDescent="0.2">
      <c r="O2379" s="9">
        <v>4147</v>
      </c>
      <c r="P2379" s="169" t="s">
        <v>15711</v>
      </c>
      <c r="Q2379" s="9">
        <v>99.83</v>
      </c>
    </row>
    <row r="2380" spans="15:17" x14ac:dyDescent="0.2">
      <c r="O2380" s="9">
        <v>4148</v>
      </c>
      <c r="P2380" s="169" t="s">
        <v>15712</v>
      </c>
      <c r="Q2380" s="9">
        <v>110.31</v>
      </c>
    </row>
    <row r="2381" spans="15:17" x14ac:dyDescent="0.2">
      <c r="O2381" s="9">
        <v>4149</v>
      </c>
      <c r="P2381" s="169" t="s">
        <v>15713</v>
      </c>
      <c r="Q2381" s="9">
        <v>137.56</v>
      </c>
    </row>
    <row r="2382" spans="15:17" x14ac:dyDescent="0.2">
      <c r="O2382" s="9" t="s">
        <v>5544</v>
      </c>
      <c r="P2382" s="169" t="s">
        <v>15714</v>
      </c>
      <c r="Q2382" s="9">
        <v>17.64</v>
      </c>
    </row>
    <row r="2383" spans="15:17" x14ac:dyDescent="0.2">
      <c r="O2383" s="9" t="s">
        <v>5547</v>
      </c>
      <c r="P2383" s="169" t="s">
        <v>15715</v>
      </c>
      <c r="Q2383" s="9">
        <v>25.78</v>
      </c>
    </row>
    <row r="2384" spans="15:17" x14ac:dyDescent="0.2">
      <c r="O2384" s="9">
        <v>42010</v>
      </c>
      <c r="P2384" s="169" t="s">
        <v>15716</v>
      </c>
      <c r="Q2384" s="9">
        <v>128.30000000000001</v>
      </c>
    </row>
    <row r="2385" spans="15:17" x14ac:dyDescent="0.2">
      <c r="O2385" s="9" t="s">
        <v>15717</v>
      </c>
      <c r="P2385" s="169" t="s">
        <v>15718</v>
      </c>
      <c r="Q2385" s="9">
        <v>128.30000000000001</v>
      </c>
    </row>
    <row r="2386" spans="15:17" x14ac:dyDescent="0.2">
      <c r="O2386" s="9">
        <v>42012</v>
      </c>
      <c r="P2386" s="169" t="s">
        <v>5578</v>
      </c>
      <c r="Q2386" s="9">
        <v>171.14</v>
      </c>
    </row>
    <row r="2387" spans="15:17" x14ac:dyDescent="0.2">
      <c r="O2387" s="9">
        <v>42015</v>
      </c>
      <c r="P2387" s="169" t="s">
        <v>5581</v>
      </c>
      <c r="Q2387" s="9">
        <v>328</v>
      </c>
    </row>
    <row r="2388" spans="15:17" x14ac:dyDescent="0.2">
      <c r="O2388" s="9">
        <v>42019</v>
      </c>
      <c r="P2388" s="169" t="s">
        <v>5584</v>
      </c>
      <c r="Q2388" s="9">
        <v>541.39</v>
      </c>
    </row>
    <row r="2389" spans="15:17" x14ac:dyDescent="0.2">
      <c r="O2389" s="9" t="s">
        <v>5550</v>
      </c>
      <c r="P2389" s="169" t="s">
        <v>15719</v>
      </c>
      <c r="Q2389" s="9">
        <v>21.16</v>
      </c>
    </row>
    <row r="2390" spans="15:17" x14ac:dyDescent="0.2">
      <c r="O2390" s="9" t="s">
        <v>15720</v>
      </c>
      <c r="P2390" s="169" t="s">
        <v>15721</v>
      </c>
      <c r="Q2390" s="9">
        <v>21.16</v>
      </c>
    </row>
    <row r="2391" spans="15:17" x14ac:dyDescent="0.2">
      <c r="O2391" s="9">
        <v>42024</v>
      </c>
      <c r="P2391" s="169" t="s">
        <v>15722</v>
      </c>
      <c r="Q2391" s="9">
        <v>892.88</v>
      </c>
    </row>
    <row r="2392" spans="15:17" x14ac:dyDescent="0.2">
      <c r="O2392" s="9" t="s">
        <v>5553</v>
      </c>
      <c r="P2392" s="169" t="s">
        <v>15723</v>
      </c>
      <c r="Q2392" s="9">
        <v>21.82</v>
      </c>
    </row>
    <row r="2393" spans="15:17" x14ac:dyDescent="0.2">
      <c r="O2393" s="9" t="s">
        <v>15724</v>
      </c>
      <c r="P2393" s="169" t="s">
        <v>15725</v>
      </c>
      <c r="Q2393" s="9">
        <v>21.82</v>
      </c>
    </row>
    <row r="2394" spans="15:17" x14ac:dyDescent="0.2">
      <c r="O2394" s="9">
        <v>4204</v>
      </c>
      <c r="P2394" s="169" t="s">
        <v>15726</v>
      </c>
      <c r="Q2394" s="9">
        <v>29.4</v>
      </c>
    </row>
    <row r="2395" spans="15:17" x14ac:dyDescent="0.2">
      <c r="O2395" s="9" t="s">
        <v>5556</v>
      </c>
      <c r="P2395" s="169" t="s">
        <v>15727</v>
      </c>
      <c r="Q2395" s="9">
        <v>26</v>
      </c>
    </row>
    <row r="2396" spans="15:17" x14ac:dyDescent="0.2">
      <c r="O2396" s="9">
        <v>4205</v>
      </c>
      <c r="P2396" s="169" t="s">
        <v>5560</v>
      </c>
      <c r="Q2396" s="9">
        <v>35.9</v>
      </c>
    </row>
    <row r="2397" spans="15:17" x14ac:dyDescent="0.2">
      <c r="O2397" s="9" t="s">
        <v>15728</v>
      </c>
      <c r="P2397" s="169" t="s">
        <v>15729</v>
      </c>
      <c r="Q2397" s="9">
        <v>76.8</v>
      </c>
    </row>
    <row r="2398" spans="15:17" x14ac:dyDescent="0.2">
      <c r="O2398" s="9" t="s">
        <v>5562</v>
      </c>
      <c r="P2398" s="169" t="s">
        <v>15730</v>
      </c>
      <c r="Q2398" s="9">
        <v>32</v>
      </c>
    </row>
    <row r="2399" spans="15:17" x14ac:dyDescent="0.2">
      <c r="O2399" s="9">
        <v>4207</v>
      </c>
      <c r="P2399" s="169" t="s">
        <v>5566</v>
      </c>
      <c r="Q2399" s="9">
        <v>57.38</v>
      </c>
    </row>
    <row r="2400" spans="15:17" x14ac:dyDescent="0.2">
      <c r="O2400" s="9" t="s">
        <v>15731</v>
      </c>
      <c r="P2400" s="169" t="s">
        <v>15732</v>
      </c>
      <c r="Q2400" s="9">
        <v>147.56</v>
      </c>
    </row>
    <row r="2401" spans="15:17" x14ac:dyDescent="0.2">
      <c r="O2401" s="9" t="s">
        <v>5565</v>
      </c>
      <c r="P2401" s="169" t="s">
        <v>15733</v>
      </c>
      <c r="Q2401" s="9">
        <v>46</v>
      </c>
    </row>
    <row r="2402" spans="15:17" x14ac:dyDescent="0.2">
      <c r="O2402" s="9" t="s">
        <v>5568</v>
      </c>
      <c r="P2402" s="169" t="s">
        <v>15734</v>
      </c>
      <c r="Q2402" s="9">
        <v>60</v>
      </c>
    </row>
    <row r="2403" spans="15:17" x14ac:dyDescent="0.2">
      <c r="O2403" s="9">
        <v>4209</v>
      </c>
      <c r="P2403" s="169" t="s">
        <v>5572</v>
      </c>
      <c r="Q2403" s="9">
        <v>103.36</v>
      </c>
    </row>
    <row r="2404" spans="15:17" x14ac:dyDescent="0.2">
      <c r="O2404" s="9" t="s">
        <v>5571</v>
      </c>
      <c r="P2404" s="169" t="s">
        <v>15735</v>
      </c>
      <c r="Q2404" s="9">
        <v>81</v>
      </c>
    </row>
    <row r="2405" spans="15:17" x14ac:dyDescent="0.2">
      <c r="O2405" s="9">
        <v>42110</v>
      </c>
      <c r="P2405" s="169" t="s">
        <v>15736</v>
      </c>
      <c r="Q2405" s="9">
        <v>194.4</v>
      </c>
    </row>
    <row r="2406" spans="15:17" x14ac:dyDescent="0.2">
      <c r="O2406" s="9">
        <v>42112</v>
      </c>
      <c r="P2406" s="169" t="s">
        <v>15737</v>
      </c>
      <c r="Q2406" s="9">
        <v>186.4</v>
      </c>
    </row>
    <row r="2407" spans="15:17" x14ac:dyDescent="0.2">
      <c r="O2407" s="9" t="s">
        <v>15738</v>
      </c>
      <c r="P2407" s="169" t="s">
        <v>15739</v>
      </c>
      <c r="Q2407" s="9">
        <v>58.34</v>
      </c>
    </row>
    <row r="2408" spans="15:17" x14ac:dyDescent="0.2">
      <c r="O2408" s="9" t="s">
        <v>15740</v>
      </c>
      <c r="P2408" s="169" t="s">
        <v>15741</v>
      </c>
      <c r="Q2408" s="9">
        <v>61</v>
      </c>
    </row>
    <row r="2409" spans="15:17" x14ac:dyDescent="0.2">
      <c r="O2409" s="9" t="s">
        <v>15742</v>
      </c>
      <c r="P2409" s="169" t="s">
        <v>15743</v>
      </c>
      <c r="Q2409" s="9">
        <v>72</v>
      </c>
    </row>
    <row r="2410" spans="15:17" x14ac:dyDescent="0.2">
      <c r="O2410" s="9" t="s">
        <v>15744</v>
      </c>
      <c r="P2410" s="169" t="s">
        <v>15745</v>
      </c>
      <c r="Q2410" s="9">
        <v>72</v>
      </c>
    </row>
    <row r="2411" spans="15:17" x14ac:dyDescent="0.2">
      <c r="O2411" s="9" t="s">
        <v>15746</v>
      </c>
      <c r="P2411" s="169" t="s">
        <v>15747</v>
      </c>
      <c r="Q2411" s="9">
        <v>85.36</v>
      </c>
    </row>
    <row r="2412" spans="15:17" x14ac:dyDescent="0.2">
      <c r="O2412" s="9">
        <v>4215</v>
      </c>
      <c r="P2412" s="169" t="s">
        <v>15748</v>
      </c>
      <c r="Q2412" s="9">
        <v>81.2</v>
      </c>
    </row>
    <row r="2413" spans="15:17" x14ac:dyDescent="0.2">
      <c r="O2413" s="9" t="s">
        <v>15749</v>
      </c>
      <c r="P2413" s="169" t="s">
        <v>15750</v>
      </c>
      <c r="Q2413" s="9">
        <v>71.88</v>
      </c>
    </row>
    <row r="2414" spans="15:17" x14ac:dyDescent="0.2">
      <c r="O2414" s="9" t="s">
        <v>15751</v>
      </c>
      <c r="P2414" s="169" t="s">
        <v>15752</v>
      </c>
      <c r="Q2414" s="9">
        <v>71.88</v>
      </c>
    </row>
    <row r="2415" spans="15:17" x14ac:dyDescent="0.2">
      <c r="O2415" s="9" t="s">
        <v>15753</v>
      </c>
      <c r="P2415" s="169" t="s">
        <v>15754</v>
      </c>
      <c r="Q2415" s="9">
        <v>71.88</v>
      </c>
    </row>
    <row r="2416" spans="15:17" x14ac:dyDescent="0.2">
      <c r="O2416" s="9" t="s">
        <v>15755</v>
      </c>
      <c r="P2416" s="169" t="s">
        <v>15756</v>
      </c>
      <c r="Q2416" s="9">
        <v>71.88</v>
      </c>
    </row>
    <row r="2417" spans="15:17" x14ac:dyDescent="0.2">
      <c r="O2417" s="9" t="s">
        <v>15757</v>
      </c>
      <c r="P2417" s="169" t="s">
        <v>15758</v>
      </c>
      <c r="Q2417" s="9">
        <v>97.64</v>
      </c>
    </row>
    <row r="2418" spans="15:17" x14ac:dyDescent="0.2">
      <c r="O2418" s="9" t="s">
        <v>15759</v>
      </c>
      <c r="P2418" s="169" t="s">
        <v>15760</v>
      </c>
      <c r="Q2418" s="9">
        <v>148.5</v>
      </c>
    </row>
    <row r="2419" spans="15:17" x14ac:dyDescent="0.2">
      <c r="O2419" s="9" t="s">
        <v>15761</v>
      </c>
      <c r="P2419" s="169" t="s">
        <v>15762</v>
      </c>
      <c r="Q2419" s="9">
        <v>121.38</v>
      </c>
    </row>
    <row r="2420" spans="15:17" x14ac:dyDescent="0.2">
      <c r="O2420" s="9">
        <v>4218</v>
      </c>
      <c r="P2420" s="169" t="s">
        <v>15763</v>
      </c>
      <c r="Q2420" s="9">
        <v>132</v>
      </c>
    </row>
    <row r="2421" spans="15:17" x14ac:dyDescent="0.2">
      <c r="O2421" s="9" t="s">
        <v>15764</v>
      </c>
      <c r="P2421" s="169" t="s">
        <v>15765</v>
      </c>
      <c r="Q2421" s="9">
        <v>210</v>
      </c>
    </row>
    <row r="2422" spans="15:17" x14ac:dyDescent="0.2">
      <c r="O2422" s="9" t="s">
        <v>15766</v>
      </c>
      <c r="P2422" s="169" t="s">
        <v>15767</v>
      </c>
      <c r="Q2422" s="9">
        <v>113.95</v>
      </c>
    </row>
    <row r="2423" spans="15:17" x14ac:dyDescent="0.2">
      <c r="O2423" s="9" t="s">
        <v>15768</v>
      </c>
      <c r="P2423" s="169" t="s">
        <v>15769</v>
      </c>
      <c r="Q2423" s="9">
        <v>142.15</v>
      </c>
    </row>
    <row r="2424" spans="15:17" x14ac:dyDescent="0.2">
      <c r="O2424" s="9">
        <v>42710</v>
      </c>
      <c r="P2424" s="169" t="s">
        <v>15770</v>
      </c>
      <c r="Q2424" s="9">
        <v>1495.37</v>
      </c>
    </row>
    <row r="2425" spans="15:17" x14ac:dyDescent="0.2">
      <c r="O2425" s="9">
        <v>42712</v>
      </c>
      <c r="P2425" s="169" t="s">
        <v>15771</v>
      </c>
      <c r="Q2425" s="9">
        <v>2103.11</v>
      </c>
    </row>
    <row r="2426" spans="15:17" x14ac:dyDescent="0.2">
      <c r="O2426" s="9">
        <v>42715</v>
      </c>
      <c r="P2426" s="169" t="s">
        <v>15772</v>
      </c>
      <c r="Q2426" s="9">
        <v>3457.51</v>
      </c>
    </row>
    <row r="2427" spans="15:17" x14ac:dyDescent="0.2">
      <c r="O2427" s="9">
        <v>42719</v>
      </c>
      <c r="P2427" s="169" t="s">
        <v>15773</v>
      </c>
      <c r="Q2427" s="9">
        <v>5996.23</v>
      </c>
    </row>
    <row r="2428" spans="15:17" x14ac:dyDescent="0.2">
      <c r="O2428" s="9" t="s">
        <v>15774</v>
      </c>
      <c r="P2428" s="169" t="s">
        <v>15775</v>
      </c>
      <c r="Q2428" s="9">
        <v>163.85</v>
      </c>
    </row>
    <row r="2429" spans="15:17" x14ac:dyDescent="0.2">
      <c r="O2429" s="9">
        <v>42724</v>
      </c>
      <c r="P2429" s="169" t="s">
        <v>15776</v>
      </c>
      <c r="Q2429" s="9">
        <v>8351.4</v>
      </c>
    </row>
    <row r="2430" spans="15:17" x14ac:dyDescent="0.2">
      <c r="O2430" s="9" t="s">
        <v>15777</v>
      </c>
      <c r="P2430" s="169" t="s">
        <v>15778</v>
      </c>
      <c r="Q2430" s="9">
        <v>242.06</v>
      </c>
    </row>
    <row r="2431" spans="15:17" x14ac:dyDescent="0.2">
      <c r="O2431" s="9">
        <v>42730</v>
      </c>
      <c r="P2431" s="169" t="s">
        <v>15779</v>
      </c>
      <c r="Q2431" s="9">
        <v>27142.02</v>
      </c>
    </row>
    <row r="2432" spans="15:17" x14ac:dyDescent="0.2">
      <c r="O2432" s="9">
        <v>4274</v>
      </c>
      <c r="P2432" s="169" t="s">
        <v>15780</v>
      </c>
      <c r="Q2432" s="9">
        <v>277.82</v>
      </c>
    </row>
    <row r="2433" spans="15:17" x14ac:dyDescent="0.2">
      <c r="O2433" s="9">
        <v>4275</v>
      </c>
      <c r="P2433" s="169" t="s">
        <v>15781</v>
      </c>
      <c r="Q2433" s="9">
        <v>341.43</v>
      </c>
    </row>
    <row r="2434" spans="15:17" x14ac:dyDescent="0.2">
      <c r="O2434" s="9">
        <v>4276</v>
      </c>
      <c r="P2434" s="169" t="s">
        <v>15782</v>
      </c>
      <c r="Q2434" s="9">
        <v>391.16</v>
      </c>
    </row>
    <row r="2435" spans="15:17" x14ac:dyDescent="0.2">
      <c r="O2435" s="9">
        <v>4277</v>
      </c>
      <c r="P2435" s="169" t="s">
        <v>15783</v>
      </c>
      <c r="Q2435" s="9">
        <v>563.88</v>
      </c>
    </row>
    <row r="2436" spans="15:17" x14ac:dyDescent="0.2">
      <c r="O2436" s="9">
        <v>4278</v>
      </c>
      <c r="P2436" s="169" t="s">
        <v>15784</v>
      </c>
      <c r="Q2436" s="9">
        <v>784.98</v>
      </c>
    </row>
    <row r="2437" spans="15:17" x14ac:dyDescent="0.2">
      <c r="O2437" s="9">
        <v>4279</v>
      </c>
      <c r="P2437" s="169" t="s">
        <v>15785</v>
      </c>
      <c r="Q2437" s="9">
        <v>1159.4000000000001</v>
      </c>
    </row>
    <row r="2438" spans="15:17" x14ac:dyDescent="0.2">
      <c r="O2438" s="9" t="s">
        <v>5541</v>
      </c>
      <c r="P2438" s="169" t="s">
        <v>15786</v>
      </c>
      <c r="Q2438" s="9">
        <v>44.45</v>
      </c>
    </row>
    <row r="2439" spans="15:17" x14ac:dyDescent="0.2">
      <c r="O2439" s="9" t="s">
        <v>15787</v>
      </c>
      <c r="P2439" s="169" t="s">
        <v>15788</v>
      </c>
      <c r="Q2439" s="9">
        <v>32.74</v>
      </c>
    </row>
    <row r="2440" spans="15:17" x14ac:dyDescent="0.2">
      <c r="O2440" s="9" t="s">
        <v>15789</v>
      </c>
      <c r="P2440" s="169" t="s">
        <v>15790</v>
      </c>
      <c r="Q2440" s="9">
        <v>34.15</v>
      </c>
    </row>
    <row r="2441" spans="15:17" x14ac:dyDescent="0.2">
      <c r="O2441" s="9">
        <v>42810</v>
      </c>
      <c r="P2441" s="169" t="s">
        <v>15791</v>
      </c>
      <c r="Q2441" s="9">
        <v>182.98</v>
      </c>
    </row>
    <row r="2442" spans="15:17" x14ac:dyDescent="0.2">
      <c r="O2442" s="9" t="s">
        <v>15792</v>
      </c>
      <c r="P2442" s="169" t="s">
        <v>15793</v>
      </c>
      <c r="Q2442" s="9">
        <v>36.659999999999997</v>
      </c>
    </row>
    <row r="2443" spans="15:17" x14ac:dyDescent="0.2">
      <c r="O2443" s="9" t="s">
        <v>15794</v>
      </c>
      <c r="P2443" s="169" t="s">
        <v>15795</v>
      </c>
      <c r="Q2443" s="9">
        <v>38.71</v>
      </c>
    </row>
    <row r="2444" spans="15:17" x14ac:dyDescent="0.2">
      <c r="O2444" s="9">
        <v>4284</v>
      </c>
      <c r="P2444" s="169" t="s">
        <v>15796</v>
      </c>
      <c r="Q2444" s="9">
        <v>42.8</v>
      </c>
    </row>
    <row r="2445" spans="15:17" x14ac:dyDescent="0.2">
      <c r="O2445" s="9">
        <v>4285</v>
      </c>
      <c r="P2445" s="169" t="s">
        <v>15797</v>
      </c>
      <c r="Q2445" s="9">
        <v>49.63</v>
      </c>
    </row>
    <row r="2446" spans="15:17" x14ac:dyDescent="0.2">
      <c r="O2446" s="9">
        <v>4286</v>
      </c>
      <c r="P2446" s="169" t="s">
        <v>15798</v>
      </c>
      <c r="Q2446" s="9">
        <v>59.21</v>
      </c>
    </row>
    <row r="2447" spans="15:17" x14ac:dyDescent="0.2">
      <c r="O2447" s="9">
        <v>4287</v>
      </c>
      <c r="P2447" s="169" t="s">
        <v>15799</v>
      </c>
      <c r="Q2447" s="9">
        <v>80.61</v>
      </c>
    </row>
    <row r="2448" spans="15:17" x14ac:dyDescent="0.2">
      <c r="O2448" s="9">
        <v>4288</v>
      </c>
      <c r="P2448" s="169" t="s">
        <v>15800</v>
      </c>
      <c r="Q2448" s="9">
        <v>112.11</v>
      </c>
    </row>
    <row r="2449" spans="15:17" x14ac:dyDescent="0.2">
      <c r="O2449" s="9">
        <v>4289</v>
      </c>
      <c r="P2449" s="169" t="s">
        <v>15801</v>
      </c>
      <c r="Q2449" s="9">
        <v>141.91999999999999</v>
      </c>
    </row>
    <row r="2450" spans="15:17" x14ac:dyDescent="0.2">
      <c r="O2450" s="9">
        <v>4303</v>
      </c>
      <c r="P2450" s="169" t="s">
        <v>15802</v>
      </c>
      <c r="Q2450" s="9">
        <v>19.22</v>
      </c>
    </row>
    <row r="2451" spans="15:17" x14ac:dyDescent="0.2">
      <c r="O2451" s="9">
        <v>44031</v>
      </c>
      <c r="P2451" s="169" t="s">
        <v>15803</v>
      </c>
      <c r="Q2451" s="9">
        <v>57.29</v>
      </c>
    </row>
    <row r="2452" spans="15:17" x14ac:dyDescent="0.2">
      <c r="O2452" s="9">
        <v>44037</v>
      </c>
      <c r="P2452" s="169" t="s">
        <v>15804</v>
      </c>
      <c r="Q2452" s="9">
        <v>118.29</v>
      </c>
    </row>
    <row r="2453" spans="15:17" x14ac:dyDescent="0.2">
      <c r="O2453" s="9">
        <v>44043</v>
      </c>
      <c r="P2453" s="169" t="s">
        <v>15805</v>
      </c>
      <c r="Q2453" s="9">
        <v>103.16</v>
      </c>
    </row>
    <row r="2454" spans="15:17" x14ac:dyDescent="0.2">
      <c r="O2454" s="9">
        <v>44050</v>
      </c>
      <c r="P2454" s="169" t="s">
        <v>15806</v>
      </c>
      <c r="Q2454" s="9">
        <v>114.92</v>
      </c>
    </row>
    <row r="2455" spans="15:17" x14ac:dyDescent="0.2">
      <c r="O2455" s="9">
        <v>44056</v>
      </c>
      <c r="P2455" s="169" t="s">
        <v>15807</v>
      </c>
      <c r="Q2455" s="9">
        <v>138.49</v>
      </c>
    </row>
    <row r="2456" spans="15:17" x14ac:dyDescent="0.2">
      <c r="O2456" s="9">
        <v>44062</v>
      </c>
      <c r="P2456" s="169" t="s">
        <v>15808</v>
      </c>
      <c r="Q2456" s="9">
        <v>157.44999999999999</v>
      </c>
    </row>
    <row r="2457" spans="15:17" x14ac:dyDescent="0.2">
      <c r="O2457" s="9">
        <v>44068</v>
      </c>
      <c r="P2457" s="169" t="s">
        <v>15809</v>
      </c>
      <c r="Q2457" s="9">
        <v>191.57</v>
      </c>
    </row>
    <row r="2458" spans="15:17" x14ac:dyDescent="0.2">
      <c r="O2458" s="9">
        <v>44075</v>
      </c>
      <c r="P2458" s="169" t="s">
        <v>15810</v>
      </c>
      <c r="Q2458" s="9">
        <v>169.5</v>
      </c>
    </row>
    <row r="2459" spans="15:17" x14ac:dyDescent="0.2">
      <c r="O2459" s="9">
        <v>44110</v>
      </c>
      <c r="P2459" s="169" t="s">
        <v>15811</v>
      </c>
      <c r="Q2459" s="9">
        <v>58.56</v>
      </c>
    </row>
    <row r="2460" spans="15:17" x14ac:dyDescent="0.2">
      <c r="O2460" s="9" t="s">
        <v>15812</v>
      </c>
      <c r="P2460" s="169" t="s">
        <v>15813</v>
      </c>
      <c r="Q2460" s="9">
        <v>58.56</v>
      </c>
    </row>
    <row r="2461" spans="15:17" x14ac:dyDescent="0.2">
      <c r="O2461" s="9">
        <v>44112</v>
      </c>
      <c r="P2461" s="169" t="s">
        <v>15814</v>
      </c>
      <c r="Q2461" s="9">
        <v>75.099999999999994</v>
      </c>
    </row>
    <row r="2462" spans="15:17" x14ac:dyDescent="0.2">
      <c r="O2462" s="9" t="s">
        <v>15815</v>
      </c>
      <c r="P2462" s="169" t="s">
        <v>15816</v>
      </c>
      <c r="Q2462" s="9">
        <v>75.099999999999994</v>
      </c>
    </row>
    <row r="2463" spans="15:17" x14ac:dyDescent="0.2">
      <c r="O2463" s="9">
        <v>4418</v>
      </c>
      <c r="P2463" s="169" t="s">
        <v>15817</v>
      </c>
      <c r="Q2463" s="9">
        <v>42.44</v>
      </c>
    </row>
    <row r="2464" spans="15:17" x14ac:dyDescent="0.2">
      <c r="O2464" s="9">
        <v>45016</v>
      </c>
      <c r="P2464" s="169" t="s">
        <v>15818</v>
      </c>
      <c r="Q2464" s="9">
        <v>305.12</v>
      </c>
    </row>
    <row r="2465" spans="15:17" x14ac:dyDescent="0.2">
      <c r="O2465" s="9">
        <v>45017</v>
      </c>
      <c r="P2465" s="169" t="s">
        <v>15819</v>
      </c>
      <c r="Q2465" s="9">
        <v>300.88</v>
      </c>
    </row>
    <row r="2466" spans="15:17" x14ac:dyDescent="0.2">
      <c r="O2466" s="9">
        <v>45018</v>
      </c>
      <c r="P2466" s="169" t="s">
        <v>15820</v>
      </c>
      <c r="Q2466" s="9">
        <v>400.68</v>
      </c>
    </row>
    <row r="2467" spans="15:17" x14ac:dyDescent="0.2">
      <c r="O2467" s="9">
        <v>45020</v>
      </c>
      <c r="P2467" s="169" t="s">
        <v>15821</v>
      </c>
      <c r="Q2467" s="9">
        <v>351.83</v>
      </c>
    </row>
    <row r="2468" spans="15:17" x14ac:dyDescent="0.2">
      <c r="O2468" s="9">
        <v>45022</v>
      </c>
      <c r="P2468" s="169" t="s">
        <v>15822</v>
      </c>
      <c r="Q2468" s="9">
        <v>404.64</v>
      </c>
    </row>
    <row r="2469" spans="15:17" x14ac:dyDescent="0.2">
      <c r="O2469" s="9">
        <v>45025</v>
      </c>
      <c r="P2469" s="169" t="s">
        <v>15823</v>
      </c>
      <c r="Q2469" s="9">
        <v>492.01</v>
      </c>
    </row>
    <row r="2470" spans="15:17" x14ac:dyDescent="0.2">
      <c r="O2470" s="9">
        <v>45030</v>
      </c>
      <c r="P2470" s="169" t="s">
        <v>15824</v>
      </c>
      <c r="Q2470" s="9">
        <v>729.36</v>
      </c>
    </row>
    <row r="2471" spans="15:17" x14ac:dyDescent="0.2">
      <c r="O2471" s="9">
        <v>45035</v>
      </c>
      <c r="P2471" s="169" t="s">
        <v>15825</v>
      </c>
      <c r="Q2471" s="9">
        <v>917.74</v>
      </c>
    </row>
    <row r="2472" spans="15:17" x14ac:dyDescent="0.2">
      <c r="O2472" s="9">
        <v>45038</v>
      </c>
      <c r="P2472" s="169" t="s">
        <v>15826</v>
      </c>
      <c r="Q2472" s="9">
        <v>1666.42</v>
      </c>
    </row>
    <row r="2473" spans="15:17" x14ac:dyDescent="0.2">
      <c r="O2473" s="9">
        <v>45040</v>
      </c>
      <c r="P2473" s="169" t="s">
        <v>15827</v>
      </c>
      <c r="Q2473" s="9">
        <v>1596.55</v>
      </c>
    </row>
    <row r="2474" spans="15:17" x14ac:dyDescent="0.2">
      <c r="O2474" s="9">
        <v>45045</v>
      </c>
      <c r="P2474" s="169" t="s">
        <v>15828</v>
      </c>
      <c r="Q2474" s="9">
        <v>1736.3</v>
      </c>
    </row>
    <row r="2475" spans="15:17" x14ac:dyDescent="0.2">
      <c r="O2475" s="9">
        <v>45050</v>
      </c>
      <c r="P2475" s="169" t="s">
        <v>15829</v>
      </c>
      <c r="Q2475" s="9">
        <v>2112.7399999999998</v>
      </c>
    </row>
    <row r="2476" spans="15:17" x14ac:dyDescent="0.2">
      <c r="O2476" s="9">
        <v>45055</v>
      </c>
      <c r="P2476" s="169" t="s">
        <v>15830</v>
      </c>
      <c r="Q2476" s="9">
        <v>2339.44</v>
      </c>
    </row>
    <row r="2477" spans="15:17" x14ac:dyDescent="0.2">
      <c r="O2477" s="9">
        <v>45060</v>
      </c>
      <c r="P2477" s="169" t="s">
        <v>15831</v>
      </c>
      <c r="Q2477" s="9">
        <v>3546.37</v>
      </c>
    </row>
    <row r="2478" spans="15:17" x14ac:dyDescent="0.2">
      <c r="O2478" s="9">
        <v>45065</v>
      </c>
      <c r="P2478" s="169" t="s">
        <v>15832</v>
      </c>
      <c r="Q2478" s="9">
        <v>5157.09</v>
      </c>
    </row>
    <row r="2479" spans="15:17" x14ac:dyDescent="0.2">
      <c r="O2479" s="9">
        <v>45068</v>
      </c>
      <c r="P2479" s="169" t="s">
        <v>15833</v>
      </c>
      <c r="Q2479" s="9">
        <v>4326.28</v>
      </c>
    </row>
    <row r="2480" spans="15:17" x14ac:dyDescent="0.2">
      <c r="O2480" s="9">
        <v>45070</v>
      </c>
      <c r="P2480" s="169" t="s">
        <v>15834</v>
      </c>
      <c r="Q2480" s="9">
        <v>5387.66</v>
      </c>
    </row>
    <row r="2481" spans="15:17" x14ac:dyDescent="0.2">
      <c r="O2481" s="9">
        <v>45075</v>
      </c>
      <c r="P2481" s="169" t="s">
        <v>15835</v>
      </c>
      <c r="Q2481" s="9">
        <v>5727.7</v>
      </c>
    </row>
    <row r="2482" spans="15:17" x14ac:dyDescent="0.2">
      <c r="O2482" s="9">
        <v>45080</v>
      </c>
      <c r="P2482" s="169" t="s">
        <v>15836</v>
      </c>
      <c r="Q2482" s="9">
        <v>6117.34</v>
      </c>
    </row>
    <row r="2483" spans="15:17" x14ac:dyDescent="0.2">
      <c r="O2483" s="9">
        <v>45085</v>
      </c>
      <c r="P2483" s="169" t="s">
        <v>15837</v>
      </c>
      <c r="Q2483" s="9">
        <v>6678.93</v>
      </c>
    </row>
    <row r="2484" spans="15:17" x14ac:dyDescent="0.2">
      <c r="O2484" s="9">
        <v>45116</v>
      </c>
      <c r="P2484" s="169" t="s">
        <v>15838</v>
      </c>
      <c r="Q2484" s="9">
        <v>207.54</v>
      </c>
    </row>
    <row r="2485" spans="15:17" x14ac:dyDescent="0.2">
      <c r="O2485" s="9">
        <v>45118</v>
      </c>
      <c r="P2485" s="169" t="s">
        <v>15839</v>
      </c>
      <c r="Q2485" s="9">
        <v>244.75</v>
      </c>
    </row>
    <row r="2486" spans="15:17" x14ac:dyDescent="0.2">
      <c r="O2486" s="9">
        <v>45119</v>
      </c>
      <c r="P2486" s="169" t="s">
        <v>15840</v>
      </c>
      <c r="Q2486" s="9">
        <v>220.65</v>
      </c>
    </row>
    <row r="2487" spans="15:17" x14ac:dyDescent="0.2">
      <c r="O2487" s="9">
        <v>45120</v>
      </c>
      <c r="P2487" s="169" t="s">
        <v>15841</v>
      </c>
      <c r="Q2487" s="9">
        <v>276.77999999999997</v>
      </c>
    </row>
    <row r="2488" spans="15:17" x14ac:dyDescent="0.2">
      <c r="O2488" s="9">
        <v>45122</v>
      </c>
      <c r="P2488" s="169" t="s">
        <v>15842</v>
      </c>
      <c r="Q2488" s="9">
        <v>295.83999999999997</v>
      </c>
    </row>
    <row r="2489" spans="15:17" x14ac:dyDescent="0.2">
      <c r="O2489" s="9">
        <v>45124</v>
      </c>
      <c r="P2489" s="169" t="s">
        <v>15843</v>
      </c>
      <c r="Q2489" s="9">
        <v>301.14</v>
      </c>
    </row>
    <row r="2490" spans="15:17" x14ac:dyDescent="0.2">
      <c r="O2490" s="9">
        <v>45125</v>
      </c>
      <c r="P2490" s="169" t="s">
        <v>15844</v>
      </c>
      <c r="Q2490" s="9">
        <v>358.05</v>
      </c>
    </row>
    <row r="2491" spans="15:17" x14ac:dyDescent="0.2">
      <c r="O2491" s="9">
        <v>45126</v>
      </c>
      <c r="P2491" s="169" t="s">
        <v>15845</v>
      </c>
      <c r="Q2491" s="9">
        <v>365.2</v>
      </c>
    </row>
    <row r="2492" spans="15:17" x14ac:dyDescent="0.2">
      <c r="O2492" s="9">
        <v>45128</v>
      </c>
      <c r="P2492" s="169" t="s">
        <v>15846</v>
      </c>
      <c r="Q2492" s="9">
        <v>459.72</v>
      </c>
    </row>
    <row r="2493" spans="15:17" x14ac:dyDescent="0.2">
      <c r="O2493" s="9">
        <v>45130</v>
      </c>
      <c r="P2493" s="169" t="s">
        <v>15847</v>
      </c>
      <c r="Q2493" s="9">
        <v>463.69</v>
      </c>
    </row>
    <row r="2494" spans="15:17" x14ac:dyDescent="0.2">
      <c r="O2494" s="9">
        <v>45132</v>
      </c>
      <c r="P2494" s="169" t="s">
        <v>15848</v>
      </c>
      <c r="Q2494" s="9">
        <v>606.91</v>
      </c>
    </row>
    <row r="2495" spans="15:17" x14ac:dyDescent="0.2">
      <c r="O2495" s="9">
        <v>45134</v>
      </c>
      <c r="P2495" s="169" t="s">
        <v>15849</v>
      </c>
      <c r="Q2495" s="9">
        <v>805.04</v>
      </c>
    </row>
    <row r="2496" spans="15:17" x14ac:dyDescent="0.2">
      <c r="O2496" s="9">
        <v>45135</v>
      </c>
      <c r="P2496" s="169" t="s">
        <v>15850</v>
      </c>
      <c r="Q2496" s="9">
        <v>737.73</v>
      </c>
    </row>
    <row r="2497" spans="14:17" x14ac:dyDescent="0.2">
      <c r="O2497" s="9">
        <v>45136</v>
      </c>
      <c r="P2497" s="169" t="s">
        <v>15851</v>
      </c>
      <c r="Q2497" s="9">
        <v>992.23</v>
      </c>
    </row>
    <row r="2498" spans="14:17" x14ac:dyDescent="0.2">
      <c r="O2498" s="9">
        <v>45138</v>
      </c>
      <c r="P2498" s="169" t="s">
        <v>15852</v>
      </c>
      <c r="Q2498" s="9">
        <v>948.66</v>
      </c>
    </row>
    <row r="2499" spans="14:17" x14ac:dyDescent="0.2">
      <c r="O2499" s="9">
        <v>45140</v>
      </c>
      <c r="P2499" s="169" t="s">
        <v>15853</v>
      </c>
      <c r="Q2499" s="9">
        <v>1432.01</v>
      </c>
    </row>
    <row r="2500" spans="14:17" x14ac:dyDescent="0.2">
      <c r="O2500" s="9">
        <v>45142</v>
      </c>
      <c r="P2500" s="169" t="s">
        <v>15854</v>
      </c>
      <c r="Q2500" s="9">
        <v>1494.48</v>
      </c>
    </row>
    <row r="2501" spans="14:17" x14ac:dyDescent="0.2">
      <c r="O2501" s="9">
        <v>45145</v>
      </c>
      <c r="P2501" s="169" t="s">
        <v>15855</v>
      </c>
      <c r="Q2501" s="9">
        <v>1810.69</v>
      </c>
    </row>
    <row r="2502" spans="14:17" x14ac:dyDescent="0.2">
      <c r="O2502" s="9">
        <v>45147</v>
      </c>
      <c r="P2502" s="169" t="s">
        <v>15856</v>
      </c>
      <c r="Q2502" s="9">
        <v>1607.15</v>
      </c>
    </row>
    <row r="2503" spans="14:17" x14ac:dyDescent="0.2">
      <c r="O2503" s="9">
        <v>45152</v>
      </c>
      <c r="P2503" s="169" t="s">
        <v>15857</v>
      </c>
      <c r="Q2503" s="9">
        <v>1927.86</v>
      </c>
    </row>
    <row r="2504" spans="14:17" x14ac:dyDescent="0.2">
      <c r="O2504" s="9">
        <v>45158</v>
      </c>
      <c r="P2504" s="169" t="s">
        <v>15858</v>
      </c>
      <c r="Q2504" s="9">
        <v>2182.2800000000002</v>
      </c>
    </row>
    <row r="2505" spans="14:17" x14ac:dyDescent="0.2">
      <c r="O2505" s="9">
        <v>45160</v>
      </c>
      <c r="P2505" s="169" t="s">
        <v>15859</v>
      </c>
      <c r="Q2505" s="9">
        <v>2816.35</v>
      </c>
    </row>
    <row r="2506" spans="14:17" x14ac:dyDescent="0.2">
      <c r="O2506" s="9">
        <v>45162</v>
      </c>
      <c r="P2506" s="169" t="s">
        <v>15860</v>
      </c>
      <c r="Q2506" s="9">
        <v>2186.16</v>
      </c>
    </row>
    <row r="2507" spans="14:17" x14ac:dyDescent="0.2">
      <c r="O2507" s="9">
        <v>45165</v>
      </c>
      <c r="P2507" s="169" t="s">
        <v>15861</v>
      </c>
      <c r="Q2507" s="9">
        <v>3795.93</v>
      </c>
    </row>
    <row r="2508" spans="14:17" x14ac:dyDescent="0.2">
      <c r="O2508" s="9">
        <v>45168</v>
      </c>
      <c r="P2508" s="169" t="s">
        <v>15862</v>
      </c>
      <c r="Q2508" s="9">
        <v>3665.18</v>
      </c>
    </row>
    <row r="2509" spans="14:17" x14ac:dyDescent="0.2">
      <c r="O2509" s="9">
        <v>45172</v>
      </c>
      <c r="P2509" s="169" t="s">
        <v>15863</v>
      </c>
      <c r="Q2509" s="9">
        <v>3734.41</v>
      </c>
    </row>
    <row r="2510" spans="14:17" x14ac:dyDescent="0.2">
      <c r="O2510" s="9">
        <v>45175</v>
      </c>
      <c r="P2510" s="169" t="s">
        <v>15864</v>
      </c>
      <c r="Q2510" s="9">
        <v>3886.07</v>
      </c>
    </row>
    <row r="2511" spans="14:17" x14ac:dyDescent="0.2">
      <c r="O2511" s="9">
        <v>45180</v>
      </c>
      <c r="P2511" s="169" t="s">
        <v>15865</v>
      </c>
      <c r="Q2511" s="9">
        <v>4071.57</v>
      </c>
    </row>
    <row r="2512" spans="14:17" x14ac:dyDescent="0.2">
      <c r="N2512" s="9" t="s">
        <v>9087</v>
      </c>
      <c r="O2512" s="9" t="s">
        <v>15866</v>
      </c>
      <c r="P2512" s="169" t="s">
        <v>15867</v>
      </c>
      <c r="Q2512" s="9">
        <v>256.04000000000002</v>
      </c>
    </row>
    <row r="2513" spans="15:19" x14ac:dyDescent="0.2">
      <c r="O2513" s="9" t="s">
        <v>15868</v>
      </c>
      <c r="P2513" s="169" t="s">
        <v>15869</v>
      </c>
      <c r="Q2513" s="9">
        <v>307.33</v>
      </c>
      <c r="S2513" s="9" t="s">
        <v>15870</v>
      </c>
    </row>
    <row r="2514" spans="15:19" x14ac:dyDescent="0.2">
      <c r="O2514" s="9" t="s">
        <v>15871</v>
      </c>
      <c r="P2514" s="169" t="s">
        <v>15872</v>
      </c>
      <c r="Q2514" s="9">
        <v>363.44</v>
      </c>
      <c r="S2514" s="9" t="s">
        <v>15873</v>
      </c>
    </row>
    <row r="2515" spans="15:19" x14ac:dyDescent="0.2">
      <c r="O2515" s="9" t="s">
        <v>15874</v>
      </c>
      <c r="P2515" s="169" t="s">
        <v>15875</v>
      </c>
      <c r="Q2515" s="9">
        <v>484.59</v>
      </c>
      <c r="S2515" s="9" t="s">
        <v>15876</v>
      </c>
    </row>
    <row r="2516" spans="15:19" x14ac:dyDescent="0.2">
      <c r="O2516" s="9" t="s">
        <v>15877</v>
      </c>
      <c r="P2516" s="169" t="s">
        <v>15878</v>
      </c>
      <c r="Q2516" s="9">
        <v>357.1</v>
      </c>
      <c r="S2516" s="9" t="s">
        <v>15879</v>
      </c>
    </row>
    <row r="2517" spans="15:19" x14ac:dyDescent="0.2">
      <c r="O2517" s="9" t="s">
        <v>15880</v>
      </c>
      <c r="P2517" s="169" t="s">
        <v>15881</v>
      </c>
      <c r="Q2517" s="9">
        <v>353.45</v>
      </c>
      <c r="S2517" s="9" t="s">
        <v>15882</v>
      </c>
    </row>
    <row r="2518" spans="15:19" x14ac:dyDescent="0.2">
      <c r="O2518" s="9" t="s">
        <v>15883</v>
      </c>
      <c r="P2518" s="169" t="s">
        <v>15884</v>
      </c>
      <c r="Q2518" s="9">
        <v>408.12</v>
      </c>
    </row>
    <row r="2519" spans="15:19" x14ac:dyDescent="0.2">
      <c r="O2519" s="9" t="s">
        <v>15885</v>
      </c>
      <c r="P2519" s="169" t="s">
        <v>15886</v>
      </c>
      <c r="Q2519" s="9">
        <v>447.81</v>
      </c>
    </row>
    <row r="2520" spans="15:19" x14ac:dyDescent="0.2">
      <c r="O2520" s="9" t="s">
        <v>15887</v>
      </c>
      <c r="P2520" s="169" t="s">
        <v>15888</v>
      </c>
      <c r="Q2520" s="9">
        <v>484.59</v>
      </c>
    </row>
    <row r="2521" spans="15:19" x14ac:dyDescent="0.2">
      <c r="O2521" s="9" t="s">
        <v>15889</v>
      </c>
      <c r="P2521" s="169" t="s">
        <v>15890</v>
      </c>
      <c r="Q2521" s="9">
        <v>438.72</v>
      </c>
    </row>
    <row r="2522" spans="15:19" x14ac:dyDescent="0.2">
      <c r="O2522" s="9" t="s">
        <v>15891</v>
      </c>
      <c r="P2522" s="169" t="s">
        <v>15892</v>
      </c>
      <c r="Q2522" s="9">
        <v>510.14</v>
      </c>
    </row>
    <row r="2523" spans="15:19" x14ac:dyDescent="0.2">
      <c r="O2523" s="9" t="s">
        <v>15893</v>
      </c>
      <c r="P2523" s="169" t="s">
        <v>15894</v>
      </c>
      <c r="Q2523" s="9">
        <v>540.72</v>
      </c>
    </row>
    <row r="2524" spans="15:19" x14ac:dyDescent="0.2">
      <c r="O2524" s="9" t="s">
        <v>15895</v>
      </c>
      <c r="P2524" s="169" t="s">
        <v>15896</v>
      </c>
      <c r="Q2524" s="9">
        <v>535.02</v>
      </c>
    </row>
    <row r="2525" spans="15:19" x14ac:dyDescent="0.2">
      <c r="O2525" s="9" t="s">
        <v>15897</v>
      </c>
      <c r="P2525" s="169" t="s">
        <v>15898</v>
      </c>
      <c r="Q2525" s="9">
        <v>819.17</v>
      </c>
    </row>
    <row r="2526" spans="15:19" x14ac:dyDescent="0.2">
      <c r="O2526" s="9" t="s">
        <v>15899</v>
      </c>
      <c r="P2526" s="169" t="s">
        <v>15900</v>
      </c>
      <c r="Q2526" s="9">
        <v>353.35</v>
      </c>
    </row>
    <row r="2527" spans="15:19" x14ac:dyDescent="0.2">
      <c r="O2527" s="9" t="s">
        <v>15901</v>
      </c>
      <c r="P2527" s="169" t="s">
        <v>15902</v>
      </c>
      <c r="Q2527" s="9">
        <v>434.78</v>
      </c>
    </row>
    <row r="2528" spans="15:19" x14ac:dyDescent="0.2">
      <c r="O2528" s="9" t="s">
        <v>15903</v>
      </c>
      <c r="P2528" s="169" t="s">
        <v>15904</v>
      </c>
      <c r="Q2528" s="9">
        <v>908.57</v>
      </c>
    </row>
    <row r="2529" spans="15:17" x14ac:dyDescent="0.2">
      <c r="O2529" s="9" t="s">
        <v>15905</v>
      </c>
      <c r="P2529" s="169" t="s">
        <v>15906</v>
      </c>
      <c r="Q2529" s="9">
        <v>663.11</v>
      </c>
    </row>
    <row r="2530" spans="15:17" x14ac:dyDescent="0.2">
      <c r="O2530" s="9" t="s">
        <v>15907</v>
      </c>
      <c r="P2530" s="169" t="s">
        <v>15908</v>
      </c>
      <c r="Q2530" s="9">
        <v>403.78</v>
      </c>
    </row>
    <row r="2531" spans="15:17" x14ac:dyDescent="0.2">
      <c r="O2531" s="9" t="s">
        <v>15909</v>
      </c>
      <c r="P2531" s="169" t="s">
        <v>15910</v>
      </c>
      <c r="Q2531" s="9">
        <v>637.04</v>
      </c>
    </row>
    <row r="2532" spans="15:17" x14ac:dyDescent="0.2">
      <c r="O2532" s="9" t="s">
        <v>15911</v>
      </c>
      <c r="P2532" s="169" t="s">
        <v>15912</v>
      </c>
      <c r="Q2532" s="9">
        <v>787.4</v>
      </c>
    </row>
    <row r="2533" spans="15:17" x14ac:dyDescent="0.2">
      <c r="O2533" s="9" t="s">
        <v>15913</v>
      </c>
      <c r="P2533" s="169" t="s">
        <v>15914</v>
      </c>
      <c r="Q2533" s="9">
        <v>960.59</v>
      </c>
    </row>
    <row r="2534" spans="15:17" x14ac:dyDescent="0.2">
      <c r="O2534" s="9" t="s">
        <v>15915</v>
      </c>
      <c r="P2534" s="169" t="s">
        <v>15916</v>
      </c>
      <c r="Q2534" s="9">
        <v>652.21</v>
      </c>
    </row>
    <row r="2535" spans="15:17" x14ac:dyDescent="0.2">
      <c r="O2535" s="9" t="s">
        <v>15917</v>
      </c>
      <c r="P2535" s="169" t="s">
        <v>15918</v>
      </c>
      <c r="Q2535" s="9">
        <v>918.99</v>
      </c>
    </row>
    <row r="2536" spans="15:17" x14ac:dyDescent="0.2">
      <c r="O2536" s="9" t="s">
        <v>15919</v>
      </c>
      <c r="P2536" s="169" t="s">
        <v>15920</v>
      </c>
      <c r="Q2536" s="9">
        <v>969.17</v>
      </c>
    </row>
    <row r="2537" spans="15:17" x14ac:dyDescent="0.2">
      <c r="O2537" s="9" t="s">
        <v>15921</v>
      </c>
      <c r="P2537" s="169" t="s">
        <v>15922</v>
      </c>
      <c r="Q2537" s="9">
        <v>1314.45</v>
      </c>
    </row>
    <row r="2538" spans="15:17" x14ac:dyDescent="0.2">
      <c r="O2538" s="9" t="s">
        <v>15923</v>
      </c>
      <c r="P2538" s="169" t="s">
        <v>15924</v>
      </c>
      <c r="Q2538" s="9">
        <v>510.54</v>
      </c>
    </row>
    <row r="2539" spans="15:17" x14ac:dyDescent="0.2">
      <c r="O2539" s="9" t="s">
        <v>15925</v>
      </c>
      <c r="P2539" s="169" t="s">
        <v>15926</v>
      </c>
      <c r="Q2539" s="9">
        <v>1021.06</v>
      </c>
    </row>
    <row r="2540" spans="15:17" x14ac:dyDescent="0.2">
      <c r="O2540" s="9" t="s">
        <v>15927</v>
      </c>
      <c r="P2540" s="169" t="s">
        <v>15928</v>
      </c>
      <c r="Q2540" s="9">
        <v>408.12</v>
      </c>
    </row>
    <row r="2541" spans="15:17" x14ac:dyDescent="0.2">
      <c r="O2541" s="9" t="s">
        <v>15929</v>
      </c>
      <c r="P2541" s="169" t="s">
        <v>15930</v>
      </c>
      <c r="Q2541" s="9">
        <v>868.94</v>
      </c>
    </row>
    <row r="2542" spans="15:17" x14ac:dyDescent="0.2">
      <c r="O2542" s="9" t="s">
        <v>15931</v>
      </c>
      <c r="P2542" s="169" t="s">
        <v>15932</v>
      </c>
      <c r="Q2542" s="9">
        <v>336.67</v>
      </c>
    </row>
    <row r="2543" spans="15:17" x14ac:dyDescent="0.2">
      <c r="O2543" s="9" t="s">
        <v>15933</v>
      </c>
      <c r="P2543" s="169" t="s">
        <v>15934</v>
      </c>
      <c r="Q2543" s="9">
        <v>357.1</v>
      </c>
    </row>
    <row r="2544" spans="15:17" x14ac:dyDescent="0.2">
      <c r="O2544" s="9" t="s">
        <v>15935</v>
      </c>
      <c r="P2544" s="169" t="s">
        <v>15936</v>
      </c>
      <c r="Q2544" s="9">
        <v>408.12</v>
      </c>
    </row>
    <row r="2545" spans="15:17" x14ac:dyDescent="0.2">
      <c r="O2545" s="9" t="s">
        <v>15937</v>
      </c>
      <c r="P2545" s="169" t="s">
        <v>15938</v>
      </c>
      <c r="Q2545" s="9">
        <v>465.2</v>
      </c>
    </row>
    <row r="2546" spans="15:17" x14ac:dyDescent="0.2">
      <c r="O2546" s="9" t="s">
        <v>15939</v>
      </c>
      <c r="P2546" s="169" t="s">
        <v>15940</v>
      </c>
      <c r="Q2546" s="9">
        <v>510.54</v>
      </c>
    </row>
    <row r="2547" spans="15:17" x14ac:dyDescent="0.2">
      <c r="O2547" s="9" t="s">
        <v>15941</v>
      </c>
      <c r="P2547" s="169" t="s">
        <v>15942</v>
      </c>
      <c r="Q2547" s="9">
        <v>504.76</v>
      </c>
    </row>
    <row r="2548" spans="15:17" x14ac:dyDescent="0.2">
      <c r="O2548" s="9" t="s">
        <v>15943</v>
      </c>
      <c r="P2548" s="169" t="s">
        <v>15944</v>
      </c>
      <c r="Q2548" s="9">
        <v>889.15</v>
      </c>
    </row>
    <row r="2549" spans="15:17" x14ac:dyDescent="0.2">
      <c r="O2549" s="9" t="s">
        <v>15945</v>
      </c>
      <c r="P2549" s="169" t="s">
        <v>15946</v>
      </c>
      <c r="Q2549" s="9">
        <v>408.12</v>
      </c>
    </row>
    <row r="2550" spans="15:17" x14ac:dyDescent="0.2">
      <c r="O2550" s="9" t="s">
        <v>15947</v>
      </c>
      <c r="P2550" s="169" t="s">
        <v>15948</v>
      </c>
      <c r="Q2550" s="9">
        <v>1233.1300000000001</v>
      </c>
    </row>
    <row r="2551" spans="15:17" x14ac:dyDescent="0.2">
      <c r="O2551" s="9" t="s">
        <v>15949</v>
      </c>
      <c r="P2551" s="169" t="s">
        <v>15950</v>
      </c>
      <c r="Q2551" s="9">
        <v>643.29</v>
      </c>
    </row>
    <row r="2552" spans="15:17" x14ac:dyDescent="0.2">
      <c r="O2552" s="9" t="s">
        <v>15951</v>
      </c>
      <c r="P2552" s="169" t="s">
        <v>15952</v>
      </c>
      <c r="Q2552" s="9">
        <v>357.1</v>
      </c>
    </row>
    <row r="2553" spans="15:17" x14ac:dyDescent="0.2">
      <c r="O2553" s="9" t="s">
        <v>15953</v>
      </c>
      <c r="P2553" s="169" t="s">
        <v>15954</v>
      </c>
      <c r="Q2553" s="9">
        <v>353.35</v>
      </c>
    </row>
    <row r="2554" spans="15:17" x14ac:dyDescent="0.2">
      <c r="O2554" s="9" t="s">
        <v>15955</v>
      </c>
      <c r="P2554" s="169" t="s">
        <v>15956</v>
      </c>
      <c r="Q2554" s="9">
        <v>388.01</v>
      </c>
    </row>
    <row r="2555" spans="15:17" x14ac:dyDescent="0.2">
      <c r="O2555" s="9" t="s">
        <v>15957</v>
      </c>
      <c r="P2555" s="169" t="s">
        <v>15958</v>
      </c>
      <c r="Q2555" s="9">
        <v>454.44</v>
      </c>
    </row>
    <row r="2556" spans="15:17" x14ac:dyDescent="0.2">
      <c r="O2556" s="9" t="s">
        <v>15959</v>
      </c>
      <c r="P2556" s="169" t="s">
        <v>15960</v>
      </c>
      <c r="Q2556" s="9">
        <v>408.45</v>
      </c>
    </row>
    <row r="2557" spans="15:17" x14ac:dyDescent="0.2">
      <c r="O2557" s="9" t="s">
        <v>15961</v>
      </c>
      <c r="P2557" s="169" t="s">
        <v>15962</v>
      </c>
      <c r="Q2557" s="9">
        <v>510.54</v>
      </c>
    </row>
    <row r="2558" spans="15:17" x14ac:dyDescent="0.2">
      <c r="O2558" s="9" t="s">
        <v>15963</v>
      </c>
      <c r="P2558" s="169" t="s">
        <v>15964</v>
      </c>
      <c r="Q2558" s="9">
        <v>780.64</v>
      </c>
    </row>
    <row r="2559" spans="15:17" x14ac:dyDescent="0.2">
      <c r="O2559" s="9" t="s">
        <v>15965</v>
      </c>
      <c r="P2559" s="169" t="s">
        <v>15966</v>
      </c>
      <c r="Q2559" s="9">
        <v>560.79999999999995</v>
      </c>
    </row>
    <row r="2560" spans="15:17" x14ac:dyDescent="0.2">
      <c r="O2560" s="9" t="s">
        <v>15967</v>
      </c>
      <c r="P2560" s="169" t="s">
        <v>15968</v>
      </c>
      <c r="Q2560" s="9">
        <v>816.13</v>
      </c>
    </row>
    <row r="2561" spans="15:17" x14ac:dyDescent="0.2">
      <c r="O2561" s="9" t="s">
        <v>15969</v>
      </c>
      <c r="P2561" s="169" t="s">
        <v>15970</v>
      </c>
      <c r="Q2561" s="9">
        <v>918.99</v>
      </c>
    </row>
    <row r="2562" spans="15:17" x14ac:dyDescent="0.2">
      <c r="O2562" s="9" t="s">
        <v>15971</v>
      </c>
      <c r="P2562" s="169" t="s">
        <v>15972</v>
      </c>
      <c r="Q2562" s="9">
        <v>633.04999999999995</v>
      </c>
    </row>
    <row r="2563" spans="15:17" x14ac:dyDescent="0.2">
      <c r="O2563" s="9" t="s">
        <v>15973</v>
      </c>
      <c r="P2563" s="169" t="s">
        <v>15974</v>
      </c>
      <c r="Q2563" s="9">
        <v>389.3</v>
      </c>
    </row>
    <row r="2564" spans="15:17" x14ac:dyDescent="0.2">
      <c r="O2564" s="9" t="s">
        <v>15975</v>
      </c>
      <c r="P2564" s="169" t="s">
        <v>15976</v>
      </c>
      <c r="Q2564" s="9">
        <v>605.74</v>
      </c>
    </row>
    <row r="2565" spans="15:17" x14ac:dyDescent="0.2">
      <c r="O2565" s="9" t="s">
        <v>15977</v>
      </c>
      <c r="P2565" s="169" t="s">
        <v>15978</v>
      </c>
      <c r="Q2565" s="9">
        <v>490.07</v>
      </c>
    </row>
    <row r="2566" spans="15:17" x14ac:dyDescent="0.2">
      <c r="O2566" s="9" t="s">
        <v>15979</v>
      </c>
      <c r="P2566" s="169" t="s">
        <v>15980</v>
      </c>
      <c r="Q2566" s="9">
        <v>510.54</v>
      </c>
    </row>
    <row r="2567" spans="15:17" x14ac:dyDescent="0.2">
      <c r="O2567" s="9" t="s">
        <v>15981</v>
      </c>
      <c r="P2567" s="169" t="s">
        <v>15982</v>
      </c>
      <c r="Q2567" s="9">
        <v>633.04999999999995</v>
      </c>
    </row>
    <row r="2568" spans="15:17" x14ac:dyDescent="0.2">
      <c r="O2568" s="9" t="s">
        <v>15983</v>
      </c>
      <c r="P2568" s="169" t="s">
        <v>15984</v>
      </c>
      <c r="Q2568" s="9">
        <v>585.4</v>
      </c>
    </row>
    <row r="2569" spans="15:17" x14ac:dyDescent="0.2">
      <c r="O2569" s="9" t="s">
        <v>15985</v>
      </c>
      <c r="P2569" s="169" t="s">
        <v>15986</v>
      </c>
      <c r="Q2569" s="9">
        <v>972.87</v>
      </c>
    </row>
    <row r="2570" spans="15:17" x14ac:dyDescent="0.2">
      <c r="O2570" s="9" t="s">
        <v>15987</v>
      </c>
      <c r="P2570" s="169" t="s">
        <v>15988</v>
      </c>
      <c r="Q2570" s="9">
        <v>918.99</v>
      </c>
    </row>
    <row r="2571" spans="15:17" x14ac:dyDescent="0.2">
      <c r="O2571" s="9" t="s">
        <v>15989</v>
      </c>
      <c r="P2571" s="169" t="s">
        <v>15990</v>
      </c>
      <c r="Q2571" s="9">
        <v>1020.19</v>
      </c>
    </row>
    <row r="2572" spans="15:17" x14ac:dyDescent="0.2">
      <c r="O2572" s="9" t="s">
        <v>15991</v>
      </c>
      <c r="P2572" s="169" t="s">
        <v>15992</v>
      </c>
      <c r="Q2572" s="9">
        <v>611.83000000000004</v>
      </c>
    </row>
    <row r="2573" spans="15:17" x14ac:dyDescent="0.2">
      <c r="O2573" s="9" t="s">
        <v>15993</v>
      </c>
      <c r="P2573" s="169" t="s">
        <v>15994</v>
      </c>
      <c r="Q2573" s="9">
        <v>1224.24</v>
      </c>
    </row>
    <row r="2574" spans="15:17" x14ac:dyDescent="0.2">
      <c r="O2574" s="9" t="s">
        <v>15995</v>
      </c>
      <c r="P2574" s="169" t="s">
        <v>15996</v>
      </c>
      <c r="Q2574" s="9">
        <v>510.14</v>
      </c>
    </row>
    <row r="2575" spans="15:17" x14ac:dyDescent="0.2">
      <c r="O2575" s="9" t="s">
        <v>15997</v>
      </c>
      <c r="P2575" s="169" t="s">
        <v>15998</v>
      </c>
      <c r="Q2575" s="9">
        <v>807.59</v>
      </c>
    </row>
    <row r="2576" spans="15:17" x14ac:dyDescent="0.2">
      <c r="O2576" s="9" t="s">
        <v>15999</v>
      </c>
      <c r="P2576" s="169" t="s">
        <v>16000</v>
      </c>
      <c r="Q2576" s="9">
        <v>633.04999999999995</v>
      </c>
    </row>
    <row r="2577" spans="15:17" x14ac:dyDescent="0.2">
      <c r="O2577" s="9" t="s">
        <v>16001</v>
      </c>
      <c r="P2577" s="169" t="s">
        <v>16002</v>
      </c>
      <c r="Q2577" s="9">
        <v>560.79999999999995</v>
      </c>
    </row>
    <row r="2578" spans="15:17" x14ac:dyDescent="0.2">
      <c r="O2578" s="9" t="s">
        <v>16003</v>
      </c>
      <c r="P2578" s="169" t="s">
        <v>16004</v>
      </c>
      <c r="Q2578" s="9">
        <v>706.89</v>
      </c>
    </row>
    <row r="2579" spans="15:17" x14ac:dyDescent="0.2">
      <c r="O2579" s="9" t="s">
        <v>16005</v>
      </c>
      <c r="P2579" s="169" t="s">
        <v>16006</v>
      </c>
      <c r="Q2579" s="9">
        <v>819.17</v>
      </c>
    </row>
    <row r="2580" spans="15:17" x14ac:dyDescent="0.2">
      <c r="O2580" s="9" t="s">
        <v>16007</v>
      </c>
      <c r="P2580" s="169" t="s">
        <v>16008</v>
      </c>
      <c r="Q2580" s="9">
        <v>796.54</v>
      </c>
    </row>
    <row r="2581" spans="15:17" x14ac:dyDescent="0.2">
      <c r="O2581" s="9" t="s">
        <v>16009</v>
      </c>
      <c r="P2581" s="169" t="s">
        <v>16010</v>
      </c>
      <c r="Q2581" s="9">
        <v>918.99</v>
      </c>
    </row>
    <row r="2582" spans="15:17" x14ac:dyDescent="0.2">
      <c r="O2582" s="9" t="s">
        <v>16011</v>
      </c>
      <c r="P2582" s="169" t="s">
        <v>16012</v>
      </c>
      <c r="Q2582" s="9">
        <v>1428.29</v>
      </c>
    </row>
    <row r="2583" spans="15:17" x14ac:dyDescent="0.2">
      <c r="O2583" s="9" t="s">
        <v>16013</v>
      </c>
      <c r="P2583" s="169" t="s">
        <v>16014</v>
      </c>
      <c r="Q2583" s="9">
        <v>959.09</v>
      </c>
    </row>
    <row r="2584" spans="15:17" x14ac:dyDescent="0.2">
      <c r="O2584" s="9" t="s">
        <v>16015</v>
      </c>
      <c r="P2584" s="169" t="s">
        <v>16016</v>
      </c>
      <c r="Q2584" s="9">
        <v>540.72</v>
      </c>
    </row>
    <row r="2585" spans="15:17" x14ac:dyDescent="0.2">
      <c r="O2585" s="9" t="s">
        <v>16017</v>
      </c>
      <c r="P2585" s="169" t="s">
        <v>16018</v>
      </c>
      <c r="Q2585" s="9">
        <v>614.66999999999996</v>
      </c>
    </row>
    <row r="2586" spans="15:17" x14ac:dyDescent="0.2">
      <c r="O2586" s="9" t="s">
        <v>16019</v>
      </c>
      <c r="P2586" s="169" t="s">
        <v>16020</v>
      </c>
      <c r="Q2586" s="9">
        <v>622.83000000000004</v>
      </c>
    </row>
    <row r="2587" spans="15:17" x14ac:dyDescent="0.2">
      <c r="O2587" s="9" t="s">
        <v>16021</v>
      </c>
      <c r="P2587" s="169" t="s">
        <v>16022</v>
      </c>
      <c r="Q2587" s="9">
        <v>663.11</v>
      </c>
    </row>
    <row r="2588" spans="15:17" x14ac:dyDescent="0.2">
      <c r="O2588" s="9" t="s">
        <v>16023</v>
      </c>
      <c r="P2588" s="169" t="s">
        <v>16024</v>
      </c>
      <c r="Q2588" s="9">
        <v>767.22</v>
      </c>
    </row>
    <row r="2589" spans="15:17" x14ac:dyDescent="0.2">
      <c r="O2589" s="9" t="s">
        <v>16025</v>
      </c>
      <c r="P2589" s="169" t="s">
        <v>16026</v>
      </c>
      <c r="Q2589" s="9">
        <v>908.57</v>
      </c>
    </row>
    <row r="2590" spans="15:17" x14ac:dyDescent="0.2">
      <c r="O2590" s="9" t="s">
        <v>16027</v>
      </c>
      <c r="P2590" s="169" t="s">
        <v>16028</v>
      </c>
      <c r="Q2590" s="9">
        <v>1428.29</v>
      </c>
    </row>
    <row r="2591" spans="15:17" x14ac:dyDescent="0.2">
      <c r="O2591" s="9" t="s">
        <v>16029</v>
      </c>
      <c r="P2591" s="169" t="s">
        <v>16030</v>
      </c>
      <c r="Q2591" s="9">
        <v>1122.2</v>
      </c>
    </row>
    <row r="2592" spans="15:17" x14ac:dyDescent="0.2">
      <c r="O2592" s="9" t="s">
        <v>16031</v>
      </c>
      <c r="P2592" s="169" t="s">
        <v>16032</v>
      </c>
      <c r="Q2592" s="9">
        <v>1224.24</v>
      </c>
    </row>
    <row r="2593" spans="15:17" x14ac:dyDescent="0.2">
      <c r="O2593" s="9" t="s">
        <v>16033</v>
      </c>
      <c r="P2593" s="169" t="s">
        <v>16034</v>
      </c>
      <c r="Q2593" s="9">
        <v>509.85</v>
      </c>
    </row>
    <row r="2594" spans="15:17" x14ac:dyDescent="0.2">
      <c r="O2594" s="9" t="s">
        <v>16035</v>
      </c>
      <c r="P2594" s="169" t="s">
        <v>16036</v>
      </c>
      <c r="Q2594" s="9">
        <v>612.6</v>
      </c>
    </row>
    <row r="2595" spans="15:17" x14ac:dyDescent="0.2">
      <c r="O2595" s="9" t="s">
        <v>16037</v>
      </c>
      <c r="P2595" s="169" t="s">
        <v>16038</v>
      </c>
      <c r="Q2595" s="9">
        <v>727.97</v>
      </c>
    </row>
    <row r="2596" spans="15:17" x14ac:dyDescent="0.2">
      <c r="O2596" s="9" t="s">
        <v>16039</v>
      </c>
      <c r="P2596" s="169" t="s">
        <v>16040</v>
      </c>
      <c r="Q2596" s="9">
        <v>612.6</v>
      </c>
    </row>
    <row r="2597" spans="15:17" x14ac:dyDescent="0.2">
      <c r="O2597" s="9" t="s">
        <v>16041</v>
      </c>
      <c r="P2597" s="169" t="s">
        <v>16042</v>
      </c>
      <c r="Q2597" s="9">
        <v>706.72</v>
      </c>
    </row>
    <row r="2598" spans="15:17" x14ac:dyDescent="0.2">
      <c r="O2598" s="9" t="s">
        <v>16043</v>
      </c>
      <c r="P2598" s="169" t="s">
        <v>16044</v>
      </c>
      <c r="Q2598" s="9">
        <v>713.83</v>
      </c>
    </row>
    <row r="2599" spans="15:17" x14ac:dyDescent="0.2">
      <c r="O2599" s="9" t="s">
        <v>16045</v>
      </c>
      <c r="P2599" s="169" t="s">
        <v>16046</v>
      </c>
      <c r="Q2599" s="9">
        <v>849</v>
      </c>
    </row>
    <row r="2600" spans="15:17" x14ac:dyDescent="0.2">
      <c r="O2600" s="9" t="s">
        <v>16047</v>
      </c>
      <c r="P2600" s="169" t="s">
        <v>16048</v>
      </c>
      <c r="Q2600" s="9">
        <v>1132</v>
      </c>
    </row>
    <row r="2601" spans="15:17" x14ac:dyDescent="0.2">
      <c r="O2601" s="9" t="s">
        <v>16049</v>
      </c>
      <c r="P2601" s="169" t="s">
        <v>16050</v>
      </c>
      <c r="Q2601" s="9">
        <v>877.4</v>
      </c>
    </row>
    <row r="2602" spans="15:17" x14ac:dyDescent="0.2">
      <c r="O2602" s="9" t="s">
        <v>16051</v>
      </c>
      <c r="P2602" s="169" t="s">
        <v>16052</v>
      </c>
      <c r="Q2602" s="9">
        <v>1530.31</v>
      </c>
    </row>
    <row r="2603" spans="15:17" x14ac:dyDescent="0.2">
      <c r="O2603" s="9" t="s">
        <v>16053</v>
      </c>
      <c r="P2603" s="169" t="s">
        <v>16054</v>
      </c>
      <c r="Q2603" s="9">
        <v>714.77</v>
      </c>
    </row>
    <row r="2604" spans="15:17" x14ac:dyDescent="0.2">
      <c r="O2604" s="9" t="s">
        <v>16055</v>
      </c>
      <c r="P2604" s="169" t="s">
        <v>16056</v>
      </c>
      <c r="Q2604" s="9">
        <v>713.83</v>
      </c>
    </row>
    <row r="2605" spans="15:17" x14ac:dyDescent="0.2">
      <c r="O2605" s="9" t="s">
        <v>16057</v>
      </c>
      <c r="P2605" s="169" t="s">
        <v>16058</v>
      </c>
      <c r="Q2605" s="9">
        <v>816.13</v>
      </c>
    </row>
    <row r="2606" spans="15:17" x14ac:dyDescent="0.2">
      <c r="O2606" s="9" t="s">
        <v>16059</v>
      </c>
      <c r="P2606" s="169" t="s">
        <v>16060</v>
      </c>
      <c r="Q2606" s="9">
        <v>1292.17</v>
      </c>
    </row>
    <row r="2607" spans="15:17" x14ac:dyDescent="0.2">
      <c r="O2607" s="9" t="s">
        <v>16061</v>
      </c>
      <c r="P2607" s="169" t="s">
        <v>16062</v>
      </c>
      <c r="Q2607" s="9">
        <v>868.94</v>
      </c>
    </row>
    <row r="2608" spans="15:17" x14ac:dyDescent="0.2">
      <c r="O2608" s="9" t="s">
        <v>16063</v>
      </c>
      <c r="P2608" s="169" t="s">
        <v>16064</v>
      </c>
      <c r="Q2608" s="9">
        <v>1632.47</v>
      </c>
    </row>
    <row r="2609" spans="15:17" x14ac:dyDescent="0.2">
      <c r="O2609" s="9" t="s">
        <v>16065</v>
      </c>
      <c r="P2609" s="169" t="s">
        <v>16066</v>
      </c>
      <c r="Q2609" s="9">
        <v>714.11</v>
      </c>
    </row>
    <row r="2610" spans="15:17" x14ac:dyDescent="0.2">
      <c r="O2610" s="9" t="s">
        <v>16067</v>
      </c>
      <c r="P2610" s="169" t="s">
        <v>16068</v>
      </c>
      <c r="Q2610" s="9">
        <v>728.72</v>
      </c>
    </row>
    <row r="2611" spans="15:17" x14ac:dyDescent="0.2">
      <c r="O2611" s="9" t="s">
        <v>16069</v>
      </c>
      <c r="P2611" s="169" t="s">
        <v>16070</v>
      </c>
      <c r="Q2611" s="9">
        <v>836.09</v>
      </c>
    </row>
    <row r="2612" spans="15:17" x14ac:dyDescent="0.2">
      <c r="O2612" s="9" t="s">
        <v>16071</v>
      </c>
      <c r="P2612" s="169" t="s">
        <v>16072</v>
      </c>
      <c r="Q2612" s="9">
        <v>816.13</v>
      </c>
    </row>
    <row r="2613" spans="15:17" x14ac:dyDescent="0.2">
      <c r="O2613" s="9" t="s">
        <v>16073</v>
      </c>
      <c r="P2613" s="169" t="s">
        <v>16074</v>
      </c>
      <c r="Q2613" s="9">
        <v>840.41</v>
      </c>
    </row>
    <row r="2614" spans="15:17" x14ac:dyDescent="0.2">
      <c r="O2614" s="9" t="s">
        <v>16075</v>
      </c>
      <c r="P2614" s="169" t="s">
        <v>16076</v>
      </c>
      <c r="Q2614" s="9">
        <v>1324.5</v>
      </c>
    </row>
    <row r="2615" spans="15:17" x14ac:dyDescent="0.2">
      <c r="O2615" s="9" t="s">
        <v>16077</v>
      </c>
      <c r="P2615" s="169" t="s">
        <v>16078</v>
      </c>
      <c r="Q2615" s="9">
        <v>969.17</v>
      </c>
    </row>
    <row r="2616" spans="15:17" x14ac:dyDescent="0.2">
      <c r="O2616" s="9" t="s">
        <v>16079</v>
      </c>
      <c r="P2616" s="169" t="s">
        <v>16080</v>
      </c>
      <c r="Q2616" s="9">
        <v>1150.8399999999999</v>
      </c>
    </row>
    <row r="2617" spans="15:17" x14ac:dyDescent="0.2">
      <c r="O2617" s="9" t="s">
        <v>16081</v>
      </c>
      <c r="P2617" s="169" t="s">
        <v>16082</v>
      </c>
      <c r="Q2617" s="9">
        <v>1122.2</v>
      </c>
    </row>
    <row r="2618" spans="15:17" x14ac:dyDescent="0.2">
      <c r="O2618" s="9" t="s">
        <v>16083</v>
      </c>
      <c r="P2618" s="169" t="s">
        <v>16084</v>
      </c>
      <c r="Q2618" s="9">
        <v>2244.44</v>
      </c>
    </row>
    <row r="2619" spans="15:17" x14ac:dyDescent="0.2">
      <c r="O2619" s="9" t="s">
        <v>16085</v>
      </c>
      <c r="P2619" s="169" t="s">
        <v>16086</v>
      </c>
      <c r="Q2619" s="9">
        <v>129.80000000000001</v>
      </c>
    </row>
    <row r="2620" spans="15:17" x14ac:dyDescent="0.2">
      <c r="O2620" s="9" t="s">
        <v>16087</v>
      </c>
      <c r="P2620" s="169" t="s">
        <v>16088</v>
      </c>
      <c r="Q2620" s="9">
        <v>840.03</v>
      </c>
    </row>
    <row r="2621" spans="15:17" x14ac:dyDescent="0.2">
      <c r="O2621" s="9" t="s">
        <v>16089</v>
      </c>
      <c r="P2621" s="169" t="s">
        <v>16090</v>
      </c>
      <c r="Q2621" s="9">
        <v>918.18</v>
      </c>
    </row>
    <row r="2622" spans="15:17" x14ac:dyDescent="0.2">
      <c r="O2622" s="9" t="s">
        <v>16091</v>
      </c>
      <c r="P2622" s="169" t="s">
        <v>16092</v>
      </c>
      <c r="Q2622" s="9">
        <v>918.99</v>
      </c>
    </row>
    <row r="2623" spans="15:17" x14ac:dyDescent="0.2">
      <c r="O2623" s="9" t="s">
        <v>16093</v>
      </c>
      <c r="P2623" s="169" t="s">
        <v>16094</v>
      </c>
      <c r="Q2623" s="9">
        <v>1021.06</v>
      </c>
    </row>
    <row r="2624" spans="15:17" x14ac:dyDescent="0.2">
      <c r="O2624" s="9" t="s">
        <v>16095</v>
      </c>
      <c r="P2624" s="169" t="s">
        <v>16096</v>
      </c>
      <c r="Q2624" s="9">
        <v>1326.26</v>
      </c>
    </row>
    <row r="2625" spans="15:17" x14ac:dyDescent="0.2">
      <c r="O2625" s="9" t="s">
        <v>16097</v>
      </c>
      <c r="P2625" s="169" t="s">
        <v>16098</v>
      </c>
      <c r="Q2625" s="9">
        <v>922</v>
      </c>
    </row>
    <row r="2626" spans="15:17" x14ac:dyDescent="0.2">
      <c r="O2626" s="9" t="s">
        <v>16099</v>
      </c>
      <c r="P2626" s="169" t="s">
        <v>16100</v>
      </c>
      <c r="Q2626" s="9">
        <v>1021.06</v>
      </c>
    </row>
    <row r="2627" spans="15:17" x14ac:dyDescent="0.2">
      <c r="O2627" s="9" t="s">
        <v>16101</v>
      </c>
      <c r="P2627" s="169" t="s">
        <v>16102</v>
      </c>
      <c r="Q2627" s="9">
        <v>1122.2</v>
      </c>
    </row>
    <row r="2628" spans="15:17" x14ac:dyDescent="0.2">
      <c r="O2628" s="9" t="s">
        <v>16103</v>
      </c>
      <c r="P2628" s="169" t="s">
        <v>16104</v>
      </c>
      <c r="Q2628" s="9">
        <v>1429.51</v>
      </c>
    </row>
    <row r="2629" spans="15:17" x14ac:dyDescent="0.2">
      <c r="O2629" s="9" t="s">
        <v>16105</v>
      </c>
      <c r="P2629" s="169" t="s">
        <v>16106</v>
      </c>
      <c r="Q2629" s="9">
        <v>1326.26</v>
      </c>
    </row>
    <row r="2630" spans="15:17" x14ac:dyDescent="0.2">
      <c r="O2630" s="9" t="s">
        <v>16107</v>
      </c>
      <c r="P2630" s="169" t="s">
        <v>16108</v>
      </c>
      <c r="Q2630" s="9">
        <v>2040.37</v>
      </c>
    </row>
    <row r="2631" spans="15:17" x14ac:dyDescent="0.2">
      <c r="O2631" s="9" t="s">
        <v>16109</v>
      </c>
      <c r="P2631" s="169" t="s">
        <v>16110</v>
      </c>
      <c r="Q2631" s="9">
        <v>819.17</v>
      </c>
    </row>
    <row r="2632" spans="15:17" x14ac:dyDescent="0.2">
      <c r="O2632" s="9" t="s">
        <v>16111</v>
      </c>
      <c r="P2632" s="169" t="s">
        <v>16112</v>
      </c>
      <c r="Q2632" s="9">
        <v>949.57</v>
      </c>
    </row>
    <row r="2633" spans="15:17" x14ac:dyDescent="0.2">
      <c r="O2633" s="9" t="s">
        <v>16113</v>
      </c>
      <c r="P2633" s="169" t="s">
        <v>16114</v>
      </c>
      <c r="Q2633" s="9">
        <v>1126.9100000000001</v>
      </c>
    </row>
    <row r="2634" spans="15:17" x14ac:dyDescent="0.2">
      <c r="O2634" s="9" t="s">
        <v>16115</v>
      </c>
      <c r="P2634" s="169" t="s">
        <v>16116</v>
      </c>
      <c r="Q2634" s="9">
        <v>1122.2</v>
      </c>
    </row>
    <row r="2635" spans="15:17" x14ac:dyDescent="0.2">
      <c r="O2635" s="9" t="s">
        <v>16117</v>
      </c>
      <c r="P2635" s="169" t="s">
        <v>16118</v>
      </c>
      <c r="Q2635" s="9">
        <v>1224.24</v>
      </c>
    </row>
    <row r="2636" spans="15:17" x14ac:dyDescent="0.2">
      <c r="O2636" s="9" t="s">
        <v>16119</v>
      </c>
      <c r="P2636" s="169" t="s">
        <v>16120</v>
      </c>
      <c r="Q2636" s="9">
        <v>1428.29</v>
      </c>
    </row>
    <row r="2637" spans="15:17" x14ac:dyDescent="0.2">
      <c r="O2637" s="9" t="s">
        <v>16121</v>
      </c>
      <c r="P2637" s="169" t="s">
        <v>16122</v>
      </c>
      <c r="Q2637" s="9">
        <v>1122.2</v>
      </c>
    </row>
    <row r="2638" spans="15:17" x14ac:dyDescent="0.2">
      <c r="O2638" s="9" t="s">
        <v>16123</v>
      </c>
      <c r="P2638" s="169" t="s">
        <v>16124</v>
      </c>
      <c r="Q2638" s="9">
        <v>3264.61</v>
      </c>
    </row>
    <row r="2639" spans="15:17" x14ac:dyDescent="0.2">
      <c r="O2639" s="9" t="s">
        <v>16125</v>
      </c>
      <c r="P2639" s="169" t="s">
        <v>16126</v>
      </c>
      <c r="Q2639" s="9">
        <v>1021.06</v>
      </c>
    </row>
    <row r="2640" spans="15:17" x14ac:dyDescent="0.2">
      <c r="O2640" s="9" t="s">
        <v>16127</v>
      </c>
      <c r="P2640" s="169" t="s">
        <v>16128</v>
      </c>
      <c r="Q2640" s="9">
        <v>1223.68</v>
      </c>
    </row>
    <row r="2641" spans="15:17" x14ac:dyDescent="0.2">
      <c r="O2641" s="9" t="s">
        <v>16129</v>
      </c>
      <c r="P2641" s="169" t="s">
        <v>16130</v>
      </c>
      <c r="Q2641" s="9">
        <v>1938.26</v>
      </c>
    </row>
    <row r="2642" spans="15:17" x14ac:dyDescent="0.2">
      <c r="O2642" s="9" t="s">
        <v>16131</v>
      </c>
      <c r="P2642" s="169" t="s">
        <v>16132</v>
      </c>
      <c r="Q2642" s="9">
        <v>1448.22</v>
      </c>
    </row>
    <row r="2643" spans="15:17" x14ac:dyDescent="0.2">
      <c r="O2643" s="9" t="s">
        <v>16133</v>
      </c>
      <c r="P2643" s="169" t="s">
        <v>16134</v>
      </c>
      <c r="Q2643" s="9">
        <v>1938.33</v>
      </c>
    </row>
    <row r="2644" spans="15:17" x14ac:dyDescent="0.2">
      <c r="O2644" s="9" t="s">
        <v>16135</v>
      </c>
      <c r="P2644" s="169" t="s">
        <v>16136</v>
      </c>
      <c r="Q2644" s="9">
        <v>1223.68</v>
      </c>
    </row>
    <row r="2645" spans="15:17" x14ac:dyDescent="0.2">
      <c r="O2645" s="9" t="s">
        <v>16137</v>
      </c>
      <c r="P2645" s="169" t="s">
        <v>16138</v>
      </c>
      <c r="Q2645" s="9">
        <v>1223.68</v>
      </c>
    </row>
    <row r="2646" spans="15:17" x14ac:dyDescent="0.2">
      <c r="O2646" s="9" t="s">
        <v>16139</v>
      </c>
      <c r="P2646" s="169" t="s">
        <v>16140</v>
      </c>
      <c r="Q2646" s="9">
        <v>1223.68</v>
      </c>
    </row>
    <row r="2647" spans="15:17" x14ac:dyDescent="0.2">
      <c r="O2647" s="9" t="s">
        <v>16141</v>
      </c>
      <c r="P2647" s="169" t="s">
        <v>16142</v>
      </c>
      <c r="Q2647" s="9">
        <v>1530.31</v>
      </c>
    </row>
    <row r="2648" spans="15:17" x14ac:dyDescent="0.2">
      <c r="O2648" s="9" t="s">
        <v>16143</v>
      </c>
      <c r="P2648" s="169" t="s">
        <v>16144</v>
      </c>
      <c r="Q2648" s="9">
        <v>1515.38</v>
      </c>
    </row>
    <row r="2649" spans="15:17" x14ac:dyDescent="0.2">
      <c r="O2649" s="9" t="s">
        <v>16145</v>
      </c>
      <c r="P2649" s="169" t="s">
        <v>16146</v>
      </c>
      <c r="Q2649" s="9">
        <v>1223.68</v>
      </c>
    </row>
    <row r="2650" spans="15:17" x14ac:dyDescent="0.2">
      <c r="O2650" s="9" t="s">
        <v>16147</v>
      </c>
      <c r="P2650" s="169" t="s">
        <v>16148</v>
      </c>
      <c r="Q2650" s="9">
        <v>1326.26</v>
      </c>
    </row>
    <row r="2651" spans="15:17" x14ac:dyDescent="0.2">
      <c r="O2651" s="9" t="s">
        <v>16149</v>
      </c>
      <c r="P2651" s="169" t="s">
        <v>16150</v>
      </c>
      <c r="Q2651" s="9">
        <v>2019.58</v>
      </c>
    </row>
    <row r="2652" spans="15:17" x14ac:dyDescent="0.2">
      <c r="O2652" s="9" t="s">
        <v>16151</v>
      </c>
      <c r="P2652" s="169" t="s">
        <v>16152</v>
      </c>
      <c r="Q2652" s="9">
        <v>1530.31</v>
      </c>
    </row>
    <row r="2653" spans="15:17" x14ac:dyDescent="0.2">
      <c r="O2653" s="9" t="s">
        <v>16153</v>
      </c>
      <c r="P2653" s="169" t="s">
        <v>16154</v>
      </c>
      <c r="Q2653" s="9">
        <v>1734.36</v>
      </c>
    </row>
    <row r="2654" spans="15:17" x14ac:dyDescent="0.2">
      <c r="O2654" s="9" t="s">
        <v>16155</v>
      </c>
      <c r="P2654" s="169" t="s">
        <v>16156</v>
      </c>
      <c r="Q2654" s="9">
        <v>2856.25</v>
      </c>
    </row>
    <row r="2655" spans="15:17" x14ac:dyDescent="0.2">
      <c r="O2655" s="9" t="s">
        <v>16157</v>
      </c>
      <c r="P2655" s="169" t="s">
        <v>16158</v>
      </c>
      <c r="Q2655" s="9">
        <v>1428.29</v>
      </c>
    </row>
    <row r="2656" spans="15:17" x14ac:dyDescent="0.2">
      <c r="O2656" s="9" t="s">
        <v>16159</v>
      </c>
      <c r="P2656" s="169" t="s">
        <v>16160</v>
      </c>
      <c r="Q2656" s="9">
        <v>1734.36</v>
      </c>
    </row>
    <row r="2657" spans="15:17" x14ac:dyDescent="0.2">
      <c r="O2657" s="9" t="s">
        <v>16161</v>
      </c>
      <c r="P2657" s="169" t="s">
        <v>16162</v>
      </c>
      <c r="Q2657" s="9">
        <v>1837.89</v>
      </c>
    </row>
    <row r="2658" spans="15:17" x14ac:dyDescent="0.2">
      <c r="O2658" s="9" t="s">
        <v>16163</v>
      </c>
      <c r="P2658" s="169" t="s">
        <v>16164</v>
      </c>
      <c r="Q2658" s="9">
        <v>1326.26</v>
      </c>
    </row>
    <row r="2659" spans="15:17" x14ac:dyDescent="0.2">
      <c r="O2659" s="9" t="s">
        <v>16165</v>
      </c>
      <c r="P2659" s="169" t="s">
        <v>16166</v>
      </c>
      <c r="Q2659" s="9">
        <v>2047.73</v>
      </c>
    </row>
    <row r="2660" spans="15:17" x14ac:dyDescent="0.2">
      <c r="O2660" s="9" t="s">
        <v>16167</v>
      </c>
      <c r="P2660" s="169" t="s">
        <v>16168</v>
      </c>
      <c r="Q2660" s="9">
        <v>1326.26</v>
      </c>
    </row>
    <row r="2661" spans="15:17" x14ac:dyDescent="0.2">
      <c r="O2661" s="9" t="s">
        <v>16169</v>
      </c>
      <c r="P2661" s="169" t="s">
        <v>16170</v>
      </c>
      <c r="Q2661" s="9">
        <v>1632.36</v>
      </c>
    </row>
    <row r="2662" spans="15:17" x14ac:dyDescent="0.2">
      <c r="O2662" s="9" t="s">
        <v>16171</v>
      </c>
      <c r="P2662" s="169" t="s">
        <v>16172</v>
      </c>
      <c r="Q2662" s="9">
        <v>1836.4</v>
      </c>
    </row>
    <row r="2663" spans="15:17" x14ac:dyDescent="0.2">
      <c r="O2663" s="9" t="s">
        <v>16173</v>
      </c>
      <c r="P2663" s="169" t="s">
        <v>16174</v>
      </c>
      <c r="Q2663" s="9">
        <v>1637.05</v>
      </c>
    </row>
    <row r="2664" spans="15:17" x14ac:dyDescent="0.2">
      <c r="O2664" s="9" t="s">
        <v>16175</v>
      </c>
      <c r="P2664" s="169" t="s">
        <v>16176</v>
      </c>
      <c r="Q2664" s="9">
        <v>2628.93</v>
      </c>
    </row>
    <row r="2665" spans="15:17" x14ac:dyDescent="0.2">
      <c r="O2665" s="9" t="s">
        <v>16177</v>
      </c>
      <c r="P2665" s="169" t="s">
        <v>16178</v>
      </c>
      <c r="Q2665" s="9">
        <v>1448.22</v>
      </c>
    </row>
    <row r="2666" spans="15:17" x14ac:dyDescent="0.2">
      <c r="O2666" s="9" t="s">
        <v>16179</v>
      </c>
      <c r="P2666" s="169" t="s">
        <v>16180</v>
      </c>
      <c r="Q2666" s="9">
        <v>1837.89</v>
      </c>
    </row>
    <row r="2667" spans="15:17" x14ac:dyDescent="0.2">
      <c r="O2667" s="9" t="s">
        <v>16181</v>
      </c>
      <c r="P2667" s="169" t="s">
        <v>16182</v>
      </c>
      <c r="Q2667" s="9">
        <v>2244.44</v>
      </c>
    </row>
    <row r="2668" spans="15:17" x14ac:dyDescent="0.2">
      <c r="O2668" s="9" t="s">
        <v>16183</v>
      </c>
      <c r="P2668" s="169" t="s">
        <v>16184</v>
      </c>
      <c r="Q2668" s="9">
        <v>153.82</v>
      </c>
    </row>
    <row r="2669" spans="15:17" x14ac:dyDescent="0.2">
      <c r="O2669" s="9" t="s">
        <v>16185</v>
      </c>
      <c r="P2669" s="169" t="s">
        <v>16186</v>
      </c>
      <c r="Q2669" s="9">
        <v>1737.9</v>
      </c>
    </row>
    <row r="2670" spans="15:17" x14ac:dyDescent="0.2">
      <c r="O2670" s="9" t="s">
        <v>16187</v>
      </c>
      <c r="P2670" s="169" t="s">
        <v>16188</v>
      </c>
      <c r="Q2670" s="9">
        <v>2527.83</v>
      </c>
    </row>
    <row r="2671" spans="15:17" x14ac:dyDescent="0.2">
      <c r="O2671" s="9" t="s">
        <v>16189</v>
      </c>
      <c r="P2671" s="169" t="s">
        <v>16190</v>
      </c>
      <c r="Q2671" s="9">
        <v>2019.05</v>
      </c>
    </row>
    <row r="2672" spans="15:17" x14ac:dyDescent="0.2">
      <c r="O2672" s="9" t="s">
        <v>16191</v>
      </c>
      <c r="P2672" s="169" t="s">
        <v>16192</v>
      </c>
      <c r="Q2672" s="9">
        <v>2346.44</v>
      </c>
    </row>
    <row r="2673" spans="15:17" x14ac:dyDescent="0.2">
      <c r="O2673" s="9" t="s">
        <v>16193</v>
      </c>
      <c r="P2673" s="169" t="s">
        <v>16194</v>
      </c>
      <c r="Q2673" s="9">
        <v>3715</v>
      </c>
    </row>
    <row r="2674" spans="15:17" x14ac:dyDescent="0.2">
      <c r="O2674" s="9" t="s">
        <v>16195</v>
      </c>
      <c r="P2674" s="169" t="s">
        <v>16196</v>
      </c>
      <c r="Q2674" s="9">
        <v>184.4</v>
      </c>
    </row>
    <row r="2675" spans="15:17" x14ac:dyDescent="0.2">
      <c r="O2675" s="9" t="s">
        <v>16197</v>
      </c>
      <c r="P2675" s="169" t="s">
        <v>16198</v>
      </c>
      <c r="Q2675" s="9">
        <v>1737.9</v>
      </c>
    </row>
    <row r="2676" spans="15:17" x14ac:dyDescent="0.2">
      <c r="O2676" s="9" t="s">
        <v>16199</v>
      </c>
      <c r="P2676" s="169" t="s">
        <v>16200</v>
      </c>
      <c r="Q2676" s="9">
        <v>1544.75</v>
      </c>
    </row>
    <row r="2677" spans="15:17" x14ac:dyDescent="0.2">
      <c r="O2677" s="9" t="s">
        <v>16201</v>
      </c>
      <c r="P2677" s="169" t="s">
        <v>16202</v>
      </c>
      <c r="Q2677" s="9">
        <v>2244.44</v>
      </c>
    </row>
    <row r="2678" spans="15:17" x14ac:dyDescent="0.2">
      <c r="O2678" s="9" t="s">
        <v>16203</v>
      </c>
      <c r="P2678" s="169" t="s">
        <v>16204</v>
      </c>
      <c r="Q2678" s="9">
        <v>3553.5</v>
      </c>
    </row>
    <row r="2679" spans="15:17" x14ac:dyDescent="0.2">
      <c r="O2679" s="9" t="s">
        <v>16205</v>
      </c>
      <c r="P2679" s="169" t="s">
        <v>16206</v>
      </c>
      <c r="Q2679" s="9">
        <v>2448.4699999999998</v>
      </c>
    </row>
    <row r="2680" spans="15:17" x14ac:dyDescent="0.2">
      <c r="O2680" s="9" t="s">
        <v>16207</v>
      </c>
      <c r="P2680" s="169" t="s">
        <v>16208</v>
      </c>
      <c r="Q2680" s="9">
        <v>3573.68</v>
      </c>
    </row>
    <row r="2681" spans="15:17" x14ac:dyDescent="0.2">
      <c r="O2681" s="9" t="s">
        <v>16209</v>
      </c>
      <c r="P2681" s="169" t="s">
        <v>16210</v>
      </c>
      <c r="Q2681" s="9">
        <v>3533.32</v>
      </c>
    </row>
    <row r="2682" spans="15:17" x14ac:dyDescent="0.2">
      <c r="O2682" s="9" t="s">
        <v>16211</v>
      </c>
      <c r="P2682" s="169" t="s">
        <v>16212</v>
      </c>
      <c r="Q2682" s="9">
        <v>1836.4</v>
      </c>
    </row>
    <row r="2683" spans="15:17" x14ac:dyDescent="0.2">
      <c r="O2683" s="9" t="s">
        <v>16213</v>
      </c>
      <c r="P2683" s="169" t="s">
        <v>16214</v>
      </c>
      <c r="Q2683" s="9">
        <v>2559.65</v>
      </c>
    </row>
    <row r="2684" spans="15:17" x14ac:dyDescent="0.2">
      <c r="O2684" s="9" t="s">
        <v>16215</v>
      </c>
      <c r="P2684" s="169" t="s">
        <v>16216</v>
      </c>
      <c r="Q2684" s="9">
        <v>2550.5</v>
      </c>
    </row>
    <row r="2685" spans="15:17" x14ac:dyDescent="0.2">
      <c r="O2685" s="9" t="s">
        <v>16217</v>
      </c>
      <c r="P2685" s="169" t="s">
        <v>16218</v>
      </c>
      <c r="Q2685" s="9">
        <v>2346.44</v>
      </c>
    </row>
    <row r="2686" spans="15:17" x14ac:dyDescent="0.2">
      <c r="O2686" s="9" t="s">
        <v>16219</v>
      </c>
      <c r="P2686" s="169" t="s">
        <v>16220</v>
      </c>
      <c r="Q2686" s="9">
        <v>122.45</v>
      </c>
    </row>
    <row r="2687" spans="15:17" x14ac:dyDescent="0.2">
      <c r="O2687" s="9" t="s">
        <v>16221</v>
      </c>
      <c r="P2687" s="169" t="s">
        <v>16222</v>
      </c>
      <c r="Q2687" s="9">
        <v>2550.5</v>
      </c>
    </row>
    <row r="2688" spans="15:17" x14ac:dyDescent="0.2">
      <c r="O2688" s="9" t="s">
        <v>16223</v>
      </c>
      <c r="P2688" s="169" t="s">
        <v>16224</v>
      </c>
      <c r="Q2688" s="9">
        <v>2550.5</v>
      </c>
    </row>
    <row r="2689" spans="15:17" x14ac:dyDescent="0.2">
      <c r="O2689" s="9" t="s">
        <v>16225</v>
      </c>
      <c r="P2689" s="169" t="s">
        <v>16226</v>
      </c>
      <c r="Q2689" s="9">
        <v>2652.54</v>
      </c>
    </row>
    <row r="2690" spans="15:17" x14ac:dyDescent="0.2">
      <c r="O2690" s="9" t="s">
        <v>16227</v>
      </c>
      <c r="P2690" s="169" t="s">
        <v>16228</v>
      </c>
      <c r="Q2690" s="9">
        <v>4078.75</v>
      </c>
    </row>
    <row r="2691" spans="15:17" x14ac:dyDescent="0.2">
      <c r="O2691" s="9" t="s">
        <v>16229</v>
      </c>
      <c r="P2691" s="169" t="s">
        <v>16230</v>
      </c>
      <c r="Q2691" s="9">
        <v>3366.61</v>
      </c>
    </row>
    <row r="2692" spans="15:17" x14ac:dyDescent="0.2">
      <c r="O2692" s="9" t="s">
        <v>16231</v>
      </c>
      <c r="P2692" s="169" t="s">
        <v>16232</v>
      </c>
      <c r="Q2692" s="9">
        <v>3876.76</v>
      </c>
    </row>
    <row r="2693" spans="15:17" x14ac:dyDescent="0.2">
      <c r="O2693" s="9" t="s">
        <v>16233</v>
      </c>
      <c r="P2693" s="169" t="s">
        <v>16234</v>
      </c>
      <c r="Q2693" s="9">
        <v>4201.96</v>
      </c>
    </row>
    <row r="2694" spans="15:17" x14ac:dyDescent="0.2">
      <c r="O2694" s="9" t="s">
        <v>16235</v>
      </c>
      <c r="P2694" s="169" t="s">
        <v>16236</v>
      </c>
      <c r="Q2694" s="9">
        <v>193.79</v>
      </c>
    </row>
    <row r="2695" spans="15:17" x14ac:dyDescent="0.2">
      <c r="O2695" s="9" t="s">
        <v>16237</v>
      </c>
      <c r="P2695" s="169" t="s">
        <v>16238</v>
      </c>
      <c r="Q2695" s="9">
        <v>203.99</v>
      </c>
    </row>
    <row r="2696" spans="15:17" x14ac:dyDescent="0.2">
      <c r="O2696" s="9" t="s">
        <v>16239</v>
      </c>
      <c r="P2696" s="169" t="s">
        <v>16240</v>
      </c>
      <c r="Q2696" s="9">
        <v>256.08</v>
      </c>
    </row>
    <row r="2697" spans="15:17" x14ac:dyDescent="0.2">
      <c r="O2697" s="9" t="s">
        <v>16241</v>
      </c>
      <c r="P2697" s="169" t="s">
        <v>16242</v>
      </c>
      <c r="Q2697" s="9">
        <v>2552.61</v>
      </c>
    </row>
    <row r="2698" spans="15:17" x14ac:dyDescent="0.2">
      <c r="O2698" s="9" t="s">
        <v>16243</v>
      </c>
      <c r="P2698" s="169" t="s">
        <v>16244</v>
      </c>
      <c r="Q2698" s="9">
        <v>768.33</v>
      </c>
    </row>
    <row r="2699" spans="15:17" x14ac:dyDescent="0.2">
      <c r="O2699" s="9" t="s">
        <v>16245</v>
      </c>
      <c r="P2699" s="169" t="s">
        <v>16246</v>
      </c>
      <c r="Q2699" s="9">
        <v>3570.68</v>
      </c>
    </row>
    <row r="2700" spans="15:17" x14ac:dyDescent="0.2">
      <c r="O2700" s="9" t="s">
        <v>16247</v>
      </c>
      <c r="P2700" s="169" t="s">
        <v>16248</v>
      </c>
      <c r="Q2700" s="9">
        <v>5653.31</v>
      </c>
    </row>
    <row r="2701" spans="15:17" x14ac:dyDescent="0.2">
      <c r="O2701" s="9" t="s">
        <v>16249</v>
      </c>
      <c r="P2701" s="169" t="s">
        <v>16250</v>
      </c>
      <c r="Q2701" s="9">
        <v>4080.81</v>
      </c>
    </row>
    <row r="2702" spans="15:17" x14ac:dyDescent="0.2">
      <c r="O2702" s="9" t="s">
        <v>16251</v>
      </c>
      <c r="P2702" s="169" t="s">
        <v>16252</v>
      </c>
      <c r="Q2702" s="9">
        <v>3672.72</v>
      </c>
    </row>
    <row r="2703" spans="15:17" x14ac:dyDescent="0.2">
      <c r="O2703" s="9" t="s">
        <v>16253</v>
      </c>
      <c r="P2703" s="169" t="s">
        <v>16254</v>
      </c>
      <c r="Q2703" s="9">
        <v>3774.74</v>
      </c>
    </row>
    <row r="2704" spans="15:17" x14ac:dyDescent="0.2">
      <c r="O2704" s="9" t="s">
        <v>16255</v>
      </c>
      <c r="P2704" s="169" t="s">
        <v>16256</v>
      </c>
      <c r="Q2704" s="9">
        <v>3573.68</v>
      </c>
    </row>
    <row r="2705" spans="15:17" x14ac:dyDescent="0.2">
      <c r="O2705" s="9" t="s">
        <v>16257</v>
      </c>
      <c r="P2705" s="169" t="s">
        <v>16258</v>
      </c>
      <c r="Q2705" s="9">
        <v>142.78</v>
      </c>
    </row>
    <row r="2706" spans="15:17" x14ac:dyDescent="0.2">
      <c r="O2706" s="9" t="s">
        <v>16259</v>
      </c>
      <c r="P2706" s="169" t="s">
        <v>16260</v>
      </c>
      <c r="Q2706" s="9">
        <v>163.22</v>
      </c>
    </row>
    <row r="2707" spans="15:17" x14ac:dyDescent="0.2">
      <c r="O2707" s="9" t="s">
        <v>16261</v>
      </c>
      <c r="P2707" s="169" t="s">
        <v>16262</v>
      </c>
      <c r="Q2707" s="9">
        <v>184.4</v>
      </c>
    </row>
    <row r="2708" spans="15:17" x14ac:dyDescent="0.2">
      <c r="O2708" s="9" t="s">
        <v>16263</v>
      </c>
      <c r="P2708" s="169" t="s">
        <v>16264</v>
      </c>
      <c r="Q2708" s="9">
        <v>193.79</v>
      </c>
    </row>
    <row r="2709" spans="15:17" x14ac:dyDescent="0.2">
      <c r="O2709" s="9" t="s">
        <v>16265</v>
      </c>
      <c r="P2709" s="169" t="s">
        <v>16266</v>
      </c>
      <c r="Q2709" s="9">
        <v>183.51</v>
      </c>
    </row>
    <row r="2710" spans="15:17" x14ac:dyDescent="0.2">
      <c r="O2710" s="9" t="s">
        <v>16267</v>
      </c>
      <c r="P2710" s="169" t="s">
        <v>16268</v>
      </c>
      <c r="Q2710" s="9">
        <v>289.83999999999997</v>
      </c>
    </row>
    <row r="2711" spans="15:17" x14ac:dyDescent="0.2">
      <c r="O2711" s="9" t="s">
        <v>16269</v>
      </c>
      <c r="P2711" s="169" t="s">
        <v>16270</v>
      </c>
      <c r="Q2711" s="9">
        <v>244.83</v>
      </c>
    </row>
    <row r="2712" spans="15:17" x14ac:dyDescent="0.2">
      <c r="O2712" s="9" t="s">
        <v>16271</v>
      </c>
      <c r="P2712" s="169" t="s">
        <v>16272</v>
      </c>
      <c r="Q2712" s="9">
        <v>285.66000000000003</v>
      </c>
    </row>
    <row r="2713" spans="15:17" x14ac:dyDescent="0.2">
      <c r="O2713" s="9" t="s">
        <v>16273</v>
      </c>
      <c r="P2713" s="169" t="s">
        <v>16274</v>
      </c>
      <c r="Q2713" s="9">
        <v>357.09</v>
      </c>
    </row>
    <row r="2714" spans="15:17" x14ac:dyDescent="0.2">
      <c r="O2714" s="9" t="s">
        <v>16275</v>
      </c>
      <c r="P2714" s="169" t="s">
        <v>16276</v>
      </c>
      <c r="Q2714" s="9">
        <v>459.12</v>
      </c>
    </row>
    <row r="2715" spans="15:17" x14ac:dyDescent="0.2">
      <c r="O2715" s="9" t="s">
        <v>16277</v>
      </c>
      <c r="P2715" s="169" t="s">
        <v>16278</v>
      </c>
      <c r="Q2715" s="9">
        <v>921.98</v>
      </c>
    </row>
    <row r="2716" spans="15:17" x14ac:dyDescent="0.2">
      <c r="O2716" s="9" t="s">
        <v>16279</v>
      </c>
      <c r="P2716" s="169" t="s">
        <v>16280</v>
      </c>
      <c r="Q2716" s="9">
        <v>4080.81</v>
      </c>
    </row>
    <row r="2717" spans="15:17" x14ac:dyDescent="0.2">
      <c r="O2717" s="9" t="s">
        <v>16281</v>
      </c>
      <c r="P2717" s="169" t="s">
        <v>16282</v>
      </c>
      <c r="Q2717" s="9">
        <v>7137.82</v>
      </c>
    </row>
    <row r="2718" spans="15:17" x14ac:dyDescent="0.2">
      <c r="O2718" s="9" t="s">
        <v>16283</v>
      </c>
      <c r="P2718" s="169" t="s">
        <v>16284</v>
      </c>
      <c r="Q2718" s="9">
        <v>153.06</v>
      </c>
    </row>
    <row r="2719" spans="15:17" x14ac:dyDescent="0.2">
      <c r="O2719" s="9" t="s">
        <v>16285</v>
      </c>
      <c r="P2719" s="169" t="s">
        <v>16286</v>
      </c>
      <c r="Q2719" s="9">
        <v>173.32</v>
      </c>
    </row>
    <row r="2720" spans="15:17" x14ac:dyDescent="0.2">
      <c r="O2720" s="9" t="s">
        <v>16287</v>
      </c>
      <c r="P2720" s="169" t="s">
        <v>16288</v>
      </c>
      <c r="Q2720" s="9">
        <v>193.79</v>
      </c>
    </row>
    <row r="2721" spans="15:17" x14ac:dyDescent="0.2">
      <c r="O2721" s="9" t="s">
        <v>16289</v>
      </c>
      <c r="P2721" s="169" t="s">
        <v>16290</v>
      </c>
      <c r="Q2721" s="9">
        <v>234.54</v>
      </c>
    </row>
    <row r="2722" spans="15:17" x14ac:dyDescent="0.2">
      <c r="O2722" s="9" t="s">
        <v>16291</v>
      </c>
      <c r="P2722" s="169" t="s">
        <v>16292</v>
      </c>
      <c r="Q2722" s="9">
        <v>285.92</v>
      </c>
    </row>
    <row r="2723" spans="15:17" x14ac:dyDescent="0.2">
      <c r="O2723" s="9" t="s">
        <v>16293</v>
      </c>
      <c r="P2723" s="169" t="s">
        <v>16294</v>
      </c>
      <c r="Q2723" s="9">
        <v>448.71</v>
      </c>
    </row>
    <row r="2724" spans="15:17" x14ac:dyDescent="0.2">
      <c r="O2724" s="9" t="s">
        <v>16295</v>
      </c>
      <c r="P2724" s="169" t="s">
        <v>16296</v>
      </c>
      <c r="Q2724" s="9">
        <v>611.83000000000004</v>
      </c>
    </row>
    <row r="2725" spans="15:17" x14ac:dyDescent="0.2">
      <c r="O2725" s="9" t="s">
        <v>16297</v>
      </c>
      <c r="P2725" s="169" t="s">
        <v>16298</v>
      </c>
      <c r="Q2725" s="9">
        <v>193.79</v>
      </c>
    </row>
    <row r="2726" spans="15:17" x14ac:dyDescent="0.2">
      <c r="O2726" s="9" t="s">
        <v>16299</v>
      </c>
      <c r="P2726" s="169" t="s">
        <v>16300</v>
      </c>
      <c r="Q2726" s="9">
        <v>6424</v>
      </c>
    </row>
    <row r="2727" spans="15:17" x14ac:dyDescent="0.2">
      <c r="O2727" s="9" t="s">
        <v>16301</v>
      </c>
      <c r="P2727" s="169" t="s">
        <v>16302</v>
      </c>
      <c r="Q2727" s="9">
        <v>184.58</v>
      </c>
    </row>
    <row r="2728" spans="15:17" x14ac:dyDescent="0.2">
      <c r="O2728" s="9" t="s">
        <v>16303</v>
      </c>
      <c r="P2728" s="169" t="s">
        <v>16304</v>
      </c>
      <c r="Q2728" s="9">
        <v>234.54</v>
      </c>
    </row>
    <row r="2729" spans="15:17" x14ac:dyDescent="0.2">
      <c r="O2729" s="9" t="s">
        <v>16305</v>
      </c>
      <c r="P2729" s="169" t="s">
        <v>16306</v>
      </c>
      <c r="Q2729" s="9">
        <v>6121.18</v>
      </c>
    </row>
    <row r="2730" spans="15:17" x14ac:dyDescent="0.2">
      <c r="O2730" s="9" t="s">
        <v>16307</v>
      </c>
      <c r="P2730" s="169" t="s">
        <v>16308</v>
      </c>
      <c r="Q2730" s="9">
        <v>7657.87</v>
      </c>
    </row>
    <row r="2731" spans="15:17" x14ac:dyDescent="0.2">
      <c r="O2731" s="9" t="s">
        <v>16309</v>
      </c>
      <c r="P2731" s="169" t="s">
        <v>16310</v>
      </c>
      <c r="Q2731" s="9">
        <v>153.05000000000001</v>
      </c>
    </row>
    <row r="2732" spans="15:17" x14ac:dyDescent="0.2">
      <c r="O2732" s="9" t="s">
        <v>16311</v>
      </c>
      <c r="P2732" s="169" t="s">
        <v>16312</v>
      </c>
      <c r="Q2732" s="9">
        <v>184.4</v>
      </c>
    </row>
    <row r="2733" spans="15:17" x14ac:dyDescent="0.2">
      <c r="O2733" s="9" t="s">
        <v>16313</v>
      </c>
      <c r="P2733" s="169" t="s">
        <v>16314</v>
      </c>
      <c r="Q2733" s="9">
        <v>203.99</v>
      </c>
    </row>
    <row r="2734" spans="15:17" x14ac:dyDescent="0.2">
      <c r="O2734" s="9" t="s">
        <v>16315</v>
      </c>
      <c r="P2734" s="169" t="s">
        <v>16316</v>
      </c>
      <c r="Q2734" s="9">
        <v>234.64</v>
      </c>
    </row>
    <row r="2735" spans="15:17" x14ac:dyDescent="0.2">
      <c r="O2735" s="9" t="s">
        <v>16317</v>
      </c>
      <c r="P2735" s="169" t="s">
        <v>16318</v>
      </c>
      <c r="Q2735" s="9">
        <v>246.19</v>
      </c>
    </row>
    <row r="2736" spans="15:17" x14ac:dyDescent="0.2">
      <c r="O2736" s="9" t="s">
        <v>16319</v>
      </c>
      <c r="P2736" s="169" t="s">
        <v>16320</v>
      </c>
      <c r="Q2736" s="9">
        <v>275.49</v>
      </c>
    </row>
    <row r="2737" spans="12:17" x14ac:dyDescent="0.2">
      <c r="O2737" s="9" t="s">
        <v>16321</v>
      </c>
      <c r="P2737" s="169" t="s">
        <v>16322</v>
      </c>
      <c r="Q2737" s="9">
        <v>272.55</v>
      </c>
    </row>
    <row r="2738" spans="12:17" x14ac:dyDescent="0.2">
      <c r="O2738" s="9" t="s">
        <v>16323</v>
      </c>
      <c r="P2738" s="169" t="s">
        <v>16324</v>
      </c>
      <c r="Q2738" s="9">
        <v>346.85</v>
      </c>
    </row>
    <row r="2739" spans="12:17" x14ac:dyDescent="0.2">
      <c r="O2739" s="9" t="s">
        <v>16325</v>
      </c>
      <c r="P2739" s="169" t="s">
        <v>16326</v>
      </c>
      <c r="Q2739" s="9">
        <v>428.8</v>
      </c>
    </row>
    <row r="2740" spans="12:17" x14ac:dyDescent="0.2">
      <c r="O2740" s="9" t="s">
        <v>16327</v>
      </c>
      <c r="P2740" s="169" t="s">
        <v>16328</v>
      </c>
      <c r="Q2740" s="9">
        <v>540.72</v>
      </c>
    </row>
    <row r="2741" spans="12:17" x14ac:dyDescent="0.2">
      <c r="N2741" s="9" t="s">
        <v>15870</v>
      </c>
      <c r="O2741" s="9" t="s">
        <v>16329</v>
      </c>
      <c r="P2741" s="169" t="s">
        <v>16330</v>
      </c>
      <c r="Q2741" s="9">
        <v>611.83000000000004</v>
      </c>
    </row>
    <row r="2742" spans="12:17" x14ac:dyDescent="0.2">
      <c r="N2742" s="9" t="s">
        <v>15873</v>
      </c>
      <c r="O2742" s="9" t="s">
        <v>16331</v>
      </c>
      <c r="P2742" s="169" t="s">
        <v>16332</v>
      </c>
      <c r="Q2742" s="9">
        <v>9268.92</v>
      </c>
    </row>
    <row r="2743" spans="12:17" x14ac:dyDescent="0.2">
      <c r="N2743" s="9" t="s">
        <v>15876</v>
      </c>
      <c r="O2743" s="9" t="s">
        <v>16333</v>
      </c>
      <c r="P2743" s="169" t="s">
        <v>16334</v>
      </c>
      <c r="Q2743" s="9">
        <v>214.23</v>
      </c>
    </row>
    <row r="2744" spans="12:17" x14ac:dyDescent="0.2">
      <c r="N2744" s="9" t="s">
        <v>15879</v>
      </c>
      <c r="O2744" s="9" t="s">
        <v>16335</v>
      </c>
      <c r="P2744" s="169" t="s">
        <v>16336</v>
      </c>
      <c r="Q2744" s="9">
        <v>191.68</v>
      </c>
    </row>
    <row r="2745" spans="12:17" x14ac:dyDescent="0.2">
      <c r="N2745" s="9" t="s">
        <v>15882</v>
      </c>
      <c r="O2745" s="9" t="s">
        <v>16337</v>
      </c>
      <c r="P2745" s="169" t="s">
        <v>16338</v>
      </c>
      <c r="Q2745" s="9">
        <v>214.17</v>
      </c>
    </row>
    <row r="2746" spans="12:17" x14ac:dyDescent="0.2">
      <c r="O2746" s="9" t="s">
        <v>16339</v>
      </c>
      <c r="P2746" s="169" t="s">
        <v>16340</v>
      </c>
      <c r="Q2746" s="9">
        <v>234.54</v>
      </c>
    </row>
    <row r="2747" spans="12:17" x14ac:dyDescent="0.2">
      <c r="O2747" s="9" t="s">
        <v>16341</v>
      </c>
      <c r="P2747" s="169" t="s">
        <v>16342</v>
      </c>
      <c r="Q2747" s="9">
        <v>244.75</v>
      </c>
    </row>
    <row r="2748" spans="12:17" x14ac:dyDescent="0.2">
      <c r="L2748" s="4" t="s">
        <v>16343</v>
      </c>
      <c r="M2748" s="9" t="s">
        <v>16344</v>
      </c>
      <c r="N2748" s="9">
        <v>224.48</v>
      </c>
      <c r="O2748" s="9" t="s">
        <v>16343</v>
      </c>
      <c r="P2748" s="169" t="s">
        <v>16344</v>
      </c>
      <c r="Q2748" s="9">
        <v>224.48</v>
      </c>
    </row>
    <row r="2749" spans="12:17" x14ac:dyDescent="0.2">
      <c r="L2749" s="4" t="s">
        <v>16345</v>
      </c>
      <c r="M2749" s="9" t="s">
        <v>16346</v>
      </c>
      <c r="N2749" s="9">
        <v>307.33</v>
      </c>
      <c r="O2749" s="9" t="s">
        <v>16347</v>
      </c>
      <c r="P2749" s="169" t="s">
        <v>16348</v>
      </c>
      <c r="Q2749" s="9">
        <v>225.16</v>
      </c>
    </row>
    <row r="2750" spans="12:17" x14ac:dyDescent="0.2">
      <c r="L2750" s="4" t="s">
        <v>15959</v>
      </c>
      <c r="M2750" s="9" t="s">
        <v>15960</v>
      </c>
      <c r="N2750" s="9">
        <v>408.45</v>
      </c>
      <c r="O2750" s="9" t="s">
        <v>16349</v>
      </c>
      <c r="P2750" s="169" t="s">
        <v>16350</v>
      </c>
      <c r="Q2750" s="9">
        <v>281.56</v>
      </c>
    </row>
    <row r="2751" spans="12:17" x14ac:dyDescent="0.2">
      <c r="L2751" s="4" t="s">
        <v>15983</v>
      </c>
      <c r="M2751" s="9" t="s">
        <v>15984</v>
      </c>
      <c r="N2751" s="9">
        <v>585.4</v>
      </c>
      <c r="O2751" s="9" t="s">
        <v>16351</v>
      </c>
      <c r="P2751" s="169" t="s">
        <v>16352</v>
      </c>
      <c r="Q2751" s="9">
        <v>512</v>
      </c>
    </row>
    <row r="2752" spans="12:17" x14ac:dyDescent="0.2">
      <c r="L2752" s="4" t="s">
        <v>16099</v>
      </c>
      <c r="M2752" s="9" t="s">
        <v>16100</v>
      </c>
      <c r="N2752" s="9">
        <v>1021.06</v>
      </c>
      <c r="O2752" s="9" t="s">
        <v>16353</v>
      </c>
      <c r="P2752" s="169" t="s">
        <v>16354</v>
      </c>
      <c r="Q2752" s="9">
        <v>326.51</v>
      </c>
    </row>
    <row r="2753" spans="15:17" x14ac:dyDescent="0.2">
      <c r="O2753" s="9" t="s">
        <v>16355</v>
      </c>
      <c r="P2753" s="169" t="s">
        <v>16356</v>
      </c>
      <c r="Q2753" s="9">
        <v>225.16</v>
      </c>
    </row>
    <row r="2754" spans="15:17" x14ac:dyDescent="0.2">
      <c r="O2754" s="9" t="s">
        <v>16357</v>
      </c>
      <c r="P2754" s="169" t="s">
        <v>16358</v>
      </c>
      <c r="Q2754" s="9">
        <v>434.55</v>
      </c>
    </row>
    <row r="2755" spans="15:17" x14ac:dyDescent="0.2">
      <c r="O2755" s="9" t="s">
        <v>16359</v>
      </c>
      <c r="P2755" s="169" t="s">
        <v>16360</v>
      </c>
      <c r="Q2755" s="9">
        <v>469.72</v>
      </c>
    </row>
    <row r="2756" spans="15:17" x14ac:dyDescent="0.2">
      <c r="O2756" s="9" t="s">
        <v>16361</v>
      </c>
      <c r="P2756" s="169" t="s">
        <v>16362</v>
      </c>
      <c r="Q2756" s="9">
        <v>635.20000000000005</v>
      </c>
    </row>
    <row r="2757" spans="15:17" x14ac:dyDescent="0.2">
      <c r="O2757" s="9" t="s">
        <v>16363</v>
      </c>
      <c r="P2757" s="169" t="s">
        <v>16364</v>
      </c>
      <c r="Q2757" s="9">
        <v>1011.06</v>
      </c>
    </row>
    <row r="2758" spans="15:17" x14ac:dyDescent="0.2">
      <c r="O2758" s="9" t="s">
        <v>16365</v>
      </c>
      <c r="P2758" s="169" t="s">
        <v>16366</v>
      </c>
      <c r="Q2758" s="9">
        <v>469.73</v>
      </c>
    </row>
    <row r="2759" spans="15:17" x14ac:dyDescent="0.2">
      <c r="O2759" s="9" t="s">
        <v>16367</v>
      </c>
      <c r="P2759" s="169" t="s">
        <v>16368</v>
      </c>
      <c r="Q2759" s="9">
        <v>307.33</v>
      </c>
    </row>
    <row r="2760" spans="15:17" x14ac:dyDescent="0.2">
      <c r="O2760" s="9" t="s">
        <v>16369</v>
      </c>
      <c r="P2760" s="169" t="s">
        <v>16370</v>
      </c>
      <c r="Q2760" s="9">
        <v>363.44</v>
      </c>
    </row>
    <row r="2761" spans="15:17" x14ac:dyDescent="0.2">
      <c r="O2761" s="9" t="s">
        <v>16371</v>
      </c>
      <c r="P2761" s="169" t="s">
        <v>16372</v>
      </c>
      <c r="Q2761" s="9">
        <v>504.76</v>
      </c>
    </row>
    <row r="2762" spans="15:17" x14ac:dyDescent="0.2">
      <c r="O2762" s="9" t="s">
        <v>16373</v>
      </c>
      <c r="P2762" s="169" t="s">
        <v>16374</v>
      </c>
      <c r="Q2762" s="9">
        <v>611.83000000000004</v>
      </c>
    </row>
    <row r="2763" spans="15:17" x14ac:dyDescent="0.2">
      <c r="O2763" s="9" t="s">
        <v>16375</v>
      </c>
      <c r="P2763" s="169" t="s">
        <v>16376</v>
      </c>
      <c r="Q2763" s="9">
        <v>440.56</v>
      </c>
    </row>
    <row r="2764" spans="15:17" x14ac:dyDescent="0.2">
      <c r="O2764" s="9" t="s">
        <v>16377</v>
      </c>
      <c r="P2764" s="169" t="s">
        <v>16378</v>
      </c>
      <c r="Q2764" s="9">
        <v>255.06</v>
      </c>
    </row>
    <row r="2765" spans="15:17" x14ac:dyDescent="0.2">
      <c r="O2765" s="9" t="s">
        <v>16379</v>
      </c>
      <c r="P2765" s="169" t="s">
        <v>16380</v>
      </c>
      <c r="Q2765" s="9">
        <v>234.64</v>
      </c>
    </row>
    <row r="2766" spans="15:17" x14ac:dyDescent="0.2">
      <c r="O2766" s="9" t="s">
        <v>16381</v>
      </c>
      <c r="P2766" s="169" t="s">
        <v>16382</v>
      </c>
      <c r="Q2766" s="9">
        <v>245.06</v>
      </c>
    </row>
    <row r="2767" spans="15:17" x14ac:dyDescent="0.2">
      <c r="O2767" s="9" t="s">
        <v>16383</v>
      </c>
      <c r="P2767" s="169" t="s">
        <v>16384</v>
      </c>
      <c r="Q2767" s="9">
        <v>244.75</v>
      </c>
    </row>
    <row r="2768" spans="15:17" x14ac:dyDescent="0.2">
      <c r="O2768" s="9" t="s">
        <v>16385</v>
      </c>
      <c r="P2768" s="169" t="s">
        <v>16386</v>
      </c>
      <c r="Q2768" s="9">
        <v>218.12</v>
      </c>
    </row>
    <row r="2769" spans="15:17" x14ac:dyDescent="0.2">
      <c r="O2769" s="9" t="s">
        <v>16345</v>
      </c>
      <c r="P2769" s="169" t="s">
        <v>16346</v>
      </c>
      <c r="Q2769" s="9">
        <v>307.33</v>
      </c>
    </row>
    <row r="2770" spans="15:17" x14ac:dyDescent="0.2">
      <c r="O2770" s="9" t="s">
        <v>16387</v>
      </c>
      <c r="P2770" s="169" t="s">
        <v>16388</v>
      </c>
      <c r="Q2770" s="9">
        <v>484.59</v>
      </c>
    </row>
    <row r="2771" spans="15:17" x14ac:dyDescent="0.2">
      <c r="O2771" s="9" t="s">
        <v>16389</v>
      </c>
      <c r="P2771" t="s">
        <v>16390</v>
      </c>
      <c r="Q2771" s="9">
        <v>81.790000000000006</v>
      </c>
    </row>
    <row r="2772" spans="15:17" x14ac:dyDescent="0.2">
      <c r="O2772" s="9" t="s">
        <v>16391</v>
      </c>
      <c r="P2772" t="s">
        <v>16392</v>
      </c>
      <c r="Q2772" s="9">
        <v>79.55</v>
      </c>
    </row>
    <row r="2773" spans="15:17" x14ac:dyDescent="0.2">
      <c r="O2773" s="9" t="s">
        <v>16393</v>
      </c>
      <c r="P2773" t="s">
        <v>16394</v>
      </c>
      <c r="Q2773" s="9">
        <v>97.73</v>
      </c>
    </row>
    <row r="2774" spans="15:17" x14ac:dyDescent="0.2">
      <c r="O2774" s="9" t="s">
        <v>16395</v>
      </c>
      <c r="P2774" t="s">
        <v>16396</v>
      </c>
      <c r="Q2774" s="9">
        <v>113.56</v>
      </c>
    </row>
    <row r="2775" spans="15:17" x14ac:dyDescent="0.2">
      <c r="O2775" s="9" t="s">
        <v>16397</v>
      </c>
      <c r="P2775" t="s">
        <v>16398</v>
      </c>
      <c r="Q2775" s="9">
        <v>113.73</v>
      </c>
    </row>
    <row r="2776" spans="15:17" x14ac:dyDescent="0.2">
      <c r="O2776" s="9" t="s">
        <v>16399</v>
      </c>
      <c r="P2776" t="s">
        <v>16400</v>
      </c>
      <c r="Q2776" s="9">
        <v>118.21</v>
      </c>
    </row>
    <row r="2777" spans="15:17" x14ac:dyDescent="0.2">
      <c r="O2777" s="9" t="s">
        <v>16401</v>
      </c>
      <c r="P2777" t="s">
        <v>16402</v>
      </c>
      <c r="Q2777" s="9">
        <v>131.16</v>
      </c>
    </row>
    <row r="2778" spans="15:17" x14ac:dyDescent="0.2">
      <c r="O2778" s="9" t="s">
        <v>16403</v>
      </c>
      <c r="P2778" t="s">
        <v>16404</v>
      </c>
      <c r="Q2778" s="9">
        <v>159.08000000000001</v>
      </c>
    </row>
    <row r="2779" spans="15:17" x14ac:dyDescent="0.2">
      <c r="O2779" s="9" t="s">
        <v>16405</v>
      </c>
      <c r="P2779" t="s">
        <v>16406</v>
      </c>
      <c r="Q2779" s="9">
        <v>163.54</v>
      </c>
    </row>
    <row r="2780" spans="15:17" x14ac:dyDescent="0.2">
      <c r="O2780" s="9" t="s">
        <v>16407</v>
      </c>
      <c r="P2780" t="s">
        <v>16408</v>
      </c>
      <c r="Q2780" s="9">
        <v>181.74</v>
      </c>
    </row>
    <row r="2781" spans="15:17" x14ac:dyDescent="0.2">
      <c r="O2781" s="9" t="s">
        <v>16409</v>
      </c>
      <c r="P2781" t="s">
        <v>16410</v>
      </c>
      <c r="Q2781" s="9">
        <v>227.34</v>
      </c>
    </row>
    <row r="2782" spans="15:17" x14ac:dyDescent="0.2">
      <c r="O2782" s="9" t="s">
        <v>16411</v>
      </c>
      <c r="P2782" t="s">
        <v>16412</v>
      </c>
      <c r="Q2782" s="9">
        <v>227.34</v>
      </c>
    </row>
    <row r="2783" spans="15:17" x14ac:dyDescent="0.2">
      <c r="O2783" s="9" t="s">
        <v>16413</v>
      </c>
      <c r="P2783" t="s">
        <v>16414</v>
      </c>
      <c r="Q2783" s="9">
        <v>131.16</v>
      </c>
    </row>
    <row r="2784" spans="15:17" x14ac:dyDescent="0.2">
      <c r="O2784" s="9" t="s">
        <v>16415</v>
      </c>
      <c r="P2784" t="s">
        <v>16416</v>
      </c>
      <c r="Q2784" s="9">
        <v>193.13</v>
      </c>
    </row>
    <row r="2785" spans="15:17" x14ac:dyDescent="0.2">
      <c r="O2785" s="9" t="s">
        <v>16417</v>
      </c>
      <c r="P2785" t="s">
        <v>16418</v>
      </c>
      <c r="Q2785" s="9">
        <v>113.56</v>
      </c>
    </row>
    <row r="2786" spans="15:17" x14ac:dyDescent="0.2">
      <c r="O2786" s="9" t="s">
        <v>16419</v>
      </c>
      <c r="P2786" t="s">
        <v>16420</v>
      </c>
      <c r="Q2786" s="9">
        <v>181.76</v>
      </c>
    </row>
    <row r="2787" spans="15:17" x14ac:dyDescent="0.2">
      <c r="O2787" s="9" t="s">
        <v>16421</v>
      </c>
      <c r="P2787" t="s">
        <v>16422</v>
      </c>
      <c r="Q2787" s="9">
        <v>97.73</v>
      </c>
    </row>
    <row r="2788" spans="15:17" x14ac:dyDescent="0.2">
      <c r="O2788" s="9" t="s">
        <v>16423</v>
      </c>
      <c r="P2788" t="s">
        <v>16424</v>
      </c>
      <c r="Q2788" s="9">
        <v>97.73</v>
      </c>
    </row>
    <row r="2789" spans="15:17" x14ac:dyDescent="0.2">
      <c r="O2789" s="9" t="s">
        <v>16425</v>
      </c>
      <c r="P2789" t="s">
        <v>16426</v>
      </c>
      <c r="Q2789" s="9">
        <v>113.56</v>
      </c>
    </row>
    <row r="2790" spans="15:17" x14ac:dyDescent="0.2">
      <c r="O2790" s="9" t="s">
        <v>16427</v>
      </c>
      <c r="P2790" t="s">
        <v>16428</v>
      </c>
      <c r="Q2790" s="9">
        <v>113.56</v>
      </c>
    </row>
    <row r="2791" spans="15:17" x14ac:dyDescent="0.2">
      <c r="O2791" s="9" t="s">
        <v>16429</v>
      </c>
      <c r="P2791" t="s">
        <v>16430</v>
      </c>
      <c r="Q2791" s="9">
        <v>131.16</v>
      </c>
    </row>
    <row r="2792" spans="15:17" x14ac:dyDescent="0.2">
      <c r="O2792" s="9" t="s">
        <v>16431</v>
      </c>
      <c r="P2792" t="s">
        <v>16432</v>
      </c>
      <c r="Q2792" s="9">
        <v>113.56</v>
      </c>
    </row>
    <row r="2793" spans="15:17" x14ac:dyDescent="0.2">
      <c r="O2793" s="9" t="s">
        <v>16433</v>
      </c>
      <c r="P2793" t="s">
        <v>16434</v>
      </c>
      <c r="Q2793" s="9">
        <v>163.54</v>
      </c>
    </row>
    <row r="2794" spans="15:17" x14ac:dyDescent="0.2">
      <c r="O2794" s="9" t="s">
        <v>16435</v>
      </c>
      <c r="P2794" t="s">
        <v>16436</v>
      </c>
      <c r="Q2794" s="9">
        <v>97.73</v>
      </c>
    </row>
    <row r="2795" spans="15:17" x14ac:dyDescent="0.2">
      <c r="O2795" s="9" t="s">
        <v>16437</v>
      </c>
      <c r="P2795" t="s">
        <v>16438</v>
      </c>
      <c r="Q2795" s="9">
        <v>113.56</v>
      </c>
    </row>
    <row r="2796" spans="15:17" x14ac:dyDescent="0.2">
      <c r="O2796" s="9" t="s">
        <v>16439</v>
      </c>
      <c r="P2796" t="s">
        <v>16440</v>
      </c>
      <c r="Q2796" s="9">
        <v>113.56</v>
      </c>
    </row>
    <row r="2797" spans="15:17" x14ac:dyDescent="0.2">
      <c r="O2797" s="9" t="s">
        <v>16441</v>
      </c>
      <c r="P2797" t="s">
        <v>16442</v>
      </c>
      <c r="Q2797" s="9">
        <v>131.16</v>
      </c>
    </row>
    <row r="2798" spans="15:17" x14ac:dyDescent="0.2">
      <c r="O2798" s="9" t="s">
        <v>16443</v>
      </c>
      <c r="P2798" t="s">
        <v>16444</v>
      </c>
      <c r="Q2798" s="9">
        <v>147.76</v>
      </c>
    </row>
    <row r="2799" spans="15:17" x14ac:dyDescent="0.2">
      <c r="O2799" s="9" t="s">
        <v>16445</v>
      </c>
      <c r="P2799" t="s">
        <v>16446</v>
      </c>
      <c r="Q2799" s="9">
        <v>163.54</v>
      </c>
    </row>
    <row r="2800" spans="15:17" x14ac:dyDescent="0.2">
      <c r="O2800" s="9" t="s">
        <v>16447</v>
      </c>
      <c r="P2800" t="s">
        <v>16448</v>
      </c>
      <c r="Q2800" s="9">
        <v>204.61</v>
      </c>
    </row>
    <row r="2801" spans="15:17" x14ac:dyDescent="0.2">
      <c r="O2801" s="9" t="s">
        <v>16449</v>
      </c>
      <c r="P2801" t="s">
        <v>16450</v>
      </c>
      <c r="Q2801" s="9">
        <v>227.34</v>
      </c>
    </row>
    <row r="2802" spans="15:17" x14ac:dyDescent="0.2">
      <c r="O2802" s="9" t="s">
        <v>16451</v>
      </c>
      <c r="P2802" t="s">
        <v>16452</v>
      </c>
      <c r="Q2802" s="9">
        <v>113.56</v>
      </c>
    </row>
    <row r="2803" spans="15:17" x14ac:dyDescent="0.2">
      <c r="O2803" s="9" t="s">
        <v>16453</v>
      </c>
      <c r="P2803" t="s">
        <v>16454</v>
      </c>
      <c r="Q2803" s="9">
        <v>131.16</v>
      </c>
    </row>
    <row r="2804" spans="15:17" x14ac:dyDescent="0.2">
      <c r="O2804" s="9" t="s">
        <v>16455</v>
      </c>
      <c r="P2804" t="s">
        <v>16456</v>
      </c>
      <c r="Q2804" s="9">
        <v>131.16</v>
      </c>
    </row>
    <row r="2805" spans="15:17" x14ac:dyDescent="0.2">
      <c r="O2805" s="9" t="s">
        <v>16457</v>
      </c>
      <c r="P2805" t="s">
        <v>16458</v>
      </c>
      <c r="Q2805" s="9">
        <v>147.76</v>
      </c>
    </row>
    <row r="2806" spans="15:17" x14ac:dyDescent="0.2">
      <c r="O2806" s="9" t="s">
        <v>16459</v>
      </c>
      <c r="P2806" t="s">
        <v>16460</v>
      </c>
      <c r="Q2806" s="9">
        <v>147.76</v>
      </c>
    </row>
    <row r="2807" spans="15:17" x14ac:dyDescent="0.2">
      <c r="O2807" s="9" t="s">
        <v>16461</v>
      </c>
      <c r="P2807" t="s">
        <v>16462</v>
      </c>
      <c r="Q2807" s="9">
        <v>227.34</v>
      </c>
    </row>
    <row r="2808" spans="15:17" x14ac:dyDescent="0.2">
      <c r="O2808" s="9" t="s">
        <v>16463</v>
      </c>
      <c r="P2808" t="s">
        <v>16464</v>
      </c>
      <c r="Q2808" s="9">
        <v>253.41</v>
      </c>
    </row>
    <row r="2809" spans="15:17" x14ac:dyDescent="0.2">
      <c r="O2809" s="9" t="s">
        <v>16465</v>
      </c>
      <c r="P2809" t="s">
        <v>16466</v>
      </c>
      <c r="Q2809" s="9">
        <v>163.54</v>
      </c>
    </row>
    <row r="2810" spans="15:17" x14ac:dyDescent="0.2">
      <c r="O2810" s="9" t="s">
        <v>16467</v>
      </c>
      <c r="P2810" t="s">
        <v>16468</v>
      </c>
      <c r="Q2810" s="9">
        <v>295.5</v>
      </c>
    </row>
    <row r="2811" spans="15:17" x14ac:dyDescent="0.2">
      <c r="O2811" s="9" t="s">
        <v>16469</v>
      </c>
      <c r="P2811" t="s">
        <v>16470</v>
      </c>
      <c r="Q2811" s="9">
        <v>131.16</v>
      </c>
    </row>
    <row r="2812" spans="15:17" x14ac:dyDescent="0.2">
      <c r="O2812" s="9" t="s">
        <v>16471</v>
      </c>
      <c r="P2812" t="s">
        <v>16472</v>
      </c>
      <c r="Q2812" s="9">
        <v>147.76</v>
      </c>
    </row>
    <row r="2813" spans="15:17" x14ac:dyDescent="0.2">
      <c r="O2813" s="9" t="s">
        <v>16473</v>
      </c>
      <c r="P2813" t="s">
        <v>16474</v>
      </c>
      <c r="Q2813" s="9">
        <v>147.76</v>
      </c>
    </row>
    <row r="2814" spans="15:17" x14ac:dyDescent="0.2">
      <c r="O2814" s="9" t="s">
        <v>16475</v>
      </c>
      <c r="P2814" t="s">
        <v>16476</v>
      </c>
      <c r="Q2814" s="9">
        <v>127.97</v>
      </c>
    </row>
    <row r="2815" spans="15:17" x14ac:dyDescent="0.2">
      <c r="O2815" s="9" t="s">
        <v>16477</v>
      </c>
      <c r="P2815" t="s">
        <v>16478</v>
      </c>
      <c r="Q2815" s="9">
        <v>193.13</v>
      </c>
    </row>
    <row r="2816" spans="15:17" x14ac:dyDescent="0.2">
      <c r="O2816" s="9" t="s">
        <v>16479</v>
      </c>
      <c r="P2816" t="s">
        <v>16480</v>
      </c>
      <c r="Q2816" s="9">
        <v>227.34</v>
      </c>
    </row>
    <row r="2817" spans="15:17" x14ac:dyDescent="0.2">
      <c r="O2817" s="9" t="s">
        <v>16481</v>
      </c>
      <c r="P2817" t="s">
        <v>16482</v>
      </c>
      <c r="Q2817" s="9">
        <v>363.74</v>
      </c>
    </row>
    <row r="2818" spans="15:17" x14ac:dyDescent="0.2">
      <c r="O2818" s="9" t="s">
        <v>16483</v>
      </c>
      <c r="P2818" t="s">
        <v>16484</v>
      </c>
      <c r="Q2818" s="9">
        <v>163.54</v>
      </c>
    </row>
    <row r="2819" spans="15:17" x14ac:dyDescent="0.2">
      <c r="O2819" s="9" t="s">
        <v>16485</v>
      </c>
      <c r="P2819" t="s">
        <v>16486</v>
      </c>
      <c r="Q2819" s="9">
        <v>163.54</v>
      </c>
    </row>
    <row r="2820" spans="15:17" x14ac:dyDescent="0.2">
      <c r="O2820" s="9" t="s">
        <v>16487</v>
      </c>
      <c r="P2820" t="s">
        <v>16488</v>
      </c>
      <c r="Q2820" s="9">
        <v>249.49</v>
      </c>
    </row>
    <row r="2821" spans="15:17" x14ac:dyDescent="0.2">
      <c r="O2821" s="9" t="s">
        <v>16489</v>
      </c>
      <c r="P2821" t="s">
        <v>16490</v>
      </c>
      <c r="Q2821" s="9">
        <v>177.33</v>
      </c>
    </row>
    <row r="2822" spans="15:17" x14ac:dyDescent="0.2">
      <c r="O2822" s="9" t="s">
        <v>16491</v>
      </c>
      <c r="P2822" t="s">
        <v>16492</v>
      </c>
      <c r="Q2822" s="9">
        <v>341.1</v>
      </c>
    </row>
    <row r="2823" spans="15:17" x14ac:dyDescent="0.2">
      <c r="O2823" s="9" t="s">
        <v>16493</v>
      </c>
      <c r="P2823" t="s">
        <v>16494</v>
      </c>
      <c r="Q2823" s="9">
        <v>295.5</v>
      </c>
    </row>
    <row r="2824" spans="15:17" x14ac:dyDescent="0.2">
      <c r="O2824" s="9" t="s">
        <v>16495</v>
      </c>
      <c r="P2824" t="s">
        <v>16496</v>
      </c>
      <c r="Q2824" s="9">
        <v>163.54</v>
      </c>
    </row>
    <row r="2825" spans="15:17" x14ac:dyDescent="0.2">
      <c r="O2825" s="9" t="s">
        <v>16497</v>
      </c>
      <c r="P2825" t="s">
        <v>16498</v>
      </c>
      <c r="Q2825" s="9">
        <v>163.54</v>
      </c>
    </row>
    <row r="2826" spans="15:17" x14ac:dyDescent="0.2">
      <c r="O2826" s="9" t="s">
        <v>16499</v>
      </c>
      <c r="P2826" t="s">
        <v>16500</v>
      </c>
      <c r="Q2826" s="9">
        <v>181.74</v>
      </c>
    </row>
    <row r="2827" spans="15:17" x14ac:dyDescent="0.2">
      <c r="O2827" s="9" t="s">
        <v>16501</v>
      </c>
      <c r="P2827" t="s">
        <v>16502</v>
      </c>
      <c r="Q2827" s="9">
        <v>197.75</v>
      </c>
    </row>
    <row r="2828" spans="15:17" x14ac:dyDescent="0.2">
      <c r="O2828" s="9" t="s">
        <v>16503</v>
      </c>
      <c r="P2828" t="s">
        <v>16504</v>
      </c>
      <c r="Q2828" s="9">
        <v>209.06</v>
      </c>
    </row>
    <row r="2829" spans="15:17" x14ac:dyDescent="0.2">
      <c r="O2829" s="9" t="s">
        <v>16505</v>
      </c>
      <c r="P2829" t="s">
        <v>16506</v>
      </c>
      <c r="Q2829" s="9">
        <v>363.74</v>
      </c>
    </row>
    <row r="2830" spans="15:17" x14ac:dyDescent="0.2">
      <c r="O2830" s="9" t="s">
        <v>16507</v>
      </c>
      <c r="P2830" t="s">
        <v>16508</v>
      </c>
      <c r="Q2830" s="9">
        <v>181.74</v>
      </c>
    </row>
    <row r="2831" spans="15:17" x14ac:dyDescent="0.2">
      <c r="O2831" s="9" t="s">
        <v>16509</v>
      </c>
      <c r="P2831" t="s">
        <v>16510</v>
      </c>
      <c r="Q2831" s="9">
        <v>197.75</v>
      </c>
    </row>
    <row r="2832" spans="15:17" x14ac:dyDescent="0.2">
      <c r="O2832" s="9" t="s">
        <v>16511</v>
      </c>
      <c r="P2832" t="s">
        <v>16512</v>
      </c>
      <c r="Q2832" s="9">
        <v>209.06</v>
      </c>
    </row>
    <row r="2833" spans="15:17" x14ac:dyDescent="0.2">
      <c r="O2833" s="9" t="s">
        <v>16513</v>
      </c>
      <c r="P2833" t="s">
        <v>16514</v>
      </c>
      <c r="Q2833" s="9">
        <v>215.96</v>
      </c>
    </row>
    <row r="2834" spans="15:17" x14ac:dyDescent="0.2">
      <c r="O2834" s="9" t="s">
        <v>16515</v>
      </c>
      <c r="P2834" t="s">
        <v>16516</v>
      </c>
      <c r="Q2834" s="9">
        <v>409.06</v>
      </c>
    </row>
    <row r="2835" spans="15:17" x14ac:dyDescent="0.2">
      <c r="O2835" s="9" t="s">
        <v>16517</v>
      </c>
      <c r="P2835" t="s">
        <v>16518</v>
      </c>
      <c r="Q2835" s="9">
        <v>170.41</v>
      </c>
    </row>
    <row r="2836" spans="15:17" x14ac:dyDescent="0.2">
      <c r="O2836" s="9" t="s">
        <v>16519</v>
      </c>
      <c r="P2836" t="s">
        <v>16520</v>
      </c>
      <c r="Q2836" s="9">
        <v>197.72</v>
      </c>
    </row>
    <row r="2837" spans="15:17" x14ac:dyDescent="0.2">
      <c r="O2837" s="9" t="s">
        <v>16521</v>
      </c>
      <c r="P2837" t="s">
        <v>16522</v>
      </c>
      <c r="Q2837" s="9">
        <v>209.06</v>
      </c>
    </row>
    <row r="2838" spans="15:17" x14ac:dyDescent="0.2">
      <c r="O2838" s="9" t="s">
        <v>16523</v>
      </c>
      <c r="P2838" t="s">
        <v>16524</v>
      </c>
      <c r="Q2838" s="9">
        <v>215.96</v>
      </c>
    </row>
    <row r="2839" spans="15:17" x14ac:dyDescent="0.2">
      <c r="O2839" s="9" t="s">
        <v>16525</v>
      </c>
      <c r="P2839" t="s">
        <v>16526</v>
      </c>
      <c r="Q2839" s="9">
        <v>215.96</v>
      </c>
    </row>
    <row r="2840" spans="15:17" x14ac:dyDescent="0.2">
      <c r="O2840" s="9" t="s">
        <v>16527</v>
      </c>
      <c r="P2840" t="s">
        <v>16528</v>
      </c>
      <c r="Q2840" s="9">
        <v>250.02</v>
      </c>
    </row>
    <row r="2841" spans="15:17" x14ac:dyDescent="0.2">
      <c r="O2841" s="9" t="s">
        <v>16529</v>
      </c>
      <c r="P2841" t="s">
        <v>16530</v>
      </c>
      <c r="Q2841" s="9">
        <v>250.02</v>
      </c>
    </row>
    <row r="2842" spans="15:17" x14ac:dyDescent="0.2">
      <c r="O2842" s="9" t="s">
        <v>16531</v>
      </c>
      <c r="P2842" t="s">
        <v>16532</v>
      </c>
      <c r="Q2842" s="9">
        <v>431.76</v>
      </c>
    </row>
    <row r="2843" spans="15:17" x14ac:dyDescent="0.2">
      <c r="O2843" s="9" t="s">
        <v>16533</v>
      </c>
      <c r="P2843" t="s">
        <v>16534</v>
      </c>
      <c r="Q2843" s="9">
        <v>50</v>
      </c>
    </row>
    <row r="2844" spans="15:17" x14ac:dyDescent="0.2">
      <c r="O2844" s="9" t="s">
        <v>16535</v>
      </c>
      <c r="P2844" t="s">
        <v>16536</v>
      </c>
      <c r="Q2844" s="9">
        <v>215.96</v>
      </c>
    </row>
    <row r="2845" spans="15:17" x14ac:dyDescent="0.2">
      <c r="O2845" s="9" t="s">
        <v>16537</v>
      </c>
      <c r="P2845" t="s">
        <v>16538</v>
      </c>
      <c r="Q2845" s="9">
        <v>227.34</v>
      </c>
    </row>
    <row r="2846" spans="15:17" x14ac:dyDescent="0.2">
      <c r="O2846" s="9" t="s">
        <v>16539</v>
      </c>
      <c r="P2846" t="s">
        <v>16540</v>
      </c>
      <c r="Q2846" s="9">
        <v>253.41</v>
      </c>
    </row>
    <row r="2847" spans="15:17" x14ac:dyDescent="0.2">
      <c r="O2847" s="9" t="s">
        <v>16541</v>
      </c>
      <c r="P2847" t="s">
        <v>16542</v>
      </c>
      <c r="Q2847" s="9">
        <v>272.66000000000003</v>
      </c>
    </row>
    <row r="2848" spans="15:17" x14ac:dyDescent="0.2">
      <c r="O2848" s="9" t="s">
        <v>16543</v>
      </c>
      <c r="P2848" t="s">
        <v>16544</v>
      </c>
      <c r="Q2848" s="9">
        <v>295.5</v>
      </c>
    </row>
    <row r="2849" spans="15:17" x14ac:dyDescent="0.2">
      <c r="O2849" s="9" t="s">
        <v>16545</v>
      </c>
      <c r="P2849" t="s">
        <v>16546</v>
      </c>
      <c r="Q2849" s="9">
        <v>429.5</v>
      </c>
    </row>
    <row r="2850" spans="15:17" x14ac:dyDescent="0.2">
      <c r="O2850" s="9" t="s">
        <v>16547</v>
      </c>
      <c r="P2850" t="s">
        <v>16548</v>
      </c>
      <c r="Q2850" s="9">
        <v>363.74</v>
      </c>
    </row>
    <row r="2851" spans="15:17" x14ac:dyDescent="0.2">
      <c r="O2851" s="9" t="s">
        <v>16549</v>
      </c>
      <c r="P2851" t="s">
        <v>16550</v>
      </c>
      <c r="Q2851" s="9">
        <v>253.41</v>
      </c>
    </row>
    <row r="2852" spans="15:17" x14ac:dyDescent="0.2">
      <c r="O2852" s="9" t="s">
        <v>16551</v>
      </c>
      <c r="P2852" t="s">
        <v>16552</v>
      </c>
      <c r="Q2852" s="9">
        <v>272.66000000000003</v>
      </c>
    </row>
    <row r="2853" spans="15:17" x14ac:dyDescent="0.2">
      <c r="O2853" s="9" t="s">
        <v>16553</v>
      </c>
      <c r="P2853" t="s">
        <v>16554</v>
      </c>
      <c r="Q2853" s="9">
        <v>411.75</v>
      </c>
    </row>
    <row r="2854" spans="15:17" x14ac:dyDescent="0.2">
      <c r="O2854" s="9" t="s">
        <v>16555</v>
      </c>
      <c r="P2854" t="s">
        <v>16556</v>
      </c>
      <c r="Q2854" s="9">
        <v>227.34</v>
      </c>
    </row>
    <row r="2855" spans="15:17" x14ac:dyDescent="0.2">
      <c r="O2855" s="9" t="s">
        <v>16557</v>
      </c>
      <c r="P2855" t="s">
        <v>16558</v>
      </c>
      <c r="Q2855" s="9">
        <v>272.66000000000003</v>
      </c>
    </row>
    <row r="2856" spans="15:17" x14ac:dyDescent="0.2">
      <c r="O2856" s="9" t="s">
        <v>16559</v>
      </c>
      <c r="P2856" t="s">
        <v>16560</v>
      </c>
      <c r="Q2856" s="9">
        <v>272.66000000000003</v>
      </c>
    </row>
    <row r="2857" spans="15:17" x14ac:dyDescent="0.2">
      <c r="O2857" s="9" t="s">
        <v>16561</v>
      </c>
      <c r="P2857" t="s">
        <v>16562</v>
      </c>
      <c r="Q2857" s="9">
        <v>295.5</v>
      </c>
    </row>
    <row r="2858" spans="15:17" x14ac:dyDescent="0.2">
      <c r="O2858" s="9" t="s">
        <v>16563</v>
      </c>
      <c r="P2858" t="s">
        <v>16564</v>
      </c>
      <c r="Q2858" s="9">
        <v>318.16000000000003</v>
      </c>
    </row>
    <row r="2859" spans="15:17" x14ac:dyDescent="0.2">
      <c r="O2859" s="9" t="s">
        <v>16565</v>
      </c>
      <c r="P2859" t="s">
        <v>16566</v>
      </c>
      <c r="Q2859" s="9">
        <v>253.41</v>
      </c>
    </row>
    <row r="2860" spans="15:17" x14ac:dyDescent="0.2">
      <c r="O2860" s="9" t="s">
        <v>16567</v>
      </c>
      <c r="P2860" t="s">
        <v>16568</v>
      </c>
      <c r="Q2860" s="9">
        <v>636.37</v>
      </c>
    </row>
    <row r="2861" spans="15:17" x14ac:dyDescent="0.2">
      <c r="O2861" s="9" t="s">
        <v>16569</v>
      </c>
      <c r="P2861" t="s">
        <v>16570</v>
      </c>
      <c r="Q2861" s="9">
        <v>295.5</v>
      </c>
    </row>
    <row r="2862" spans="15:17" x14ac:dyDescent="0.2">
      <c r="O2862" s="9" t="s">
        <v>16571</v>
      </c>
      <c r="P2862" t="s">
        <v>16572</v>
      </c>
      <c r="Q2862" s="9">
        <v>318.16000000000003</v>
      </c>
    </row>
    <row r="2863" spans="15:17" x14ac:dyDescent="0.2">
      <c r="O2863" s="9" t="s">
        <v>16573</v>
      </c>
      <c r="P2863" t="s">
        <v>16574</v>
      </c>
      <c r="Q2863" s="9">
        <v>386.39</v>
      </c>
    </row>
    <row r="2864" spans="15:17" x14ac:dyDescent="0.2">
      <c r="O2864" s="9" t="s">
        <v>16575</v>
      </c>
      <c r="P2864" t="s">
        <v>16576</v>
      </c>
      <c r="Q2864" s="9">
        <v>295.5</v>
      </c>
    </row>
    <row r="2865" spans="15:17" x14ac:dyDescent="0.2">
      <c r="O2865" s="9" t="s">
        <v>16577</v>
      </c>
      <c r="P2865" t="s">
        <v>16578</v>
      </c>
      <c r="Q2865" s="9">
        <v>295.5</v>
      </c>
    </row>
    <row r="2866" spans="15:17" x14ac:dyDescent="0.2">
      <c r="O2866" s="9" t="s">
        <v>16579</v>
      </c>
      <c r="P2866" t="s">
        <v>16580</v>
      </c>
      <c r="Q2866" s="9">
        <v>295.5</v>
      </c>
    </row>
    <row r="2867" spans="15:17" x14ac:dyDescent="0.2">
      <c r="O2867" s="9" t="s">
        <v>16581</v>
      </c>
      <c r="P2867" t="s">
        <v>16582</v>
      </c>
      <c r="Q2867" s="9">
        <v>318.16000000000003</v>
      </c>
    </row>
    <row r="2868" spans="15:17" x14ac:dyDescent="0.2">
      <c r="O2868" s="9" t="s">
        <v>16583</v>
      </c>
      <c r="P2868" t="s">
        <v>16584</v>
      </c>
      <c r="Q2868" s="9">
        <v>363.74</v>
      </c>
    </row>
    <row r="2869" spans="15:17" x14ac:dyDescent="0.2">
      <c r="O2869" s="9" t="s">
        <v>16585</v>
      </c>
      <c r="P2869" t="s">
        <v>16586</v>
      </c>
      <c r="Q2869" s="9">
        <v>409.06</v>
      </c>
    </row>
    <row r="2870" spans="15:17" x14ac:dyDescent="0.2">
      <c r="O2870" s="9" t="s">
        <v>16587</v>
      </c>
      <c r="P2870" t="s">
        <v>16588</v>
      </c>
      <c r="Q2870" s="9">
        <v>590.79999999999995</v>
      </c>
    </row>
    <row r="2871" spans="15:17" x14ac:dyDescent="0.2">
      <c r="O2871" s="9" t="s">
        <v>16589</v>
      </c>
      <c r="P2871" t="s">
        <v>16590</v>
      </c>
      <c r="Q2871" s="9">
        <v>781.55</v>
      </c>
    </row>
    <row r="2872" spans="15:17" x14ac:dyDescent="0.2">
      <c r="O2872" s="9" t="s">
        <v>16591</v>
      </c>
      <c r="P2872" t="s">
        <v>16592</v>
      </c>
      <c r="Q2872" s="9">
        <v>340.85</v>
      </c>
    </row>
    <row r="2873" spans="15:17" x14ac:dyDescent="0.2">
      <c r="O2873" s="9" t="s">
        <v>16593</v>
      </c>
      <c r="P2873" t="s">
        <v>16594</v>
      </c>
      <c r="Q2873" s="9">
        <v>386.39</v>
      </c>
    </row>
    <row r="2874" spans="15:17" x14ac:dyDescent="0.2">
      <c r="O2874" s="9" t="s">
        <v>16595</v>
      </c>
      <c r="P2874" t="s">
        <v>16596</v>
      </c>
      <c r="Q2874" s="9">
        <v>431.76</v>
      </c>
    </row>
    <row r="2875" spans="15:17" x14ac:dyDescent="0.2">
      <c r="O2875" s="9" t="s">
        <v>16597</v>
      </c>
      <c r="P2875" t="s">
        <v>16598</v>
      </c>
      <c r="Q2875" s="9">
        <v>454.57</v>
      </c>
    </row>
    <row r="2876" spans="15:17" x14ac:dyDescent="0.2">
      <c r="O2876" s="9" t="s">
        <v>16599</v>
      </c>
      <c r="P2876" t="s">
        <v>16600</v>
      </c>
      <c r="Q2876" s="9">
        <v>318.16000000000003</v>
      </c>
    </row>
    <row r="2877" spans="15:17" x14ac:dyDescent="0.2">
      <c r="O2877" s="9" t="s">
        <v>16601</v>
      </c>
      <c r="P2877" t="s">
        <v>16602</v>
      </c>
      <c r="Q2877" s="9">
        <v>363.74</v>
      </c>
    </row>
    <row r="2878" spans="15:17" x14ac:dyDescent="0.2">
      <c r="O2878" s="9" t="s">
        <v>16603</v>
      </c>
      <c r="P2878" t="s">
        <v>16604</v>
      </c>
      <c r="Q2878" s="9">
        <v>409.06</v>
      </c>
    </row>
    <row r="2879" spans="15:17" x14ac:dyDescent="0.2">
      <c r="O2879" s="9" t="s">
        <v>16605</v>
      </c>
      <c r="P2879" t="s">
        <v>16606</v>
      </c>
      <c r="Q2879" s="9">
        <v>318.16000000000003</v>
      </c>
    </row>
    <row r="2880" spans="15:17" x14ac:dyDescent="0.2">
      <c r="O2880" s="9" t="s">
        <v>16607</v>
      </c>
      <c r="P2880" t="s">
        <v>16608</v>
      </c>
      <c r="Q2880" s="9">
        <v>386.39</v>
      </c>
    </row>
    <row r="2881" spans="15:17" x14ac:dyDescent="0.2">
      <c r="O2881" s="9" t="s">
        <v>16609</v>
      </c>
      <c r="P2881" t="s">
        <v>16610</v>
      </c>
      <c r="Q2881" s="9">
        <v>411.75</v>
      </c>
    </row>
    <row r="2882" spans="15:17" x14ac:dyDescent="0.2">
      <c r="O2882" s="9" t="s">
        <v>16611</v>
      </c>
      <c r="P2882" t="s">
        <v>16612</v>
      </c>
      <c r="Q2882" s="9">
        <v>56.89</v>
      </c>
    </row>
    <row r="2883" spans="15:17" x14ac:dyDescent="0.2">
      <c r="O2883" s="9" t="s">
        <v>16613</v>
      </c>
      <c r="P2883" t="s">
        <v>16614</v>
      </c>
      <c r="Q2883" s="9">
        <v>56.18</v>
      </c>
    </row>
    <row r="2884" spans="15:17" x14ac:dyDescent="0.2">
      <c r="O2884" s="9" t="s">
        <v>16615</v>
      </c>
      <c r="P2884" t="s">
        <v>16616</v>
      </c>
      <c r="Q2884" s="9">
        <v>56.18</v>
      </c>
    </row>
    <row r="2885" spans="15:17" x14ac:dyDescent="0.2">
      <c r="O2885" s="9" t="s">
        <v>16617</v>
      </c>
      <c r="P2885" t="s">
        <v>16618</v>
      </c>
      <c r="Q2885" s="9">
        <v>386.39</v>
      </c>
    </row>
    <row r="2886" spans="15:17" x14ac:dyDescent="0.2">
      <c r="O2886" s="9" t="s">
        <v>16619</v>
      </c>
      <c r="P2886" t="s">
        <v>16620</v>
      </c>
      <c r="Q2886" s="9">
        <v>568.6</v>
      </c>
    </row>
    <row r="2887" spans="15:17" x14ac:dyDescent="0.2">
      <c r="O2887" s="9" t="s">
        <v>16621</v>
      </c>
      <c r="P2887" t="s">
        <v>16622</v>
      </c>
      <c r="Q2887" s="9">
        <v>499.9</v>
      </c>
    </row>
    <row r="2888" spans="15:17" x14ac:dyDescent="0.2">
      <c r="O2888" s="9" t="s">
        <v>16623</v>
      </c>
      <c r="P2888" t="s">
        <v>16624</v>
      </c>
      <c r="Q2888" s="9">
        <v>56.86</v>
      </c>
    </row>
    <row r="2889" spans="15:17" x14ac:dyDescent="0.2">
      <c r="O2889" s="9" t="s">
        <v>16625</v>
      </c>
      <c r="P2889" t="s">
        <v>16626</v>
      </c>
      <c r="Q2889" s="9">
        <v>64.78</v>
      </c>
    </row>
    <row r="2890" spans="15:17" x14ac:dyDescent="0.2">
      <c r="O2890" s="9" t="s">
        <v>16627</v>
      </c>
      <c r="P2890" t="s">
        <v>16628</v>
      </c>
      <c r="Q2890" s="9">
        <v>56.86</v>
      </c>
    </row>
    <row r="2891" spans="15:17" x14ac:dyDescent="0.2">
      <c r="O2891" s="9" t="s">
        <v>16629</v>
      </c>
      <c r="P2891" t="s">
        <v>16630</v>
      </c>
      <c r="Q2891" s="9">
        <v>386.39</v>
      </c>
    </row>
    <row r="2892" spans="15:17" x14ac:dyDescent="0.2">
      <c r="O2892" s="9" t="s">
        <v>16631</v>
      </c>
      <c r="P2892" t="s">
        <v>16632</v>
      </c>
      <c r="Q2892" s="9">
        <v>454.57</v>
      </c>
    </row>
    <row r="2893" spans="15:17" x14ac:dyDescent="0.2">
      <c r="O2893" s="9" t="s">
        <v>16633</v>
      </c>
      <c r="P2893" t="s">
        <v>16634</v>
      </c>
      <c r="Q2893" s="9">
        <v>499.9</v>
      </c>
    </row>
    <row r="2894" spans="15:17" x14ac:dyDescent="0.2">
      <c r="O2894" s="9" t="s">
        <v>16635</v>
      </c>
      <c r="P2894" t="s">
        <v>16636</v>
      </c>
      <c r="Q2894" s="9">
        <v>681.9</v>
      </c>
    </row>
    <row r="2895" spans="15:17" x14ac:dyDescent="0.2">
      <c r="O2895" s="9" t="s">
        <v>16637</v>
      </c>
      <c r="P2895" t="s">
        <v>16638</v>
      </c>
      <c r="Q2895" s="9">
        <v>409.06</v>
      </c>
    </row>
    <row r="2896" spans="15:17" x14ac:dyDescent="0.2">
      <c r="O2896" s="9" t="s">
        <v>16639</v>
      </c>
      <c r="P2896" t="s">
        <v>16640</v>
      </c>
      <c r="Q2896" s="9">
        <v>522.79</v>
      </c>
    </row>
    <row r="2897" spans="15:17" x14ac:dyDescent="0.2">
      <c r="O2897" s="9" t="s">
        <v>16641</v>
      </c>
      <c r="P2897" t="s">
        <v>16642</v>
      </c>
      <c r="Q2897" s="9">
        <v>651.30999999999995</v>
      </c>
    </row>
    <row r="2898" spans="15:17" x14ac:dyDescent="0.2">
      <c r="O2898" s="9" t="s">
        <v>16643</v>
      </c>
      <c r="P2898" t="s">
        <v>16644</v>
      </c>
      <c r="Q2898" s="9">
        <v>499.9</v>
      </c>
    </row>
    <row r="2899" spans="15:17" x14ac:dyDescent="0.2">
      <c r="O2899" s="9" t="s">
        <v>16645</v>
      </c>
      <c r="P2899" t="s">
        <v>16646</v>
      </c>
      <c r="Q2899" s="9">
        <v>499.9</v>
      </c>
    </row>
    <row r="2900" spans="15:17" x14ac:dyDescent="0.2">
      <c r="O2900" s="9" t="s">
        <v>16647</v>
      </c>
      <c r="P2900" t="s">
        <v>16648</v>
      </c>
      <c r="Q2900" s="9">
        <v>50</v>
      </c>
    </row>
    <row r="2901" spans="15:17" x14ac:dyDescent="0.2">
      <c r="O2901" s="9" t="s">
        <v>16649</v>
      </c>
      <c r="P2901" t="s">
        <v>16650</v>
      </c>
      <c r="Q2901" s="9">
        <v>91.16</v>
      </c>
    </row>
    <row r="2902" spans="15:17" x14ac:dyDescent="0.2">
      <c r="O2902" s="9" t="s">
        <v>16651</v>
      </c>
      <c r="P2902" t="s">
        <v>16652</v>
      </c>
      <c r="Q2902" s="9">
        <v>506.75</v>
      </c>
    </row>
    <row r="2903" spans="15:17" x14ac:dyDescent="0.2">
      <c r="O2903" s="9" t="s">
        <v>16653</v>
      </c>
      <c r="P2903" t="s">
        <v>16654</v>
      </c>
      <c r="Q2903" s="9">
        <v>506.75</v>
      </c>
    </row>
    <row r="2904" spans="15:17" x14ac:dyDescent="0.2">
      <c r="O2904" s="9" t="s">
        <v>16655</v>
      </c>
      <c r="P2904" t="s">
        <v>16656</v>
      </c>
      <c r="Q2904" s="9">
        <v>590.79999999999995</v>
      </c>
    </row>
    <row r="2905" spans="15:17" x14ac:dyDescent="0.2">
      <c r="O2905" s="9" t="s">
        <v>16657</v>
      </c>
      <c r="P2905" t="s">
        <v>16658</v>
      </c>
      <c r="Q2905" s="9">
        <v>795.45</v>
      </c>
    </row>
    <row r="2906" spans="15:17" x14ac:dyDescent="0.2">
      <c r="O2906" s="9" t="s">
        <v>16659</v>
      </c>
      <c r="P2906" t="s">
        <v>16660</v>
      </c>
      <c r="Q2906" s="9">
        <v>659.03</v>
      </c>
    </row>
    <row r="2907" spans="15:17" x14ac:dyDescent="0.2">
      <c r="O2907" s="9" t="s">
        <v>16661</v>
      </c>
      <c r="P2907" t="s">
        <v>16662</v>
      </c>
      <c r="Q2907" s="9">
        <v>681.9</v>
      </c>
    </row>
    <row r="2908" spans="15:17" x14ac:dyDescent="0.2">
      <c r="O2908" s="9" t="s">
        <v>16663</v>
      </c>
      <c r="P2908" t="s">
        <v>16664</v>
      </c>
      <c r="Q2908" s="9">
        <v>56.86</v>
      </c>
    </row>
    <row r="2909" spans="15:17" x14ac:dyDescent="0.2">
      <c r="O2909" s="9" t="s">
        <v>16665</v>
      </c>
      <c r="P2909" t="s">
        <v>16666</v>
      </c>
      <c r="Q2909" s="9">
        <v>68.23</v>
      </c>
    </row>
    <row r="2910" spans="15:17" x14ac:dyDescent="0.2">
      <c r="O2910" s="9" t="s">
        <v>16667</v>
      </c>
      <c r="P2910" t="s">
        <v>16668</v>
      </c>
      <c r="Q2910" s="9">
        <v>79.67</v>
      </c>
    </row>
    <row r="2911" spans="15:17" x14ac:dyDescent="0.2">
      <c r="O2911" s="9" t="s">
        <v>16669</v>
      </c>
      <c r="P2911" t="s">
        <v>16670</v>
      </c>
      <c r="Q2911" s="9">
        <v>568.14</v>
      </c>
    </row>
    <row r="2912" spans="15:17" x14ac:dyDescent="0.2">
      <c r="O2912" s="9" t="s">
        <v>16671</v>
      </c>
      <c r="P2912" t="s">
        <v>16672</v>
      </c>
      <c r="Q2912" s="9">
        <v>727.21</v>
      </c>
    </row>
    <row r="2913" spans="15:17" x14ac:dyDescent="0.2">
      <c r="O2913" s="9" t="s">
        <v>16673</v>
      </c>
      <c r="P2913" t="s">
        <v>16674</v>
      </c>
      <c r="Q2913" s="9">
        <v>193.13</v>
      </c>
    </row>
    <row r="2914" spans="15:17" x14ac:dyDescent="0.2">
      <c r="O2914" s="9" t="s">
        <v>16675</v>
      </c>
      <c r="P2914" t="s">
        <v>16676</v>
      </c>
      <c r="Q2914" s="9">
        <v>590.79999999999995</v>
      </c>
    </row>
    <row r="2915" spans="15:17" x14ac:dyDescent="0.2">
      <c r="O2915" s="9" t="s">
        <v>16677</v>
      </c>
      <c r="P2915" t="s">
        <v>16678</v>
      </c>
      <c r="Q2915" s="9">
        <v>727.21</v>
      </c>
    </row>
    <row r="2916" spans="15:17" x14ac:dyDescent="0.2">
      <c r="O2916" s="9" t="s">
        <v>16679</v>
      </c>
      <c r="P2916" t="s">
        <v>16680</v>
      </c>
      <c r="Q2916" s="9">
        <v>636.37</v>
      </c>
    </row>
    <row r="2917" spans="15:17" x14ac:dyDescent="0.2">
      <c r="O2917" s="9" t="s">
        <v>16681</v>
      </c>
      <c r="P2917" t="s">
        <v>16682</v>
      </c>
      <c r="Q2917" s="9">
        <v>636.37</v>
      </c>
    </row>
    <row r="2918" spans="15:17" x14ac:dyDescent="0.2">
      <c r="O2918" s="9" t="s">
        <v>16683</v>
      </c>
      <c r="P2918" t="s">
        <v>16684</v>
      </c>
      <c r="Q2918" s="9">
        <v>681.9</v>
      </c>
    </row>
    <row r="2919" spans="15:17" x14ac:dyDescent="0.2">
      <c r="O2919" s="9" t="s">
        <v>16685</v>
      </c>
      <c r="P2919" t="s">
        <v>16686</v>
      </c>
      <c r="Q2919" s="9">
        <v>56.89</v>
      </c>
    </row>
    <row r="2920" spans="15:17" x14ac:dyDescent="0.2">
      <c r="O2920" s="9" t="s">
        <v>16687</v>
      </c>
      <c r="P2920" t="s">
        <v>16688</v>
      </c>
      <c r="Q2920" s="9">
        <v>56.89</v>
      </c>
    </row>
    <row r="2921" spans="15:17" x14ac:dyDescent="0.2">
      <c r="O2921" s="9" t="s">
        <v>16689</v>
      </c>
      <c r="P2921" t="s">
        <v>16690</v>
      </c>
      <c r="Q2921" s="9">
        <v>56.86</v>
      </c>
    </row>
    <row r="2922" spans="15:17" x14ac:dyDescent="0.2">
      <c r="O2922" s="9" t="s">
        <v>16691</v>
      </c>
      <c r="P2922" t="s">
        <v>16692</v>
      </c>
      <c r="Q2922" s="9">
        <v>56.86</v>
      </c>
    </row>
    <row r="2923" spans="15:17" x14ac:dyDescent="0.2">
      <c r="O2923" s="9" t="s">
        <v>16693</v>
      </c>
      <c r="P2923" t="s">
        <v>16694</v>
      </c>
      <c r="Q2923" s="9">
        <v>56.86</v>
      </c>
    </row>
    <row r="2924" spans="15:17" x14ac:dyDescent="0.2">
      <c r="O2924" s="9" t="s">
        <v>16695</v>
      </c>
      <c r="P2924" t="s">
        <v>16696</v>
      </c>
      <c r="Q2924" s="9">
        <v>68.23</v>
      </c>
    </row>
    <row r="2925" spans="15:17" x14ac:dyDescent="0.2">
      <c r="O2925" s="9" t="s">
        <v>16697</v>
      </c>
      <c r="P2925" t="s">
        <v>16698</v>
      </c>
      <c r="Q2925" s="9">
        <v>113.56</v>
      </c>
    </row>
    <row r="2926" spans="15:17" x14ac:dyDescent="0.2">
      <c r="O2926" s="9" t="s">
        <v>16699</v>
      </c>
      <c r="P2926" t="s">
        <v>16700</v>
      </c>
      <c r="Q2926" s="9">
        <v>131.16</v>
      </c>
    </row>
    <row r="2927" spans="15:17" x14ac:dyDescent="0.2">
      <c r="O2927" s="9" t="s">
        <v>16701</v>
      </c>
      <c r="P2927" t="s">
        <v>16702</v>
      </c>
      <c r="Q2927" s="9">
        <v>295.5</v>
      </c>
    </row>
    <row r="2928" spans="15:17" x14ac:dyDescent="0.2">
      <c r="O2928" s="9" t="s">
        <v>16703</v>
      </c>
      <c r="P2928" t="s">
        <v>16704</v>
      </c>
      <c r="Q2928" s="9">
        <v>863.66</v>
      </c>
    </row>
    <row r="2929" spans="15:17" x14ac:dyDescent="0.2">
      <c r="O2929" s="9" t="s">
        <v>16705</v>
      </c>
      <c r="P2929" t="s">
        <v>16706</v>
      </c>
      <c r="Q2929" s="9">
        <v>1590.84</v>
      </c>
    </row>
    <row r="2930" spans="15:17" x14ac:dyDescent="0.2">
      <c r="O2930" s="9" t="s">
        <v>16707</v>
      </c>
      <c r="P2930" t="s">
        <v>16708</v>
      </c>
      <c r="Q2930" s="9">
        <v>56.89</v>
      </c>
    </row>
    <row r="2931" spans="15:17" x14ac:dyDescent="0.2">
      <c r="O2931" s="9" t="s">
        <v>16709</v>
      </c>
      <c r="P2931" t="s">
        <v>16710</v>
      </c>
      <c r="Q2931" s="9">
        <v>56.86</v>
      </c>
    </row>
    <row r="2932" spans="15:17" x14ac:dyDescent="0.2">
      <c r="O2932" s="9" t="s">
        <v>16711</v>
      </c>
      <c r="P2932" t="s">
        <v>16712</v>
      </c>
      <c r="Q2932" s="9">
        <v>56.86</v>
      </c>
    </row>
    <row r="2933" spans="15:17" x14ac:dyDescent="0.2">
      <c r="O2933" s="9" t="s">
        <v>16713</v>
      </c>
      <c r="P2933" t="s">
        <v>16714</v>
      </c>
      <c r="Q2933" s="9">
        <v>68.23</v>
      </c>
    </row>
    <row r="2934" spans="15:17" x14ac:dyDescent="0.2">
      <c r="O2934" s="9" t="s">
        <v>16715</v>
      </c>
      <c r="P2934" t="s">
        <v>16716</v>
      </c>
      <c r="Q2934" s="9">
        <v>83.99</v>
      </c>
    </row>
    <row r="2935" spans="15:17" x14ac:dyDescent="0.2">
      <c r="O2935" s="9" t="s">
        <v>16717</v>
      </c>
      <c r="P2935" t="s">
        <v>16718</v>
      </c>
      <c r="Q2935" s="9">
        <v>131.16</v>
      </c>
    </row>
    <row r="2936" spans="15:17" x14ac:dyDescent="0.2">
      <c r="O2936" s="9" t="s">
        <v>16719</v>
      </c>
      <c r="P2936" t="s">
        <v>16720</v>
      </c>
      <c r="Q2936" s="9">
        <v>172.14</v>
      </c>
    </row>
    <row r="2937" spans="15:17" x14ac:dyDescent="0.2">
      <c r="O2937" s="9" t="s">
        <v>16721</v>
      </c>
      <c r="P2937" t="s">
        <v>16722</v>
      </c>
      <c r="Q2937" s="9">
        <v>56.86</v>
      </c>
    </row>
    <row r="2938" spans="15:17" x14ac:dyDescent="0.2">
      <c r="O2938" s="9" t="s">
        <v>16723</v>
      </c>
      <c r="P2938" t="s">
        <v>16724</v>
      </c>
      <c r="Q2938" s="9">
        <v>56.86</v>
      </c>
    </row>
    <row r="2939" spans="15:17" x14ac:dyDescent="0.2">
      <c r="O2939" s="9" t="s">
        <v>16725</v>
      </c>
      <c r="P2939" t="s">
        <v>16726</v>
      </c>
      <c r="Q2939" s="9">
        <v>68.23</v>
      </c>
    </row>
    <row r="2940" spans="15:17" x14ac:dyDescent="0.2">
      <c r="O2940" s="9" t="s">
        <v>16727</v>
      </c>
      <c r="P2940" t="s">
        <v>16728</v>
      </c>
      <c r="Q2940" s="9">
        <v>1181.82</v>
      </c>
    </row>
    <row r="2941" spans="15:17" x14ac:dyDescent="0.2">
      <c r="O2941" s="9" t="s">
        <v>16729</v>
      </c>
      <c r="P2941" t="s">
        <v>16730</v>
      </c>
      <c r="Q2941" s="9">
        <v>1590.84</v>
      </c>
    </row>
    <row r="2942" spans="15:17" x14ac:dyDescent="0.2">
      <c r="O2942" s="9" t="s">
        <v>16731</v>
      </c>
      <c r="P2942" t="s">
        <v>16732</v>
      </c>
      <c r="Q2942" s="9">
        <v>56.89</v>
      </c>
    </row>
    <row r="2943" spans="15:17" x14ac:dyDescent="0.2">
      <c r="O2943" s="9" t="s">
        <v>16733</v>
      </c>
      <c r="P2943" t="s">
        <v>16734</v>
      </c>
      <c r="Q2943" s="9">
        <v>56.86</v>
      </c>
    </row>
    <row r="2944" spans="15:17" x14ac:dyDescent="0.2">
      <c r="O2944" s="9" t="s">
        <v>16735</v>
      </c>
      <c r="P2944" t="s">
        <v>16736</v>
      </c>
      <c r="Q2944" s="9">
        <v>56.86</v>
      </c>
    </row>
    <row r="2945" spans="15:17" x14ac:dyDescent="0.2">
      <c r="O2945" s="9" t="s">
        <v>16737</v>
      </c>
      <c r="P2945" t="s">
        <v>16738</v>
      </c>
      <c r="Q2945" s="9">
        <v>68.23</v>
      </c>
    </row>
    <row r="2946" spans="15:17" x14ac:dyDescent="0.2">
      <c r="O2946" s="9" t="s">
        <v>16739</v>
      </c>
      <c r="P2946" t="s">
        <v>16740</v>
      </c>
      <c r="Q2946" s="9">
        <v>72.69</v>
      </c>
    </row>
    <row r="2947" spans="15:17" x14ac:dyDescent="0.2">
      <c r="O2947" s="9" t="s">
        <v>16741</v>
      </c>
      <c r="P2947" t="s">
        <v>16742</v>
      </c>
      <c r="Q2947" s="9">
        <v>95.51</v>
      </c>
    </row>
    <row r="2948" spans="15:17" x14ac:dyDescent="0.2">
      <c r="O2948" s="9" t="s">
        <v>16743</v>
      </c>
      <c r="P2948" t="s">
        <v>16744</v>
      </c>
      <c r="Q2948" s="9">
        <v>102.42</v>
      </c>
    </row>
    <row r="2949" spans="15:17" x14ac:dyDescent="0.2">
      <c r="O2949" s="9" t="s">
        <v>16745</v>
      </c>
      <c r="P2949" t="s">
        <v>16746</v>
      </c>
      <c r="Q2949" s="9">
        <v>102.14</v>
      </c>
    </row>
    <row r="2950" spans="15:17" x14ac:dyDescent="0.2">
      <c r="O2950" s="9" t="s">
        <v>16747</v>
      </c>
      <c r="P2950" t="s">
        <v>16748</v>
      </c>
      <c r="Q2950" s="9">
        <v>147.76</v>
      </c>
    </row>
    <row r="2951" spans="15:17" x14ac:dyDescent="0.2">
      <c r="O2951" s="9" t="s">
        <v>16749</v>
      </c>
      <c r="P2951" t="s">
        <v>16750</v>
      </c>
      <c r="Q2951" s="9">
        <v>170.41</v>
      </c>
    </row>
    <row r="2952" spans="15:17" x14ac:dyDescent="0.2">
      <c r="O2952" s="9" t="s">
        <v>16751</v>
      </c>
      <c r="P2952" t="s">
        <v>16752</v>
      </c>
      <c r="Q2952" s="9">
        <v>97.73</v>
      </c>
    </row>
    <row r="2953" spans="15:17" x14ac:dyDescent="0.2">
      <c r="O2953" s="9" t="s">
        <v>16753</v>
      </c>
      <c r="P2953" t="s">
        <v>16754</v>
      </c>
      <c r="Q2953" s="9">
        <v>1931.7</v>
      </c>
    </row>
    <row r="2954" spans="15:17" x14ac:dyDescent="0.2">
      <c r="O2954" s="9" t="s">
        <v>16755</v>
      </c>
      <c r="P2954" t="s">
        <v>16756</v>
      </c>
      <c r="Q2954" s="9">
        <v>68.23</v>
      </c>
    </row>
    <row r="2955" spans="15:17" x14ac:dyDescent="0.2">
      <c r="O2955" s="9" t="s">
        <v>16757</v>
      </c>
      <c r="P2955" t="s">
        <v>16758</v>
      </c>
      <c r="Q2955" s="9">
        <v>68.23</v>
      </c>
    </row>
    <row r="2956" spans="15:17" x14ac:dyDescent="0.2">
      <c r="O2956" s="9" t="s">
        <v>16759</v>
      </c>
      <c r="P2956" t="s">
        <v>16760</v>
      </c>
      <c r="Q2956" s="9">
        <v>79.55</v>
      </c>
    </row>
    <row r="2957" spans="15:17" x14ac:dyDescent="0.2">
      <c r="O2957" s="9" t="s">
        <v>16761</v>
      </c>
      <c r="P2957" t="s">
        <v>16762</v>
      </c>
      <c r="Q2957" s="9">
        <v>79.55</v>
      </c>
    </row>
    <row r="2958" spans="15:17" x14ac:dyDescent="0.2">
      <c r="O2958" s="9" t="s">
        <v>16763</v>
      </c>
      <c r="P2958" t="s">
        <v>16764</v>
      </c>
      <c r="Q2958" s="9">
        <v>97.73</v>
      </c>
    </row>
    <row r="2959" spans="15:17" x14ac:dyDescent="0.2">
      <c r="O2959" s="9" t="s">
        <v>16765</v>
      </c>
      <c r="P2959" t="s">
        <v>16766</v>
      </c>
      <c r="Q2959" s="9">
        <v>113.56</v>
      </c>
    </row>
    <row r="2960" spans="15:17" x14ac:dyDescent="0.2">
      <c r="O2960" s="9" t="s">
        <v>16767</v>
      </c>
      <c r="P2960" t="s">
        <v>16768</v>
      </c>
      <c r="Q2960" s="9">
        <v>113.86</v>
      </c>
    </row>
    <row r="2961" spans="15:17" x14ac:dyDescent="0.2">
      <c r="O2961" s="9" t="s">
        <v>16769</v>
      </c>
      <c r="P2961" t="s">
        <v>16770</v>
      </c>
      <c r="Q2961" s="9">
        <v>147.76</v>
      </c>
    </row>
    <row r="2962" spans="15:17" x14ac:dyDescent="0.2">
      <c r="O2962" s="9" t="s">
        <v>16771</v>
      </c>
      <c r="P2962" t="s">
        <v>16772</v>
      </c>
      <c r="Q2962" s="9">
        <v>159.08000000000001</v>
      </c>
    </row>
    <row r="2963" spans="15:17" x14ac:dyDescent="0.2">
      <c r="O2963" s="9" t="s">
        <v>16773</v>
      </c>
      <c r="P2963" t="s">
        <v>16774</v>
      </c>
      <c r="Q2963" s="9">
        <v>131.16</v>
      </c>
    </row>
    <row r="2964" spans="15:17" x14ac:dyDescent="0.2">
      <c r="O2964" s="9" t="s">
        <v>16775</v>
      </c>
      <c r="P2964" t="s">
        <v>16776</v>
      </c>
      <c r="Q2964" s="9">
        <v>97.73</v>
      </c>
    </row>
    <row r="2965" spans="15:17" x14ac:dyDescent="0.2">
      <c r="O2965" s="9" t="s">
        <v>16777</v>
      </c>
      <c r="P2965" t="s">
        <v>16778</v>
      </c>
      <c r="Q2965" s="9">
        <v>134.30000000000001</v>
      </c>
    </row>
    <row r="2966" spans="15:17" x14ac:dyDescent="0.2">
      <c r="O2966" s="9" t="s">
        <v>16779</v>
      </c>
      <c r="P2966" t="s">
        <v>16780</v>
      </c>
      <c r="Q2966" s="9">
        <v>164.61</v>
      </c>
    </row>
    <row r="2967" spans="15:17" x14ac:dyDescent="0.2">
      <c r="O2967" s="9" t="s">
        <v>16781</v>
      </c>
      <c r="P2967" t="s">
        <v>16782</v>
      </c>
      <c r="Q2967" s="9">
        <v>131.16</v>
      </c>
    </row>
    <row r="2968" spans="15:17" x14ac:dyDescent="0.2">
      <c r="O2968" s="9" t="s">
        <v>16783</v>
      </c>
      <c r="P2968" t="s">
        <v>16784</v>
      </c>
      <c r="Q2968" s="9">
        <v>82.04</v>
      </c>
    </row>
    <row r="2969" spans="15:17" x14ac:dyDescent="0.2">
      <c r="O2969" s="9" t="s">
        <v>16785</v>
      </c>
      <c r="P2969" t="s">
        <v>16786</v>
      </c>
      <c r="Q2969" s="9">
        <v>68.23</v>
      </c>
    </row>
    <row r="2970" spans="15:17" x14ac:dyDescent="0.2">
      <c r="O2970" s="9" t="s">
        <v>16787</v>
      </c>
      <c r="P2970" t="s">
        <v>16788</v>
      </c>
      <c r="Q2970" s="9">
        <v>74.59</v>
      </c>
    </row>
    <row r="2971" spans="15:17" x14ac:dyDescent="0.2">
      <c r="O2971" s="9" t="s">
        <v>16789</v>
      </c>
      <c r="P2971" t="s">
        <v>16790</v>
      </c>
      <c r="Q2971" s="9">
        <v>76.760000000000005</v>
      </c>
    </row>
    <row r="2972" spans="15:17" x14ac:dyDescent="0.2">
      <c r="O2972" s="9" t="s">
        <v>16791</v>
      </c>
      <c r="P2972" t="s">
        <v>16792</v>
      </c>
      <c r="Q2972" s="9">
        <v>68.23</v>
      </c>
    </row>
    <row r="2973" spans="15:17" x14ac:dyDescent="0.2">
      <c r="O2973" s="9" t="s">
        <v>16793</v>
      </c>
      <c r="P2973" t="s">
        <v>16794</v>
      </c>
      <c r="Q2973" s="9">
        <v>81.790000000000006</v>
      </c>
    </row>
    <row r="2974" spans="15:17" x14ac:dyDescent="0.2">
      <c r="O2974" s="9" t="s">
        <v>16795</v>
      </c>
      <c r="P2974" t="s">
        <v>16796</v>
      </c>
      <c r="Q2974" s="9">
        <v>51.75</v>
      </c>
    </row>
    <row r="2975" spans="15:17" x14ac:dyDescent="0.2">
      <c r="O2975" s="9" t="s">
        <v>16797</v>
      </c>
      <c r="P2975" t="s">
        <v>16798</v>
      </c>
      <c r="Q2975" s="9">
        <v>47.12</v>
      </c>
    </row>
    <row r="2976" spans="15:17" x14ac:dyDescent="0.2">
      <c r="O2976" s="9" t="s">
        <v>16799</v>
      </c>
      <c r="P2976" t="s">
        <v>16800</v>
      </c>
      <c r="Q2976" s="9">
        <v>47.11</v>
      </c>
    </row>
    <row r="2977" spans="15:17" x14ac:dyDescent="0.2">
      <c r="O2977" s="9" t="s">
        <v>16801</v>
      </c>
      <c r="P2977" t="s">
        <v>16802</v>
      </c>
      <c r="Q2977" s="9">
        <v>64.25</v>
      </c>
    </row>
    <row r="2978" spans="15:17" x14ac:dyDescent="0.2">
      <c r="O2978" s="9" t="s">
        <v>16803</v>
      </c>
      <c r="P2978" t="s">
        <v>16804</v>
      </c>
      <c r="Q2978" s="9">
        <v>58.94</v>
      </c>
    </row>
    <row r="2979" spans="15:17" x14ac:dyDescent="0.2">
      <c r="O2979" s="9" t="s">
        <v>16805</v>
      </c>
      <c r="P2979" t="s">
        <v>16806</v>
      </c>
      <c r="Q2979" s="9">
        <v>99.3</v>
      </c>
    </row>
    <row r="2980" spans="15:17" x14ac:dyDescent="0.2">
      <c r="O2980" s="9" t="s">
        <v>16807</v>
      </c>
      <c r="P2980" t="s">
        <v>16808</v>
      </c>
      <c r="Q2980" s="9">
        <v>64.86</v>
      </c>
    </row>
    <row r="2981" spans="15:17" x14ac:dyDescent="0.2">
      <c r="O2981" s="9" t="s">
        <v>16809</v>
      </c>
      <c r="P2981" t="s">
        <v>16810</v>
      </c>
      <c r="Q2981" s="9">
        <v>57.15</v>
      </c>
    </row>
    <row r="2982" spans="15:17" x14ac:dyDescent="0.2">
      <c r="O2982" s="9" t="s">
        <v>16811</v>
      </c>
      <c r="P2982" t="s">
        <v>16812</v>
      </c>
      <c r="Q2982" s="9">
        <v>68.459999999999994</v>
      </c>
    </row>
    <row r="2983" spans="15:17" x14ac:dyDescent="0.2">
      <c r="O2983" s="9" t="s">
        <v>16813</v>
      </c>
      <c r="P2983" t="s">
        <v>16814</v>
      </c>
      <c r="Q2983" s="9">
        <v>77.180000000000007</v>
      </c>
    </row>
    <row r="2984" spans="15:17" x14ac:dyDescent="0.2">
      <c r="O2984" s="9" t="s">
        <v>16815</v>
      </c>
      <c r="P2984" t="s">
        <v>16816</v>
      </c>
      <c r="Q2984" s="9">
        <v>67.72</v>
      </c>
    </row>
    <row r="2985" spans="15:17" x14ac:dyDescent="0.2">
      <c r="O2985" s="9" t="s">
        <v>16817</v>
      </c>
      <c r="P2985" t="s">
        <v>16818</v>
      </c>
      <c r="Q2985" s="9">
        <v>94.34</v>
      </c>
    </row>
    <row r="2986" spans="15:17" x14ac:dyDescent="0.2">
      <c r="O2986" s="9" t="s">
        <v>16819</v>
      </c>
      <c r="P2986" t="s">
        <v>16820</v>
      </c>
      <c r="Q2986" s="9">
        <v>163.47999999999999</v>
      </c>
    </row>
    <row r="2987" spans="15:17" x14ac:dyDescent="0.2">
      <c r="O2987" s="9" t="s">
        <v>16821</v>
      </c>
      <c r="P2987" t="s">
        <v>16822</v>
      </c>
      <c r="Q2987" s="9">
        <v>84.13</v>
      </c>
    </row>
    <row r="2988" spans="15:17" x14ac:dyDescent="0.2">
      <c r="O2988" s="9" t="s">
        <v>16823</v>
      </c>
      <c r="P2988" t="s">
        <v>16824</v>
      </c>
      <c r="Q2988" s="9">
        <v>169.32</v>
      </c>
    </row>
    <row r="2989" spans="15:17" x14ac:dyDescent="0.2">
      <c r="O2989" s="9" t="s">
        <v>16825</v>
      </c>
      <c r="P2989" t="s">
        <v>16826</v>
      </c>
      <c r="Q2989" s="9">
        <v>102.93</v>
      </c>
    </row>
    <row r="2990" spans="15:17" x14ac:dyDescent="0.2">
      <c r="O2990" s="9" t="s">
        <v>16827</v>
      </c>
      <c r="P2990" t="s">
        <v>16828</v>
      </c>
      <c r="Q2990" s="9">
        <v>175.16</v>
      </c>
    </row>
    <row r="2991" spans="15:17" x14ac:dyDescent="0.2">
      <c r="O2991" s="9" t="s">
        <v>16829</v>
      </c>
      <c r="P2991" t="s">
        <v>16830</v>
      </c>
      <c r="Q2991" s="9">
        <v>129.25</v>
      </c>
    </row>
    <row r="2992" spans="15:17" x14ac:dyDescent="0.2">
      <c r="O2992" s="9" t="s">
        <v>16831</v>
      </c>
      <c r="P2992" t="s">
        <v>16832</v>
      </c>
      <c r="Q2992" s="9">
        <v>129.72999999999999</v>
      </c>
    </row>
    <row r="2993" spans="15:17" x14ac:dyDescent="0.2">
      <c r="O2993" s="9" t="s">
        <v>16833</v>
      </c>
      <c r="P2993" t="s">
        <v>16834</v>
      </c>
      <c r="Q2993" s="9">
        <v>233.58</v>
      </c>
    </row>
    <row r="2994" spans="15:17" x14ac:dyDescent="0.2">
      <c r="O2994" s="9" t="s">
        <v>16835</v>
      </c>
      <c r="P2994" t="s">
        <v>16836</v>
      </c>
      <c r="Q2994" s="9">
        <v>71.959999999999994</v>
      </c>
    </row>
    <row r="2995" spans="15:17" x14ac:dyDescent="0.2">
      <c r="O2995" s="9" t="s">
        <v>16837</v>
      </c>
      <c r="P2995" t="s">
        <v>16838</v>
      </c>
      <c r="Q2995" s="9">
        <v>141.44</v>
      </c>
    </row>
    <row r="2996" spans="15:17" x14ac:dyDescent="0.2">
      <c r="O2996" s="9" t="s">
        <v>16839</v>
      </c>
      <c r="P2996" t="s">
        <v>16840</v>
      </c>
      <c r="Q2996" s="9">
        <v>67.72</v>
      </c>
    </row>
    <row r="2997" spans="15:17" x14ac:dyDescent="0.2">
      <c r="O2997" s="9" t="s">
        <v>16841</v>
      </c>
      <c r="P2997" t="s">
        <v>16842</v>
      </c>
      <c r="Q2997" s="9">
        <v>111.61</v>
      </c>
    </row>
    <row r="2998" spans="15:17" x14ac:dyDescent="0.2">
      <c r="O2998" s="9" t="s">
        <v>16843</v>
      </c>
      <c r="P2998" t="s">
        <v>16844</v>
      </c>
      <c r="Q2998" s="9">
        <v>58.94</v>
      </c>
    </row>
    <row r="2999" spans="15:17" x14ac:dyDescent="0.2">
      <c r="O2999" s="9" t="s">
        <v>16845</v>
      </c>
      <c r="P2999" t="s">
        <v>16846</v>
      </c>
      <c r="Q2999" s="9">
        <v>58.94</v>
      </c>
    </row>
    <row r="3000" spans="15:17" x14ac:dyDescent="0.2">
      <c r="O3000" s="9" t="s">
        <v>16847</v>
      </c>
      <c r="P3000" t="s">
        <v>16848</v>
      </c>
      <c r="Q3000" s="9">
        <v>68.62</v>
      </c>
    </row>
    <row r="3001" spans="15:17" x14ac:dyDescent="0.2">
      <c r="O3001" s="9" t="s">
        <v>16849</v>
      </c>
      <c r="P3001" t="s">
        <v>16850</v>
      </c>
      <c r="Q3001" s="9">
        <v>116.79</v>
      </c>
    </row>
    <row r="3002" spans="15:17" x14ac:dyDescent="0.2">
      <c r="O3002" s="9" t="s">
        <v>16851</v>
      </c>
      <c r="P3002" t="s">
        <v>16852</v>
      </c>
      <c r="Q3002" s="9">
        <v>67.72</v>
      </c>
    </row>
    <row r="3003" spans="15:17" x14ac:dyDescent="0.2">
      <c r="O3003" s="9" t="s">
        <v>16853</v>
      </c>
      <c r="P3003" t="s">
        <v>16854</v>
      </c>
      <c r="Q3003" s="9">
        <v>77.180000000000007</v>
      </c>
    </row>
    <row r="3004" spans="15:17" x14ac:dyDescent="0.2">
      <c r="O3004" s="9" t="s">
        <v>16855</v>
      </c>
      <c r="P3004" t="s">
        <v>16856</v>
      </c>
      <c r="Q3004" s="9">
        <v>75.89</v>
      </c>
    </row>
    <row r="3005" spans="15:17" x14ac:dyDescent="0.2">
      <c r="O3005" s="9" t="s">
        <v>16857</v>
      </c>
      <c r="P3005" t="s">
        <v>16858</v>
      </c>
      <c r="Q3005" s="9">
        <v>67.72</v>
      </c>
    </row>
    <row r="3006" spans="15:17" x14ac:dyDescent="0.2">
      <c r="O3006" s="9" t="s">
        <v>16859</v>
      </c>
      <c r="P3006" t="s">
        <v>16860</v>
      </c>
      <c r="Q3006" s="9">
        <v>90.75</v>
      </c>
    </row>
    <row r="3007" spans="15:17" x14ac:dyDescent="0.2">
      <c r="O3007" s="9" t="s">
        <v>16861</v>
      </c>
      <c r="P3007" t="s">
        <v>16862</v>
      </c>
      <c r="Q3007" s="9">
        <v>102.22</v>
      </c>
    </row>
    <row r="3008" spans="15:17" x14ac:dyDescent="0.2">
      <c r="O3008" s="9" t="s">
        <v>16863</v>
      </c>
      <c r="P3008" t="s">
        <v>16864</v>
      </c>
      <c r="Q3008" s="9">
        <v>94.34</v>
      </c>
    </row>
    <row r="3009" spans="15:17" x14ac:dyDescent="0.2">
      <c r="O3009" s="9" t="s">
        <v>16865</v>
      </c>
      <c r="P3009" t="s">
        <v>16866</v>
      </c>
      <c r="Q3009" s="9">
        <v>75.89</v>
      </c>
    </row>
    <row r="3010" spans="15:17" x14ac:dyDescent="0.2">
      <c r="O3010" s="9" t="s">
        <v>16867</v>
      </c>
      <c r="P3010" t="s">
        <v>16868</v>
      </c>
      <c r="Q3010" s="9">
        <v>58.94</v>
      </c>
    </row>
    <row r="3011" spans="15:17" x14ac:dyDescent="0.2">
      <c r="O3011" s="9" t="s">
        <v>16869</v>
      </c>
      <c r="P3011" t="s">
        <v>16870</v>
      </c>
      <c r="Q3011" s="9">
        <v>77.05</v>
      </c>
    </row>
    <row r="3012" spans="15:17" x14ac:dyDescent="0.2">
      <c r="O3012" s="9" t="s">
        <v>16871</v>
      </c>
      <c r="P3012" t="s">
        <v>16872</v>
      </c>
      <c r="Q3012" s="9">
        <v>68.62</v>
      </c>
    </row>
    <row r="3013" spans="15:17" x14ac:dyDescent="0.2">
      <c r="O3013" s="9" t="s">
        <v>16873</v>
      </c>
      <c r="P3013" t="s">
        <v>16874</v>
      </c>
      <c r="Q3013" s="9">
        <v>67.72</v>
      </c>
    </row>
    <row r="3014" spans="15:17" x14ac:dyDescent="0.2">
      <c r="O3014" s="9" t="s">
        <v>16875</v>
      </c>
      <c r="P3014" t="s">
        <v>16876</v>
      </c>
      <c r="Q3014" s="9">
        <v>81.72</v>
      </c>
    </row>
    <row r="3015" spans="15:17" x14ac:dyDescent="0.2">
      <c r="O3015" s="9" t="s">
        <v>16877</v>
      </c>
      <c r="P3015" t="s">
        <v>16878</v>
      </c>
      <c r="Q3015" s="9">
        <v>64.86</v>
      </c>
    </row>
    <row r="3016" spans="15:17" x14ac:dyDescent="0.2">
      <c r="O3016" s="9" t="s">
        <v>16879</v>
      </c>
      <c r="P3016" t="s">
        <v>16880</v>
      </c>
      <c r="Q3016" s="9">
        <v>128.49</v>
      </c>
    </row>
    <row r="3017" spans="15:17" x14ac:dyDescent="0.2">
      <c r="O3017" s="9" t="s">
        <v>16881</v>
      </c>
      <c r="P3017" t="s">
        <v>16882</v>
      </c>
      <c r="Q3017" s="9">
        <v>77.180000000000007</v>
      </c>
    </row>
    <row r="3018" spans="15:17" x14ac:dyDescent="0.2">
      <c r="O3018" s="9" t="s">
        <v>16883</v>
      </c>
      <c r="P3018" t="s">
        <v>16884</v>
      </c>
      <c r="Q3018" s="9">
        <v>85.97</v>
      </c>
    </row>
    <row r="3019" spans="15:17" x14ac:dyDescent="0.2">
      <c r="O3019" s="9" t="s">
        <v>16885</v>
      </c>
      <c r="P3019" t="s">
        <v>16886</v>
      </c>
      <c r="Q3019" s="9">
        <v>100.24</v>
      </c>
    </row>
    <row r="3020" spans="15:17" x14ac:dyDescent="0.2">
      <c r="O3020" s="9" t="s">
        <v>16887</v>
      </c>
      <c r="P3020" t="s">
        <v>16888</v>
      </c>
      <c r="Q3020" s="9">
        <v>75.89</v>
      </c>
    </row>
    <row r="3021" spans="15:17" x14ac:dyDescent="0.2">
      <c r="O3021" s="9" t="s">
        <v>16889</v>
      </c>
      <c r="P3021" t="s">
        <v>16890</v>
      </c>
      <c r="Q3021" s="9">
        <v>117.89</v>
      </c>
    </row>
    <row r="3022" spans="15:17" x14ac:dyDescent="0.2">
      <c r="O3022" s="9" t="s">
        <v>16891</v>
      </c>
      <c r="P3022" t="s">
        <v>16892</v>
      </c>
      <c r="Q3022" s="9">
        <v>129.25</v>
      </c>
    </row>
    <row r="3023" spans="15:17" x14ac:dyDescent="0.2">
      <c r="O3023" s="9" t="s">
        <v>16893</v>
      </c>
      <c r="P3023" t="s">
        <v>16894</v>
      </c>
      <c r="Q3023" s="9">
        <v>85.97</v>
      </c>
    </row>
    <row r="3024" spans="15:17" x14ac:dyDescent="0.2">
      <c r="O3024" s="9" t="s">
        <v>16895</v>
      </c>
      <c r="P3024" t="s">
        <v>16896</v>
      </c>
      <c r="Q3024" s="9">
        <v>67.72</v>
      </c>
    </row>
    <row r="3025" spans="15:17" x14ac:dyDescent="0.2">
      <c r="O3025" s="9" t="s">
        <v>16897</v>
      </c>
      <c r="P3025" t="s">
        <v>16898</v>
      </c>
      <c r="Q3025" s="9">
        <v>59.26</v>
      </c>
    </row>
    <row r="3026" spans="15:17" x14ac:dyDescent="0.2">
      <c r="O3026" s="9" t="s">
        <v>16899</v>
      </c>
      <c r="P3026" t="s">
        <v>16900</v>
      </c>
      <c r="Q3026" s="9">
        <v>116.64</v>
      </c>
    </row>
    <row r="3027" spans="15:17" x14ac:dyDescent="0.2">
      <c r="O3027" s="9" t="s">
        <v>16901</v>
      </c>
      <c r="P3027" t="s">
        <v>16902</v>
      </c>
      <c r="Q3027" s="9">
        <v>77.19</v>
      </c>
    </row>
    <row r="3028" spans="15:17" x14ac:dyDescent="0.2">
      <c r="O3028" s="9" t="s">
        <v>16903</v>
      </c>
      <c r="P3028" t="s">
        <v>16904</v>
      </c>
      <c r="Q3028" s="9">
        <v>77.19</v>
      </c>
    </row>
    <row r="3029" spans="15:17" x14ac:dyDescent="0.2">
      <c r="O3029" s="9" t="s">
        <v>16905</v>
      </c>
      <c r="P3029" t="s">
        <v>16906</v>
      </c>
      <c r="Q3029" s="9">
        <v>140.11000000000001</v>
      </c>
    </row>
    <row r="3030" spans="15:17" x14ac:dyDescent="0.2">
      <c r="O3030" s="9" t="s">
        <v>16907</v>
      </c>
      <c r="P3030" t="s">
        <v>16908</v>
      </c>
      <c r="Q3030" s="9">
        <v>85.77</v>
      </c>
    </row>
    <row r="3031" spans="15:17" x14ac:dyDescent="0.2">
      <c r="O3031" s="9" t="s">
        <v>16909</v>
      </c>
      <c r="P3031" t="s">
        <v>16910</v>
      </c>
      <c r="Q3031" s="9">
        <v>76.62</v>
      </c>
    </row>
    <row r="3032" spans="15:17" x14ac:dyDescent="0.2">
      <c r="O3032" s="9" t="s">
        <v>16911</v>
      </c>
      <c r="P3032" t="s">
        <v>16912</v>
      </c>
      <c r="Q3032" s="9">
        <v>151.84</v>
      </c>
    </row>
    <row r="3033" spans="15:17" x14ac:dyDescent="0.2">
      <c r="O3033" s="9" t="s">
        <v>16913</v>
      </c>
      <c r="P3033" t="s">
        <v>16914</v>
      </c>
      <c r="Q3033" s="9">
        <v>94.34</v>
      </c>
    </row>
    <row r="3034" spans="15:17" x14ac:dyDescent="0.2">
      <c r="O3034" s="9" t="s">
        <v>16915</v>
      </c>
      <c r="P3034" t="s">
        <v>16916</v>
      </c>
      <c r="Q3034" s="9">
        <v>84.13</v>
      </c>
    </row>
    <row r="3035" spans="15:17" x14ac:dyDescent="0.2">
      <c r="O3035" s="9" t="s">
        <v>16917</v>
      </c>
      <c r="P3035" t="s">
        <v>16918</v>
      </c>
      <c r="Q3035" s="9">
        <v>129.26</v>
      </c>
    </row>
    <row r="3036" spans="15:17" x14ac:dyDescent="0.2">
      <c r="O3036" s="9" t="s">
        <v>16919</v>
      </c>
      <c r="P3036" t="s">
        <v>16920</v>
      </c>
      <c r="Q3036" s="9">
        <v>217.98</v>
      </c>
    </row>
    <row r="3037" spans="15:17" x14ac:dyDescent="0.2">
      <c r="O3037" s="9" t="s">
        <v>16921</v>
      </c>
      <c r="P3037" t="s">
        <v>16922</v>
      </c>
      <c r="Q3037" s="9">
        <v>152.72999999999999</v>
      </c>
    </row>
    <row r="3038" spans="15:17" x14ac:dyDescent="0.2">
      <c r="O3038" s="9" t="s">
        <v>16923</v>
      </c>
      <c r="P3038" t="s">
        <v>16924</v>
      </c>
      <c r="Q3038" s="9">
        <v>94.35</v>
      </c>
    </row>
    <row r="3039" spans="15:17" x14ac:dyDescent="0.2">
      <c r="O3039" s="9" t="s">
        <v>16925</v>
      </c>
      <c r="P3039" t="s">
        <v>16926</v>
      </c>
      <c r="Q3039" s="9">
        <v>165.03</v>
      </c>
    </row>
    <row r="3040" spans="15:17" x14ac:dyDescent="0.2">
      <c r="O3040" s="9" t="s">
        <v>16927</v>
      </c>
      <c r="P3040" t="s">
        <v>16928</v>
      </c>
      <c r="Q3040" s="9">
        <v>77.19</v>
      </c>
    </row>
    <row r="3041" spans="15:17" x14ac:dyDescent="0.2">
      <c r="O3041" s="9" t="s">
        <v>16929</v>
      </c>
      <c r="P3041" t="s">
        <v>16930</v>
      </c>
      <c r="Q3041" s="9">
        <v>85.97</v>
      </c>
    </row>
    <row r="3042" spans="15:17" x14ac:dyDescent="0.2">
      <c r="O3042" s="9" t="s">
        <v>16931</v>
      </c>
      <c r="P3042" t="s">
        <v>16932</v>
      </c>
      <c r="Q3042" s="9">
        <v>140.15</v>
      </c>
    </row>
    <row r="3043" spans="15:17" x14ac:dyDescent="0.2">
      <c r="O3043" s="9" t="s">
        <v>16933</v>
      </c>
      <c r="P3043" t="s">
        <v>16934</v>
      </c>
      <c r="Q3043" s="9">
        <v>70.77</v>
      </c>
    </row>
    <row r="3044" spans="15:17" x14ac:dyDescent="0.2">
      <c r="O3044" s="9" t="s">
        <v>16935</v>
      </c>
      <c r="P3044" t="s">
        <v>16936</v>
      </c>
      <c r="Q3044" s="9">
        <v>62.86</v>
      </c>
    </row>
    <row r="3045" spans="15:17" x14ac:dyDescent="0.2">
      <c r="O3045" s="9" t="s">
        <v>16937</v>
      </c>
      <c r="P3045" t="s">
        <v>16938</v>
      </c>
      <c r="Q3045" s="9">
        <v>129.11000000000001</v>
      </c>
    </row>
    <row r="3046" spans="15:17" x14ac:dyDescent="0.2">
      <c r="O3046" s="9" t="s">
        <v>16939</v>
      </c>
      <c r="P3046" t="s">
        <v>16940</v>
      </c>
      <c r="Q3046" s="9">
        <v>151.93</v>
      </c>
    </row>
    <row r="3047" spans="15:17" x14ac:dyDescent="0.2">
      <c r="O3047" s="9" t="s">
        <v>16941</v>
      </c>
      <c r="P3047" t="s">
        <v>16942</v>
      </c>
      <c r="Q3047" s="9">
        <v>111.61</v>
      </c>
    </row>
    <row r="3048" spans="15:17" x14ac:dyDescent="0.2">
      <c r="O3048" s="9" t="s">
        <v>16943</v>
      </c>
      <c r="P3048" t="s">
        <v>16944</v>
      </c>
      <c r="Q3048" s="9">
        <v>100.25</v>
      </c>
    </row>
    <row r="3049" spans="15:17" x14ac:dyDescent="0.2">
      <c r="O3049" s="9" t="s">
        <v>16945</v>
      </c>
      <c r="P3049" t="s">
        <v>16946</v>
      </c>
      <c r="Q3049" s="9">
        <v>129.26</v>
      </c>
    </row>
    <row r="3050" spans="15:17" x14ac:dyDescent="0.2">
      <c r="O3050" s="9" t="s">
        <v>16947</v>
      </c>
      <c r="P3050" t="s">
        <v>16948</v>
      </c>
      <c r="Q3050" s="9">
        <v>211.45</v>
      </c>
    </row>
    <row r="3051" spans="15:17" x14ac:dyDescent="0.2">
      <c r="O3051" s="9" t="s">
        <v>16949</v>
      </c>
      <c r="P3051" t="s">
        <v>16950</v>
      </c>
      <c r="Q3051" s="9">
        <v>85.77</v>
      </c>
    </row>
    <row r="3052" spans="15:17" x14ac:dyDescent="0.2">
      <c r="O3052" s="9" t="s">
        <v>16951</v>
      </c>
      <c r="P3052" t="s">
        <v>16952</v>
      </c>
      <c r="Q3052" s="9">
        <v>94.35</v>
      </c>
    </row>
    <row r="3053" spans="15:17" x14ac:dyDescent="0.2">
      <c r="O3053" s="9" t="s">
        <v>16953</v>
      </c>
      <c r="P3053" t="s">
        <v>16954</v>
      </c>
      <c r="Q3053" s="9">
        <v>94.35</v>
      </c>
    </row>
    <row r="3054" spans="15:17" x14ac:dyDescent="0.2">
      <c r="O3054" s="9" t="s">
        <v>16955</v>
      </c>
      <c r="P3054" t="s">
        <v>16956</v>
      </c>
      <c r="Q3054" s="9">
        <v>163.47999999999999</v>
      </c>
    </row>
    <row r="3055" spans="15:17" x14ac:dyDescent="0.2">
      <c r="O3055" s="9" t="s">
        <v>16957</v>
      </c>
      <c r="P3055" t="s">
        <v>16958</v>
      </c>
      <c r="Q3055" s="9">
        <v>100.25</v>
      </c>
    </row>
    <row r="3056" spans="15:17" x14ac:dyDescent="0.2">
      <c r="O3056" s="9" t="s">
        <v>16959</v>
      </c>
      <c r="P3056" t="s">
        <v>16960</v>
      </c>
      <c r="Q3056" s="9">
        <v>128.49</v>
      </c>
    </row>
    <row r="3057" spans="15:17" x14ac:dyDescent="0.2">
      <c r="O3057" s="9" t="s">
        <v>16961</v>
      </c>
      <c r="P3057" t="s">
        <v>16962</v>
      </c>
      <c r="Q3057" s="9">
        <v>175.16</v>
      </c>
    </row>
    <row r="3058" spans="15:17" x14ac:dyDescent="0.2">
      <c r="O3058" s="9" t="s">
        <v>16963</v>
      </c>
      <c r="P3058" t="s">
        <v>16964</v>
      </c>
      <c r="Q3058" s="9">
        <v>105.1</v>
      </c>
    </row>
    <row r="3059" spans="15:17" x14ac:dyDescent="0.2">
      <c r="O3059" s="9" t="s">
        <v>16965</v>
      </c>
      <c r="P3059" t="s">
        <v>16966</v>
      </c>
      <c r="Q3059" s="9">
        <v>175.16</v>
      </c>
    </row>
    <row r="3060" spans="15:17" x14ac:dyDescent="0.2">
      <c r="O3060" s="9" t="s">
        <v>16967</v>
      </c>
      <c r="P3060" t="s">
        <v>16968</v>
      </c>
      <c r="Q3060" s="9">
        <v>200.4</v>
      </c>
    </row>
    <row r="3061" spans="15:17" x14ac:dyDescent="0.2">
      <c r="O3061" s="9" t="s">
        <v>16969</v>
      </c>
      <c r="P3061" t="s">
        <v>16970</v>
      </c>
      <c r="Q3061" s="9">
        <v>154.4</v>
      </c>
    </row>
    <row r="3062" spans="15:17" x14ac:dyDescent="0.2">
      <c r="O3062" s="9" t="s">
        <v>16971</v>
      </c>
      <c r="P3062" t="s">
        <v>16972</v>
      </c>
      <c r="Q3062" s="9">
        <v>164.57</v>
      </c>
    </row>
    <row r="3063" spans="15:17" x14ac:dyDescent="0.2">
      <c r="O3063" s="9" t="s">
        <v>16973</v>
      </c>
      <c r="P3063" t="s">
        <v>16974</v>
      </c>
      <c r="Q3063" s="9">
        <v>88.42</v>
      </c>
    </row>
    <row r="3064" spans="15:17" x14ac:dyDescent="0.2">
      <c r="O3064" s="9" t="s">
        <v>16975</v>
      </c>
      <c r="P3064" t="s">
        <v>16976</v>
      </c>
      <c r="Q3064" s="9">
        <v>94.35</v>
      </c>
    </row>
    <row r="3065" spans="15:17" x14ac:dyDescent="0.2">
      <c r="O3065" s="9" t="s">
        <v>16977</v>
      </c>
      <c r="P3065" t="s">
        <v>16978</v>
      </c>
      <c r="Q3065" s="9">
        <v>158.34</v>
      </c>
    </row>
    <row r="3066" spans="15:17" x14ac:dyDescent="0.2">
      <c r="O3066" s="9" t="s">
        <v>16979</v>
      </c>
      <c r="P3066" t="s">
        <v>16980</v>
      </c>
      <c r="Q3066" s="9">
        <v>94.34</v>
      </c>
    </row>
    <row r="3067" spans="15:17" x14ac:dyDescent="0.2">
      <c r="O3067" s="9" t="s">
        <v>16981</v>
      </c>
      <c r="P3067" t="s">
        <v>16982</v>
      </c>
      <c r="Q3067" s="9">
        <v>93.45</v>
      </c>
    </row>
    <row r="3068" spans="15:17" x14ac:dyDescent="0.2">
      <c r="O3068" s="9" t="s">
        <v>16983</v>
      </c>
      <c r="P3068" t="s">
        <v>16984</v>
      </c>
      <c r="Q3068" s="9">
        <v>175.16</v>
      </c>
    </row>
    <row r="3069" spans="15:17" x14ac:dyDescent="0.2">
      <c r="O3069" s="9" t="s">
        <v>16985</v>
      </c>
      <c r="P3069" t="s">
        <v>16986</v>
      </c>
      <c r="Q3069" s="9">
        <v>111.61</v>
      </c>
    </row>
    <row r="3070" spans="15:17" x14ac:dyDescent="0.2">
      <c r="O3070" s="9" t="s">
        <v>16987</v>
      </c>
      <c r="P3070" t="s">
        <v>16988</v>
      </c>
      <c r="Q3070" s="9">
        <v>144.51</v>
      </c>
    </row>
    <row r="3071" spans="15:17" x14ac:dyDescent="0.2">
      <c r="O3071" s="9" t="s">
        <v>16989</v>
      </c>
      <c r="P3071" t="s">
        <v>16990</v>
      </c>
      <c r="Q3071" s="9">
        <v>117.89</v>
      </c>
    </row>
    <row r="3072" spans="15:17" x14ac:dyDescent="0.2">
      <c r="O3072" s="9" t="s">
        <v>16991</v>
      </c>
      <c r="P3072" t="s">
        <v>16992</v>
      </c>
      <c r="Q3072" s="9">
        <v>105.1</v>
      </c>
    </row>
    <row r="3073" spans="15:17" x14ac:dyDescent="0.2">
      <c r="O3073" s="9" t="s">
        <v>16993</v>
      </c>
      <c r="P3073" t="s">
        <v>16994</v>
      </c>
      <c r="Q3073" s="9">
        <v>223.19</v>
      </c>
    </row>
    <row r="3074" spans="15:17" x14ac:dyDescent="0.2">
      <c r="O3074" s="9" t="s">
        <v>16995</v>
      </c>
      <c r="P3074" t="s">
        <v>16996</v>
      </c>
      <c r="Q3074" s="9">
        <v>102.94</v>
      </c>
    </row>
    <row r="3075" spans="15:17" x14ac:dyDescent="0.2">
      <c r="O3075" s="9" t="s">
        <v>16997</v>
      </c>
      <c r="P3075" t="s">
        <v>16998</v>
      </c>
      <c r="Q3075" s="9">
        <v>106.08</v>
      </c>
    </row>
    <row r="3076" spans="15:17" x14ac:dyDescent="0.2">
      <c r="O3076" s="9" t="s">
        <v>16999</v>
      </c>
      <c r="P3076" t="s">
        <v>17000</v>
      </c>
      <c r="Q3076" s="9">
        <v>186.9</v>
      </c>
    </row>
    <row r="3077" spans="15:17" x14ac:dyDescent="0.2">
      <c r="O3077" s="9" t="s">
        <v>17001</v>
      </c>
      <c r="P3077" t="s">
        <v>17002</v>
      </c>
      <c r="Q3077" s="9">
        <v>117.89</v>
      </c>
    </row>
    <row r="3078" spans="15:17" x14ac:dyDescent="0.2">
      <c r="O3078" s="9" t="s">
        <v>17003</v>
      </c>
      <c r="P3078" t="s">
        <v>17004</v>
      </c>
      <c r="Q3078" s="9">
        <v>129.26</v>
      </c>
    </row>
    <row r="3079" spans="15:17" x14ac:dyDescent="0.2">
      <c r="O3079" s="9" t="s">
        <v>17005</v>
      </c>
      <c r="P3079" t="s">
        <v>17006</v>
      </c>
      <c r="Q3079" s="9">
        <v>135.72</v>
      </c>
    </row>
    <row r="3080" spans="15:17" x14ac:dyDescent="0.2">
      <c r="O3080" s="9" t="s">
        <v>17007</v>
      </c>
      <c r="P3080" t="s">
        <v>17008</v>
      </c>
      <c r="Q3080" s="9">
        <v>120.02</v>
      </c>
    </row>
    <row r="3081" spans="15:17" x14ac:dyDescent="0.2">
      <c r="O3081" s="9" t="s">
        <v>17009</v>
      </c>
      <c r="P3081" t="s">
        <v>17010</v>
      </c>
      <c r="Q3081" s="9">
        <v>116.79</v>
      </c>
    </row>
    <row r="3082" spans="15:17" x14ac:dyDescent="0.2">
      <c r="O3082" s="9" t="s">
        <v>17011</v>
      </c>
      <c r="P3082" t="s">
        <v>17012</v>
      </c>
      <c r="Q3082" s="9">
        <v>235.05</v>
      </c>
    </row>
    <row r="3083" spans="15:17" x14ac:dyDescent="0.2">
      <c r="O3083" s="9" t="s">
        <v>17013</v>
      </c>
      <c r="P3083" t="s">
        <v>17014</v>
      </c>
      <c r="Q3083" s="9">
        <v>105.8</v>
      </c>
    </row>
    <row r="3084" spans="15:17" x14ac:dyDescent="0.2">
      <c r="O3084" s="9" t="s">
        <v>17015</v>
      </c>
      <c r="P3084" t="s">
        <v>17016</v>
      </c>
      <c r="Q3084" s="9">
        <v>137.59</v>
      </c>
    </row>
    <row r="3085" spans="15:17" x14ac:dyDescent="0.2">
      <c r="O3085" s="9" t="s">
        <v>17017</v>
      </c>
      <c r="P3085" t="s">
        <v>17018</v>
      </c>
      <c r="Q3085" s="9">
        <v>106.08</v>
      </c>
    </row>
    <row r="3086" spans="15:17" x14ac:dyDescent="0.2">
      <c r="O3086" s="9" t="s">
        <v>17019</v>
      </c>
      <c r="P3086" t="s">
        <v>17020</v>
      </c>
      <c r="Q3086" s="9">
        <v>186.26</v>
      </c>
    </row>
    <row r="3087" spans="15:17" x14ac:dyDescent="0.2">
      <c r="O3087" s="9" t="s">
        <v>17021</v>
      </c>
      <c r="P3087" t="s">
        <v>17022</v>
      </c>
      <c r="Q3087" s="9">
        <v>118</v>
      </c>
    </row>
    <row r="3088" spans="15:17" x14ac:dyDescent="0.2">
      <c r="O3088" s="9" t="s">
        <v>17023</v>
      </c>
      <c r="P3088" t="s">
        <v>17024</v>
      </c>
      <c r="Q3088" s="9">
        <v>140.97</v>
      </c>
    </row>
    <row r="3089" spans="15:17" x14ac:dyDescent="0.2">
      <c r="O3089" s="9" t="s">
        <v>17025</v>
      </c>
      <c r="P3089" t="s">
        <v>17026</v>
      </c>
      <c r="Q3089" s="9">
        <v>116.79</v>
      </c>
    </row>
    <row r="3090" spans="15:17" x14ac:dyDescent="0.2">
      <c r="O3090" s="9" t="s">
        <v>17027</v>
      </c>
      <c r="P3090" t="s">
        <v>17028</v>
      </c>
      <c r="Q3090" s="9">
        <v>118</v>
      </c>
    </row>
    <row r="3091" spans="15:17" x14ac:dyDescent="0.2">
      <c r="O3091" s="9" t="s">
        <v>17029</v>
      </c>
      <c r="P3091" t="s">
        <v>17030</v>
      </c>
      <c r="Q3091" s="9">
        <v>133.24</v>
      </c>
    </row>
    <row r="3092" spans="15:17" x14ac:dyDescent="0.2">
      <c r="O3092" s="9" t="s">
        <v>17031</v>
      </c>
      <c r="P3092" t="s">
        <v>17032</v>
      </c>
      <c r="Q3092" s="9">
        <v>118</v>
      </c>
    </row>
    <row r="3093" spans="15:17" x14ac:dyDescent="0.2">
      <c r="O3093" s="9" t="s">
        <v>17033</v>
      </c>
      <c r="P3093" t="s">
        <v>17034</v>
      </c>
      <c r="Q3093" s="9">
        <v>210.23</v>
      </c>
    </row>
    <row r="3094" spans="15:17" x14ac:dyDescent="0.2">
      <c r="O3094" s="9" t="s">
        <v>17035</v>
      </c>
      <c r="P3094" t="s">
        <v>17036</v>
      </c>
      <c r="Q3094" s="9">
        <v>140.97</v>
      </c>
    </row>
    <row r="3095" spans="15:17" x14ac:dyDescent="0.2">
      <c r="O3095" s="9" t="s">
        <v>17037</v>
      </c>
      <c r="P3095" t="s">
        <v>17038</v>
      </c>
      <c r="Q3095" s="9">
        <v>140.97</v>
      </c>
    </row>
    <row r="3096" spans="15:17" x14ac:dyDescent="0.2">
      <c r="O3096" s="9" t="s">
        <v>17039</v>
      </c>
      <c r="P3096" t="s">
        <v>17040</v>
      </c>
      <c r="Q3096" s="9">
        <v>128.49</v>
      </c>
    </row>
    <row r="3097" spans="15:17" x14ac:dyDescent="0.2">
      <c r="O3097" s="9" t="s">
        <v>17041</v>
      </c>
      <c r="P3097" t="s">
        <v>17042</v>
      </c>
      <c r="Q3097" s="9">
        <v>258.49</v>
      </c>
    </row>
    <row r="3098" spans="15:17" x14ac:dyDescent="0.2">
      <c r="O3098" s="9" t="s">
        <v>17043</v>
      </c>
      <c r="P3098" t="s">
        <v>17044</v>
      </c>
      <c r="Q3098" s="9">
        <v>34.85</v>
      </c>
    </row>
    <row r="3099" spans="15:17" x14ac:dyDescent="0.2">
      <c r="O3099" s="9" t="s">
        <v>17045</v>
      </c>
      <c r="P3099" t="s">
        <v>17046</v>
      </c>
      <c r="Q3099" s="9">
        <v>25.96</v>
      </c>
    </row>
    <row r="3100" spans="15:17" x14ac:dyDescent="0.2">
      <c r="O3100" s="9" t="s">
        <v>17047</v>
      </c>
      <c r="P3100" t="s">
        <v>17048</v>
      </c>
      <c r="Q3100" s="9">
        <v>118</v>
      </c>
    </row>
    <row r="3101" spans="15:17" x14ac:dyDescent="0.2">
      <c r="O3101" s="9" t="s">
        <v>17049</v>
      </c>
      <c r="P3101" t="s">
        <v>17050</v>
      </c>
      <c r="Q3101" s="9">
        <v>151.32</v>
      </c>
    </row>
    <row r="3102" spans="15:17" x14ac:dyDescent="0.2">
      <c r="O3102" s="9" t="s">
        <v>17051</v>
      </c>
      <c r="P3102" t="s">
        <v>17052</v>
      </c>
      <c r="Q3102" s="9">
        <v>129.26</v>
      </c>
    </row>
    <row r="3103" spans="15:17" x14ac:dyDescent="0.2">
      <c r="O3103" s="9" t="s">
        <v>17053</v>
      </c>
      <c r="P3103" t="s">
        <v>17054</v>
      </c>
      <c r="Q3103" s="9">
        <v>221.85</v>
      </c>
    </row>
    <row r="3104" spans="15:17" x14ac:dyDescent="0.2">
      <c r="O3104" s="9" t="s">
        <v>17055</v>
      </c>
      <c r="P3104" t="s">
        <v>17056</v>
      </c>
      <c r="Q3104" s="9">
        <v>129.72999999999999</v>
      </c>
    </row>
    <row r="3105" spans="15:17" x14ac:dyDescent="0.2">
      <c r="O3105" s="9" t="s">
        <v>17057</v>
      </c>
      <c r="P3105" t="s">
        <v>17058</v>
      </c>
      <c r="Q3105" s="9">
        <v>154.4</v>
      </c>
    </row>
    <row r="3106" spans="15:17" x14ac:dyDescent="0.2">
      <c r="O3106" s="9" t="s">
        <v>17059</v>
      </c>
      <c r="P3106" t="s">
        <v>17060</v>
      </c>
      <c r="Q3106" s="9">
        <v>140.11000000000001</v>
      </c>
    </row>
    <row r="3107" spans="15:17" x14ac:dyDescent="0.2">
      <c r="O3107" s="9" t="s">
        <v>17061</v>
      </c>
      <c r="P3107" t="s">
        <v>17062</v>
      </c>
      <c r="Q3107" s="9">
        <v>176.28</v>
      </c>
    </row>
    <row r="3108" spans="15:17" x14ac:dyDescent="0.2">
      <c r="O3108" s="9" t="s">
        <v>17063</v>
      </c>
      <c r="P3108" t="s">
        <v>17064</v>
      </c>
      <c r="Q3108" s="9">
        <v>259.06</v>
      </c>
    </row>
    <row r="3109" spans="15:17" x14ac:dyDescent="0.2">
      <c r="O3109" s="9" t="s">
        <v>17065</v>
      </c>
      <c r="P3109" t="s">
        <v>17066</v>
      </c>
      <c r="Q3109" s="9">
        <v>181.62</v>
      </c>
    </row>
    <row r="3110" spans="15:17" x14ac:dyDescent="0.2">
      <c r="O3110" s="9" t="s">
        <v>17067</v>
      </c>
      <c r="P3110" t="s">
        <v>17068</v>
      </c>
      <c r="Q3110" s="9">
        <v>211.45</v>
      </c>
    </row>
    <row r="3111" spans="15:17" x14ac:dyDescent="0.2">
      <c r="O3111" s="9" t="s">
        <v>17069</v>
      </c>
      <c r="P3111" t="s">
        <v>17070</v>
      </c>
      <c r="Q3111" s="9">
        <v>141.44</v>
      </c>
    </row>
    <row r="3112" spans="15:17" x14ac:dyDescent="0.2">
      <c r="O3112" s="9" t="s">
        <v>17071</v>
      </c>
      <c r="P3112" t="s">
        <v>17072</v>
      </c>
      <c r="Q3112" s="9">
        <v>141.44</v>
      </c>
    </row>
    <row r="3113" spans="15:17" x14ac:dyDescent="0.2">
      <c r="O3113" s="9" t="s">
        <v>17073</v>
      </c>
      <c r="P3113" t="s">
        <v>17074</v>
      </c>
      <c r="Q3113" s="9">
        <v>245.27</v>
      </c>
    </row>
    <row r="3114" spans="15:17" x14ac:dyDescent="0.2">
      <c r="O3114" s="9" t="s">
        <v>17075</v>
      </c>
      <c r="P3114" t="s">
        <v>17076</v>
      </c>
      <c r="Q3114" s="9">
        <v>154.4</v>
      </c>
    </row>
    <row r="3115" spans="15:17" x14ac:dyDescent="0.2">
      <c r="O3115" s="9" t="s">
        <v>17077</v>
      </c>
      <c r="P3115" t="s">
        <v>17078</v>
      </c>
      <c r="Q3115" s="9">
        <v>151.82</v>
      </c>
    </row>
    <row r="3116" spans="15:17" x14ac:dyDescent="0.2">
      <c r="O3116" s="9" t="s">
        <v>17079</v>
      </c>
      <c r="P3116" t="s">
        <v>17080</v>
      </c>
      <c r="Q3116" s="9">
        <v>176.28</v>
      </c>
    </row>
    <row r="3117" spans="15:17" x14ac:dyDescent="0.2">
      <c r="O3117" s="9" t="s">
        <v>17081</v>
      </c>
      <c r="P3117" t="s">
        <v>17082</v>
      </c>
      <c r="Q3117" s="9">
        <v>235.81</v>
      </c>
    </row>
    <row r="3118" spans="15:17" x14ac:dyDescent="0.2">
      <c r="O3118" s="9" t="s">
        <v>17083</v>
      </c>
      <c r="P3118" t="s">
        <v>17084</v>
      </c>
      <c r="Q3118" s="9">
        <v>117.89</v>
      </c>
    </row>
    <row r="3119" spans="15:17" x14ac:dyDescent="0.2">
      <c r="O3119" s="9" t="s">
        <v>17085</v>
      </c>
      <c r="P3119" t="s">
        <v>17086</v>
      </c>
      <c r="Q3119" s="9">
        <v>152.72999999999999</v>
      </c>
    </row>
    <row r="3120" spans="15:17" x14ac:dyDescent="0.2">
      <c r="O3120" s="9" t="s">
        <v>17087</v>
      </c>
      <c r="P3120" t="s">
        <v>17088</v>
      </c>
      <c r="Q3120" s="9">
        <v>186.26</v>
      </c>
    </row>
    <row r="3121" spans="15:17" x14ac:dyDescent="0.2">
      <c r="O3121" s="9" t="s">
        <v>17089</v>
      </c>
      <c r="P3121" t="s">
        <v>17090</v>
      </c>
      <c r="Q3121" s="9">
        <v>256.91000000000003</v>
      </c>
    </row>
    <row r="3122" spans="15:17" x14ac:dyDescent="0.2">
      <c r="O3122" s="9" t="s">
        <v>17091</v>
      </c>
      <c r="P3122" t="s">
        <v>17092</v>
      </c>
      <c r="Q3122" s="9">
        <v>154.4</v>
      </c>
    </row>
    <row r="3123" spans="15:17" x14ac:dyDescent="0.2">
      <c r="O3123" s="9" t="s">
        <v>17093</v>
      </c>
      <c r="P3123" t="s">
        <v>17094</v>
      </c>
      <c r="Q3123" s="9">
        <v>176.28</v>
      </c>
    </row>
    <row r="3124" spans="15:17" x14ac:dyDescent="0.2">
      <c r="O3124" s="9" t="s">
        <v>17095</v>
      </c>
      <c r="P3124" t="s">
        <v>17096</v>
      </c>
      <c r="Q3124" s="9">
        <v>163.47</v>
      </c>
    </row>
    <row r="3125" spans="15:17" x14ac:dyDescent="0.2">
      <c r="O3125" s="9" t="s">
        <v>17097</v>
      </c>
      <c r="P3125" t="s">
        <v>17098</v>
      </c>
      <c r="Q3125" s="9">
        <v>228.39</v>
      </c>
    </row>
    <row r="3126" spans="15:17" x14ac:dyDescent="0.2">
      <c r="O3126" s="9" t="s">
        <v>17099</v>
      </c>
      <c r="P3126" t="s">
        <v>17100</v>
      </c>
      <c r="Q3126" s="9">
        <v>188.71</v>
      </c>
    </row>
    <row r="3127" spans="15:17" x14ac:dyDescent="0.2">
      <c r="O3127" s="9" t="s">
        <v>17101</v>
      </c>
      <c r="P3127" t="s">
        <v>17102</v>
      </c>
      <c r="Q3127" s="9">
        <v>154.4</v>
      </c>
    </row>
    <row r="3128" spans="15:17" x14ac:dyDescent="0.2">
      <c r="O3128" s="9" t="s">
        <v>17103</v>
      </c>
      <c r="P3128" t="s">
        <v>17104</v>
      </c>
      <c r="Q3128" s="9">
        <v>268.61</v>
      </c>
    </row>
    <row r="3129" spans="15:17" x14ac:dyDescent="0.2">
      <c r="O3129" s="9" t="s">
        <v>17105</v>
      </c>
      <c r="P3129" t="s">
        <v>17106</v>
      </c>
      <c r="Q3129" s="9">
        <v>175.15</v>
      </c>
    </row>
    <row r="3130" spans="15:17" x14ac:dyDescent="0.2">
      <c r="O3130" s="9" t="s">
        <v>17107</v>
      </c>
      <c r="P3130" t="s">
        <v>17108</v>
      </c>
      <c r="Q3130" s="9">
        <v>412.63</v>
      </c>
    </row>
    <row r="3131" spans="15:17" x14ac:dyDescent="0.2">
      <c r="O3131" s="9" t="s">
        <v>17109</v>
      </c>
      <c r="P3131" t="s">
        <v>17110</v>
      </c>
      <c r="Q3131" s="9">
        <v>291.97000000000003</v>
      </c>
    </row>
    <row r="3132" spans="15:17" x14ac:dyDescent="0.2">
      <c r="O3132" s="9" t="s">
        <v>17111</v>
      </c>
      <c r="P3132" t="s">
        <v>17112</v>
      </c>
      <c r="Q3132" s="9">
        <v>165.03</v>
      </c>
    </row>
    <row r="3133" spans="15:17" x14ac:dyDescent="0.2">
      <c r="O3133" s="9" t="s">
        <v>17113</v>
      </c>
      <c r="P3133" t="s">
        <v>17114</v>
      </c>
      <c r="Q3133" s="9">
        <v>146.66999999999999</v>
      </c>
    </row>
    <row r="3134" spans="15:17" x14ac:dyDescent="0.2">
      <c r="O3134" s="9" t="s">
        <v>17115</v>
      </c>
      <c r="P3134" t="s">
        <v>17116</v>
      </c>
      <c r="Q3134" s="9">
        <v>188.71</v>
      </c>
    </row>
    <row r="3135" spans="15:17" x14ac:dyDescent="0.2">
      <c r="O3135" s="9" t="s">
        <v>17117</v>
      </c>
      <c r="P3135" t="s">
        <v>17118</v>
      </c>
      <c r="Q3135" s="9">
        <v>163.47</v>
      </c>
    </row>
    <row r="3136" spans="15:17" x14ac:dyDescent="0.2">
      <c r="O3136" s="9" t="s">
        <v>17119</v>
      </c>
      <c r="P3136" t="s">
        <v>17120</v>
      </c>
      <c r="Q3136" s="9">
        <v>223.19</v>
      </c>
    </row>
    <row r="3137" spans="15:17" x14ac:dyDescent="0.2">
      <c r="O3137" s="9" t="s">
        <v>17121</v>
      </c>
      <c r="P3137" t="s">
        <v>17122</v>
      </c>
      <c r="Q3137" s="9">
        <v>165.03</v>
      </c>
    </row>
    <row r="3138" spans="15:17" x14ac:dyDescent="0.2">
      <c r="O3138" s="9" t="s">
        <v>17123</v>
      </c>
      <c r="P3138" t="s">
        <v>17124</v>
      </c>
      <c r="Q3138" s="9">
        <v>165.03</v>
      </c>
    </row>
    <row r="3139" spans="15:17" x14ac:dyDescent="0.2">
      <c r="O3139" s="9" t="s">
        <v>17125</v>
      </c>
      <c r="P3139" t="s">
        <v>17126</v>
      </c>
      <c r="Q3139" s="9">
        <v>165.11</v>
      </c>
    </row>
    <row r="3140" spans="15:17" x14ac:dyDescent="0.2">
      <c r="O3140" s="9" t="s">
        <v>17127</v>
      </c>
      <c r="P3140" t="s">
        <v>17128</v>
      </c>
      <c r="Q3140" s="9">
        <v>302.67</v>
      </c>
    </row>
    <row r="3141" spans="15:17" x14ac:dyDescent="0.2">
      <c r="O3141" s="9" t="s">
        <v>17129</v>
      </c>
      <c r="P3141" t="s">
        <v>17130</v>
      </c>
      <c r="Q3141" s="9">
        <v>186.89</v>
      </c>
    </row>
    <row r="3142" spans="15:17" x14ac:dyDescent="0.2">
      <c r="O3142" s="9" t="s">
        <v>17131</v>
      </c>
      <c r="P3142" t="s">
        <v>17132</v>
      </c>
      <c r="Q3142" s="9">
        <v>258.64999999999998</v>
      </c>
    </row>
    <row r="3143" spans="15:17" x14ac:dyDescent="0.2">
      <c r="O3143" s="9" t="s">
        <v>17133</v>
      </c>
      <c r="P3143" t="s">
        <v>17134</v>
      </c>
      <c r="Q3143" s="9">
        <v>165.03</v>
      </c>
    </row>
    <row r="3144" spans="15:17" x14ac:dyDescent="0.2">
      <c r="O3144" s="9" t="s">
        <v>17135</v>
      </c>
      <c r="P3144" t="s">
        <v>17136</v>
      </c>
      <c r="Q3144" s="9">
        <v>303.68</v>
      </c>
    </row>
    <row r="3145" spans="15:17" x14ac:dyDescent="0.2">
      <c r="O3145" s="9" t="s">
        <v>17137</v>
      </c>
      <c r="P3145" t="s">
        <v>17138</v>
      </c>
      <c r="Q3145" s="9">
        <v>188.71</v>
      </c>
    </row>
    <row r="3146" spans="15:17" x14ac:dyDescent="0.2">
      <c r="O3146" s="9" t="s">
        <v>17139</v>
      </c>
      <c r="P3146" t="s">
        <v>17140</v>
      </c>
      <c r="Q3146" s="9">
        <v>315.29000000000002</v>
      </c>
    </row>
    <row r="3147" spans="15:17" x14ac:dyDescent="0.2">
      <c r="O3147" s="9" t="s">
        <v>17141</v>
      </c>
      <c r="P3147" t="s">
        <v>17142</v>
      </c>
      <c r="Q3147" s="9">
        <v>212.24</v>
      </c>
    </row>
    <row r="3148" spans="15:17" x14ac:dyDescent="0.2">
      <c r="O3148" s="9" t="s">
        <v>17143</v>
      </c>
      <c r="P3148" t="s">
        <v>17144</v>
      </c>
      <c r="Q3148" s="9">
        <v>198.49</v>
      </c>
    </row>
    <row r="3149" spans="15:17" x14ac:dyDescent="0.2">
      <c r="O3149" s="9" t="s">
        <v>17145</v>
      </c>
      <c r="P3149" t="s">
        <v>17146</v>
      </c>
      <c r="Q3149" s="9">
        <v>232.82</v>
      </c>
    </row>
    <row r="3150" spans="15:17" x14ac:dyDescent="0.2">
      <c r="O3150" s="9" t="s">
        <v>17147</v>
      </c>
      <c r="P3150" t="s">
        <v>17148</v>
      </c>
      <c r="Q3150" s="9">
        <v>389.07</v>
      </c>
    </row>
    <row r="3151" spans="15:17" x14ac:dyDescent="0.2">
      <c r="O3151" s="9" t="s">
        <v>17149</v>
      </c>
      <c r="P3151" t="s">
        <v>17150</v>
      </c>
      <c r="Q3151" s="9">
        <v>199.72</v>
      </c>
    </row>
    <row r="3152" spans="15:17" x14ac:dyDescent="0.2">
      <c r="O3152" s="9" t="s">
        <v>17151</v>
      </c>
      <c r="P3152" t="s">
        <v>17152</v>
      </c>
      <c r="Q3152" s="9">
        <v>315.29000000000002</v>
      </c>
    </row>
    <row r="3153" spans="15:17" x14ac:dyDescent="0.2">
      <c r="O3153" s="9" t="s">
        <v>17153</v>
      </c>
      <c r="P3153" t="s">
        <v>17154</v>
      </c>
      <c r="Q3153" s="9">
        <v>235.81</v>
      </c>
    </row>
    <row r="3154" spans="15:17" x14ac:dyDescent="0.2">
      <c r="O3154" s="9" t="s">
        <v>17155</v>
      </c>
      <c r="P3154" t="s">
        <v>17156</v>
      </c>
      <c r="Q3154" s="9">
        <v>221.87</v>
      </c>
    </row>
    <row r="3155" spans="15:17" x14ac:dyDescent="0.2">
      <c r="O3155" s="9" t="s">
        <v>17157</v>
      </c>
      <c r="P3155" t="s">
        <v>17158</v>
      </c>
      <c r="Q3155" s="9">
        <v>258.49</v>
      </c>
    </row>
    <row r="3156" spans="15:17" x14ac:dyDescent="0.2">
      <c r="O3156" s="9" t="s">
        <v>17159</v>
      </c>
      <c r="P3156" t="s">
        <v>17160</v>
      </c>
      <c r="Q3156" s="9">
        <v>268.39</v>
      </c>
    </row>
    <row r="3157" spans="15:17" x14ac:dyDescent="0.2">
      <c r="O3157" s="9" t="s">
        <v>17161</v>
      </c>
      <c r="P3157" t="s">
        <v>17162</v>
      </c>
      <c r="Q3157" s="9">
        <v>465.65</v>
      </c>
    </row>
    <row r="3158" spans="15:17" x14ac:dyDescent="0.2">
      <c r="O3158" s="9" t="s">
        <v>17163</v>
      </c>
      <c r="P3158" t="s">
        <v>17164</v>
      </c>
      <c r="Q3158" s="9">
        <v>268.39</v>
      </c>
    </row>
    <row r="3159" spans="15:17" x14ac:dyDescent="0.2">
      <c r="O3159" s="9" t="s">
        <v>17165</v>
      </c>
      <c r="P3159" t="s">
        <v>17166</v>
      </c>
      <c r="Q3159" s="9">
        <v>188.71</v>
      </c>
    </row>
    <row r="3160" spans="15:17" x14ac:dyDescent="0.2">
      <c r="O3160" s="9" t="s">
        <v>17167</v>
      </c>
      <c r="P3160" t="s">
        <v>17168</v>
      </c>
      <c r="Q3160" s="9">
        <v>338.62</v>
      </c>
    </row>
    <row r="3161" spans="15:17" x14ac:dyDescent="0.2">
      <c r="O3161" s="9" t="s">
        <v>17169</v>
      </c>
      <c r="P3161" t="s">
        <v>17170</v>
      </c>
      <c r="Q3161" s="9">
        <v>223.19</v>
      </c>
    </row>
    <row r="3162" spans="15:17" x14ac:dyDescent="0.2">
      <c r="O3162" s="9" t="s">
        <v>17171</v>
      </c>
      <c r="P3162" t="s">
        <v>17172</v>
      </c>
      <c r="Q3162" s="9">
        <v>235.81</v>
      </c>
    </row>
    <row r="3163" spans="15:17" x14ac:dyDescent="0.2">
      <c r="O3163" s="9" t="s">
        <v>17173</v>
      </c>
      <c r="P3163" t="s">
        <v>17174</v>
      </c>
      <c r="Q3163" s="9">
        <v>222.24</v>
      </c>
    </row>
    <row r="3164" spans="15:17" x14ac:dyDescent="0.2">
      <c r="O3164" s="9" t="s">
        <v>17175</v>
      </c>
      <c r="P3164" t="s">
        <v>17176</v>
      </c>
      <c r="Q3164" s="9">
        <v>408.74</v>
      </c>
    </row>
    <row r="3165" spans="15:17" x14ac:dyDescent="0.2">
      <c r="O3165" s="9" t="s">
        <v>17177</v>
      </c>
      <c r="P3165" t="s">
        <v>17178</v>
      </c>
      <c r="Q3165" s="9">
        <v>188.71</v>
      </c>
    </row>
    <row r="3166" spans="15:17" x14ac:dyDescent="0.2">
      <c r="O3166" s="9" t="s">
        <v>17179</v>
      </c>
      <c r="P3166" t="s">
        <v>17180</v>
      </c>
      <c r="Q3166" s="9">
        <v>235.81</v>
      </c>
    </row>
    <row r="3167" spans="15:17" x14ac:dyDescent="0.2">
      <c r="O3167" s="9" t="s">
        <v>17181</v>
      </c>
      <c r="P3167" t="s">
        <v>17182</v>
      </c>
      <c r="Q3167" s="9">
        <v>258.49</v>
      </c>
    </row>
    <row r="3168" spans="15:17" x14ac:dyDescent="0.2">
      <c r="O3168" s="9" t="s">
        <v>17183</v>
      </c>
      <c r="P3168" t="s">
        <v>17184</v>
      </c>
      <c r="Q3168" s="9">
        <v>274.45999999999998</v>
      </c>
    </row>
    <row r="3169" spans="15:17" x14ac:dyDescent="0.2">
      <c r="O3169" s="9" t="s">
        <v>17185</v>
      </c>
      <c r="P3169" t="s">
        <v>17186</v>
      </c>
      <c r="Q3169" s="9">
        <v>33.06</v>
      </c>
    </row>
    <row r="3170" spans="15:17" x14ac:dyDescent="0.2">
      <c r="O3170" s="9" t="s">
        <v>17187</v>
      </c>
      <c r="P3170" t="s">
        <v>17188</v>
      </c>
      <c r="Q3170" s="9">
        <v>223.19</v>
      </c>
    </row>
    <row r="3171" spans="15:17" x14ac:dyDescent="0.2">
      <c r="O3171" s="9" t="s">
        <v>17189</v>
      </c>
      <c r="P3171" t="s">
        <v>17190</v>
      </c>
      <c r="Q3171" s="9">
        <v>385.39</v>
      </c>
    </row>
    <row r="3172" spans="15:17" x14ac:dyDescent="0.2">
      <c r="O3172" s="9" t="s">
        <v>17191</v>
      </c>
      <c r="P3172" t="s">
        <v>17192</v>
      </c>
      <c r="Q3172" s="9">
        <v>294.56</v>
      </c>
    </row>
    <row r="3173" spans="15:17" x14ac:dyDescent="0.2">
      <c r="O3173" s="9" t="s">
        <v>17193</v>
      </c>
      <c r="P3173" t="s">
        <v>17194</v>
      </c>
      <c r="Q3173" s="9">
        <v>35.17</v>
      </c>
    </row>
    <row r="3174" spans="15:17" x14ac:dyDescent="0.2">
      <c r="O3174" s="9" t="s">
        <v>17195</v>
      </c>
      <c r="P3174" t="s">
        <v>17196</v>
      </c>
      <c r="Q3174" s="9">
        <v>25.98</v>
      </c>
    </row>
    <row r="3175" spans="15:17" x14ac:dyDescent="0.2">
      <c r="O3175" s="9" t="s">
        <v>17197</v>
      </c>
      <c r="P3175" t="s">
        <v>17198</v>
      </c>
      <c r="Q3175" s="9">
        <v>223.19</v>
      </c>
    </row>
    <row r="3176" spans="15:17" x14ac:dyDescent="0.2">
      <c r="O3176" s="9" t="s">
        <v>17199</v>
      </c>
      <c r="P3176" t="s">
        <v>17200</v>
      </c>
      <c r="Q3176" s="9">
        <v>223.97</v>
      </c>
    </row>
    <row r="3177" spans="15:17" x14ac:dyDescent="0.2">
      <c r="O3177" s="9" t="s">
        <v>17201</v>
      </c>
      <c r="P3177" t="s">
        <v>17202</v>
      </c>
      <c r="Q3177" s="9">
        <v>282.92</v>
      </c>
    </row>
    <row r="3178" spans="15:17" x14ac:dyDescent="0.2">
      <c r="O3178" s="9" t="s">
        <v>17203</v>
      </c>
      <c r="P3178" t="s">
        <v>17204</v>
      </c>
      <c r="Q3178" s="9">
        <v>245.27</v>
      </c>
    </row>
    <row r="3179" spans="15:17" x14ac:dyDescent="0.2">
      <c r="O3179" s="9" t="s">
        <v>17205</v>
      </c>
      <c r="P3179" t="s">
        <v>17206</v>
      </c>
      <c r="Q3179" s="9">
        <v>308.76</v>
      </c>
    </row>
    <row r="3180" spans="15:17" x14ac:dyDescent="0.2">
      <c r="O3180" s="9" t="s">
        <v>17207</v>
      </c>
      <c r="P3180" t="s">
        <v>17208</v>
      </c>
      <c r="Q3180" s="9">
        <v>428.85</v>
      </c>
    </row>
    <row r="3181" spans="15:17" x14ac:dyDescent="0.2">
      <c r="O3181" s="9" t="s">
        <v>17209</v>
      </c>
      <c r="P3181" t="s">
        <v>17210</v>
      </c>
      <c r="Q3181" s="9">
        <v>235.81</v>
      </c>
    </row>
    <row r="3182" spans="15:17" x14ac:dyDescent="0.2">
      <c r="O3182" s="9" t="s">
        <v>17211</v>
      </c>
      <c r="P3182" t="s">
        <v>17212</v>
      </c>
      <c r="Q3182" s="9">
        <v>308.76</v>
      </c>
    </row>
    <row r="3183" spans="15:17" x14ac:dyDescent="0.2">
      <c r="O3183" s="9" t="s">
        <v>17213</v>
      </c>
      <c r="P3183" t="s">
        <v>17214</v>
      </c>
      <c r="Q3183" s="9">
        <v>308.76</v>
      </c>
    </row>
    <row r="3184" spans="15:17" x14ac:dyDescent="0.2">
      <c r="O3184" s="9" t="s">
        <v>17215</v>
      </c>
      <c r="P3184" t="s">
        <v>17216</v>
      </c>
      <c r="Q3184" s="9">
        <v>280.25</v>
      </c>
    </row>
    <row r="3185" spans="15:17" x14ac:dyDescent="0.2">
      <c r="O3185" s="9" t="s">
        <v>17217</v>
      </c>
      <c r="P3185" t="s">
        <v>17218</v>
      </c>
      <c r="Q3185" s="9">
        <v>308.76</v>
      </c>
    </row>
    <row r="3186" spans="15:17" x14ac:dyDescent="0.2">
      <c r="O3186" s="9" t="s">
        <v>17219</v>
      </c>
      <c r="P3186" t="s">
        <v>17220</v>
      </c>
      <c r="Q3186" s="9">
        <v>25.96</v>
      </c>
    </row>
    <row r="3187" spans="15:17" x14ac:dyDescent="0.2">
      <c r="O3187" s="9" t="s">
        <v>17221</v>
      </c>
      <c r="P3187" t="s">
        <v>17222</v>
      </c>
      <c r="Q3187" s="9">
        <v>308.76</v>
      </c>
    </row>
    <row r="3188" spans="15:17" x14ac:dyDescent="0.2">
      <c r="O3188" s="9" t="s">
        <v>17223</v>
      </c>
      <c r="P3188" t="s">
        <v>17224</v>
      </c>
      <c r="Q3188" s="9">
        <v>352.56</v>
      </c>
    </row>
    <row r="3189" spans="15:17" x14ac:dyDescent="0.2">
      <c r="O3189" s="9" t="s">
        <v>17225</v>
      </c>
      <c r="P3189" t="s">
        <v>17226</v>
      </c>
      <c r="Q3189" s="9">
        <v>308.76</v>
      </c>
    </row>
    <row r="3190" spans="15:17" x14ac:dyDescent="0.2">
      <c r="O3190" s="9" t="s">
        <v>17227</v>
      </c>
      <c r="P3190" t="s">
        <v>17228</v>
      </c>
      <c r="Q3190" s="9">
        <v>352.56</v>
      </c>
    </row>
    <row r="3191" spans="15:17" x14ac:dyDescent="0.2">
      <c r="O3191" s="9" t="s">
        <v>17229</v>
      </c>
      <c r="P3191" t="s">
        <v>17230</v>
      </c>
      <c r="Q3191" s="9">
        <v>516.99</v>
      </c>
    </row>
    <row r="3192" spans="15:17" x14ac:dyDescent="0.2">
      <c r="O3192" s="9" t="s">
        <v>17231</v>
      </c>
      <c r="P3192" t="s">
        <v>17232</v>
      </c>
      <c r="Q3192" s="9">
        <v>411.7</v>
      </c>
    </row>
    <row r="3193" spans="15:17" x14ac:dyDescent="0.2">
      <c r="O3193" s="9" t="s">
        <v>17233</v>
      </c>
      <c r="P3193" t="s">
        <v>17234</v>
      </c>
      <c r="Q3193" s="9">
        <v>434.79</v>
      </c>
    </row>
    <row r="3194" spans="15:17" x14ac:dyDescent="0.2">
      <c r="O3194" s="9" t="s">
        <v>17235</v>
      </c>
      <c r="P3194" t="s">
        <v>17236</v>
      </c>
      <c r="Q3194" s="9">
        <v>516.99</v>
      </c>
    </row>
    <row r="3195" spans="15:17" x14ac:dyDescent="0.2">
      <c r="O3195" s="9" t="s">
        <v>17237</v>
      </c>
      <c r="P3195" t="s">
        <v>17238</v>
      </c>
      <c r="Q3195" s="9">
        <v>35.17</v>
      </c>
    </row>
    <row r="3196" spans="15:17" x14ac:dyDescent="0.2">
      <c r="O3196" s="9" t="s">
        <v>17239</v>
      </c>
      <c r="P3196" t="s">
        <v>17240</v>
      </c>
      <c r="Q3196" s="9">
        <v>41.23</v>
      </c>
    </row>
    <row r="3197" spans="15:17" x14ac:dyDescent="0.2">
      <c r="O3197" s="9" t="s">
        <v>17241</v>
      </c>
      <c r="P3197" t="s">
        <v>17242</v>
      </c>
      <c r="Q3197" s="9">
        <v>53.04</v>
      </c>
    </row>
    <row r="3198" spans="15:17" x14ac:dyDescent="0.2">
      <c r="O3198" s="9" t="s">
        <v>17243</v>
      </c>
      <c r="P3198" t="s">
        <v>17244</v>
      </c>
      <c r="Q3198" s="9">
        <v>343.11</v>
      </c>
    </row>
    <row r="3199" spans="15:17" x14ac:dyDescent="0.2">
      <c r="O3199" s="9" t="s">
        <v>17245</v>
      </c>
      <c r="P3199" t="s">
        <v>17246</v>
      </c>
      <c r="Q3199" s="9">
        <v>117.87</v>
      </c>
    </row>
    <row r="3200" spans="15:17" x14ac:dyDescent="0.2">
      <c r="O3200" s="9" t="s">
        <v>17247</v>
      </c>
      <c r="P3200" t="s">
        <v>17248</v>
      </c>
      <c r="Q3200" s="9">
        <v>411.7</v>
      </c>
    </row>
    <row r="3201" spans="15:17" x14ac:dyDescent="0.2">
      <c r="O3201" s="9" t="s">
        <v>17249</v>
      </c>
      <c r="P3201" t="s">
        <v>17250</v>
      </c>
      <c r="Q3201" s="9">
        <v>350.32</v>
      </c>
    </row>
    <row r="3202" spans="15:17" x14ac:dyDescent="0.2">
      <c r="O3202" s="9" t="s">
        <v>17251</v>
      </c>
      <c r="P3202" t="s">
        <v>17252</v>
      </c>
      <c r="Q3202" s="9">
        <v>471.59</v>
      </c>
    </row>
    <row r="3203" spans="15:17" x14ac:dyDescent="0.2">
      <c r="O3203" s="9" t="s">
        <v>17253</v>
      </c>
      <c r="P3203" t="s">
        <v>17254</v>
      </c>
      <c r="Q3203" s="9">
        <v>428.85</v>
      </c>
    </row>
    <row r="3204" spans="15:17" x14ac:dyDescent="0.2">
      <c r="O3204" s="9" t="s">
        <v>17255</v>
      </c>
      <c r="P3204" t="s">
        <v>17256</v>
      </c>
      <c r="Q3204" s="9">
        <v>428.85</v>
      </c>
    </row>
    <row r="3205" spans="15:17" x14ac:dyDescent="0.2">
      <c r="O3205" s="9" t="s">
        <v>17257</v>
      </c>
      <c r="P3205" t="s">
        <v>17258</v>
      </c>
      <c r="Q3205" s="9">
        <v>448.12</v>
      </c>
    </row>
    <row r="3206" spans="15:17" x14ac:dyDescent="0.2">
      <c r="O3206" s="9" t="s">
        <v>17259</v>
      </c>
      <c r="P3206" t="s">
        <v>17260</v>
      </c>
      <c r="Q3206" s="9">
        <v>29.66</v>
      </c>
    </row>
    <row r="3207" spans="15:17" x14ac:dyDescent="0.2">
      <c r="O3207" s="9" t="s">
        <v>17261</v>
      </c>
      <c r="P3207" t="s">
        <v>17262</v>
      </c>
      <c r="Q3207" s="9">
        <v>25.73</v>
      </c>
    </row>
    <row r="3208" spans="15:17" x14ac:dyDescent="0.2">
      <c r="O3208" s="9" t="s">
        <v>17263</v>
      </c>
      <c r="P3208" t="s">
        <v>17264</v>
      </c>
      <c r="Q3208" s="9">
        <v>33.06</v>
      </c>
    </row>
    <row r="3209" spans="15:17" x14ac:dyDescent="0.2">
      <c r="O3209" s="9" t="s">
        <v>17265</v>
      </c>
      <c r="P3209" t="s">
        <v>17266</v>
      </c>
      <c r="Q3209" s="9">
        <v>34.42</v>
      </c>
    </row>
    <row r="3210" spans="15:17" x14ac:dyDescent="0.2">
      <c r="O3210" s="9" t="s">
        <v>17267</v>
      </c>
      <c r="P3210" t="s">
        <v>17268</v>
      </c>
      <c r="Q3210" s="9">
        <v>34.909999999999997</v>
      </c>
    </row>
    <row r="3211" spans="15:17" x14ac:dyDescent="0.2">
      <c r="O3211" s="9" t="s">
        <v>17269</v>
      </c>
      <c r="P3211" t="s">
        <v>17270</v>
      </c>
      <c r="Q3211" s="9">
        <v>34.909999999999997</v>
      </c>
    </row>
    <row r="3212" spans="15:17" x14ac:dyDescent="0.2">
      <c r="O3212" s="9" t="s">
        <v>17271</v>
      </c>
      <c r="P3212" t="s">
        <v>17272</v>
      </c>
      <c r="Q3212" s="9">
        <v>35.979999999999997</v>
      </c>
    </row>
    <row r="3213" spans="15:17" x14ac:dyDescent="0.2">
      <c r="O3213" s="9" t="s">
        <v>17273</v>
      </c>
      <c r="P3213" t="s">
        <v>17274</v>
      </c>
      <c r="Q3213" s="9">
        <v>58.73</v>
      </c>
    </row>
    <row r="3214" spans="15:17" x14ac:dyDescent="0.2">
      <c r="O3214" s="9" t="s">
        <v>17275</v>
      </c>
      <c r="P3214" t="s">
        <v>17276</v>
      </c>
      <c r="Q3214" s="9">
        <v>40.92</v>
      </c>
    </row>
    <row r="3215" spans="15:17" x14ac:dyDescent="0.2">
      <c r="O3215" s="9" t="s">
        <v>17277</v>
      </c>
      <c r="P3215" t="s">
        <v>17278</v>
      </c>
      <c r="Q3215" s="9">
        <v>40.92</v>
      </c>
    </row>
    <row r="3216" spans="15:17" x14ac:dyDescent="0.2">
      <c r="O3216" s="9" t="s">
        <v>17279</v>
      </c>
      <c r="P3216" t="s">
        <v>17280</v>
      </c>
      <c r="Q3216" s="9">
        <v>53.04</v>
      </c>
    </row>
    <row r="3217" spans="15:17" x14ac:dyDescent="0.2">
      <c r="O3217" s="9" t="s">
        <v>17281</v>
      </c>
      <c r="P3217" t="s">
        <v>17282</v>
      </c>
      <c r="Q3217" s="9">
        <v>43.7</v>
      </c>
    </row>
    <row r="3218" spans="15:17" x14ac:dyDescent="0.2">
      <c r="O3218" s="9" t="s">
        <v>17283</v>
      </c>
      <c r="P3218" t="s">
        <v>17284</v>
      </c>
      <c r="Q3218" s="9">
        <v>64.86</v>
      </c>
    </row>
    <row r="3219" spans="15:17" x14ac:dyDescent="0.2">
      <c r="O3219" s="9" t="s">
        <v>17285</v>
      </c>
      <c r="P3219" t="s">
        <v>17286</v>
      </c>
      <c r="Q3219" s="9">
        <v>77.180000000000007</v>
      </c>
    </row>
    <row r="3220" spans="15:17" x14ac:dyDescent="0.2">
      <c r="O3220" s="9" t="s">
        <v>17287</v>
      </c>
      <c r="P3220" t="s">
        <v>17288</v>
      </c>
      <c r="Q3220" s="9">
        <v>165.02</v>
      </c>
    </row>
    <row r="3221" spans="15:17" x14ac:dyDescent="0.2">
      <c r="O3221" s="9" t="s">
        <v>17289</v>
      </c>
      <c r="P3221" t="s">
        <v>17290</v>
      </c>
      <c r="Q3221" s="9">
        <v>163.47999999999999</v>
      </c>
    </row>
    <row r="3222" spans="15:17" x14ac:dyDescent="0.2">
      <c r="O3222" s="9" t="s">
        <v>17291</v>
      </c>
      <c r="P3222" t="s">
        <v>17292</v>
      </c>
      <c r="Q3222" s="9">
        <v>530.54</v>
      </c>
    </row>
    <row r="3223" spans="15:17" x14ac:dyDescent="0.2">
      <c r="O3223" s="9" t="s">
        <v>17293</v>
      </c>
      <c r="P3223" t="s">
        <v>17294</v>
      </c>
      <c r="Q3223" s="9">
        <v>992.64</v>
      </c>
    </row>
    <row r="3224" spans="15:17" x14ac:dyDescent="0.2">
      <c r="O3224" s="9" t="s">
        <v>17295</v>
      </c>
      <c r="P3224" t="s">
        <v>17296</v>
      </c>
      <c r="Q3224" s="9">
        <v>33.06</v>
      </c>
    </row>
    <row r="3225" spans="15:17" x14ac:dyDescent="0.2">
      <c r="O3225" s="9" t="s">
        <v>17297</v>
      </c>
      <c r="P3225" t="s">
        <v>17298</v>
      </c>
      <c r="Q3225" s="9">
        <v>33.06</v>
      </c>
    </row>
    <row r="3226" spans="15:17" x14ac:dyDescent="0.2">
      <c r="O3226" s="9" t="s">
        <v>17299</v>
      </c>
      <c r="P3226" t="s">
        <v>17300</v>
      </c>
      <c r="Q3226" s="9">
        <v>34.46</v>
      </c>
    </row>
    <row r="3227" spans="15:17" x14ac:dyDescent="0.2">
      <c r="O3227" s="9" t="s">
        <v>17301</v>
      </c>
      <c r="P3227" t="s">
        <v>17302</v>
      </c>
      <c r="Q3227" s="9">
        <v>33.86</v>
      </c>
    </row>
    <row r="3228" spans="15:17" x14ac:dyDescent="0.2">
      <c r="O3228" s="9" t="s">
        <v>17303</v>
      </c>
      <c r="P3228" t="s">
        <v>17304</v>
      </c>
      <c r="Q3228" s="9">
        <v>34.909999999999997</v>
      </c>
    </row>
    <row r="3229" spans="15:17" x14ac:dyDescent="0.2">
      <c r="O3229" s="9" t="s">
        <v>17305</v>
      </c>
      <c r="P3229" t="s">
        <v>17306</v>
      </c>
      <c r="Q3229" s="9">
        <v>43.28</v>
      </c>
    </row>
    <row r="3230" spans="15:17" x14ac:dyDescent="0.2">
      <c r="O3230" s="9" t="s">
        <v>17307</v>
      </c>
      <c r="P3230" t="s">
        <v>17308</v>
      </c>
      <c r="Q3230" s="9">
        <v>51.81</v>
      </c>
    </row>
    <row r="3231" spans="15:17" x14ac:dyDescent="0.2">
      <c r="O3231" s="9" t="s">
        <v>17309</v>
      </c>
      <c r="P3231" t="s">
        <v>17310</v>
      </c>
      <c r="Q3231" s="9">
        <v>77.180000000000007</v>
      </c>
    </row>
    <row r="3232" spans="15:17" x14ac:dyDescent="0.2">
      <c r="O3232" s="9" t="s">
        <v>17311</v>
      </c>
      <c r="P3232" t="s">
        <v>17312</v>
      </c>
      <c r="Q3232" s="9">
        <v>100.24</v>
      </c>
    </row>
    <row r="3233" spans="15:17" x14ac:dyDescent="0.2">
      <c r="O3233" s="9" t="s">
        <v>17313</v>
      </c>
      <c r="P3233" t="s">
        <v>17314</v>
      </c>
      <c r="Q3233" s="9">
        <v>34.909999999999997</v>
      </c>
    </row>
    <row r="3234" spans="15:17" x14ac:dyDescent="0.2">
      <c r="O3234" s="9" t="s">
        <v>17315</v>
      </c>
      <c r="P3234" t="s">
        <v>17316</v>
      </c>
      <c r="Q3234" s="9">
        <v>775.5</v>
      </c>
    </row>
    <row r="3235" spans="15:17" x14ac:dyDescent="0.2">
      <c r="O3235" s="9" t="s">
        <v>17317</v>
      </c>
      <c r="P3235" t="s">
        <v>17318</v>
      </c>
      <c r="Q3235" s="9">
        <v>29.47</v>
      </c>
    </row>
    <row r="3236" spans="15:17" x14ac:dyDescent="0.2">
      <c r="O3236" s="9" t="s">
        <v>17319</v>
      </c>
      <c r="P3236" t="s">
        <v>17320</v>
      </c>
      <c r="Q3236" s="9">
        <v>32.78</v>
      </c>
    </row>
    <row r="3237" spans="15:17" x14ac:dyDescent="0.2">
      <c r="O3237" s="9" t="s">
        <v>17321</v>
      </c>
      <c r="P3237" t="s">
        <v>17322</v>
      </c>
      <c r="Q3237" s="9">
        <v>42.89</v>
      </c>
    </row>
    <row r="3238" spans="15:17" x14ac:dyDescent="0.2">
      <c r="O3238" s="9" t="s">
        <v>17323</v>
      </c>
      <c r="P3238" t="s">
        <v>17324</v>
      </c>
      <c r="Q3238" s="9">
        <v>55.04</v>
      </c>
    </row>
    <row r="3239" spans="15:17" x14ac:dyDescent="0.2">
      <c r="O3239" s="9" t="s">
        <v>17325</v>
      </c>
      <c r="P3239" t="s">
        <v>17326</v>
      </c>
      <c r="Q3239" s="9">
        <v>67.87</v>
      </c>
    </row>
    <row r="3240" spans="15:17" x14ac:dyDescent="0.2">
      <c r="O3240" s="9" t="s">
        <v>17327</v>
      </c>
      <c r="P3240" t="s">
        <v>17328</v>
      </c>
      <c r="Q3240" s="9">
        <v>51.34</v>
      </c>
    </row>
    <row r="3241" spans="15:17" x14ac:dyDescent="0.2">
      <c r="O3241" s="9" t="s">
        <v>17329</v>
      </c>
      <c r="P3241" t="s">
        <v>17330</v>
      </c>
      <c r="Q3241" s="9">
        <v>771.95</v>
      </c>
    </row>
    <row r="3242" spans="15:17" x14ac:dyDescent="0.2">
      <c r="O3242" s="9" t="s">
        <v>17331</v>
      </c>
      <c r="P3242" t="s">
        <v>17332</v>
      </c>
      <c r="Q3242" s="9">
        <v>1002.09</v>
      </c>
    </row>
    <row r="3243" spans="15:17" x14ac:dyDescent="0.2">
      <c r="O3243" s="9" t="s">
        <v>17333</v>
      </c>
      <c r="P3243" t="s">
        <v>17334</v>
      </c>
      <c r="Q3243" s="9">
        <v>992.64</v>
      </c>
    </row>
    <row r="3244" spans="15:17" x14ac:dyDescent="0.2">
      <c r="O3244" s="9" t="s">
        <v>17335</v>
      </c>
      <c r="P3244" t="s">
        <v>17336</v>
      </c>
      <c r="Q3244" s="9">
        <v>33.049999999999997</v>
      </c>
    </row>
    <row r="3245" spans="15:17" x14ac:dyDescent="0.2">
      <c r="O3245" s="9" t="s">
        <v>17337</v>
      </c>
      <c r="P3245" t="s">
        <v>17338</v>
      </c>
      <c r="Q3245" s="9">
        <v>33.85</v>
      </c>
    </row>
    <row r="3246" spans="15:17" x14ac:dyDescent="0.2">
      <c r="O3246" s="9" t="s">
        <v>17339</v>
      </c>
      <c r="P3246" t="s">
        <v>17340</v>
      </c>
      <c r="Q3246" s="9">
        <v>29.63</v>
      </c>
    </row>
    <row r="3247" spans="15:17" x14ac:dyDescent="0.2">
      <c r="O3247" s="9" t="s">
        <v>17341</v>
      </c>
      <c r="P3247" t="s">
        <v>17342</v>
      </c>
      <c r="Q3247" s="9">
        <v>34.909999999999997</v>
      </c>
    </row>
    <row r="3248" spans="15:17" x14ac:dyDescent="0.2">
      <c r="O3248" s="9" t="s">
        <v>17343</v>
      </c>
      <c r="P3248" t="s">
        <v>17344</v>
      </c>
      <c r="Q3248" s="9">
        <v>40.92</v>
      </c>
    </row>
    <row r="3249" spans="15:17" x14ac:dyDescent="0.2">
      <c r="O3249" s="9" t="s">
        <v>17345</v>
      </c>
      <c r="P3249" t="s">
        <v>17346</v>
      </c>
      <c r="Q3249" s="9">
        <v>43.28</v>
      </c>
    </row>
    <row r="3250" spans="15:17" x14ac:dyDescent="0.2">
      <c r="O3250" s="9" t="s">
        <v>17347</v>
      </c>
      <c r="P3250" t="s">
        <v>17348</v>
      </c>
      <c r="Q3250" s="9">
        <v>75.89</v>
      </c>
    </row>
    <row r="3251" spans="15:17" x14ac:dyDescent="0.2">
      <c r="O3251" s="9" t="s">
        <v>17349</v>
      </c>
      <c r="P3251" t="s">
        <v>17350</v>
      </c>
      <c r="Q3251" s="9">
        <v>51.81</v>
      </c>
    </row>
    <row r="3252" spans="15:17" x14ac:dyDescent="0.2">
      <c r="O3252" s="9" t="s">
        <v>17351</v>
      </c>
      <c r="P3252" t="s">
        <v>17352</v>
      </c>
      <c r="Q3252" s="9">
        <v>58.76</v>
      </c>
    </row>
    <row r="3253" spans="15:17" x14ac:dyDescent="0.2">
      <c r="O3253" s="9" t="s">
        <v>17353</v>
      </c>
      <c r="P3253" t="s">
        <v>17354</v>
      </c>
      <c r="Q3253" s="9">
        <v>52.54</v>
      </c>
    </row>
    <row r="3254" spans="15:17" x14ac:dyDescent="0.2">
      <c r="O3254" s="9" t="s">
        <v>17355</v>
      </c>
      <c r="P3254" t="s">
        <v>17356</v>
      </c>
      <c r="Q3254" s="9">
        <v>85.97</v>
      </c>
    </row>
    <row r="3255" spans="15:17" x14ac:dyDescent="0.2">
      <c r="O3255" s="9" t="s">
        <v>17357</v>
      </c>
      <c r="P3255" t="s">
        <v>17358</v>
      </c>
      <c r="Q3255" s="9">
        <v>100.24</v>
      </c>
    </row>
    <row r="3256" spans="15:17" x14ac:dyDescent="0.2">
      <c r="O3256" s="9" t="s">
        <v>17359</v>
      </c>
      <c r="P3256" t="s">
        <v>17360</v>
      </c>
      <c r="Q3256" s="9">
        <v>58.94</v>
      </c>
    </row>
    <row r="3257" spans="15:17" x14ac:dyDescent="0.2">
      <c r="O3257" s="9" t="s">
        <v>17361</v>
      </c>
      <c r="P3257" t="s">
        <v>17362</v>
      </c>
      <c r="Q3257" s="9">
        <v>1178.93</v>
      </c>
    </row>
    <row r="3258" spans="15:17" x14ac:dyDescent="0.2">
      <c r="O3258" s="9" t="s">
        <v>17363</v>
      </c>
      <c r="P3258" t="s">
        <v>17364</v>
      </c>
      <c r="Q3258" s="9">
        <v>42.89</v>
      </c>
    </row>
    <row r="3259" spans="15:17" x14ac:dyDescent="0.2">
      <c r="O3259" s="9" t="s">
        <v>17365</v>
      </c>
      <c r="P3259" t="s">
        <v>17366</v>
      </c>
      <c r="Q3259" s="9">
        <v>43.28</v>
      </c>
    </row>
    <row r="3260" spans="15:17" x14ac:dyDescent="0.2">
      <c r="O3260" s="9" t="s">
        <v>17367</v>
      </c>
      <c r="P3260" t="s">
        <v>17368</v>
      </c>
      <c r="Q3260" s="9">
        <v>43.28</v>
      </c>
    </row>
    <row r="3261" spans="15:17" x14ac:dyDescent="0.2">
      <c r="O3261" s="9" t="s">
        <v>17369</v>
      </c>
      <c r="P3261" t="s">
        <v>17370</v>
      </c>
      <c r="Q3261" s="9">
        <v>55.04</v>
      </c>
    </row>
    <row r="3262" spans="15:17" x14ac:dyDescent="0.2">
      <c r="O3262" s="9" t="s">
        <v>17371</v>
      </c>
      <c r="P3262" t="s">
        <v>17372</v>
      </c>
      <c r="Q3262" s="9">
        <v>44.63</v>
      </c>
    </row>
    <row r="3263" spans="15:17" x14ac:dyDescent="0.2">
      <c r="O3263" s="9" t="s">
        <v>17373</v>
      </c>
      <c r="P3263" t="s">
        <v>17374</v>
      </c>
      <c r="Q3263" s="9">
        <v>50.79</v>
      </c>
    </row>
    <row r="3264" spans="15:17" x14ac:dyDescent="0.2">
      <c r="O3264" s="9" t="s">
        <v>17375</v>
      </c>
      <c r="P3264" t="s">
        <v>17376</v>
      </c>
      <c r="Q3264" s="9">
        <v>44.4</v>
      </c>
    </row>
    <row r="3265" spans="15:17" x14ac:dyDescent="0.2">
      <c r="O3265" s="9" t="s">
        <v>17377</v>
      </c>
      <c r="P3265" t="s">
        <v>17378</v>
      </c>
      <c r="Q3265" s="9">
        <v>32.26</v>
      </c>
    </row>
    <row r="3266" spans="15:17" x14ac:dyDescent="0.2">
      <c r="O3266" s="9" t="s">
        <v>17379</v>
      </c>
      <c r="P3266" t="s">
        <v>17380</v>
      </c>
      <c r="Q3266" s="9">
        <v>87.6</v>
      </c>
    </row>
    <row r="3267" spans="15:17" x14ac:dyDescent="0.2">
      <c r="O3267" s="9" t="s">
        <v>17381</v>
      </c>
      <c r="P3267" t="s">
        <v>17382</v>
      </c>
      <c r="Q3267" s="9">
        <v>140.96</v>
      </c>
    </row>
    <row r="3268" spans="15:17" x14ac:dyDescent="0.2">
      <c r="O3268" s="9" t="s">
        <v>17383</v>
      </c>
      <c r="P3268" t="s">
        <v>17384</v>
      </c>
      <c r="Q3268" s="9">
        <v>58.94</v>
      </c>
    </row>
    <row r="3269" spans="15:17" x14ac:dyDescent="0.2">
      <c r="O3269" s="9" t="s">
        <v>17385</v>
      </c>
      <c r="P3269" t="s">
        <v>17386</v>
      </c>
      <c r="Q3269" s="9">
        <v>51.81</v>
      </c>
    </row>
    <row r="3270" spans="15:17" x14ac:dyDescent="0.2">
      <c r="O3270" s="9" t="s">
        <v>17387</v>
      </c>
      <c r="P3270" t="s">
        <v>17388</v>
      </c>
      <c r="Q3270" s="9">
        <v>64.86</v>
      </c>
    </row>
    <row r="3271" spans="15:17" x14ac:dyDescent="0.2">
      <c r="O3271" s="9" t="s">
        <v>17389</v>
      </c>
      <c r="P3271" t="s">
        <v>17390</v>
      </c>
      <c r="Q3271" s="9">
        <v>59.26</v>
      </c>
    </row>
    <row r="3272" spans="15:17" x14ac:dyDescent="0.2">
      <c r="O3272" s="9" t="s">
        <v>17391</v>
      </c>
      <c r="P3272" t="s">
        <v>17392</v>
      </c>
      <c r="Q3272" s="9">
        <v>94.34</v>
      </c>
    </row>
    <row r="3273" spans="15:17" x14ac:dyDescent="0.2">
      <c r="O3273" s="9" t="s">
        <v>17393</v>
      </c>
      <c r="P3273" t="s">
        <v>17394</v>
      </c>
      <c r="Q3273" s="9">
        <v>102.93</v>
      </c>
    </row>
    <row r="3274" spans="15:17" x14ac:dyDescent="0.2">
      <c r="O3274" s="9" t="s">
        <v>17395</v>
      </c>
      <c r="P3274" t="s">
        <v>17396</v>
      </c>
      <c r="Q3274" s="9">
        <v>176.49</v>
      </c>
    </row>
    <row r="3275" spans="15:17" x14ac:dyDescent="0.2">
      <c r="O3275" s="9" t="s">
        <v>17397</v>
      </c>
      <c r="P3275" t="s">
        <v>17398</v>
      </c>
      <c r="Q3275" s="9">
        <v>77.180000000000007</v>
      </c>
    </row>
    <row r="3276" spans="15:17" x14ac:dyDescent="0.2">
      <c r="O3276" s="9" t="s">
        <v>17399</v>
      </c>
      <c r="P3276" t="s">
        <v>17400</v>
      </c>
      <c r="Q3276" s="9">
        <v>58.94</v>
      </c>
    </row>
    <row r="3277" spans="15:17" x14ac:dyDescent="0.2">
      <c r="O3277" s="9" t="s">
        <v>17401</v>
      </c>
      <c r="P3277" t="s">
        <v>17402</v>
      </c>
      <c r="Q3277" s="9">
        <v>127.09</v>
      </c>
    </row>
    <row r="3278" spans="15:17" x14ac:dyDescent="0.2">
      <c r="O3278" s="9" t="s">
        <v>17403</v>
      </c>
      <c r="P3278" t="s">
        <v>17404</v>
      </c>
      <c r="Q3278" s="9">
        <v>102.29</v>
      </c>
    </row>
    <row r="3279" spans="15:17" x14ac:dyDescent="0.2">
      <c r="O3279" s="9" t="s">
        <v>17405</v>
      </c>
      <c r="P3279" t="s">
        <v>17406</v>
      </c>
      <c r="Q3279" s="9">
        <v>77.17</v>
      </c>
    </row>
    <row r="3280" spans="15:17" x14ac:dyDescent="0.2">
      <c r="O3280" s="9" t="s">
        <v>17407</v>
      </c>
      <c r="P3280" t="s">
        <v>17408</v>
      </c>
      <c r="Q3280" s="9">
        <v>51.32</v>
      </c>
    </row>
    <row r="3281" spans="15:17" x14ac:dyDescent="0.2">
      <c r="O3281" s="9" t="s">
        <v>17409</v>
      </c>
      <c r="P3281" t="s">
        <v>17410</v>
      </c>
      <c r="Q3281" s="9">
        <v>43.28</v>
      </c>
    </row>
    <row r="3282" spans="15:17" x14ac:dyDescent="0.2">
      <c r="O3282" s="9" t="s">
        <v>17411</v>
      </c>
      <c r="P3282" t="s">
        <v>17412</v>
      </c>
      <c r="Q3282" s="9">
        <v>44.42</v>
      </c>
    </row>
    <row r="3283" spans="15:17" x14ac:dyDescent="0.2">
      <c r="O3283" s="9" t="s">
        <v>17413</v>
      </c>
      <c r="P3283" t="s">
        <v>17414</v>
      </c>
      <c r="Q3283" s="9">
        <v>44.44</v>
      </c>
    </row>
    <row r="3284" spans="15:17" x14ac:dyDescent="0.2">
      <c r="O3284" s="9" t="s">
        <v>17415</v>
      </c>
      <c r="P3284" t="s">
        <v>17416</v>
      </c>
      <c r="Q3284" s="9">
        <v>42.89</v>
      </c>
    </row>
    <row r="3285" spans="15:17" x14ac:dyDescent="0.2">
      <c r="O3285" s="9" t="s">
        <v>17417</v>
      </c>
      <c r="P3285" t="s">
        <v>17418</v>
      </c>
      <c r="Q3285" s="9">
        <v>38.11</v>
      </c>
    </row>
    <row r="3286" spans="15:17" x14ac:dyDescent="0.2">
      <c r="O3286" s="9" t="s">
        <v>17419</v>
      </c>
      <c r="P3286" t="s">
        <v>17420</v>
      </c>
      <c r="Q3286" s="9">
        <v>50.79</v>
      </c>
    </row>
    <row r="3287" spans="15:17" x14ac:dyDescent="0.2">
      <c r="O3287" s="9" t="s">
        <v>17421</v>
      </c>
      <c r="P3287" t="s">
        <v>17422</v>
      </c>
      <c r="Q3287" s="9">
        <v>93.45</v>
      </c>
    </row>
    <row r="3288" spans="15:17" x14ac:dyDescent="0.2">
      <c r="O3288" s="9" t="s">
        <v>17423</v>
      </c>
      <c r="P3288" t="s">
        <v>17424</v>
      </c>
      <c r="Q3288" s="9">
        <v>59.26</v>
      </c>
    </row>
    <row r="3289" spans="15:17" x14ac:dyDescent="0.2">
      <c r="O3289" s="9" t="s">
        <v>17425</v>
      </c>
      <c r="P3289" s="169" t="s">
        <v>17426</v>
      </c>
      <c r="Q3289" s="9">
        <v>689.05</v>
      </c>
    </row>
    <row r="3290" spans="15:17" x14ac:dyDescent="0.2">
      <c r="O3290" s="9" t="s">
        <v>17427</v>
      </c>
      <c r="P3290" s="169" t="s">
        <v>17428</v>
      </c>
      <c r="Q3290" s="9">
        <v>536.98</v>
      </c>
    </row>
    <row r="3291" spans="15:17" x14ac:dyDescent="0.2">
      <c r="O3291" s="9" t="s">
        <v>17429</v>
      </c>
      <c r="P3291" s="169" t="s">
        <v>17430</v>
      </c>
      <c r="Q3291" s="9">
        <v>53.96</v>
      </c>
    </row>
    <row r="3292" spans="15:17" x14ac:dyDescent="0.2">
      <c r="O3292" s="9" t="s">
        <v>17431</v>
      </c>
      <c r="P3292" s="169" t="s">
        <v>17432</v>
      </c>
      <c r="Q3292" s="9">
        <v>61.61</v>
      </c>
    </row>
    <row r="3293" spans="15:17" x14ac:dyDescent="0.2">
      <c r="O3293" s="9" t="s">
        <v>17433</v>
      </c>
      <c r="P3293" s="169" t="s">
        <v>17434</v>
      </c>
      <c r="Q3293" s="9">
        <v>53.96</v>
      </c>
    </row>
    <row r="3294" spans="15:17" x14ac:dyDescent="0.2">
      <c r="O3294" s="9" t="s">
        <v>17435</v>
      </c>
      <c r="P3294" s="169" t="s">
        <v>17436</v>
      </c>
      <c r="Q3294" s="9">
        <v>49.33</v>
      </c>
    </row>
    <row r="3295" spans="15:17" x14ac:dyDescent="0.2">
      <c r="O3295" s="9" t="s">
        <v>17437</v>
      </c>
      <c r="P3295" s="169" t="s">
        <v>17438</v>
      </c>
      <c r="Q3295" s="9">
        <v>70.87</v>
      </c>
    </row>
    <row r="3296" spans="15:17" x14ac:dyDescent="0.2">
      <c r="O3296" s="9" t="s">
        <v>17439</v>
      </c>
      <c r="P3296" s="169" t="s">
        <v>17440</v>
      </c>
      <c r="Q3296" s="9">
        <v>49.33</v>
      </c>
    </row>
    <row r="3297" spans="15:17" x14ac:dyDescent="0.2">
      <c r="O3297" s="9" t="s">
        <v>17441</v>
      </c>
      <c r="P3297" s="169" t="s">
        <v>17442</v>
      </c>
      <c r="Q3297" s="9">
        <v>60.1</v>
      </c>
    </row>
    <row r="3298" spans="15:17" x14ac:dyDescent="0.2">
      <c r="O3298" s="9" t="s">
        <v>17443</v>
      </c>
      <c r="P3298" s="169" t="s">
        <v>17444</v>
      </c>
      <c r="Q3298" s="9">
        <v>49.33</v>
      </c>
    </row>
    <row r="3299" spans="15:17" x14ac:dyDescent="0.2">
      <c r="O3299" s="9" t="s">
        <v>17445</v>
      </c>
      <c r="P3299" s="169" t="s">
        <v>17446</v>
      </c>
      <c r="Q3299" s="9">
        <v>81.650000000000006</v>
      </c>
    </row>
    <row r="3300" spans="15:17" x14ac:dyDescent="0.2">
      <c r="O3300" s="9" t="s">
        <v>17447</v>
      </c>
      <c r="P3300" s="169" t="s">
        <v>17448</v>
      </c>
      <c r="Q3300" s="9">
        <v>53.96</v>
      </c>
    </row>
    <row r="3301" spans="15:17" x14ac:dyDescent="0.2">
      <c r="O3301" s="9" t="s">
        <v>17449</v>
      </c>
      <c r="P3301" s="169" t="s">
        <v>17450</v>
      </c>
      <c r="Q3301" s="9">
        <v>70.87</v>
      </c>
    </row>
    <row r="3302" spans="15:17" x14ac:dyDescent="0.2">
      <c r="O3302" s="9" t="s">
        <v>17451</v>
      </c>
      <c r="P3302" s="169" t="s">
        <v>17452</v>
      </c>
      <c r="Q3302" s="9">
        <v>60.1</v>
      </c>
    </row>
    <row r="3303" spans="15:17" x14ac:dyDescent="0.2">
      <c r="O3303" s="9" t="s">
        <v>17453</v>
      </c>
      <c r="P3303" s="169" t="s">
        <v>17454</v>
      </c>
      <c r="Q3303" s="9">
        <v>69.37</v>
      </c>
    </row>
    <row r="3304" spans="15:17" x14ac:dyDescent="0.2">
      <c r="O3304" s="9" t="s">
        <v>17455</v>
      </c>
      <c r="P3304" s="169" t="s">
        <v>17456</v>
      </c>
      <c r="Q3304" s="9">
        <v>66.25</v>
      </c>
    </row>
    <row r="3305" spans="15:17" x14ac:dyDescent="0.2">
      <c r="O3305" s="9" t="s">
        <v>17457</v>
      </c>
      <c r="P3305" s="169" t="s">
        <v>17458</v>
      </c>
      <c r="Q3305" s="9">
        <v>83.18</v>
      </c>
    </row>
    <row r="3306" spans="15:17" x14ac:dyDescent="0.2">
      <c r="O3306" s="9" t="s">
        <v>17459</v>
      </c>
      <c r="P3306" s="169" t="s">
        <v>17460</v>
      </c>
      <c r="Q3306" s="9">
        <v>75.5</v>
      </c>
    </row>
    <row r="3307" spans="15:17" x14ac:dyDescent="0.2">
      <c r="O3307" s="9" t="s">
        <v>17461</v>
      </c>
      <c r="P3307" s="169" t="s">
        <v>17462</v>
      </c>
      <c r="Q3307" s="9">
        <v>73.91</v>
      </c>
    </row>
    <row r="3308" spans="15:17" x14ac:dyDescent="0.2">
      <c r="O3308" s="9" t="s">
        <v>17463</v>
      </c>
      <c r="P3308" s="169" t="s">
        <v>17464</v>
      </c>
      <c r="Q3308" s="9">
        <v>66.25</v>
      </c>
    </row>
    <row r="3309" spans="15:17" x14ac:dyDescent="0.2">
      <c r="O3309" s="9" t="s">
        <v>17465</v>
      </c>
      <c r="P3309" s="169" t="s">
        <v>17466</v>
      </c>
      <c r="Q3309" s="9">
        <v>1968.64</v>
      </c>
    </row>
    <row r="3310" spans="15:17" x14ac:dyDescent="0.2">
      <c r="O3310" s="9" t="s">
        <v>17467</v>
      </c>
      <c r="P3310" s="169" t="s">
        <v>17468</v>
      </c>
      <c r="Q3310" s="9">
        <v>89.33</v>
      </c>
    </row>
    <row r="3311" spans="15:17" x14ac:dyDescent="0.2">
      <c r="O3311" s="9" t="s">
        <v>17469</v>
      </c>
      <c r="P3311" s="169" t="s">
        <v>17470</v>
      </c>
      <c r="Q3311" s="9">
        <v>67.77</v>
      </c>
    </row>
    <row r="3312" spans="15:17" x14ac:dyDescent="0.2">
      <c r="O3312" s="9" t="s">
        <v>17471</v>
      </c>
      <c r="P3312" s="169" t="s">
        <v>17472</v>
      </c>
      <c r="Q3312" s="9">
        <v>103.22</v>
      </c>
    </row>
    <row r="3313" spans="15:17" x14ac:dyDescent="0.2">
      <c r="O3313" s="9" t="s">
        <v>17473</v>
      </c>
      <c r="P3313" s="169" t="s">
        <v>17474</v>
      </c>
      <c r="Q3313" s="9">
        <v>77.03</v>
      </c>
    </row>
    <row r="3314" spans="15:17" x14ac:dyDescent="0.2">
      <c r="O3314" s="9" t="s">
        <v>17475</v>
      </c>
      <c r="P3314" s="169" t="s">
        <v>17476</v>
      </c>
      <c r="Q3314" s="9">
        <v>112.47</v>
      </c>
    </row>
    <row r="3315" spans="15:17" x14ac:dyDescent="0.2">
      <c r="O3315" s="9" t="s">
        <v>17477</v>
      </c>
      <c r="P3315" s="169" t="s">
        <v>17478</v>
      </c>
      <c r="Q3315" s="9">
        <v>84.75</v>
      </c>
    </row>
    <row r="3316" spans="15:17" x14ac:dyDescent="0.2">
      <c r="O3316" s="9" t="s">
        <v>17479</v>
      </c>
      <c r="P3316" s="169" t="s">
        <v>17480</v>
      </c>
      <c r="Q3316" s="9">
        <v>95.52</v>
      </c>
    </row>
    <row r="3317" spans="15:17" x14ac:dyDescent="0.2">
      <c r="O3317" s="9" t="s">
        <v>17481</v>
      </c>
      <c r="P3317" s="169" t="s">
        <v>17482</v>
      </c>
      <c r="Q3317" s="9">
        <v>89.33</v>
      </c>
    </row>
    <row r="3318" spans="15:17" x14ac:dyDescent="0.2">
      <c r="O3318" s="9" t="s">
        <v>17483</v>
      </c>
      <c r="P3318" s="169" t="s">
        <v>17484</v>
      </c>
      <c r="Q3318" s="9">
        <v>97.05</v>
      </c>
    </row>
    <row r="3319" spans="15:17" x14ac:dyDescent="0.2">
      <c r="O3319" s="9" t="s">
        <v>17485</v>
      </c>
      <c r="P3319" s="169" t="s">
        <v>17486</v>
      </c>
      <c r="Q3319" s="9">
        <v>78.55</v>
      </c>
    </row>
    <row r="3320" spans="15:17" x14ac:dyDescent="0.2">
      <c r="O3320" s="9" t="s">
        <v>17487</v>
      </c>
      <c r="P3320" s="169" t="s">
        <v>17488</v>
      </c>
      <c r="Q3320" s="9">
        <v>126.36</v>
      </c>
    </row>
    <row r="3321" spans="15:17" x14ac:dyDescent="0.2">
      <c r="O3321" s="9" t="s">
        <v>17489</v>
      </c>
      <c r="P3321" s="169" t="s">
        <v>17490</v>
      </c>
      <c r="Q3321" s="9">
        <v>98.58</v>
      </c>
    </row>
    <row r="3322" spans="15:17" x14ac:dyDescent="0.2">
      <c r="O3322" s="9" t="s">
        <v>17491</v>
      </c>
      <c r="P3322" s="169" t="s">
        <v>17492</v>
      </c>
      <c r="Q3322" s="9">
        <v>98.58</v>
      </c>
    </row>
    <row r="3323" spans="15:17" x14ac:dyDescent="0.2">
      <c r="O3323" s="9" t="s">
        <v>17493</v>
      </c>
      <c r="P3323" s="169" t="s">
        <v>17494</v>
      </c>
      <c r="Q3323" s="9">
        <v>87.81</v>
      </c>
    </row>
    <row r="3324" spans="15:17" x14ac:dyDescent="0.2">
      <c r="O3324" s="9" t="s">
        <v>17495</v>
      </c>
      <c r="P3324" s="169" t="s">
        <v>17496</v>
      </c>
      <c r="Q3324" s="9">
        <v>146.9</v>
      </c>
    </row>
    <row r="3325" spans="15:17" x14ac:dyDescent="0.2">
      <c r="O3325" s="9" t="s">
        <v>17497</v>
      </c>
      <c r="P3325" s="169" t="s">
        <v>17498</v>
      </c>
      <c r="Q3325" s="9">
        <v>160.18</v>
      </c>
    </row>
    <row r="3326" spans="15:17" x14ac:dyDescent="0.2">
      <c r="O3326" s="9" t="s">
        <v>17499</v>
      </c>
      <c r="P3326" s="169" t="s">
        <v>17500</v>
      </c>
      <c r="Q3326" s="9">
        <v>178.44</v>
      </c>
    </row>
    <row r="3327" spans="15:17" x14ac:dyDescent="0.2">
      <c r="O3327" s="9" t="s">
        <v>17501</v>
      </c>
      <c r="P3327" s="169" t="s">
        <v>17502</v>
      </c>
      <c r="Q3327" s="9">
        <v>356.58</v>
      </c>
    </row>
    <row r="3328" spans="15:17" x14ac:dyDescent="0.2">
      <c r="O3328" s="9" t="s">
        <v>17503</v>
      </c>
      <c r="P3328" s="169" t="s">
        <v>17504</v>
      </c>
      <c r="Q3328" s="9">
        <v>101.69</v>
      </c>
    </row>
    <row r="3329" spans="15:17" x14ac:dyDescent="0.2">
      <c r="O3329" s="9" t="s">
        <v>17505</v>
      </c>
      <c r="P3329" s="169" t="s">
        <v>17506</v>
      </c>
      <c r="Q3329" s="9">
        <v>86.28</v>
      </c>
    </row>
    <row r="3330" spans="15:17" x14ac:dyDescent="0.2">
      <c r="O3330" s="9" t="s">
        <v>17507</v>
      </c>
      <c r="P3330" s="169" t="s">
        <v>17508</v>
      </c>
      <c r="Q3330" s="9">
        <v>157.16</v>
      </c>
    </row>
    <row r="3331" spans="15:17" x14ac:dyDescent="0.2">
      <c r="O3331" s="9" t="s">
        <v>17509</v>
      </c>
      <c r="P3331" s="169" t="s">
        <v>17510</v>
      </c>
      <c r="Q3331" s="9">
        <v>81.650000000000006</v>
      </c>
    </row>
    <row r="3332" spans="15:17" x14ac:dyDescent="0.2">
      <c r="O3332" s="9" t="s">
        <v>17511</v>
      </c>
      <c r="P3332" s="169" t="s">
        <v>17512</v>
      </c>
      <c r="Q3332" s="9">
        <v>113.99</v>
      </c>
    </row>
    <row r="3333" spans="15:17" x14ac:dyDescent="0.2">
      <c r="O3333" s="9" t="s">
        <v>17513</v>
      </c>
      <c r="P3333" s="169" t="s">
        <v>17514</v>
      </c>
      <c r="Q3333" s="9">
        <v>100.16</v>
      </c>
    </row>
    <row r="3334" spans="15:17" x14ac:dyDescent="0.2">
      <c r="O3334" s="9" t="s">
        <v>17515</v>
      </c>
      <c r="P3334" s="169" t="s">
        <v>17516</v>
      </c>
      <c r="Q3334" s="9">
        <v>109.37</v>
      </c>
    </row>
    <row r="3335" spans="15:17" x14ac:dyDescent="0.2">
      <c r="O3335" s="9" t="s">
        <v>17517</v>
      </c>
      <c r="P3335" s="169" t="s">
        <v>17518</v>
      </c>
      <c r="Q3335" s="9">
        <v>97.05</v>
      </c>
    </row>
    <row r="3336" spans="15:17" x14ac:dyDescent="0.2">
      <c r="O3336" s="9" t="s">
        <v>17519</v>
      </c>
      <c r="P3336" s="169" t="s">
        <v>17520</v>
      </c>
      <c r="Q3336" s="9">
        <v>115.58</v>
      </c>
    </row>
    <row r="3337" spans="15:17" x14ac:dyDescent="0.2">
      <c r="O3337" s="9" t="s">
        <v>17521</v>
      </c>
      <c r="P3337" s="169" t="s">
        <v>17522</v>
      </c>
      <c r="Q3337" s="9">
        <v>112.47</v>
      </c>
    </row>
    <row r="3338" spans="15:17" x14ac:dyDescent="0.2">
      <c r="O3338" s="9" t="s">
        <v>17523</v>
      </c>
      <c r="P3338" s="169" t="s">
        <v>17524</v>
      </c>
      <c r="Q3338" s="9">
        <v>117.09</v>
      </c>
    </row>
    <row r="3339" spans="15:17" x14ac:dyDescent="0.2">
      <c r="O3339" s="9" t="s">
        <v>17525</v>
      </c>
      <c r="P3339" s="169" t="s">
        <v>17526</v>
      </c>
      <c r="Q3339" s="9">
        <v>115.58</v>
      </c>
    </row>
    <row r="3340" spans="15:17" x14ac:dyDescent="0.2">
      <c r="O3340" s="9" t="s">
        <v>17527</v>
      </c>
      <c r="P3340" s="169" t="s">
        <v>17528</v>
      </c>
      <c r="Q3340" s="9">
        <v>107.84</v>
      </c>
    </row>
    <row r="3341" spans="15:17" x14ac:dyDescent="0.2">
      <c r="O3341" s="9" t="s">
        <v>17529</v>
      </c>
      <c r="P3341" s="169" t="s">
        <v>17530</v>
      </c>
      <c r="Q3341" s="9">
        <v>104.75</v>
      </c>
    </row>
    <row r="3342" spans="15:17" x14ac:dyDescent="0.2">
      <c r="O3342" s="9" t="s">
        <v>17531</v>
      </c>
      <c r="P3342" s="169" t="s">
        <v>17532</v>
      </c>
      <c r="Q3342" s="9">
        <v>137.13</v>
      </c>
    </row>
    <row r="3343" spans="15:17" x14ac:dyDescent="0.2">
      <c r="O3343" s="9" t="s">
        <v>17533</v>
      </c>
      <c r="P3343" s="169" t="s">
        <v>17534</v>
      </c>
      <c r="Q3343" s="9">
        <v>147.91</v>
      </c>
    </row>
    <row r="3344" spans="15:17" x14ac:dyDescent="0.2">
      <c r="O3344" s="9" t="s">
        <v>17535</v>
      </c>
      <c r="P3344" s="169" t="s">
        <v>17536</v>
      </c>
      <c r="Q3344" s="9">
        <v>169.46</v>
      </c>
    </row>
    <row r="3345" spans="15:17" x14ac:dyDescent="0.2">
      <c r="O3345" s="9" t="s">
        <v>17537</v>
      </c>
      <c r="P3345" s="169" t="s">
        <v>17538</v>
      </c>
      <c r="Q3345" s="9">
        <v>169.46</v>
      </c>
    </row>
    <row r="3346" spans="15:17" x14ac:dyDescent="0.2">
      <c r="O3346" s="9" t="s">
        <v>17539</v>
      </c>
      <c r="P3346" s="169" t="s">
        <v>17540</v>
      </c>
      <c r="Q3346" s="9">
        <v>161.79</v>
      </c>
    </row>
    <row r="3347" spans="15:17" x14ac:dyDescent="0.2">
      <c r="O3347" s="9" t="s">
        <v>17541</v>
      </c>
      <c r="P3347" s="169" t="s">
        <v>17542</v>
      </c>
      <c r="Q3347" s="9">
        <v>174.09</v>
      </c>
    </row>
    <row r="3348" spans="15:17" x14ac:dyDescent="0.2">
      <c r="O3348" s="9" t="s">
        <v>17543</v>
      </c>
      <c r="P3348" s="169" t="s">
        <v>17544</v>
      </c>
      <c r="Q3348" s="9">
        <v>191.03</v>
      </c>
    </row>
    <row r="3349" spans="15:17" x14ac:dyDescent="0.2">
      <c r="O3349" s="9" t="s">
        <v>17545</v>
      </c>
      <c r="P3349" s="169" t="s">
        <v>17546</v>
      </c>
      <c r="Q3349" s="9">
        <v>177.18</v>
      </c>
    </row>
    <row r="3350" spans="15:17" x14ac:dyDescent="0.2">
      <c r="O3350" s="9" t="s">
        <v>17547</v>
      </c>
      <c r="P3350" s="169" t="s">
        <v>17548</v>
      </c>
      <c r="Q3350" s="9">
        <v>143.29</v>
      </c>
    </row>
    <row r="3351" spans="15:17" x14ac:dyDescent="0.2">
      <c r="O3351" s="9" t="s">
        <v>17549</v>
      </c>
      <c r="P3351" s="169" t="s">
        <v>17550</v>
      </c>
      <c r="Q3351" s="9">
        <v>198.75</v>
      </c>
    </row>
    <row r="3352" spans="15:17" x14ac:dyDescent="0.2">
      <c r="O3352" s="9" t="s">
        <v>17551</v>
      </c>
      <c r="P3352" s="169" t="s">
        <v>17552</v>
      </c>
      <c r="Q3352" s="9">
        <v>186.39</v>
      </c>
    </row>
    <row r="3353" spans="15:17" x14ac:dyDescent="0.2">
      <c r="O3353" s="9" t="s">
        <v>17553</v>
      </c>
      <c r="P3353" s="169" t="s">
        <v>17554</v>
      </c>
      <c r="Q3353" s="9">
        <v>152.54</v>
      </c>
    </row>
    <row r="3354" spans="15:17" x14ac:dyDescent="0.2">
      <c r="O3354" s="9" t="s">
        <v>17555</v>
      </c>
      <c r="P3354" s="169" t="s">
        <v>17556</v>
      </c>
      <c r="Q3354" s="9">
        <v>224.94</v>
      </c>
    </row>
    <row r="3355" spans="15:17" x14ac:dyDescent="0.2">
      <c r="O3355" s="9" t="s">
        <v>17557</v>
      </c>
      <c r="P3355" s="169" t="s">
        <v>17558</v>
      </c>
      <c r="Q3355" s="9">
        <v>149.44</v>
      </c>
    </row>
    <row r="3356" spans="15:17" x14ac:dyDescent="0.2">
      <c r="O3356" s="9" t="s">
        <v>17559</v>
      </c>
      <c r="P3356" s="169" t="s">
        <v>17560</v>
      </c>
      <c r="Q3356" s="9">
        <v>144.80000000000001</v>
      </c>
    </row>
    <row r="3357" spans="15:17" x14ac:dyDescent="0.2">
      <c r="O3357" s="9" t="s">
        <v>17561</v>
      </c>
      <c r="P3357" s="169" t="s">
        <v>17562</v>
      </c>
      <c r="Q3357" s="9">
        <v>152.54</v>
      </c>
    </row>
    <row r="3358" spans="15:17" x14ac:dyDescent="0.2">
      <c r="O3358" s="9" t="s">
        <v>17563</v>
      </c>
      <c r="P3358" s="169" t="s">
        <v>17564</v>
      </c>
      <c r="Q3358" s="9">
        <v>191.03</v>
      </c>
    </row>
    <row r="3359" spans="15:17" x14ac:dyDescent="0.2">
      <c r="O3359" s="9" t="s">
        <v>17565</v>
      </c>
      <c r="P3359" s="169" t="s">
        <v>17566</v>
      </c>
      <c r="Q3359" s="9">
        <v>257.27999999999997</v>
      </c>
    </row>
    <row r="3360" spans="15:17" x14ac:dyDescent="0.2">
      <c r="O3360" s="9" t="s">
        <v>17567</v>
      </c>
      <c r="P3360" s="169" t="s">
        <v>17568</v>
      </c>
      <c r="Q3360" s="9">
        <v>170.99</v>
      </c>
    </row>
    <row r="3361" spans="15:17" x14ac:dyDescent="0.2">
      <c r="O3361" s="9" t="s">
        <v>17569</v>
      </c>
      <c r="P3361" s="169" t="s">
        <v>17570</v>
      </c>
      <c r="Q3361" s="9">
        <v>212.58</v>
      </c>
    </row>
    <row r="3362" spans="15:17" x14ac:dyDescent="0.2">
      <c r="O3362" s="9" t="s">
        <v>17571</v>
      </c>
      <c r="P3362" s="169" t="s">
        <v>17572</v>
      </c>
      <c r="Q3362" s="9">
        <v>209.53</v>
      </c>
    </row>
    <row r="3363" spans="15:17" x14ac:dyDescent="0.2">
      <c r="O3363" s="9" t="s">
        <v>17573</v>
      </c>
      <c r="P3363" s="169" t="s">
        <v>17574</v>
      </c>
      <c r="Q3363" s="9">
        <v>197.17</v>
      </c>
    </row>
    <row r="3364" spans="15:17" x14ac:dyDescent="0.2">
      <c r="O3364" s="9" t="s">
        <v>17575</v>
      </c>
      <c r="P3364" s="169" t="s">
        <v>17576</v>
      </c>
      <c r="Q3364" s="9">
        <v>201.8</v>
      </c>
    </row>
    <row r="3365" spans="15:17" x14ac:dyDescent="0.2">
      <c r="O3365" s="9" t="s">
        <v>17577</v>
      </c>
      <c r="P3365" s="169" t="s">
        <v>17578</v>
      </c>
      <c r="Q3365" s="9">
        <v>254.24</v>
      </c>
    </row>
    <row r="3366" spans="15:17" x14ac:dyDescent="0.2">
      <c r="O3366" s="9" t="s">
        <v>17579</v>
      </c>
      <c r="P3366" s="169" t="s">
        <v>17580</v>
      </c>
      <c r="Q3366" s="9">
        <v>223.41</v>
      </c>
    </row>
    <row r="3367" spans="15:17" x14ac:dyDescent="0.2">
      <c r="O3367" s="9" t="s">
        <v>17581</v>
      </c>
      <c r="P3367" s="169" t="s">
        <v>17582</v>
      </c>
      <c r="Q3367" s="9">
        <v>260.37</v>
      </c>
    </row>
    <row r="3368" spans="15:17" x14ac:dyDescent="0.2">
      <c r="O3368" s="9" t="s">
        <v>17583</v>
      </c>
      <c r="P3368" s="169" t="s">
        <v>17584</v>
      </c>
      <c r="Q3368" s="9">
        <v>226.47</v>
      </c>
    </row>
    <row r="3369" spans="15:17" x14ac:dyDescent="0.2">
      <c r="O3369" s="9" t="s">
        <v>17585</v>
      </c>
      <c r="P3369" s="169" t="s">
        <v>17586</v>
      </c>
      <c r="Q3369" s="9">
        <v>231.09</v>
      </c>
    </row>
    <row r="3370" spans="15:17" x14ac:dyDescent="0.2">
      <c r="O3370" s="9" t="s">
        <v>17587</v>
      </c>
      <c r="P3370" s="169" t="s">
        <v>17588</v>
      </c>
      <c r="Q3370" s="9">
        <v>305.02999999999997</v>
      </c>
    </row>
    <row r="3371" spans="15:17" x14ac:dyDescent="0.2">
      <c r="O3371" s="9" t="s">
        <v>17589</v>
      </c>
      <c r="P3371" s="169" t="s">
        <v>17590</v>
      </c>
      <c r="Q3371" s="9">
        <v>224.94</v>
      </c>
    </row>
    <row r="3372" spans="15:17" x14ac:dyDescent="0.2">
      <c r="O3372" s="9" t="s">
        <v>17591</v>
      </c>
      <c r="P3372" s="169" t="s">
        <v>17592</v>
      </c>
      <c r="Q3372" s="9">
        <v>280.43</v>
      </c>
    </row>
    <row r="3373" spans="15:17" x14ac:dyDescent="0.2">
      <c r="O3373" s="9" t="s">
        <v>17593</v>
      </c>
      <c r="P3373" s="169" t="s">
        <v>17594</v>
      </c>
      <c r="Q3373" s="9">
        <v>252.66</v>
      </c>
    </row>
    <row r="3374" spans="15:17" x14ac:dyDescent="0.2">
      <c r="O3374" s="9" t="s">
        <v>17595</v>
      </c>
      <c r="P3374" s="169" t="s">
        <v>17596</v>
      </c>
      <c r="Q3374" s="9">
        <v>281.93</v>
      </c>
    </row>
    <row r="3375" spans="15:17" x14ac:dyDescent="0.2">
      <c r="O3375" s="9" t="s">
        <v>17597</v>
      </c>
      <c r="P3375" s="169" t="s">
        <v>17598</v>
      </c>
      <c r="Q3375" s="9">
        <v>246.5</v>
      </c>
    </row>
    <row r="3376" spans="15:17" x14ac:dyDescent="0.2">
      <c r="O3376" s="9" t="s">
        <v>17599</v>
      </c>
      <c r="P3376" s="169" t="s">
        <v>17600</v>
      </c>
      <c r="Q3376" s="9">
        <v>315.85000000000002</v>
      </c>
    </row>
    <row r="3377" spans="15:17" x14ac:dyDescent="0.2">
      <c r="O3377" s="9" t="s">
        <v>17601</v>
      </c>
      <c r="P3377" s="169" t="s">
        <v>17602</v>
      </c>
      <c r="Q3377" s="9">
        <v>358.98</v>
      </c>
    </row>
    <row r="3378" spans="15:17" x14ac:dyDescent="0.2">
      <c r="O3378" s="9" t="s">
        <v>17603</v>
      </c>
      <c r="P3378" s="169" t="s">
        <v>17604</v>
      </c>
      <c r="Q3378" s="9">
        <v>337.41</v>
      </c>
    </row>
    <row r="3379" spans="15:17" x14ac:dyDescent="0.2">
      <c r="O3379" s="9" t="s">
        <v>17605</v>
      </c>
      <c r="P3379" s="169" t="s">
        <v>17606</v>
      </c>
      <c r="Q3379" s="9">
        <v>357.45</v>
      </c>
    </row>
    <row r="3380" spans="15:17" x14ac:dyDescent="0.2">
      <c r="O3380" s="9" t="s">
        <v>17607</v>
      </c>
      <c r="P3380" s="169" t="s">
        <v>17608</v>
      </c>
      <c r="Q3380" s="9">
        <v>357.45</v>
      </c>
    </row>
    <row r="3381" spans="15:17" x14ac:dyDescent="0.2">
      <c r="O3381" s="9" t="s">
        <v>17609</v>
      </c>
      <c r="P3381" s="169" t="s">
        <v>17610</v>
      </c>
      <c r="Q3381" s="9">
        <v>422.12</v>
      </c>
    </row>
    <row r="3382" spans="15:17" x14ac:dyDescent="0.2">
      <c r="O3382" s="9" t="s">
        <v>17611</v>
      </c>
      <c r="P3382" s="169" t="s">
        <v>17612</v>
      </c>
      <c r="Q3382" s="9">
        <v>386.67</v>
      </c>
    </row>
    <row r="3383" spans="15:17" x14ac:dyDescent="0.2">
      <c r="O3383" s="9" t="s">
        <v>17613</v>
      </c>
      <c r="P3383" s="169" t="s">
        <v>17614</v>
      </c>
      <c r="Q3383" s="9">
        <v>479.13</v>
      </c>
    </row>
    <row r="3384" spans="15:17" x14ac:dyDescent="0.2">
      <c r="O3384" s="9" t="s">
        <v>17615</v>
      </c>
      <c r="P3384" s="169" t="s">
        <v>17616</v>
      </c>
      <c r="Q3384" s="9">
        <v>439.11</v>
      </c>
    </row>
    <row r="3385" spans="15:17" x14ac:dyDescent="0.2">
      <c r="O3385" s="9" t="s">
        <v>17617</v>
      </c>
      <c r="P3385" s="169" t="s">
        <v>17618</v>
      </c>
      <c r="Q3385" s="9">
        <v>545.37</v>
      </c>
    </row>
    <row r="3386" spans="15:17" x14ac:dyDescent="0.2">
      <c r="O3386" s="9" t="s">
        <v>17619</v>
      </c>
      <c r="P3386" s="169" t="s">
        <v>17620</v>
      </c>
      <c r="Q3386" s="9">
        <v>469.92</v>
      </c>
    </row>
    <row r="3387" spans="15:17" x14ac:dyDescent="0.2">
      <c r="O3387" s="9" t="s">
        <v>17621</v>
      </c>
      <c r="P3387" s="169" t="s">
        <v>17622</v>
      </c>
      <c r="Q3387" s="9">
        <v>522.28</v>
      </c>
    </row>
    <row r="3388" spans="15:17" x14ac:dyDescent="0.2">
      <c r="O3388" s="9" t="s">
        <v>17623</v>
      </c>
      <c r="P3388" s="169" t="s">
        <v>17624</v>
      </c>
      <c r="Q3388" s="9">
        <v>599.32000000000005</v>
      </c>
    </row>
    <row r="3389" spans="15:17" x14ac:dyDescent="0.2">
      <c r="O3389" s="9" t="s">
        <v>17625</v>
      </c>
      <c r="P3389" s="169" t="s">
        <v>17626</v>
      </c>
      <c r="Q3389" s="9">
        <v>526.91999999999996</v>
      </c>
    </row>
    <row r="3390" spans="15:17" x14ac:dyDescent="0.2">
      <c r="O3390" s="9" t="s">
        <v>17627</v>
      </c>
      <c r="P3390" s="169" t="s">
        <v>17628</v>
      </c>
      <c r="Q3390" s="9">
        <v>548.48</v>
      </c>
    </row>
    <row r="3391" spans="15:17" x14ac:dyDescent="0.2">
      <c r="O3391" s="9" t="s">
        <v>17629</v>
      </c>
      <c r="P3391" s="169" t="s">
        <v>17630</v>
      </c>
      <c r="Q3391" s="9">
        <v>534.59</v>
      </c>
    </row>
    <row r="3392" spans="15:17" x14ac:dyDescent="0.2">
      <c r="O3392" s="9" t="s">
        <v>17631</v>
      </c>
      <c r="P3392" s="169" t="s">
        <v>17632</v>
      </c>
      <c r="Q3392" s="9">
        <v>881.25</v>
      </c>
    </row>
    <row r="3393" spans="15:17" x14ac:dyDescent="0.2">
      <c r="O3393" s="9" t="s">
        <v>17633</v>
      </c>
      <c r="P3393" s="169" t="s">
        <v>17634</v>
      </c>
      <c r="Q3393" s="9">
        <v>927.73</v>
      </c>
    </row>
    <row r="3394" spans="15:17" x14ac:dyDescent="0.2">
      <c r="O3394" s="9" t="s">
        <v>17635</v>
      </c>
      <c r="P3394" s="169" t="s">
        <v>17636</v>
      </c>
      <c r="Q3394" s="9">
        <v>765.69</v>
      </c>
    </row>
    <row r="3395" spans="15:17" x14ac:dyDescent="0.2">
      <c r="O3395" s="9" t="s">
        <v>17637</v>
      </c>
      <c r="P3395" s="169" t="s">
        <v>17638</v>
      </c>
      <c r="Q3395" s="9">
        <v>790.36</v>
      </c>
    </row>
    <row r="3396" spans="15:17" x14ac:dyDescent="0.2">
      <c r="O3396" s="9" t="s">
        <v>17639</v>
      </c>
      <c r="P3396" s="169" t="s">
        <v>17640</v>
      </c>
      <c r="Q3396" s="9">
        <v>845.82</v>
      </c>
    </row>
    <row r="3397" spans="15:17" x14ac:dyDescent="0.2">
      <c r="O3397" s="9" t="s">
        <v>17641</v>
      </c>
      <c r="P3397" s="169" t="s">
        <v>17642</v>
      </c>
      <c r="Q3397" s="9">
        <v>662.47</v>
      </c>
    </row>
    <row r="3398" spans="15:17" x14ac:dyDescent="0.2">
      <c r="O3398" s="9" t="s">
        <v>17643</v>
      </c>
      <c r="P3398" s="169" t="s">
        <v>17644</v>
      </c>
      <c r="Q3398" s="9">
        <v>719.46</v>
      </c>
    </row>
    <row r="3399" spans="15:17" x14ac:dyDescent="0.2">
      <c r="O3399" s="9" t="s">
        <v>17645</v>
      </c>
      <c r="P3399" s="169" t="s">
        <v>17646</v>
      </c>
      <c r="Q3399" s="9">
        <v>880.69</v>
      </c>
    </row>
    <row r="3400" spans="15:17" x14ac:dyDescent="0.2">
      <c r="O3400" s="9" t="s">
        <v>17647</v>
      </c>
      <c r="P3400" s="169" t="s">
        <v>17648</v>
      </c>
      <c r="Q3400" s="9">
        <v>1164.69</v>
      </c>
    </row>
    <row r="3401" spans="15:17" x14ac:dyDescent="0.2">
      <c r="O3401" s="9">
        <v>52510</v>
      </c>
      <c r="P3401" s="169" t="s">
        <v>17649</v>
      </c>
      <c r="Q3401" s="9">
        <v>175.49</v>
      </c>
    </row>
    <row r="3402" spans="15:17" x14ac:dyDescent="0.2">
      <c r="O3402" s="9" t="s">
        <v>17650</v>
      </c>
      <c r="P3402" s="169" t="s">
        <v>17651</v>
      </c>
      <c r="Q3402" s="9">
        <v>229.19</v>
      </c>
    </row>
    <row r="3403" spans="15:17" x14ac:dyDescent="0.2">
      <c r="O3403" s="9">
        <v>52512</v>
      </c>
      <c r="P3403" s="169" t="s">
        <v>17652</v>
      </c>
      <c r="Q3403" s="9">
        <v>347.77</v>
      </c>
    </row>
    <row r="3404" spans="15:17" x14ac:dyDescent="0.2">
      <c r="O3404" s="9" t="s">
        <v>17653</v>
      </c>
      <c r="P3404" s="169" t="s">
        <v>17654</v>
      </c>
      <c r="Q3404" s="9">
        <v>347.77</v>
      </c>
    </row>
    <row r="3405" spans="15:17" x14ac:dyDescent="0.2">
      <c r="O3405" s="9">
        <v>52514</v>
      </c>
      <c r="P3405" s="169" t="s">
        <v>17655</v>
      </c>
      <c r="Q3405" s="9">
        <v>440.84</v>
      </c>
    </row>
    <row r="3406" spans="15:17" x14ac:dyDescent="0.2">
      <c r="O3406" s="9">
        <v>52516</v>
      </c>
      <c r="P3406" s="169" t="s">
        <v>17656</v>
      </c>
      <c r="Q3406" s="9">
        <v>656.23</v>
      </c>
    </row>
    <row r="3407" spans="15:17" x14ac:dyDescent="0.2">
      <c r="O3407" s="9">
        <v>52518</v>
      </c>
      <c r="P3407" s="169" t="s">
        <v>17657</v>
      </c>
      <c r="Q3407" s="9">
        <v>734</v>
      </c>
    </row>
    <row r="3408" spans="15:17" x14ac:dyDescent="0.2">
      <c r="O3408" s="9">
        <v>52520</v>
      </c>
      <c r="P3408" s="169" t="s">
        <v>17658</v>
      </c>
      <c r="Q3408" s="9">
        <v>1106.48</v>
      </c>
    </row>
    <row r="3409" spans="15:17" x14ac:dyDescent="0.2">
      <c r="O3409" s="9">
        <v>52522</v>
      </c>
      <c r="P3409" s="169" t="s">
        <v>17659</v>
      </c>
      <c r="Q3409" s="9">
        <v>1804.82</v>
      </c>
    </row>
    <row r="3410" spans="15:17" x14ac:dyDescent="0.2">
      <c r="O3410" s="9" t="s">
        <v>17660</v>
      </c>
      <c r="P3410" s="169" t="s">
        <v>17661</v>
      </c>
      <c r="Q3410" s="9">
        <v>1792.73</v>
      </c>
    </row>
    <row r="3411" spans="15:17" x14ac:dyDescent="0.2">
      <c r="O3411" s="9">
        <v>52524</v>
      </c>
      <c r="P3411" s="169" t="s">
        <v>17662</v>
      </c>
      <c r="Q3411" s="9">
        <v>2864.54</v>
      </c>
    </row>
    <row r="3412" spans="15:17" x14ac:dyDescent="0.2">
      <c r="O3412" s="9">
        <v>52526</v>
      </c>
      <c r="P3412" s="169" t="s">
        <v>17663</v>
      </c>
      <c r="Q3412" s="9">
        <v>2864.54</v>
      </c>
    </row>
    <row r="3413" spans="15:17" x14ac:dyDescent="0.2">
      <c r="O3413" s="9">
        <v>5253</v>
      </c>
      <c r="P3413" s="169" t="s">
        <v>17664</v>
      </c>
      <c r="Q3413" s="9">
        <v>74.19</v>
      </c>
    </row>
    <row r="3414" spans="15:17" x14ac:dyDescent="0.2">
      <c r="O3414" s="9">
        <v>5254</v>
      </c>
      <c r="P3414" s="169" t="s">
        <v>17665</v>
      </c>
      <c r="Q3414" s="9">
        <v>100.64</v>
      </c>
    </row>
    <row r="3415" spans="15:17" x14ac:dyDescent="0.2">
      <c r="O3415" s="9">
        <v>5255</v>
      </c>
      <c r="P3415" s="169" t="s">
        <v>17666</v>
      </c>
      <c r="Q3415" s="9">
        <v>113.15</v>
      </c>
    </row>
    <row r="3416" spans="15:17" x14ac:dyDescent="0.2">
      <c r="O3416" s="9">
        <v>5256</v>
      </c>
      <c r="P3416" s="169" t="s">
        <v>17667</v>
      </c>
      <c r="Q3416" s="9">
        <v>110.5</v>
      </c>
    </row>
    <row r="3417" spans="15:17" x14ac:dyDescent="0.2">
      <c r="O3417" s="9">
        <v>5257</v>
      </c>
      <c r="P3417" s="169" t="s">
        <v>17668</v>
      </c>
      <c r="Q3417" s="9">
        <v>184.91</v>
      </c>
    </row>
    <row r="3418" spans="15:17" x14ac:dyDescent="0.2">
      <c r="O3418" s="9">
        <v>5258</v>
      </c>
      <c r="P3418" s="169" t="s">
        <v>17669</v>
      </c>
      <c r="Q3418" s="9">
        <v>146.72999999999999</v>
      </c>
    </row>
    <row r="3419" spans="15:17" x14ac:dyDescent="0.2">
      <c r="O3419" s="9" t="s">
        <v>17670</v>
      </c>
      <c r="P3419" s="169" t="s">
        <v>17671</v>
      </c>
      <c r="Q3419" s="9">
        <v>86.36</v>
      </c>
    </row>
    <row r="3420" spans="15:17" x14ac:dyDescent="0.2">
      <c r="O3420" s="9" t="s">
        <v>17672</v>
      </c>
      <c r="P3420" s="169" t="s">
        <v>17673</v>
      </c>
      <c r="Q3420" s="9">
        <v>67.16</v>
      </c>
    </row>
    <row r="3421" spans="15:17" x14ac:dyDescent="0.2">
      <c r="O3421" s="9" t="s">
        <v>17674</v>
      </c>
      <c r="P3421" s="169" t="s">
        <v>17675</v>
      </c>
      <c r="Q3421" s="9">
        <v>79.540000000000006</v>
      </c>
    </row>
    <row r="3422" spans="15:17" x14ac:dyDescent="0.2">
      <c r="O3422" s="9" t="s">
        <v>17676</v>
      </c>
      <c r="P3422" s="169" t="s">
        <v>17677</v>
      </c>
      <c r="Q3422" s="9">
        <v>84.32</v>
      </c>
    </row>
    <row r="3423" spans="15:17" x14ac:dyDescent="0.2">
      <c r="O3423" s="9" t="s">
        <v>17678</v>
      </c>
      <c r="P3423" s="169" t="s">
        <v>17679</v>
      </c>
      <c r="Q3423" s="9">
        <v>84.32</v>
      </c>
    </row>
    <row r="3424" spans="15:17" x14ac:dyDescent="0.2">
      <c r="O3424" s="9" t="s">
        <v>17680</v>
      </c>
      <c r="P3424" s="169" t="s">
        <v>17681</v>
      </c>
      <c r="Q3424" s="9">
        <v>96.4</v>
      </c>
    </row>
    <row r="3425" spans="15:17" x14ac:dyDescent="0.2">
      <c r="O3425" s="9" t="s">
        <v>17682</v>
      </c>
      <c r="P3425" s="169" t="s">
        <v>17683</v>
      </c>
      <c r="Q3425" s="9">
        <v>141.78</v>
      </c>
    </row>
    <row r="3426" spans="15:17" x14ac:dyDescent="0.2">
      <c r="O3426" s="9" t="s">
        <v>17684</v>
      </c>
      <c r="P3426" s="169" t="s">
        <v>17685</v>
      </c>
      <c r="Q3426" s="9">
        <v>165</v>
      </c>
    </row>
    <row r="3427" spans="15:17" x14ac:dyDescent="0.2">
      <c r="O3427" s="9" t="s">
        <v>17686</v>
      </c>
      <c r="P3427" s="169" t="s">
        <v>17687</v>
      </c>
      <c r="Q3427" s="9">
        <v>84.46</v>
      </c>
    </row>
    <row r="3428" spans="15:17" x14ac:dyDescent="0.2">
      <c r="O3428" s="9" t="s">
        <v>17688</v>
      </c>
      <c r="P3428" s="169" t="s">
        <v>17689</v>
      </c>
      <c r="Q3428" s="9">
        <v>113</v>
      </c>
    </row>
    <row r="3429" spans="15:17" x14ac:dyDescent="0.2">
      <c r="O3429" s="9" t="s">
        <v>17690</v>
      </c>
      <c r="P3429" s="169" t="s">
        <v>17691</v>
      </c>
      <c r="Q3429" s="9">
        <v>267.5</v>
      </c>
    </row>
    <row r="3430" spans="15:17" x14ac:dyDescent="0.2">
      <c r="O3430" s="9" t="s">
        <v>17692</v>
      </c>
      <c r="P3430" s="169" t="s">
        <v>17693</v>
      </c>
      <c r="Q3430" s="9">
        <v>424</v>
      </c>
    </row>
    <row r="3431" spans="15:17" x14ac:dyDescent="0.2">
      <c r="O3431" s="9" t="s">
        <v>17694</v>
      </c>
      <c r="P3431" s="169" t="s">
        <v>17695</v>
      </c>
      <c r="Q3431" s="9">
        <v>166</v>
      </c>
    </row>
    <row r="3432" spans="15:17" x14ac:dyDescent="0.2">
      <c r="O3432" s="9" t="s">
        <v>17696</v>
      </c>
      <c r="P3432" s="169" t="s">
        <v>17697</v>
      </c>
      <c r="Q3432" s="9">
        <v>340</v>
      </c>
    </row>
    <row r="3433" spans="15:17" x14ac:dyDescent="0.2">
      <c r="O3433" s="9" t="s">
        <v>17698</v>
      </c>
      <c r="P3433" s="169" t="s">
        <v>17699</v>
      </c>
      <c r="Q3433" s="9">
        <v>339</v>
      </c>
    </row>
    <row r="3434" spans="15:17" x14ac:dyDescent="0.2">
      <c r="O3434" s="9" t="s">
        <v>17700</v>
      </c>
      <c r="P3434" s="169" t="s">
        <v>17701</v>
      </c>
      <c r="Q3434" s="9">
        <v>158.51</v>
      </c>
    </row>
    <row r="3435" spans="15:17" x14ac:dyDescent="0.2">
      <c r="O3435" s="9" t="s">
        <v>17702</v>
      </c>
      <c r="P3435" s="169" t="s">
        <v>17703</v>
      </c>
      <c r="Q3435" s="9">
        <v>121.52</v>
      </c>
    </row>
    <row r="3436" spans="15:17" x14ac:dyDescent="0.2">
      <c r="O3436" s="9" t="s">
        <v>17704</v>
      </c>
      <c r="P3436" s="169" t="s">
        <v>17705</v>
      </c>
      <c r="Q3436" s="9">
        <v>121.52</v>
      </c>
    </row>
    <row r="3437" spans="15:17" x14ac:dyDescent="0.2">
      <c r="O3437" s="9" t="s">
        <v>17706</v>
      </c>
      <c r="P3437" s="169" t="s">
        <v>17707</v>
      </c>
      <c r="Q3437" s="9">
        <v>149</v>
      </c>
    </row>
    <row r="3438" spans="15:17" x14ac:dyDescent="0.2">
      <c r="O3438" s="9" t="s">
        <v>17708</v>
      </c>
      <c r="P3438" s="169" t="s">
        <v>17709</v>
      </c>
      <c r="Q3438" s="9">
        <v>176</v>
      </c>
    </row>
    <row r="3439" spans="15:17" x14ac:dyDescent="0.2">
      <c r="O3439" s="9" t="s">
        <v>17710</v>
      </c>
      <c r="P3439" s="169" t="s">
        <v>17711</v>
      </c>
      <c r="Q3439" s="9">
        <v>204</v>
      </c>
    </row>
    <row r="3440" spans="15:17" x14ac:dyDescent="0.2">
      <c r="O3440" s="9" t="s">
        <v>17712</v>
      </c>
      <c r="P3440" s="169" t="s">
        <v>17713</v>
      </c>
      <c r="Q3440" s="9">
        <v>287.68</v>
      </c>
    </row>
    <row r="3441" spans="15:17" x14ac:dyDescent="0.2">
      <c r="O3441" s="9" t="s">
        <v>17714</v>
      </c>
      <c r="P3441" s="169" t="s">
        <v>17715</v>
      </c>
      <c r="Q3441" s="9">
        <v>328</v>
      </c>
    </row>
    <row r="3442" spans="15:17" x14ac:dyDescent="0.2">
      <c r="O3442" s="9" t="s">
        <v>17716</v>
      </c>
      <c r="P3442" s="169" t="s">
        <v>17717</v>
      </c>
      <c r="Q3442" s="9">
        <v>108</v>
      </c>
    </row>
    <row r="3443" spans="15:17" x14ac:dyDescent="0.2">
      <c r="O3443" s="9" t="s">
        <v>17718</v>
      </c>
      <c r="P3443" s="169" t="s">
        <v>17719</v>
      </c>
      <c r="Q3443" s="9">
        <v>751</v>
      </c>
    </row>
    <row r="3444" spans="15:17" x14ac:dyDescent="0.2">
      <c r="O3444" s="9" t="s">
        <v>17720</v>
      </c>
      <c r="P3444" s="169" t="s">
        <v>17721</v>
      </c>
      <c r="Q3444" s="9">
        <v>884</v>
      </c>
    </row>
    <row r="3445" spans="15:17" x14ac:dyDescent="0.2">
      <c r="O3445" s="9" t="s">
        <v>17722</v>
      </c>
      <c r="P3445" s="169" t="s">
        <v>17723</v>
      </c>
      <c r="Q3445" s="9">
        <v>470</v>
      </c>
    </row>
    <row r="3446" spans="15:17" x14ac:dyDescent="0.2">
      <c r="O3446" s="9" t="s">
        <v>17724</v>
      </c>
      <c r="P3446" s="169" t="s">
        <v>17725</v>
      </c>
      <c r="Q3446" s="9">
        <v>64.319999999999993</v>
      </c>
    </row>
    <row r="3447" spans="15:17" x14ac:dyDescent="0.2">
      <c r="O3447" s="9">
        <v>601100</v>
      </c>
      <c r="P3447" s="169" t="s">
        <v>17726</v>
      </c>
      <c r="Q3447" s="9">
        <v>9700.9699999999993</v>
      </c>
    </row>
    <row r="3448" spans="15:17" x14ac:dyDescent="0.2">
      <c r="O3448" s="9">
        <v>601110</v>
      </c>
      <c r="P3448" s="169" t="s">
        <v>17727</v>
      </c>
      <c r="Q3448" s="9">
        <v>10166.6</v>
      </c>
    </row>
    <row r="3449" spans="15:17" x14ac:dyDescent="0.2">
      <c r="O3449" s="9">
        <v>601115</v>
      </c>
      <c r="P3449" s="169" t="s">
        <v>17728</v>
      </c>
      <c r="Q3449" s="9">
        <v>10166.6</v>
      </c>
    </row>
    <row r="3450" spans="15:17" x14ac:dyDescent="0.2">
      <c r="O3450" s="9">
        <v>601120</v>
      </c>
      <c r="P3450" s="169" t="s">
        <v>17729</v>
      </c>
      <c r="Q3450" s="9">
        <v>20008.41</v>
      </c>
    </row>
    <row r="3451" spans="15:17" x14ac:dyDescent="0.2">
      <c r="O3451" s="9">
        <v>601130</v>
      </c>
      <c r="P3451" s="169" t="s">
        <v>17730</v>
      </c>
      <c r="Q3451" s="9">
        <v>20953.3</v>
      </c>
    </row>
    <row r="3452" spans="15:17" x14ac:dyDescent="0.2">
      <c r="O3452" s="9">
        <v>601140</v>
      </c>
      <c r="P3452" s="169" t="s">
        <v>17731</v>
      </c>
      <c r="Q3452" s="9">
        <v>21654.01</v>
      </c>
    </row>
    <row r="3453" spans="15:17" x14ac:dyDescent="0.2">
      <c r="O3453" s="9">
        <v>601150</v>
      </c>
      <c r="P3453" s="169" t="s">
        <v>17732</v>
      </c>
      <c r="Q3453" s="9">
        <v>22719.279999999999</v>
      </c>
    </row>
    <row r="3454" spans="15:17" x14ac:dyDescent="0.2">
      <c r="O3454" s="9">
        <v>601160</v>
      </c>
      <c r="P3454" s="169" t="s">
        <v>17733</v>
      </c>
      <c r="Q3454" s="9">
        <v>24360.34</v>
      </c>
    </row>
    <row r="3455" spans="15:17" x14ac:dyDescent="0.2">
      <c r="O3455" s="9">
        <v>601200</v>
      </c>
      <c r="P3455" s="169" t="s">
        <v>17734</v>
      </c>
      <c r="Q3455" s="9">
        <v>65483.31</v>
      </c>
    </row>
    <row r="3456" spans="15:17" x14ac:dyDescent="0.2">
      <c r="O3456" s="9">
        <v>60130</v>
      </c>
      <c r="P3456" s="169" t="s">
        <v>17735</v>
      </c>
      <c r="Q3456" s="9">
        <v>655.73</v>
      </c>
    </row>
    <row r="3457" spans="15:17" x14ac:dyDescent="0.2">
      <c r="O3457" s="9">
        <v>60132</v>
      </c>
      <c r="P3457" s="169" t="s">
        <v>17736</v>
      </c>
      <c r="Q3457" s="9">
        <v>655.73</v>
      </c>
    </row>
    <row r="3458" spans="15:17" x14ac:dyDescent="0.2">
      <c r="O3458" s="9">
        <v>60135</v>
      </c>
      <c r="P3458" s="169" t="s">
        <v>17737</v>
      </c>
      <c r="Q3458" s="9">
        <v>655.73</v>
      </c>
    </row>
    <row r="3459" spans="15:17" x14ac:dyDescent="0.2">
      <c r="O3459" s="9">
        <v>60137</v>
      </c>
      <c r="P3459" s="169" t="s">
        <v>17738</v>
      </c>
      <c r="Q3459" s="9">
        <v>655.73</v>
      </c>
    </row>
    <row r="3460" spans="15:17" x14ac:dyDescent="0.2">
      <c r="O3460" s="9">
        <v>60140</v>
      </c>
      <c r="P3460" s="169" t="s">
        <v>17739</v>
      </c>
      <c r="Q3460" s="9">
        <v>655.73</v>
      </c>
    </row>
    <row r="3461" spans="15:17" x14ac:dyDescent="0.2">
      <c r="O3461" s="9">
        <v>60142</v>
      </c>
      <c r="P3461" s="169" t="s">
        <v>17740</v>
      </c>
      <c r="Q3461" s="9">
        <v>655.73</v>
      </c>
    </row>
    <row r="3462" spans="15:17" x14ac:dyDescent="0.2">
      <c r="O3462" s="9">
        <v>60144</v>
      </c>
      <c r="P3462" s="169" t="s">
        <v>17741</v>
      </c>
      <c r="Q3462" s="9">
        <v>655.73</v>
      </c>
    </row>
    <row r="3463" spans="15:17" x14ac:dyDescent="0.2">
      <c r="O3463" s="9">
        <v>60147</v>
      </c>
      <c r="P3463" s="169" t="s">
        <v>17742</v>
      </c>
      <c r="Q3463" s="9">
        <v>831.93</v>
      </c>
    </row>
    <row r="3464" spans="15:17" x14ac:dyDescent="0.2">
      <c r="O3464" s="9">
        <v>60150</v>
      </c>
      <c r="P3464" s="169" t="s">
        <v>17743</v>
      </c>
      <c r="Q3464" s="9">
        <v>831.93</v>
      </c>
    </row>
    <row r="3465" spans="15:17" x14ac:dyDescent="0.2">
      <c r="O3465" s="9">
        <v>60152</v>
      </c>
      <c r="P3465" s="169" t="s">
        <v>17744</v>
      </c>
      <c r="Q3465" s="9">
        <v>831.93</v>
      </c>
    </row>
    <row r="3466" spans="15:17" x14ac:dyDescent="0.2">
      <c r="O3466" s="9">
        <v>60155</v>
      </c>
      <c r="P3466" s="169" t="s">
        <v>17745</v>
      </c>
      <c r="Q3466" s="9">
        <v>831.93</v>
      </c>
    </row>
    <row r="3467" spans="15:17" x14ac:dyDescent="0.2">
      <c r="O3467" s="9">
        <v>60156</v>
      </c>
      <c r="P3467" s="169" t="s">
        <v>17746</v>
      </c>
      <c r="Q3467" s="9">
        <v>831.93</v>
      </c>
    </row>
    <row r="3468" spans="15:17" x14ac:dyDescent="0.2">
      <c r="O3468" s="9">
        <v>60165</v>
      </c>
      <c r="P3468" s="169" t="s">
        <v>17747</v>
      </c>
      <c r="Q3468" s="9">
        <v>984.62</v>
      </c>
    </row>
    <row r="3469" spans="15:17" x14ac:dyDescent="0.2">
      <c r="O3469" s="9">
        <v>60168</v>
      </c>
      <c r="P3469" s="169" t="s">
        <v>17748</v>
      </c>
      <c r="Q3469" s="9">
        <v>1231.82</v>
      </c>
    </row>
    <row r="3470" spans="15:17" x14ac:dyDescent="0.2">
      <c r="O3470" s="9">
        <v>60172</v>
      </c>
      <c r="P3470" s="169" t="s">
        <v>17749</v>
      </c>
      <c r="Q3470" s="9">
        <v>2302.94</v>
      </c>
    </row>
    <row r="3471" spans="15:17" x14ac:dyDescent="0.2">
      <c r="O3471" s="9">
        <v>60175</v>
      </c>
      <c r="P3471" s="169" t="s">
        <v>17750</v>
      </c>
      <c r="Q3471" s="9">
        <v>2302.94</v>
      </c>
    </row>
    <row r="3472" spans="15:17" x14ac:dyDescent="0.2">
      <c r="O3472" s="9">
        <v>60180</v>
      </c>
      <c r="P3472" s="169" t="s">
        <v>17751</v>
      </c>
      <c r="Q3472" s="9">
        <v>3660.56</v>
      </c>
    </row>
    <row r="3473" spans="15:17" x14ac:dyDescent="0.2">
      <c r="O3473" s="9">
        <v>60185</v>
      </c>
      <c r="P3473" s="169" t="s">
        <v>17752</v>
      </c>
      <c r="Q3473" s="9">
        <v>3979.42</v>
      </c>
    </row>
    <row r="3474" spans="15:17" x14ac:dyDescent="0.2">
      <c r="O3474" s="9">
        <v>60190</v>
      </c>
      <c r="P3474" s="169" t="s">
        <v>17753</v>
      </c>
      <c r="Q3474" s="9">
        <v>4661.97</v>
      </c>
    </row>
    <row r="3475" spans="15:17" x14ac:dyDescent="0.2">
      <c r="O3475" s="9">
        <v>60195</v>
      </c>
      <c r="P3475" s="169" t="s">
        <v>17754</v>
      </c>
      <c r="Q3475" s="9">
        <v>6162.2</v>
      </c>
    </row>
    <row r="3476" spans="15:17" x14ac:dyDescent="0.2">
      <c r="O3476" s="9" t="s">
        <v>17755</v>
      </c>
      <c r="P3476" s="169" t="s">
        <v>17756</v>
      </c>
      <c r="Q3476" s="9">
        <v>1592</v>
      </c>
    </row>
    <row r="3477" spans="15:17" x14ac:dyDescent="0.2">
      <c r="O3477" s="9" t="s">
        <v>17757</v>
      </c>
      <c r="P3477" s="169" t="s">
        <v>17758</v>
      </c>
      <c r="Q3477" s="9">
        <v>1943</v>
      </c>
    </row>
    <row r="3478" spans="15:17" x14ac:dyDescent="0.2">
      <c r="O3478" s="9">
        <v>70210</v>
      </c>
      <c r="P3478" s="169" t="s">
        <v>17759</v>
      </c>
      <c r="Q3478" s="9">
        <v>104.14</v>
      </c>
    </row>
    <row r="3479" spans="15:17" x14ac:dyDescent="0.2">
      <c r="O3479" s="9">
        <v>7022</v>
      </c>
      <c r="P3479" s="169" t="s">
        <v>17760</v>
      </c>
      <c r="Q3479" s="9">
        <v>25.23</v>
      </c>
    </row>
    <row r="3480" spans="15:17" x14ac:dyDescent="0.2">
      <c r="O3480" s="9" t="s">
        <v>17761</v>
      </c>
      <c r="P3480" s="169" t="s">
        <v>17762</v>
      </c>
      <c r="Q3480" s="9">
        <v>25.23</v>
      </c>
    </row>
    <row r="3481" spans="15:17" x14ac:dyDescent="0.2">
      <c r="O3481" s="9">
        <v>7023</v>
      </c>
      <c r="P3481" s="169" t="s">
        <v>17763</v>
      </c>
      <c r="Q3481" s="9">
        <v>25.23</v>
      </c>
    </row>
    <row r="3482" spans="15:17" x14ac:dyDescent="0.2">
      <c r="O3482" s="9" t="s">
        <v>17764</v>
      </c>
      <c r="P3482" s="169" t="s">
        <v>17765</v>
      </c>
      <c r="Q3482" s="9">
        <v>89.44</v>
      </c>
    </row>
    <row r="3483" spans="15:17" x14ac:dyDescent="0.2">
      <c r="O3483" s="9" t="s">
        <v>17766</v>
      </c>
      <c r="P3483" s="169" t="s">
        <v>17767</v>
      </c>
      <c r="Q3483" s="9">
        <v>201</v>
      </c>
    </row>
    <row r="3484" spans="15:17" x14ac:dyDescent="0.2">
      <c r="O3484" s="9" t="s">
        <v>17768</v>
      </c>
      <c r="P3484" s="169" t="s">
        <v>17769</v>
      </c>
      <c r="Q3484" s="9">
        <v>172</v>
      </c>
    </row>
    <row r="3485" spans="15:17" x14ac:dyDescent="0.2">
      <c r="O3485" s="9">
        <v>7024</v>
      </c>
      <c r="P3485" s="169" t="s">
        <v>17770</v>
      </c>
      <c r="Q3485" s="9">
        <v>25.04</v>
      </c>
    </row>
    <row r="3486" spans="15:17" x14ac:dyDescent="0.2">
      <c r="O3486" s="9" t="s">
        <v>17771</v>
      </c>
      <c r="P3486" s="169" t="s">
        <v>17772</v>
      </c>
      <c r="Q3486" s="9">
        <v>91</v>
      </c>
    </row>
    <row r="3487" spans="15:17" x14ac:dyDescent="0.2">
      <c r="O3487" s="9" t="s">
        <v>17773</v>
      </c>
      <c r="P3487" s="169" t="s">
        <v>17774</v>
      </c>
      <c r="Q3487" s="9">
        <v>84</v>
      </c>
    </row>
    <row r="3488" spans="15:17" x14ac:dyDescent="0.2">
      <c r="O3488" s="9">
        <v>7025</v>
      </c>
      <c r="P3488" s="169" t="s">
        <v>17775</v>
      </c>
      <c r="Q3488" s="9">
        <v>34.67</v>
      </c>
    </row>
    <row r="3489" spans="15:17" x14ac:dyDescent="0.2">
      <c r="O3489" s="9">
        <v>7026</v>
      </c>
      <c r="P3489" s="169" t="s">
        <v>17776</v>
      </c>
      <c r="Q3489" s="9">
        <v>39.96</v>
      </c>
    </row>
    <row r="3490" spans="15:17" x14ac:dyDescent="0.2">
      <c r="O3490" s="9">
        <v>7027</v>
      </c>
      <c r="P3490" s="169" t="s">
        <v>17777</v>
      </c>
      <c r="Q3490" s="9">
        <v>67.25</v>
      </c>
    </row>
    <row r="3491" spans="15:17" x14ac:dyDescent="0.2">
      <c r="O3491" s="9">
        <v>7028</v>
      </c>
      <c r="P3491" s="169" t="s">
        <v>17778</v>
      </c>
      <c r="Q3491" s="9">
        <v>63.82</v>
      </c>
    </row>
    <row r="3492" spans="15:17" x14ac:dyDescent="0.2">
      <c r="O3492" s="9">
        <v>7029</v>
      </c>
      <c r="P3492" s="169" t="s">
        <v>17779</v>
      </c>
      <c r="Q3492" s="9">
        <v>104.14</v>
      </c>
    </row>
    <row r="3493" spans="15:17" x14ac:dyDescent="0.2">
      <c r="O3493" s="9">
        <v>70315</v>
      </c>
      <c r="P3493" s="169" t="s">
        <v>17780</v>
      </c>
      <c r="Q3493" s="9">
        <v>106.1</v>
      </c>
    </row>
    <row r="3494" spans="15:17" x14ac:dyDescent="0.2">
      <c r="O3494" s="9">
        <v>70320</v>
      </c>
      <c r="P3494" s="169" t="s">
        <v>17781</v>
      </c>
      <c r="Q3494" s="9">
        <v>205.59</v>
      </c>
    </row>
    <row r="3495" spans="15:17" x14ac:dyDescent="0.2">
      <c r="O3495" s="9" t="s">
        <v>5616</v>
      </c>
      <c r="P3495" s="169" t="s">
        <v>17782</v>
      </c>
      <c r="Q3495" s="9">
        <v>78.48</v>
      </c>
    </row>
    <row r="3496" spans="15:17" x14ac:dyDescent="0.2">
      <c r="O3496" s="9" t="s">
        <v>17783</v>
      </c>
      <c r="P3496" s="169" t="s">
        <v>17784</v>
      </c>
      <c r="Q3496" s="9">
        <v>61</v>
      </c>
    </row>
    <row r="3497" spans="15:17" x14ac:dyDescent="0.2">
      <c r="O3497" s="9" t="s">
        <v>17785</v>
      </c>
      <c r="P3497" s="169" t="s">
        <v>17786</v>
      </c>
      <c r="Q3497" s="9">
        <v>114</v>
      </c>
    </row>
    <row r="3498" spans="15:17" x14ac:dyDescent="0.2">
      <c r="O3498" s="9" t="s">
        <v>5630</v>
      </c>
      <c r="P3498" s="169" t="s">
        <v>17787</v>
      </c>
      <c r="Q3498" s="9">
        <v>144</v>
      </c>
    </row>
    <row r="3499" spans="15:17" x14ac:dyDescent="0.2">
      <c r="O3499" s="9" t="s">
        <v>17788</v>
      </c>
      <c r="P3499" s="169" t="s">
        <v>17789</v>
      </c>
      <c r="Q3499" s="9">
        <v>119</v>
      </c>
    </row>
    <row r="3500" spans="15:17" x14ac:dyDescent="0.2">
      <c r="O3500" s="9" t="s">
        <v>17790</v>
      </c>
      <c r="P3500" s="169" t="s">
        <v>17791</v>
      </c>
      <c r="Q3500" s="9">
        <v>144</v>
      </c>
    </row>
    <row r="3501" spans="15:17" x14ac:dyDescent="0.2">
      <c r="O3501" s="9" t="s">
        <v>5620</v>
      </c>
      <c r="P3501" s="169" t="s">
        <v>17792</v>
      </c>
      <c r="Q3501" s="9">
        <v>119</v>
      </c>
    </row>
    <row r="3502" spans="15:17" x14ac:dyDescent="0.2">
      <c r="O3502" s="9" t="s">
        <v>17793</v>
      </c>
      <c r="P3502" s="169" t="s">
        <v>17794</v>
      </c>
      <c r="Q3502" s="9">
        <v>144</v>
      </c>
    </row>
    <row r="3503" spans="15:17" x14ac:dyDescent="0.2">
      <c r="O3503" s="9" t="s">
        <v>5624</v>
      </c>
      <c r="P3503" s="169" t="s">
        <v>17795</v>
      </c>
      <c r="Q3503" s="9">
        <v>119</v>
      </c>
    </row>
    <row r="3504" spans="15:17" x14ac:dyDescent="0.2">
      <c r="O3504" s="9" t="s">
        <v>17796</v>
      </c>
      <c r="P3504" s="169" t="s">
        <v>17797</v>
      </c>
      <c r="Q3504" s="9">
        <v>144</v>
      </c>
    </row>
    <row r="3505" spans="14:17" x14ac:dyDescent="0.2">
      <c r="O3505" s="9" t="s">
        <v>17798</v>
      </c>
      <c r="P3505" s="169" t="s">
        <v>17799</v>
      </c>
      <c r="Q3505" s="9">
        <v>119</v>
      </c>
    </row>
    <row r="3506" spans="14:17" x14ac:dyDescent="0.2">
      <c r="O3506" s="9" t="s">
        <v>17800</v>
      </c>
      <c r="P3506" s="169" t="s">
        <v>17801</v>
      </c>
      <c r="Q3506" s="9">
        <v>223</v>
      </c>
    </row>
    <row r="3507" spans="14:17" x14ac:dyDescent="0.2">
      <c r="O3507" s="9" t="s">
        <v>17802</v>
      </c>
      <c r="P3507" s="169" t="s">
        <v>17803</v>
      </c>
      <c r="Q3507" s="9">
        <v>190</v>
      </c>
    </row>
    <row r="3508" spans="14:17" x14ac:dyDescent="0.2">
      <c r="O3508" s="9" t="s">
        <v>17804</v>
      </c>
      <c r="P3508" s="169" t="s">
        <v>17805</v>
      </c>
      <c r="Q3508" s="9">
        <v>27.04</v>
      </c>
    </row>
    <row r="3509" spans="14:17" x14ac:dyDescent="0.2">
      <c r="O3509" s="9" t="s">
        <v>17806</v>
      </c>
      <c r="P3509" s="169" t="s">
        <v>17807</v>
      </c>
      <c r="Q3509" s="9">
        <v>27.04</v>
      </c>
    </row>
    <row r="3510" spans="14:17" x14ac:dyDescent="0.2">
      <c r="O3510" s="9" t="s">
        <v>5588</v>
      </c>
      <c r="P3510" s="169" t="s">
        <v>17808</v>
      </c>
      <c r="Q3510" s="9">
        <v>31</v>
      </c>
    </row>
    <row r="3511" spans="14:17" x14ac:dyDescent="0.2">
      <c r="N3511" s="9" t="s">
        <v>5592</v>
      </c>
      <c r="O3511" s="9" t="s">
        <v>5592</v>
      </c>
      <c r="P3511" s="169" t="s">
        <v>17809</v>
      </c>
      <c r="Q3511" s="9">
        <v>31</v>
      </c>
    </row>
    <row r="3512" spans="14:17" x14ac:dyDescent="0.2">
      <c r="N3512" s="9" t="s">
        <v>17810</v>
      </c>
      <c r="O3512" s="9" t="s">
        <v>17811</v>
      </c>
      <c r="P3512" s="169" t="s">
        <v>17812</v>
      </c>
      <c r="Q3512" s="9">
        <v>58.86</v>
      </c>
    </row>
    <row r="3513" spans="14:17" x14ac:dyDescent="0.2">
      <c r="O3513" s="9" t="s">
        <v>17810</v>
      </c>
      <c r="P3513" s="169" t="s">
        <v>17813</v>
      </c>
      <c r="Q3513" s="9">
        <v>37.880000000000003</v>
      </c>
    </row>
    <row r="3514" spans="14:17" x14ac:dyDescent="0.2">
      <c r="O3514" s="9" t="s">
        <v>5596</v>
      </c>
      <c r="P3514" s="169" t="s">
        <v>17814</v>
      </c>
      <c r="Q3514" s="9">
        <v>31</v>
      </c>
    </row>
    <row r="3515" spans="14:17" x14ac:dyDescent="0.2">
      <c r="O3515" s="9" t="s">
        <v>17815</v>
      </c>
      <c r="P3515" s="169" t="s">
        <v>17816</v>
      </c>
      <c r="Q3515" s="9">
        <v>58.86</v>
      </c>
    </row>
    <row r="3516" spans="14:17" x14ac:dyDescent="0.2">
      <c r="O3516" s="9" t="s">
        <v>17817</v>
      </c>
      <c r="P3516" s="169" t="s">
        <v>17818</v>
      </c>
      <c r="Q3516" s="9">
        <v>47</v>
      </c>
    </row>
    <row r="3517" spans="14:17" x14ac:dyDescent="0.2">
      <c r="O3517" s="9" t="s">
        <v>17819</v>
      </c>
      <c r="P3517" s="169" t="s">
        <v>17820</v>
      </c>
      <c r="Q3517" s="9">
        <v>58.86</v>
      </c>
    </row>
    <row r="3518" spans="14:17" x14ac:dyDescent="0.2">
      <c r="O3518" s="9" t="s">
        <v>5600</v>
      </c>
      <c r="P3518" s="169" t="s">
        <v>17821</v>
      </c>
      <c r="Q3518" s="9">
        <v>47</v>
      </c>
    </row>
    <row r="3519" spans="14:17" x14ac:dyDescent="0.2">
      <c r="O3519" s="9" t="s">
        <v>5604</v>
      </c>
      <c r="P3519" s="169" t="s">
        <v>17822</v>
      </c>
      <c r="Q3519" s="9">
        <v>58.86</v>
      </c>
    </row>
    <row r="3520" spans="14:17" x14ac:dyDescent="0.2">
      <c r="O3520" s="9" t="s">
        <v>5608</v>
      </c>
      <c r="P3520" s="169" t="s">
        <v>17823</v>
      </c>
      <c r="Q3520" s="9">
        <v>58.86</v>
      </c>
    </row>
    <row r="3521" spans="15:17" x14ac:dyDescent="0.2">
      <c r="O3521" s="9" t="s">
        <v>17824</v>
      </c>
      <c r="P3521" s="169" t="s">
        <v>17825</v>
      </c>
      <c r="Q3521" s="9">
        <v>47</v>
      </c>
    </row>
    <row r="3522" spans="15:17" x14ac:dyDescent="0.2">
      <c r="O3522" s="9" t="s">
        <v>17826</v>
      </c>
      <c r="P3522" s="169" t="s">
        <v>17827</v>
      </c>
      <c r="Q3522" s="9">
        <v>61</v>
      </c>
    </row>
    <row r="3523" spans="15:17" x14ac:dyDescent="0.2">
      <c r="O3523" s="9" t="s">
        <v>17828</v>
      </c>
      <c r="P3523" s="169" t="s">
        <v>17829</v>
      </c>
      <c r="Q3523" s="9">
        <v>144</v>
      </c>
    </row>
    <row r="3524" spans="15:17" x14ac:dyDescent="0.2">
      <c r="O3524" s="9" t="s">
        <v>17830</v>
      </c>
      <c r="P3524" s="169" t="s">
        <v>17831</v>
      </c>
      <c r="Q3524" s="9">
        <v>119</v>
      </c>
    </row>
    <row r="3525" spans="15:17" x14ac:dyDescent="0.2">
      <c r="O3525" s="9" t="s">
        <v>5627</v>
      </c>
      <c r="P3525" s="169" t="s">
        <v>17832</v>
      </c>
      <c r="Q3525" s="9">
        <v>61</v>
      </c>
    </row>
    <row r="3526" spans="15:17" x14ac:dyDescent="0.2">
      <c r="O3526" s="9" t="s">
        <v>5612</v>
      </c>
      <c r="P3526" s="169" t="s">
        <v>17833</v>
      </c>
      <c r="Q3526" s="9">
        <v>78.48</v>
      </c>
    </row>
    <row r="3527" spans="15:17" x14ac:dyDescent="0.2">
      <c r="O3527" s="9" t="s">
        <v>17834</v>
      </c>
      <c r="P3527" s="169" t="s">
        <v>17835</v>
      </c>
      <c r="Q3527" s="9">
        <v>119</v>
      </c>
    </row>
    <row r="3528" spans="15:17" x14ac:dyDescent="0.2">
      <c r="O3528" s="9" t="s">
        <v>17836</v>
      </c>
      <c r="P3528" s="169" t="s">
        <v>17837</v>
      </c>
      <c r="Q3528" s="9">
        <v>179.24</v>
      </c>
    </row>
    <row r="3529" spans="15:17" x14ac:dyDescent="0.2">
      <c r="O3529" s="9" t="s">
        <v>17838</v>
      </c>
      <c r="P3529" s="169" t="s">
        <v>17839</v>
      </c>
      <c r="Q3529" s="9">
        <v>216.74</v>
      </c>
    </row>
    <row r="3530" spans="15:17" x14ac:dyDescent="0.2">
      <c r="O3530" s="9" t="s">
        <v>17840</v>
      </c>
      <c r="P3530" s="169" t="s">
        <v>17841</v>
      </c>
      <c r="Q3530" s="9">
        <v>216.74</v>
      </c>
    </row>
    <row r="3531" spans="15:17" x14ac:dyDescent="0.2">
      <c r="O3531" s="9" t="s">
        <v>17842</v>
      </c>
      <c r="P3531" s="169" t="s">
        <v>17843</v>
      </c>
      <c r="Q3531" s="9">
        <v>216.74</v>
      </c>
    </row>
    <row r="3532" spans="15:17" x14ac:dyDescent="0.2">
      <c r="O3532" s="9" t="s">
        <v>17844</v>
      </c>
      <c r="P3532" s="169" t="s">
        <v>17845</v>
      </c>
      <c r="Q3532" s="9">
        <v>94.37</v>
      </c>
    </row>
    <row r="3533" spans="15:17" x14ac:dyDescent="0.2">
      <c r="O3533" s="9" t="s">
        <v>17846</v>
      </c>
      <c r="P3533" s="169" t="s">
        <v>17847</v>
      </c>
      <c r="Q3533" s="9">
        <v>107.37</v>
      </c>
    </row>
    <row r="3534" spans="15:17" x14ac:dyDescent="0.2">
      <c r="O3534" s="9" t="s">
        <v>17848</v>
      </c>
      <c r="P3534" s="169" t="s">
        <v>17849</v>
      </c>
      <c r="Q3534" s="9">
        <v>107.37</v>
      </c>
    </row>
    <row r="3535" spans="15:17" x14ac:dyDescent="0.2">
      <c r="O3535" s="9" t="s">
        <v>17850</v>
      </c>
      <c r="P3535" s="169" t="s">
        <v>17851</v>
      </c>
      <c r="Q3535" s="9">
        <v>163.57</v>
      </c>
    </row>
    <row r="3536" spans="15:17" x14ac:dyDescent="0.2">
      <c r="O3536" s="9" t="s">
        <v>17852</v>
      </c>
      <c r="P3536" s="169" t="s">
        <v>17853</v>
      </c>
      <c r="Q3536" s="9">
        <v>163.57</v>
      </c>
    </row>
    <row r="3537" spans="15:17" x14ac:dyDescent="0.2">
      <c r="O3537" s="9" t="s">
        <v>17854</v>
      </c>
      <c r="P3537" s="169" t="s">
        <v>17855</v>
      </c>
      <c r="Q3537" s="9">
        <v>163.57</v>
      </c>
    </row>
    <row r="3538" spans="15:17" x14ac:dyDescent="0.2">
      <c r="O3538" s="9" t="s">
        <v>17856</v>
      </c>
      <c r="P3538" s="169" t="s">
        <v>17857</v>
      </c>
      <c r="Q3538" s="9">
        <v>179.24</v>
      </c>
    </row>
    <row r="3539" spans="15:17" x14ac:dyDescent="0.2">
      <c r="O3539" s="9" t="s">
        <v>17858</v>
      </c>
      <c r="P3539" s="169" t="s">
        <v>17859</v>
      </c>
      <c r="Q3539" s="9">
        <v>179.24</v>
      </c>
    </row>
    <row r="3540" spans="15:17" x14ac:dyDescent="0.2">
      <c r="O3540" s="9" t="s">
        <v>17860</v>
      </c>
      <c r="P3540" s="169" t="s">
        <v>17861</v>
      </c>
      <c r="Q3540" s="9">
        <v>179.24</v>
      </c>
    </row>
    <row r="3541" spans="15:17" x14ac:dyDescent="0.2">
      <c r="O3541" s="9">
        <v>75110</v>
      </c>
      <c r="P3541" s="169" t="s">
        <v>17862</v>
      </c>
      <c r="Q3541" s="9">
        <v>113.42</v>
      </c>
    </row>
    <row r="3542" spans="15:17" x14ac:dyDescent="0.2">
      <c r="O3542" s="9">
        <v>75112</v>
      </c>
      <c r="P3542" s="169" t="s">
        <v>17863</v>
      </c>
      <c r="Q3542" s="9">
        <v>51.76</v>
      </c>
    </row>
    <row r="3543" spans="15:17" x14ac:dyDescent="0.2">
      <c r="O3543" s="9">
        <v>75114</v>
      </c>
      <c r="P3543" s="169" t="s">
        <v>17864</v>
      </c>
      <c r="Q3543" s="9">
        <v>153.72</v>
      </c>
    </row>
    <row r="3544" spans="15:17" x14ac:dyDescent="0.2">
      <c r="O3544" s="9">
        <v>75115</v>
      </c>
      <c r="P3544" s="169" t="s">
        <v>17865</v>
      </c>
      <c r="Q3544" s="9">
        <v>192.36</v>
      </c>
    </row>
    <row r="3545" spans="15:17" x14ac:dyDescent="0.2">
      <c r="O3545" s="9" t="s">
        <v>17866</v>
      </c>
      <c r="P3545" s="169" t="s">
        <v>17867</v>
      </c>
      <c r="Q3545" s="9">
        <v>171</v>
      </c>
    </row>
    <row r="3546" spans="15:17" x14ac:dyDescent="0.2">
      <c r="O3546" s="9">
        <v>75116</v>
      </c>
      <c r="P3546" s="169" t="s">
        <v>17868</v>
      </c>
      <c r="Q3546" s="9">
        <v>183.34</v>
      </c>
    </row>
    <row r="3547" spans="15:17" x14ac:dyDescent="0.2">
      <c r="O3547" s="9">
        <v>7512</v>
      </c>
      <c r="P3547" s="169" t="s">
        <v>17869</v>
      </c>
      <c r="Q3547" s="9">
        <v>37.26</v>
      </c>
    </row>
    <row r="3548" spans="15:17" x14ac:dyDescent="0.2">
      <c r="O3548" s="9">
        <v>75120</v>
      </c>
      <c r="P3548" s="169" t="s">
        <v>17870</v>
      </c>
      <c r="Q3548" s="9">
        <v>273.70999999999998</v>
      </c>
    </row>
    <row r="3549" spans="15:17" x14ac:dyDescent="0.2">
      <c r="O3549" s="9">
        <v>75122</v>
      </c>
      <c r="P3549" s="169" t="s">
        <v>17871</v>
      </c>
      <c r="Q3549" s="9">
        <v>293.95</v>
      </c>
    </row>
    <row r="3550" spans="15:17" x14ac:dyDescent="0.2">
      <c r="O3550" s="9">
        <v>75125</v>
      </c>
      <c r="P3550" s="169" t="s">
        <v>17872</v>
      </c>
      <c r="Q3550" s="9">
        <v>313.66000000000003</v>
      </c>
    </row>
    <row r="3551" spans="15:17" x14ac:dyDescent="0.2">
      <c r="O3551" s="9">
        <v>7513</v>
      </c>
      <c r="P3551" s="169" t="s">
        <v>17873</v>
      </c>
      <c r="Q3551" s="9">
        <v>47.03</v>
      </c>
    </row>
    <row r="3552" spans="15:17" x14ac:dyDescent="0.2">
      <c r="O3552" s="9">
        <v>75130</v>
      </c>
      <c r="P3552" s="169" t="s">
        <v>17874</v>
      </c>
      <c r="Q3552" s="9">
        <v>379.06</v>
      </c>
    </row>
    <row r="3553" spans="15:17" x14ac:dyDescent="0.2">
      <c r="O3553" s="9">
        <v>7514</v>
      </c>
      <c r="P3553" s="169" t="s">
        <v>17875</v>
      </c>
      <c r="Q3553" s="9">
        <v>56.28</v>
      </c>
    </row>
    <row r="3554" spans="15:17" x14ac:dyDescent="0.2">
      <c r="O3554" s="9">
        <v>7515</v>
      </c>
      <c r="P3554" s="169" t="s">
        <v>17876</v>
      </c>
      <c r="Q3554" s="9">
        <v>31.86</v>
      </c>
    </row>
    <row r="3555" spans="15:17" x14ac:dyDescent="0.2">
      <c r="O3555" s="9">
        <v>7516</v>
      </c>
      <c r="P3555" s="169" t="s">
        <v>17877</v>
      </c>
      <c r="Q3555" s="9">
        <v>75.52</v>
      </c>
    </row>
    <row r="3556" spans="15:17" x14ac:dyDescent="0.2">
      <c r="O3556" s="9">
        <v>7517</v>
      </c>
      <c r="P3556" s="169" t="s">
        <v>17878</v>
      </c>
      <c r="Q3556" s="9">
        <v>84.78</v>
      </c>
    </row>
    <row r="3557" spans="15:17" x14ac:dyDescent="0.2">
      <c r="O3557" s="9">
        <v>7518</v>
      </c>
      <c r="P3557" s="169" t="s">
        <v>17879</v>
      </c>
      <c r="Q3557" s="9">
        <v>94.37</v>
      </c>
    </row>
    <row r="3558" spans="15:17" x14ac:dyDescent="0.2">
      <c r="O3558" s="9">
        <v>7519</v>
      </c>
      <c r="P3558" s="169" t="s">
        <v>17880</v>
      </c>
      <c r="Q3558" s="9">
        <v>103.81</v>
      </c>
    </row>
    <row r="3559" spans="15:17" x14ac:dyDescent="0.2">
      <c r="O3559" s="9" t="s">
        <v>17881</v>
      </c>
      <c r="P3559" s="169" t="s">
        <v>17882</v>
      </c>
      <c r="Q3559" s="9">
        <v>193</v>
      </c>
    </row>
    <row r="3560" spans="15:17" x14ac:dyDescent="0.2">
      <c r="O3560" s="9" t="s">
        <v>17883</v>
      </c>
      <c r="P3560" s="169" t="s">
        <v>17884</v>
      </c>
      <c r="Q3560" s="9">
        <v>256</v>
      </c>
    </row>
    <row r="3561" spans="15:17" x14ac:dyDescent="0.2">
      <c r="O3561" s="9" t="s">
        <v>17885</v>
      </c>
      <c r="P3561" s="169" t="s">
        <v>17886</v>
      </c>
      <c r="Q3561" s="9">
        <v>440</v>
      </c>
    </row>
    <row r="3562" spans="15:17" x14ac:dyDescent="0.2">
      <c r="O3562" s="9" t="s">
        <v>17887</v>
      </c>
      <c r="P3562" s="169" t="s">
        <v>17888</v>
      </c>
      <c r="Q3562" s="9">
        <v>440</v>
      </c>
    </row>
    <row r="3563" spans="15:17" x14ac:dyDescent="0.2">
      <c r="O3563" s="9" t="s">
        <v>17889</v>
      </c>
      <c r="P3563" s="169" t="s">
        <v>17890</v>
      </c>
      <c r="Q3563" s="9">
        <v>259.89999999999998</v>
      </c>
    </row>
    <row r="3564" spans="15:17" x14ac:dyDescent="0.2">
      <c r="O3564" s="9" t="s">
        <v>17891</v>
      </c>
      <c r="P3564" s="169" t="s">
        <v>17892</v>
      </c>
      <c r="Q3564" s="9">
        <v>259.89999999999998</v>
      </c>
    </row>
  </sheetData>
  <mergeCells count="1">
    <mergeCell ref="A1:C1"/>
  </mergeCells>
  <phoneticPr fontId="11" type="noConversion"/>
  <dataValidations count="2">
    <dataValidation type="list" allowBlank="1" showInputMessage="1" showErrorMessage="1" sqref="G42:G55 F50:F55" xr:uid="{BA77C082-1E74-408E-A26B-F768A615B7F6}">
      <formula1>$J$2:$J$10</formula1>
    </dataValidation>
    <dataValidation type="list" allowBlank="1" showInputMessage="1" showErrorMessage="1" sqref="J18 F3:F49" xr:uid="{374609C8-A5CB-412A-8E3C-2930289622A1}">
      <formula1>$J$2:$J$12</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CFC1A-7AAC-494E-AE79-23C9EE67AE25}">
  <sheetPr codeName="Hoja15"/>
  <dimension ref="A1:L23"/>
  <sheetViews>
    <sheetView zoomScale="130" zoomScaleNormal="130" zoomScaleSheetLayoutView="325" zoomScalePageLayoutView="265" workbookViewId="0">
      <pane ySplit="1" topLeftCell="A2" activePane="bottomLeft" state="frozen"/>
      <selection activeCell="I12" sqref="I12"/>
      <selection pane="bottomLeft" activeCell="D25" sqref="D25"/>
    </sheetView>
  </sheetViews>
  <sheetFormatPr baseColWidth="10" defaultColWidth="11.42578125" defaultRowHeight="12.75" x14ac:dyDescent="0.2"/>
  <cols>
    <col min="1" max="1" width="24.28515625" customWidth="1"/>
    <col min="2" max="2" width="26.85546875" customWidth="1"/>
    <col min="3" max="3" width="11.7109375" bestFit="1" customWidth="1"/>
    <col min="4" max="4" width="18.5703125" customWidth="1"/>
    <col min="5" max="5" width="11.7109375" bestFit="1" customWidth="1"/>
    <col min="6" max="6" width="16.5703125" bestFit="1" customWidth="1"/>
    <col min="7" max="7" width="7.28515625" bestFit="1" customWidth="1"/>
    <col min="8" max="8" width="15" bestFit="1" customWidth="1"/>
    <col min="9" max="9" width="20" bestFit="1" customWidth="1"/>
    <col min="10" max="10" width="1" customWidth="1"/>
    <col min="11" max="11" width="2" bestFit="1" customWidth="1"/>
  </cols>
  <sheetData>
    <row r="1" spans="1:12" ht="13.5" thickBot="1" x14ac:dyDescent="0.25">
      <c r="A1" s="602" t="s">
        <v>9008</v>
      </c>
      <c r="B1" s="603" t="s">
        <v>17893</v>
      </c>
      <c r="C1" s="603" t="s">
        <v>8324</v>
      </c>
      <c r="D1" s="603" t="s">
        <v>8323</v>
      </c>
      <c r="E1" s="604" t="s">
        <v>17894</v>
      </c>
      <c r="F1" s="77" t="s">
        <v>3</v>
      </c>
      <c r="G1" s="486" t="s">
        <v>17895</v>
      </c>
    </row>
    <row r="2" spans="1:12" x14ac:dyDescent="0.2">
      <c r="A2" s="53" t="s">
        <v>7192</v>
      </c>
      <c r="B2" s="179">
        <v>10</v>
      </c>
      <c r="C2" s="179">
        <v>30</v>
      </c>
      <c r="D2" s="179">
        <v>49</v>
      </c>
      <c r="E2" s="94">
        <v>20</v>
      </c>
      <c r="F2" s="201">
        <v>7790</v>
      </c>
      <c r="G2" s="484">
        <v>5</v>
      </c>
      <c r="H2" s="487">
        <v>22</v>
      </c>
      <c r="I2" t="str">
        <f>+K2&amp;" - "&amp;C2&amp;"x"&amp;D2&amp;"x"&amp;B2&amp;" - Esp. "&amp;E2</f>
        <v>1 - 30x49x10 - Esp. 20</v>
      </c>
      <c r="K2">
        <v>1</v>
      </c>
      <c r="L2">
        <f>+F2*1.5</f>
        <v>11685</v>
      </c>
    </row>
    <row r="3" spans="1:12" x14ac:dyDescent="0.2">
      <c r="A3" s="53" t="s">
        <v>17896</v>
      </c>
      <c r="B3" s="179">
        <v>10</v>
      </c>
      <c r="C3" s="179">
        <v>30</v>
      </c>
      <c r="D3" s="179">
        <v>49</v>
      </c>
      <c r="E3" s="94">
        <v>24</v>
      </c>
      <c r="F3" s="201">
        <v>7790</v>
      </c>
      <c r="G3" s="484">
        <v>5</v>
      </c>
      <c r="H3" s="487">
        <v>22</v>
      </c>
      <c r="I3" t="str">
        <f>+K3&amp;" - "&amp;C3&amp;"x"&amp;D3&amp;"x"&amp;B3&amp;" - Esp. "&amp;E3</f>
        <v>8 - 30x49x10 - Esp. 24</v>
      </c>
      <c r="K3">
        <v>8</v>
      </c>
      <c r="L3">
        <f t="shared" ref="L3:L9" si="0">+F3*1.5</f>
        <v>11685</v>
      </c>
    </row>
    <row r="4" spans="1:12" x14ac:dyDescent="0.2">
      <c r="A4" s="49" t="s">
        <v>7195</v>
      </c>
      <c r="B4" s="177">
        <v>8</v>
      </c>
      <c r="C4" s="177">
        <v>25</v>
      </c>
      <c r="D4" s="177">
        <v>42</v>
      </c>
      <c r="E4" s="15">
        <v>20</v>
      </c>
      <c r="F4" s="201">
        <v>6300</v>
      </c>
      <c r="G4" s="484">
        <v>11</v>
      </c>
      <c r="H4" s="487"/>
      <c r="I4" t="str">
        <f t="shared" ref="I4:I9" si="1">+K4&amp;" - "&amp;C4&amp;"x"&amp;D4&amp;"x"&amp;B4&amp;" - Esp. "&amp;E4</f>
        <v>2 - 25x42x8 - Esp. 20</v>
      </c>
      <c r="K4">
        <v>2</v>
      </c>
      <c r="L4">
        <f t="shared" si="0"/>
        <v>9450</v>
      </c>
    </row>
    <row r="5" spans="1:12" x14ac:dyDescent="0.2">
      <c r="A5" s="49" t="s">
        <v>7198</v>
      </c>
      <c r="B5" s="177">
        <v>8</v>
      </c>
      <c r="C5" s="177">
        <v>25</v>
      </c>
      <c r="D5" s="177">
        <v>42</v>
      </c>
      <c r="E5" s="15">
        <v>24</v>
      </c>
      <c r="F5" s="201">
        <v>6300</v>
      </c>
      <c r="G5" s="484">
        <v>4</v>
      </c>
      <c r="H5" s="488">
        <v>15</v>
      </c>
      <c r="I5" t="str">
        <f t="shared" si="1"/>
        <v>3 - 25x42x8 - Esp. 24</v>
      </c>
      <c r="K5">
        <v>3</v>
      </c>
      <c r="L5">
        <f t="shared" si="0"/>
        <v>9450</v>
      </c>
    </row>
    <row r="6" spans="1:12" x14ac:dyDescent="0.2">
      <c r="A6" s="49" t="s">
        <v>7201</v>
      </c>
      <c r="B6" s="177">
        <v>7</v>
      </c>
      <c r="C6" s="177">
        <v>25</v>
      </c>
      <c r="D6" s="177">
        <v>42</v>
      </c>
      <c r="E6" s="15">
        <v>30</v>
      </c>
      <c r="F6" s="201">
        <v>5864</v>
      </c>
      <c r="G6" s="484">
        <v>21</v>
      </c>
      <c r="H6" s="487"/>
      <c r="I6" t="str">
        <f t="shared" si="1"/>
        <v>4 - 25x42x7 - Esp. 30</v>
      </c>
      <c r="K6">
        <v>4</v>
      </c>
      <c r="L6">
        <f t="shared" si="0"/>
        <v>8796</v>
      </c>
    </row>
    <row r="7" spans="1:12" x14ac:dyDescent="0.2">
      <c r="A7" s="49" t="s">
        <v>7204</v>
      </c>
      <c r="B7" s="177">
        <v>7</v>
      </c>
      <c r="C7" s="177">
        <v>25</v>
      </c>
      <c r="D7" s="177">
        <v>42</v>
      </c>
      <c r="E7" s="15">
        <v>35</v>
      </c>
      <c r="F7" s="201">
        <v>5864</v>
      </c>
      <c r="G7" s="484">
        <v>4</v>
      </c>
      <c r="H7" s="487">
        <v>30</v>
      </c>
      <c r="I7" t="str">
        <f t="shared" si="1"/>
        <v>5 - 25x42x7 - Esp. 35</v>
      </c>
      <c r="K7">
        <v>5</v>
      </c>
      <c r="L7">
        <f t="shared" si="0"/>
        <v>8796</v>
      </c>
    </row>
    <row r="8" spans="1:12" x14ac:dyDescent="0.2">
      <c r="A8" s="49" t="s">
        <v>7207</v>
      </c>
      <c r="B8" s="177">
        <v>5</v>
      </c>
      <c r="C8" s="177">
        <v>25</v>
      </c>
      <c r="D8" s="177">
        <v>42</v>
      </c>
      <c r="E8" s="15">
        <v>35</v>
      </c>
      <c r="F8" s="201">
        <v>5494</v>
      </c>
      <c r="G8" s="484">
        <v>8</v>
      </c>
      <c r="H8" s="487">
        <v>30</v>
      </c>
      <c r="I8" t="str">
        <f t="shared" si="1"/>
        <v>6 - 25x42x5 - Esp. 35</v>
      </c>
      <c r="K8">
        <v>6</v>
      </c>
      <c r="L8">
        <f t="shared" si="0"/>
        <v>8241</v>
      </c>
    </row>
    <row r="9" spans="1:12" x14ac:dyDescent="0.2">
      <c r="A9" s="75" t="s">
        <v>7210</v>
      </c>
      <c r="B9" s="281">
        <v>7</v>
      </c>
      <c r="C9" s="281">
        <v>25</v>
      </c>
      <c r="D9" s="281">
        <v>49</v>
      </c>
      <c r="E9" s="282">
        <v>40</v>
      </c>
      <c r="F9" s="201">
        <v>6300</v>
      </c>
      <c r="G9" s="484">
        <v>5</v>
      </c>
      <c r="H9" s="488">
        <v>15</v>
      </c>
      <c r="I9" t="str">
        <f t="shared" si="1"/>
        <v>7 - 25x49x7 - Esp. 40</v>
      </c>
      <c r="K9">
        <v>7</v>
      </c>
      <c r="L9">
        <f t="shared" si="0"/>
        <v>9450</v>
      </c>
    </row>
    <row r="10" spans="1:12" x14ac:dyDescent="0.2">
      <c r="A10" s="75" t="s">
        <v>17897</v>
      </c>
      <c r="B10" s="281">
        <v>105</v>
      </c>
      <c r="C10" s="281">
        <v>45.5</v>
      </c>
      <c r="D10" s="281">
        <v>25</v>
      </c>
      <c r="E10" s="282" t="s">
        <v>17898</v>
      </c>
      <c r="F10" s="201">
        <v>25000</v>
      </c>
      <c r="G10" s="484"/>
      <c r="H10" s="487"/>
    </row>
    <row r="11" spans="1:12" x14ac:dyDescent="0.2">
      <c r="A11" s="75" t="s">
        <v>17899</v>
      </c>
      <c r="B11" s="281">
        <v>105</v>
      </c>
      <c r="C11" s="281">
        <v>45.5</v>
      </c>
      <c r="D11" s="281">
        <v>25</v>
      </c>
      <c r="E11" s="282" t="s">
        <v>17900</v>
      </c>
      <c r="F11" s="201">
        <v>25000</v>
      </c>
      <c r="G11" s="484"/>
      <c r="H11" s="487"/>
    </row>
    <row r="12" spans="1:12" x14ac:dyDescent="0.2">
      <c r="A12" s="75" t="s">
        <v>17901</v>
      </c>
      <c r="B12" s="281">
        <v>105</v>
      </c>
      <c r="C12" s="281">
        <v>55</v>
      </c>
      <c r="D12" s="281">
        <v>30</v>
      </c>
      <c r="E12" s="282" t="s">
        <v>17902</v>
      </c>
      <c r="F12" s="201">
        <v>25000</v>
      </c>
      <c r="G12" s="484"/>
      <c r="H12" s="487"/>
    </row>
    <row r="13" spans="1:12" ht="13.5" thickBot="1" x14ac:dyDescent="0.25">
      <c r="A13" s="50" t="s">
        <v>4463</v>
      </c>
      <c r="B13" s="178" t="s">
        <v>4463</v>
      </c>
      <c r="C13" s="178" t="s">
        <v>4463</v>
      </c>
      <c r="D13" s="178" t="s">
        <v>4463</v>
      </c>
      <c r="E13" s="16" t="s">
        <v>4463</v>
      </c>
      <c r="F13" s="202">
        <v>0</v>
      </c>
      <c r="G13" s="485"/>
      <c r="H13" s="487"/>
    </row>
    <row r="14" spans="1:12" ht="13.5" thickBot="1" x14ac:dyDescent="0.25">
      <c r="A14" s="1461" t="s">
        <v>17903</v>
      </c>
      <c r="B14" s="1462"/>
      <c r="C14" s="1463"/>
      <c r="F14" s="61">
        <f>+SUM(F16:F23)</f>
        <v>657260</v>
      </c>
    </row>
    <row r="15" spans="1:12" ht="13.5" thickBot="1" x14ac:dyDescent="0.25">
      <c r="A15" s="175" t="s">
        <v>9008</v>
      </c>
      <c r="B15" s="286" t="s">
        <v>8977</v>
      </c>
      <c r="C15" s="176" t="s">
        <v>8322</v>
      </c>
      <c r="F15" s="61"/>
    </row>
    <row r="16" spans="1:12" s="285" customFormat="1" ht="15" x14ac:dyDescent="0.2">
      <c r="A16" s="49" t="s">
        <v>7204</v>
      </c>
      <c r="B16" s="583" t="str">
        <f t="shared" ref="B16:B23" si="2">+VLOOKUP(A16,$A$2:$F$13,3,0)&amp;"x"&amp;VLOOKUP(A16,$A$2:$F$13,4,0)&amp;"x"&amp;VLOOKUP(A16,$A$2:$F$13,2,0)&amp;" con "&amp;VLOOKUP(A16,$A$2:$F$13,5,0)&amp;" Div."</f>
        <v>25x42x7 con 35 Div.</v>
      </c>
      <c r="C16" s="283">
        <v>40</v>
      </c>
      <c r="F16" s="284">
        <f t="shared" ref="F16:F23" si="3">+VLOOKUP(A16,$A$1:$F$13,6,0)*C16</f>
        <v>234560</v>
      </c>
      <c r="G16" s="483"/>
    </row>
    <row r="17" spans="1:7" ht="15" x14ac:dyDescent="0.2">
      <c r="A17" s="49" t="s">
        <v>7198</v>
      </c>
      <c r="B17" s="583" t="str">
        <f t="shared" si="2"/>
        <v>25x42x8 con 24 Div.</v>
      </c>
      <c r="C17" s="283">
        <v>30</v>
      </c>
      <c r="F17" s="284">
        <f t="shared" si="3"/>
        <v>189000</v>
      </c>
      <c r="G17" s="483"/>
    </row>
    <row r="18" spans="1:7" ht="15" x14ac:dyDescent="0.2">
      <c r="A18" s="49" t="s">
        <v>17896</v>
      </c>
      <c r="B18" s="583" t="str">
        <f>+VLOOKUP(A18,$A$2:$F$13,3,0)&amp;"x"&amp;VLOOKUP(A18,$A$2:$F$13,4,0)&amp;"x"&amp;VLOOKUP(A18,$A$2:$F$13,2,0)&amp;" con "&amp;VLOOKUP(A18,$A$2:$F$13,5,0)&amp;" Div."</f>
        <v>30x49x10 con 24 Div.</v>
      </c>
      <c r="C18" s="283">
        <v>30</v>
      </c>
      <c r="D18" s="221"/>
      <c r="F18" s="284">
        <f t="shared" si="3"/>
        <v>233700</v>
      </c>
      <c r="G18" s="483"/>
    </row>
    <row r="19" spans="1:7" ht="15" x14ac:dyDescent="0.2">
      <c r="A19" s="585" t="s">
        <v>4463</v>
      </c>
      <c r="B19" s="583" t="str">
        <f>+VLOOKUP(A19,$A$2:$F$13,3,0)&amp;"x"&amp;VLOOKUP(A19,$A$2:$F$13,4,0)&amp;"x"&amp;VLOOKUP(A19,$A$2:$F$13,2,0)&amp;" con "&amp;VLOOKUP(A19,$A$2:$F$13,5,0)&amp;" Div."</f>
        <v>-x-x- con - Div.</v>
      </c>
      <c r="C19" s="283">
        <v>0</v>
      </c>
      <c r="D19" s="81"/>
      <c r="F19" s="284">
        <f t="shared" si="3"/>
        <v>0</v>
      </c>
      <c r="G19" s="483"/>
    </row>
    <row r="20" spans="1:7" ht="15" x14ac:dyDescent="0.2">
      <c r="A20" s="585" t="s">
        <v>4463</v>
      </c>
      <c r="B20" s="583" t="str">
        <f t="shared" si="2"/>
        <v>-x-x- con - Div.</v>
      </c>
      <c r="C20" s="283">
        <v>0</v>
      </c>
      <c r="F20" s="284">
        <f t="shared" si="3"/>
        <v>0</v>
      </c>
      <c r="G20" s="483"/>
    </row>
    <row r="21" spans="1:7" ht="15" x14ac:dyDescent="0.2">
      <c r="A21" s="585" t="s">
        <v>4463</v>
      </c>
      <c r="B21" s="583" t="str">
        <f t="shared" si="2"/>
        <v>-x-x- con - Div.</v>
      </c>
      <c r="C21" s="283">
        <v>0</v>
      </c>
      <c r="F21" s="284">
        <f t="shared" si="3"/>
        <v>0</v>
      </c>
      <c r="G21" s="483"/>
    </row>
    <row r="22" spans="1:7" ht="15" x14ac:dyDescent="0.2">
      <c r="A22" s="585" t="s">
        <v>4463</v>
      </c>
      <c r="B22" s="583" t="str">
        <f t="shared" si="2"/>
        <v>-x-x- con - Div.</v>
      </c>
      <c r="C22" s="283">
        <v>0</v>
      </c>
      <c r="F22" s="284">
        <f t="shared" si="3"/>
        <v>0</v>
      </c>
      <c r="G22" s="483"/>
    </row>
    <row r="23" spans="1:7" ht="15.75" thickBot="1" x14ac:dyDescent="0.25">
      <c r="A23" s="586" t="s">
        <v>4463</v>
      </c>
      <c r="B23" s="584" t="str">
        <f t="shared" si="2"/>
        <v>-x-x- con - Div.</v>
      </c>
      <c r="C23" s="430">
        <v>0</v>
      </c>
      <c r="F23" s="284">
        <f t="shared" si="3"/>
        <v>0</v>
      </c>
      <c r="G23" s="483"/>
    </row>
  </sheetData>
  <mergeCells count="1">
    <mergeCell ref="A14:C14"/>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0729C-4FDE-4DEA-88AE-5619FECE5521}">
  <sheetPr codeName="Hoja16"/>
  <dimension ref="A1:Q70"/>
  <sheetViews>
    <sheetView view="pageBreakPreview" zoomScale="145" zoomScaleNormal="175" zoomScaleSheetLayoutView="145" workbookViewId="0">
      <pane ySplit="2" topLeftCell="A3" activePane="bottomLeft" state="frozen"/>
      <selection activeCell="I12" sqref="I12"/>
      <selection pane="bottomLeft" activeCell="F17" sqref="F17"/>
    </sheetView>
  </sheetViews>
  <sheetFormatPr baseColWidth="10" defaultColWidth="11.42578125" defaultRowHeight="12.75" x14ac:dyDescent="0.2"/>
  <cols>
    <col min="1" max="1" width="19.28515625" customWidth="1"/>
    <col min="2" max="2" width="18.28515625" customWidth="1"/>
    <col min="3" max="3" width="2.28515625" customWidth="1"/>
    <col min="4" max="4" width="17.85546875" bestFit="1" customWidth="1"/>
    <col min="6" max="6" width="14.7109375" customWidth="1"/>
    <col min="7" max="7" width="18" bestFit="1" customWidth="1"/>
    <col min="8" max="8" width="10.5703125" bestFit="1" customWidth="1"/>
    <col min="9" max="9" width="23.7109375" bestFit="1" customWidth="1"/>
    <col min="10" max="10" width="48.85546875" bestFit="1" customWidth="1"/>
    <col min="11" max="11" width="13" customWidth="1"/>
    <col min="12" max="12" width="26.5703125" bestFit="1" customWidth="1"/>
    <col min="13" max="13" width="14.28515625" customWidth="1"/>
    <col min="14" max="14" width="14" customWidth="1"/>
  </cols>
  <sheetData>
    <row r="1" spans="1:17" s="37" customFormat="1" ht="15.75" thickBot="1" x14ac:dyDescent="0.25">
      <c r="A1" s="1522" t="s">
        <v>17904</v>
      </c>
      <c r="B1" s="1522"/>
      <c r="D1" s="606" t="s">
        <v>17905</v>
      </c>
      <c r="F1" s="72">
        <f>+SUM(F3:F23)</f>
        <v>963057.23999999987</v>
      </c>
      <c r="G1" s="267">
        <f>+F1*1.21</f>
        <v>1165299.2603999998</v>
      </c>
      <c r="H1" s="267"/>
      <c r="I1" s="1520" t="s">
        <v>5634</v>
      </c>
      <c r="J1" s="1521"/>
      <c r="K1" s="1521"/>
      <c r="M1" s="37" t="s">
        <v>17906</v>
      </c>
      <c r="P1" s="37" t="s">
        <v>4624</v>
      </c>
      <c r="Q1" s="37" t="s">
        <v>4624</v>
      </c>
    </row>
    <row r="2" spans="1:17" s="38" customFormat="1" ht="15.75" thickBot="1" x14ac:dyDescent="0.3">
      <c r="A2" s="448" t="s">
        <v>17907</v>
      </c>
      <c r="B2" s="1090" t="s">
        <v>8753</v>
      </c>
      <c r="D2" s="605" t="s">
        <v>8799</v>
      </c>
      <c r="E2" s="160" t="s">
        <v>8754</v>
      </c>
      <c r="F2" s="160" t="s">
        <v>8162</v>
      </c>
      <c r="G2" s="478" t="s">
        <v>17908</v>
      </c>
      <c r="H2" s="478" t="s">
        <v>8774</v>
      </c>
      <c r="I2" s="160" t="s">
        <v>17907</v>
      </c>
      <c r="J2" s="160" t="s">
        <v>17909</v>
      </c>
      <c r="K2" s="160" t="s">
        <v>8753</v>
      </c>
      <c r="L2" s="160" t="s">
        <v>8799</v>
      </c>
      <c r="M2" s="160" t="s">
        <v>8177</v>
      </c>
      <c r="N2" s="160" t="s">
        <v>8164</v>
      </c>
      <c r="P2" s="479" t="s">
        <v>17910</v>
      </c>
      <c r="Q2" s="476">
        <v>0.66</v>
      </c>
    </row>
    <row r="3" spans="1:17" s="38" customFormat="1" ht="14.25" x14ac:dyDescent="0.2">
      <c r="A3" s="4" t="str">
        <f>+IFERROR(INDEX(I:I,MATCH(D3,L:L,0),1),"-")</f>
        <v>B-01-018</v>
      </c>
      <c r="B3" s="247">
        <f>+VLOOKUP(Tabla20[[#This Row],[CÓDIGO]],Tabla3[[#Data],[#Totals],[CÓDIGO]:[CANTIDAD]],3,0)</f>
        <v>200</v>
      </c>
      <c r="D3" s="4" t="s">
        <v>5479</v>
      </c>
      <c r="E3" s="425">
        <f>+IFERROR(VLOOKUP(D3,Tabla3[[Nº]:[Importe]],2,0),0)</f>
        <v>321.98860000000002</v>
      </c>
      <c r="F3" s="425">
        <f>+E3*Tabla20[[#This Row],[CANTIDAD]]</f>
        <v>64397.72</v>
      </c>
      <c r="G3" s="425">
        <f>+IFERROR(VLOOKUP(D3,$L$3:$Q$52,6,0),0)</f>
        <v>424.98639999999995</v>
      </c>
      <c r="H3" s="477">
        <f t="shared" ref="H3:H13" si="0">IFERROR(+G3/E3-1,0)</f>
        <v>0.3198802690530036</v>
      </c>
      <c r="I3" s="182" t="s">
        <v>5636</v>
      </c>
      <c r="J3" s="182" t="s">
        <v>5637</v>
      </c>
      <c r="K3" s="184">
        <f>+IFERROR(LEFT(RIGHT(Tabla3[[#This Row],[DESCRIPCIÒN]],4),3)+0,0)</f>
        <v>300</v>
      </c>
      <c r="L3" s="4" t="s">
        <v>5474</v>
      </c>
      <c r="M3" s="185">
        <f>+_xlfn.XLOOKUP("ESPARRAGOS DE ACERO"&amp;Tabla3[[#This Row],[Nº]],CODIGOS_Y_COSTOS[ID],CODIGOS_Y_COSTOS[COSTO],0,0)</f>
        <v>321.98860000000002</v>
      </c>
      <c r="N3" s="187">
        <f>+Tabla3[[#This Row],[Importe]]*Tabla3[[#This Row],[CANTIDAD]]</f>
        <v>96596.58</v>
      </c>
      <c r="P3" s="38">
        <f>+_xlfn.XLOOKUP("ESPARRAGOS DE ACERO"&amp;Tabla3[[#This Row],[Nº]],CODIGOS_Y_COSTOS[ID],CODIGOS_Y_COSTOS[Precio],0,0)</f>
        <v>1529.01</v>
      </c>
      <c r="Q3" s="396">
        <f t="shared" ref="Q3:Q34" si="1">+(1-$Q$2)*P3</f>
        <v>519.86339999999996</v>
      </c>
    </row>
    <row r="4" spans="1:17" s="4" customFormat="1" ht="14.25" x14ac:dyDescent="0.2">
      <c r="A4" s="4" t="str">
        <f>+IFERROR(INDEX(I:I,MATCH(D4,L:L,0),1),"-")</f>
        <v>B-01-020</v>
      </c>
      <c r="B4" s="247">
        <f>+VLOOKUP(Tabla20[[#This Row],[CÓDIGO]],Tabla3[[#Data],[#Totals],[CÓDIGO]:[CANTIDAD]],3,0)</f>
        <v>200</v>
      </c>
      <c r="D4" s="4" t="s">
        <v>5390</v>
      </c>
      <c r="E4" s="425">
        <f>+IFERROR(VLOOKUP(D4,Tabla3[[Nº]:[Importe]],2,0),0)</f>
        <v>321.98860000000002</v>
      </c>
      <c r="F4" s="425">
        <f>+E4*Tabla20[[#This Row],[CANTIDAD]]</f>
        <v>64397.72</v>
      </c>
      <c r="G4" s="425">
        <f>+IFERROR(VLOOKUP(D4,$L$3:$Q$52,6,0),0)</f>
        <v>519.86339999999996</v>
      </c>
      <c r="H4" s="477">
        <f t="shared" si="0"/>
        <v>0.61453976942040778</v>
      </c>
      <c r="I4" s="182" t="s">
        <v>5639</v>
      </c>
      <c r="J4" s="182" t="s">
        <v>5640</v>
      </c>
      <c r="K4" s="184">
        <f>+IFERROR(LEFT(RIGHT(Tabla3[[#This Row],[DESCRIPCIÒN]],4),3)+0,0)</f>
        <v>200</v>
      </c>
      <c r="L4" s="4" t="s">
        <v>5386</v>
      </c>
      <c r="M4" s="185">
        <f>+_xlfn.XLOOKUP("ESPARRAGOS DE ACERO"&amp;Tabla3[[#This Row],[Nº]],CODIGOS_Y_COSTOS[ID],CODIGOS_Y_COSTOS[COSTO],0,0)</f>
        <v>321.98860000000002</v>
      </c>
      <c r="N4" s="188">
        <f>+Tabla3[[#This Row],[Importe]]*Tabla3[[#This Row],[CANTIDAD]]</f>
        <v>64397.72</v>
      </c>
      <c r="P4" s="38">
        <f>+_xlfn.XLOOKUP("ESPARRAGOS DE ACERO"&amp;Tabla3[[#This Row],[Nº]],CODIGOS_Y_COSTOS[ID],CODIGOS_Y_COSTOS[Precio],0,0)</f>
        <v>1529.01</v>
      </c>
      <c r="Q4" s="396">
        <f t="shared" si="1"/>
        <v>519.86339999999996</v>
      </c>
    </row>
    <row r="5" spans="1:17" s="4" customFormat="1" ht="14.25" x14ac:dyDescent="0.2">
      <c r="A5" s="4" t="str">
        <f>+IFERROR(INDEX(I:I,MATCH(D5,L:L,0),1),"-")</f>
        <v>B-01-038</v>
      </c>
      <c r="B5" s="247">
        <f>+VLOOKUP(Tabla20[[#This Row],[CÓDIGO]],Tabla3[[#Data],[#Totals],[CÓDIGO]:[CANTIDAD]],3,0)</f>
        <v>100</v>
      </c>
      <c r="D5" s="4" t="s">
        <v>5667</v>
      </c>
      <c r="E5" s="425">
        <f>+IFERROR(VLOOKUP(D5,Tabla3[[Nº]:[Importe]],2,0),0)</f>
        <v>689.35500000000002</v>
      </c>
      <c r="F5" s="425">
        <f>+E5*Tabla20[[#This Row],[CANTIDAD]]</f>
        <v>68935.5</v>
      </c>
      <c r="G5" s="425">
        <f>+IFERROR(VLOOKUP(D5,$L$3:$Q$52,6,0),0)</f>
        <v>1112.9865999999997</v>
      </c>
      <c r="H5" s="477">
        <f t="shared" si="0"/>
        <v>0.61453329561691672</v>
      </c>
      <c r="I5" s="182" t="s">
        <v>5642</v>
      </c>
      <c r="J5" s="182" t="s">
        <v>5643</v>
      </c>
      <c r="K5" s="184">
        <f>+IFERROR(LEFT(RIGHT(Tabla3[[#This Row],[DESCRIPCIÒN]],4),3)+0,0)</f>
        <v>200</v>
      </c>
      <c r="L5" s="4" t="s">
        <v>5479</v>
      </c>
      <c r="M5" s="185">
        <f>+_xlfn.XLOOKUP("ESPARRAGOS DE ACERO"&amp;Tabla3[[#This Row],[Nº]],CODIGOS_Y_COSTOS[ID],CODIGOS_Y_COSTOS[COSTO],0,0)</f>
        <v>321.98860000000002</v>
      </c>
      <c r="N5" s="188">
        <f>+Tabla3[[#This Row],[Importe]]*Tabla3[[#This Row],[CANTIDAD]]</f>
        <v>64397.72</v>
      </c>
      <c r="P5" s="38">
        <f>+_xlfn.XLOOKUP("ESPARRAGOS DE ACERO"&amp;Tabla3[[#This Row],[Nº]],CODIGOS_Y_COSTOS[ID],CODIGOS_Y_COSTOS[Precio],0,0)</f>
        <v>1249.96</v>
      </c>
      <c r="Q5" s="396">
        <f t="shared" si="1"/>
        <v>424.98639999999995</v>
      </c>
    </row>
    <row r="6" spans="1:17" s="4" customFormat="1" ht="14.25" x14ac:dyDescent="0.2">
      <c r="A6" s="4" t="str">
        <f>+IFERROR(INDEX(I:I,MATCH(D6,L:L,0),1),"-")</f>
        <v>B-01-064</v>
      </c>
      <c r="B6" s="247">
        <f>+VLOOKUP(Tabla20[[#This Row],[CÓDIGO]],Tabla3[[#Data],[#Totals],[CÓDIGO]:[CANTIDAD]],3,0)</f>
        <v>100</v>
      </c>
      <c r="D6" s="4" t="s">
        <v>5688</v>
      </c>
      <c r="E6" s="425">
        <f>+IFERROR(VLOOKUP(D6,Tabla3[[Nº]:[Importe]],2,0),0)</f>
        <v>628.27089999999998</v>
      </c>
      <c r="F6" s="425">
        <f>+E6*Tabla20[[#This Row],[CANTIDAD]]</f>
        <v>62827.09</v>
      </c>
      <c r="G6" s="425">
        <f>+IFERROR(VLOOKUP(D6,$L$3:$Q$52,6,0),0)</f>
        <v>1014.4579999999999</v>
      </c>
      <c r="H6" s="477">
        <f t="shared" si="0"/>
        <v>0.61468245624618278</v>
      </c>
      <c r="I6" s="182" t="s">
        <v>5645</v>
      </c>
      <c r="J6" s="182" t="s">
        <v>5646</v>
      </c>
      <c r="K6" s="184">
        <f>+IFERROR(LEFT(RIGHT(Tabla3[[#This Row],[DESCRIPCIÒN]],4),3)+0,0)</f>
        <v>200</v>
      </c>
      <c r="L6" s="4" t="s">
        <v>5390</v>
      </c>
      <c r="M6" s="185">
        <f>+_xlfn.XLOOKUP("ESPARRAGOS DE ACERO"&amp;Tabla3[[#This Row],[Nº]],CODIGOS_Y_COSTOS[ID],CODIGOS_Y_COSTOS[COSTO],0,0)</f>
        <v>321.98860000000002</v>
      </c>
      <c r="N6" s="188">
        <f>+Tabla3[[#This Row],[Importe]]*Tabla3[[#This Row],[CANTIDAD]]</f>
        <v>64397.72</v>
      </c>
      <c r="P6" s="38">
        <f>+_xlfn.XLOOKUP("ESPARRAGOS DE ACERO"&amp;Tabla3[[#This Row],[Nº]],CODIGOS_Y_COSTOS[ID],CODIGOS_Y_COSTOS[Precio],0,0)</f>
        <v>1529.01</v>
      </c>
      <c r="Q6" s="396">
        <f t="shared" si="1"/>
        <v>519.86339999999996</v>
      </c>
    </row>
    <row r="7" spans="1:17" s="4" customFormat="1" ht="14.25" x14ac:dyDescent="0.2">
      <c r="A7" s="4" t="str">
        <f t="shared" ref="A7:A23" si="2">+IFERROR(INDEX(I:I,MATCH(D7,L:L,0),1),"-")</f>
        <v>B-01-084</v>
      </c>
      <c r="B7" s="247">
        <f>+VLOOKUP(Tabla20[[#This Row],[CÓDIGO]],Tabla3[[#Data],[#Totals],[CÓDIGO]:[CANTIDAD]],3,0)</f>
        <v>200</v>
      </c>
      <c r="D7" s="4" t="s">
        <v>5498</v>
      </c>
      <c r="E7" s="425">
        <f>+IFERROR(VLOOKUP(D7,Tabla3[[Nº]:[Importe]],2,0),0)</f>
        <v>381.3227</v>
      </c>
      <c r="F7" s="425">
        <f>+E7*Tabla20[[#This Row],[CANTIDAD]]</f>
        <v>76264.539999999994</v>
      </c>
      <c r="G7" s="425">
        <f t="shared" ref="G7:G23" si="3">+IFERROR(VLOOKUP(D7,$L$3:$Q$52,6,0),0)</f>
        <v>503.30199999999996</v>
      </c>
      <c r="H7" s="477">
        <f t="shared" si="0"/>
        <v>0.319884706575297</v>
      </c>
      <c r="I7" s="182" t="s">
        <v>5648</v>
      </c>
      <c r="J7" s="182" t="s">
        <v>5649</v>
      </c>
      <c r="K7" s="184">
        <f>+IFERROR(LEFT(RIGHT(Tabla3[[#This Row],[DESCRIPCIÒN]],4),3)+0,0)</f>
        <v>200</v>
      </c>
      <c r="L7" s="4" t="s">
        <v>5484</v>
      </c>
      <c r="M7" s="185">
        <f>+_xlfn.XLOOKUP("ESPARRAGOS DE ACERO"&amp;Tabla3[[#This Row],[Nº]],CODIGOS_Y_COSTOS[ID],CODIGOS_Y_COSTOS[COSTO],0,0)</f>
        <v>321.98860000000002</v>
      </c>
      <c r="N7" s="188">
        <f>+Tabla3[[#This Row],[Importe]]*Tabla3[[#This Row],[CANTIDAD]]</f>
        <v>64397.72</v>
      </c>
      <c r="P7" s="38">
        <f>+_xlfn.XLOOKUP("ESPARRAGOS DE ACERO"&amp;Tabla3[[#This Row],[Nº]],CODIGOS_Y_COSTOS[ID],CODIGOS_Y_COSTOS[Precio],0,0)</f>
        <v>1529.01</v>
      </c>
      <c r="Q7" s="396">
        <f t="shared" si="1"/>
        <v>519.86339999999996</v>
      </c>
    </row>
    <row r="8" spans="1:17" s="4" customFormat="1" ht="14.25" x14ac:dyDescent="0.2">
      <c r="A8" s="4" t="str">
        <f>+IFERROR(INDEX(I:I,MATCH(D8,L:L,0),1),"-")</f>
        <v>B-01-094</v>
      </c>
      <c r="B8" s="247">
        <f>+VLOOKUP(Tabla20[[#This Row],[CÓDIGO]],Tabla3[[#Data],[#Totals],[CÓDIGO]:[CANTIDAD]],3,0)</f>
        <v>100</v>
      </c>
      <c r="D8" s="4" t="s">
        <v>5434</v>
      </c>
      <c r="E8" s="425">
        <f>+IFERROR(VLOOKUP(D8,Tabla3[[Nº]:[Importe]],2,0),0)</f>
        <v>541.01110000000006</v>
      </c>
      <c r="F8" s="425">
        <f>+E8*Tabla20[[#This Row],[CANTIDAD]]</f>
        <v>54101.110000000008</v>
      </c>
      <c r="G8" s="425">
        <f t="shared" si="3"/>
        <v>873.35459999999989</v>
      </c>
      <c r="H8" s="477">
        <f t="shared" si="0"/>
        <v>0.61430070473600229</v>
      </c>
      <c r="I8" s="182" t="s">
        <v>5651</v>
      </c>
      <c r="J8" s="182" t="s">
        <v>5652</v>
      </c>
      <c r="K8" s="184">
        <f>+IFERROR(LEFT(RIGHT(Tabla3[[#This Row],[DESCRIPCIÒN]],4),3)+0,0)</f>
        <v>100</v>
      </c>
      <c r="L8" s="4" t="s">
        <v>5394</v>
      </c>
      <c r="M8" s="185">
        <f>+_xlfn.XLOOKUP("ESPARRAGOS DE ACERO"&amp;Tabla3[[#This Row],[Nº]],CODIGOS_Y_COSTOS[ID],CODIGOS_Y_COSTOS[COSTO],0,0)</f>
        <v>345.54809999999998</v>
      </c>
      <c r="N8" s="188">
        <f>+Tabla3[[#This Row],[Importe]]*Tabla3[[#This Row],[CANTIDAD]]</f>
        <v>34554.81</v>
      </c>
      <c r="P8" s="38">
        <f>+_xlfn.XLOOKUP("ESPARRAGOS DE ACERO"&amp;Tabla3[[#This Row],[Nº]],CODIGOS_Y_COSTOS[ID],CODIGOS_Y_COSTOS[Precio],0,0)</f>
        <v>1529.01</v>
      </c>
      <c r="Q8" s="396">
        <f t="shared" si="1"/>
        <v>519.86339999999996</v>
      </c>
    </row>
    <row r="9" spans="1:17" s="4" customFormat="1" ht="14.25" x14ac:dyDescent="0.2">
      <c r="A9" s="4" t="str">
        <f>+IFERROR(INDEX(I:I,MATCH(D9,L:L,0),1),"-")</f>
        <v>B-01-128</v>
      </c>
      <c r="B9" s="247">
        <f>+VLOOKUP(Tabla20[[#This Row],[CÓDIGO]],Tabla3[[#Data],[#Totals],[CÓDIGO]:[CANTIDAD]],3,0)</f>
        <v>100</v>
      </c>
      <c r="D9" s="4" t="s">
        <v>5727</v>
      </c>
      <c r="E9" s="425">
        <f>+IFERROR(VLOOKUP(D9,Tabla3[[Nº]:[Importe]],2,0),0)</f>
        <v>532.28290000000004</v>
      </c>
      <c r="F9" s="425">
        <f>+E9*Tabla20[[#This Row],[CANTIDAD]]</f>
        <v>53228.29</v>
      </c>
      <c r="G9" s="425">
        <f t="shared" si="3"/>
        <v>859.49619999999982</v>
      </c>
      <c r="H9" s="477">
        <f t="shared" si="0"/>
        <v>0.61473569787795124</v>
      </c>
      <c r="I9" s="182" t="s">
        <v>5654</v>
      </c>
      <c r="J9" s="182" t="s">
        <v>5655</v>
      </c>
      <c r="K9" s="184">
        <f>+IFERROR(LEFT(RIGHT(Tabla3[[#This Row],[DESCRIPCIÒN]],4),3)+0,0)</f>
        <v>100</v>
      </c>
      <c r="L9" s="4" t="s">
        <v>5398</v>
      </c>
      <c r="M9" s="185">
        <f>+_xlfn.XLOOKUP("ESPARRAGOS DE ACERO"&amp;Tabla3[[#This Row],[Nº]],CODIGOS_Y_COSTOS[ID],CODIGOS_Y_COSTOS[COSTO],0,0)</f>
        <v>424.66460000000001</v>
      </c>
      <c r="N9" s="188">
        <f>+Tabla3[[#This Row],[Importe]]*Tabla3[[#This Row],[CANTIDAD]]</f>
        <v>42466.46</v>
      </c>
      <c r="P9" s="38">
        <f>+_xlfn.XLOOKUP("ESPARRAGOS DE ACERO"&amp;Tabla3[[#This Row],[Nº]],CODIGOS_Y_COSTOS[ID],CODIGOS_Y_COSTOS[Precio],0,0)</f>
        <v>2016.8</v>
      </c>
      <c r="Q9" s="396">
        <f t="shared" si="1"/>
        <v>685.71199999999988</v>
      </c>
    </row>
    <row r="10" spans="1:17" s="4" customFormat="1" ht="14.25" x14ac:dyDescent="0.2">
      <c r="A10" s="4" t="str">
        <f>+IFERROR(INDEX(I:I,MATCH(D10,L:L,0),1),"-")</f>
        <v>B-01-132</v>
      </c>
      <c r="B10" s="247">
        <f>+VLOOKUP(Tabla20[[#This Row],[CÓDIGO]],Tabla3[[#Data],[#Totals],[CÓDIGO]:[CANTIDAD]],3,0)</f>
        <v>100</v>
      </c>
      <c r="D10" s="4" t="s">
        <v>5731</v>
      </c>
      <c r="E10" s="425">
        <f>+IFERROR(VLOOKUP(D10,Tabla3[[Nº]:[Importe]],2,0),0)</f>
        <v>639.90560000000005</v>
      </c>
      <c r="F10" s="425">
        <f>+E10*Tabla20[[#This Row],[CANTIDAD]]</f>
        <v>63990.560000000005</v>
      </c>
      <c r="G10" s="425">
        <f t="shared" si="3"/>
        <v>1033.2803999999999</v>
      </c>
      <c r="H10" s="477">
        <f t="shared" si="0"/>
        <v>0.61473879897284811</v>
      </c>
      <c r="I10" s="182" t="s">
        <v>5657</v>
      </c>
      <c r="J10" s="182" t="s">
        <v>5658</v>
      </c>
      <c r="K10" s="184">
        <f>+IFERROR(LEFT(RIGHT(Tabla3[[#This Row],[DESCRIPCIÒN]],4),3)+0,0)</f>
        <v>100</v>
      </c>
      <c r="L10" s="4" t="s">
        <v>5402</v>
      </c>
      <c r="M10" s="185">
        <f>+_xlfn.XLOOKUP("ESPARRAGOS DE ACERO"&amp;Tabla3[[#This Row],[Nº]],CODIGOS_Y_COSTOS[ID],CODIGOS_Y_COSTOS[COSTO],0,0)</f>
        <v>494.47250000000003</v>
      </c>
      <c r="N10" s="188">
        <f>+Tabla3[[#This Row],[Importe]]*Tabla3[[#This Row],[CANTIDAD]]</f>
        <v>49447.25</v>
      </c>
      <c r="P10" s="38">
        <f>+_xlfn.XLOOKUP("ESPARRAGOS DE ACERO"&amp;Tabla3[[#This Row],[Nº]],CODIGOS_Y_COSTOS[ID],CODIGOS_Y_COSTOS[Precio],0,0)</f>
        <v>2348.81</v>
      </c>
      <c r="Q10" s="396">
        <f t="shared" si="1"/>
        <v>798.59539999999993</v>
      </c>
    </row>
    <row r="11" spans="1:17" s="4" customFormat="1" ht="14.25" x14ac:dyDescent="0.2">
      <c r="A11" s="4" t="str">
        <f>+IFERROR(INDEX(I:I,MATCH(D11,L:L,0),1),"-")</f>
        <v>B-01-136</v>
      </c>
      <c r="B11" s="247">
        <f>+VLOOKUP(Tabla20[[#This Row],[CÓDIGO]],Tabla3[[#Data],[#Totals],[CÓDIGO]:[CANTIDAD]],3,0)</f>
        <v>100</v>
      </c>
      <c r="D11" s="4" t="s">
        <v>5735</v>
      </c>
      <c r="E11" s="425">
        <f>+IFERROR(VLOOKUP(D11,Tabla3[[Nº]:[Importe]],2,0),0)</f>
        <v>794.06690000000003</v>
      </c>
      <c r="F11" s="425">
        <f>+E11*Tabla20[[#This Row],[CANTIDAD]]</f>
        <v>79406.69</v>
      </c>
      <c r="G11" s="425">
        <f t="shared" si="3"/>
        <v>1272.4125999999999</v>
      </c>
      <c r="H11" s="477">
        <f t="shared" si="0"/>
        <v>0.60239974742682234</v>
      </c>
      <c r="I11" s="182" t="s">
        <v>5660</v>
      </c>
      <c r="J11" s="182" t="s">
        <v>5661</v>
      </c>
      <c r="K11" s="184">
        <f>+IFERROR(LEFT(RIGHT(Tabla3[[#This Row],[DESCRIPCIÒN]],4),3)+0,0)</f>
        <v>100</v>
      </c>
      <c r="L11" s="4" t="s">
        <v>5406</v>
      </c>
      <c r="M11" s="185">
        <f>+_xlfn.XLOOKUP("ESPARRAGOS DE ACERO"&amp;Tabla3[[#This Row],[Nº]],CODIGOS_Y_COSTOS[ID],CODIGOS_Y_COSTOS[COSTO],0,0)</f>
        <v>558.46310000000005</v>
      </c>
      <c r="N11" s="188">
        <f>+Tabla3[[#This Row],[Importe]]*Tabla3[[#This Row],[CANTIDAD]]</f>
        <v>55846.310000000005</v>
      </c>
      <c r="P11" s="4">
        <f>+_xlfn.XLOOKUP("ESPARRAGOS DE ACERO"&amp;Tabla3[[#This Row],[Nº]],CODIGOS_Y_COSTOS[ID],CODIGOS_Y_COSTOS[Precio],0,0)</f>
        <v>2651.69</v>
      </c>
      <c r="Q11" s="396">
        <f t="shared" si="1"/>
        <v>901.57459999999992</v>
      </c>
    </row>
    <row r="12" spans="1:17" s="4" customFormat="1" ht="14.25" x14ac:dyDescent="0.2">
      <c r="A12" s="4" t="str">
        <f t="shared" si="2"/>
        <v>B-01-158</v>
      </c>
      <c r="B12" s="247">
        <f>+VLOOKUP(Tabla20[[#This Row],[CÓDIGO]],Tabla3[[#Data],[#Totals],[CÓDIGO]:[CANTIDAD]],3,0)</f>
        <v>200</v>
      </c>
      <c r="D12" s="4" t="s">
        <v>5747</v>
      </c>
      <c r="E12" s="425">
        <f>+IFERROR(VLOOKUP(D12,Tabla3[[Nº]:[Importe]],2,0),0)</f>
        <v>447.93389999999999</v>
      </c>
      <c r="F12" s="425">
        <f>+E12*Tabla20[[#This Row],[CANTIDAD]]</f>
        <v>89586.78</v>
      </c>
      <c r="G12" s="425">
        <f t="shared" si="3"/>
        <v>723.33979999999985</v>
      </c>
      <c r="H12" s="477">
        <f t="shared" si="0"/>
        <v>0.6148360282622054</v>
      </c>
      <c r="I12" s="182" t="s">
        <v>5664</v>
      </c>
      <c r="J12" s="182" t="s">
        <v>5665</v>
      </c>
      <c r="K12" s="184">
        <f>+IFERROR(LEFT(RIGHT(Tabla3[[#This Row],[DESCRIPCIÒN]],4),3)+0,0)</f>
        <v>100</v>
      </c>
      <c r="L12" s="4" t="s">
        <v>5663</v>
      </c>
      <c r="M12" s="185">
        <f>+_xlfn.XLOOKUP("ESPARRAGOS DE ACERO"&amp;Tabla3[[#This Row],[Nº]],CODIGOS_Y_COSTOS[ID],CODIGOS_Y_COSTOS[COSTO],0,0)</f>
        <v>631.18179999999995</v>
      </c>
      <c r="N12" s="188">
        <f>+Tabla3[[#This Row],[Importe]]*Tabla3[[#This Row],[CANTIDAD]]</f>
        <v>63118.179999999993</v>
      </c>
      <c r="P12" s="38">
        <f>+_xlfn.XLOOKUP("ESPARRAGOS DE ACERO"&amp;Tabla3[[#This Row],[Nº]],CODIGOS_Y_COSTOS[ID],CODIGOS_Y_COSTOS[Precio],0,0)</f>
        <v>2996.83</v>
      </c>
      <c r="Q12" s="396">
        <f t="shared" si="1"/>
        <v>1018.9221999999999</v>
      </c>
    </row>
    <row r="13" spans="1:17" s="4" customFormat="1" ht="14.25" x14ac:dyDescent="0.2">
      <c r="A13" s="4" t="str">
        <f t="shared" si="2"/>
        <v>B-01-160</v>
      </c>
      <c r="B13" s="247">
        <f>+VLOOKUP(Tabla20[[#This Row],[CÓDIGO]],Tabla3[[#Data],[#Totals],[CÓDIGO]:[CANTIDAD]],3,0)</f>
        <v>200</v>
      </c>
      <c r="D13" s="4" t="s">
        <v>5751</v>
      </c>
      <c r="E13" s="425">
        <f>+IFERROR(VLOOKUP(D13,Tabla3[[Nº]:[Importe]],2,0),0)</f>
        <v>474.10969999999998</v>
      </c>
      <c r="F13" s="425">
        <f>+E13*Tabla20[[#This Row],[CANTIDAD]]</f>
        <v>94821.94</v>
      </c>
      <c r="G13" s="425">
        <f t="shared" si="3"/>
        <v>775.32240000000002</v>
      </c>
      <c r="H13" s="477">
        <f t="shared" si="0"/>
        <v>0.63532279554710658</v>
      </c>
      <c r="I13" s="183" t="s">
        <v>5668</v>
      </c>
      <c r="J13" s="182" t="s">
        <v>5669</v>
      </c>
      <c r="K13" s="184">
        <f>+IFERROR(LEFT(RIGHT(Tabla3[[#This Row],[DESCRIPCIÒN]],4),3)+0,0)</f>
        <v>100</v>
      </c>
      <c r="L13" s="4" t="s">
        <v>5667</v>
      </c>
      <c r="M13" s="185">
        <f>+_xlfn.XLOOKUP("ESPARRAGOS DE ACERO"&amp;Tabla3[[#This Row],[Nº]],CODIGOS_Y_COSTOS[ID],CODIGOS_Y_COSTOS[COSTO],0,0)</f>
        <v>689.35500000000002</v>
      </c>
      <c r="N13" s="188">
        <f>+Tabla3[[#This Row],[Importe]]*Tabla3[[#This Row],[CANTIDAD]]</f>
        <v>68935.5</v>
      </c>
      <c r="P13" s="38">
        <f>+_xlfn.XLOOKUP("ESPARRAGOS DE ACERO"&amp;Tabla3[[#This Row],[Nº]],CODIGOS_Y_COSTOS[ID],CODIGOS_Y_COSTOS[Precio],0,0)</f>
        <v>3273.49</v>
      </c>
      <c r="Q13" s="396">
        <f t="shared" si="1"/>
        <v>1112.9865999999997</v>
      </c>
    </row>
    <row r="14" spans="1:17" s="4" customFormat="1" ht="14.25" x14ac:dyDescent="0.2">
      <c r="A14" s="4" t="str">
        <f t="shared" si="2"/>
        <v>B-01-162</v>
      </c>
      <c r="B14" s="247">
        <f>+VLOOKUP(Tabla20[[#This Row],[CÓDIGO]],Tabla3[[#Data],[#Totals],[CÓDIGO]:[CANTIDAD]],3,0)</f>
        <v>100</v>
      </c>
      <c r="D14" s="4" t="s">
        <v>5755</v>
      </c>
      <c r="E14" s="425">
        <f>+IFERROR(VLOOKUP(D14,Tabla3[[Nº]:[Importe]],2,0),0)</f>
        <v>503.20069999999998</v>
      </c>
      <c r="F14" s="425">
        <f>+E14*Tabla20[[#This Row],[CANTIDAD]]</f>
        <v>50320.07</v>
      </c>
      <c r="G14" s="425">
        <f t="shared" si="3"/>
        <v>812.45719999999994</v>
      </c>
      <c r="H14" s="477">
        <f>IFERROR(+G14/E14-1,0)</f>
        <v>0.61457883504534072</v>
      </c>
      <c r="I14" s="182" t="s">
        <v>5672</v>
      </c>
      <c r="J14" s="182" t="s">
        <v>5673</v>
      </c>
      <c r="K14" s="184">
        <f>+IFERROR(LEFT(RIGHT(Tabla3[[#This Row],[DESCRIPCIÒN]],4),3)+0,0)</f>
        <v>300</v>
      </c>
      <c r="L14" s="4" t="s">
        <v>5671</v>
      </c>
      <c r="M14" s="185">
        <f>+_xlfn.XLOOKUP("ESPARRAGOS DE ACERO"&amp;Tabla3[[#This Row],[Nº]],CODIGOS_Y_COSTOS[ID],CODIGOS_Y_COSTOS[COSTO],0,0)</f>
        <v>332.72629999999998</v>
      </c>
      <c r="N14" s="188">
        <f>+Tabla3[[#This Row],[Importe]]*Tabla3[[#This Row],[CANTIDAD]]</f>
        <v>99817.89</v>
      </c>
      <c r="P14" s="38">
        <f>+_xlfn.XLOOKUP("ESPARRAGOS DE ACERO"&amp;Tabla3[[#This Row],[Nº]],CODIGOS_Y_COSTOS[ID],CODIGOS_Y_COSTOS[Precio],0,0)</f>
        <v>1579.95</v>
      </c>
      <c r="Q14" s="396">
        <f t="shared" si="1"/>
        <v>537.18299999999999</v>
      </c>
    </row>
    <row r="15" spans="1:17" s="4" customFormat="1" ht="14.25" x14ac:dyDescent="0.2">
      <c r="A15" s="4" t="str">
        <f t="shared" si="2"/>
        <v>B-01-174</v>
      </c>
      <c r="B15" s="247">
        <f>+VLOOKUP(Tabla20[[#This Row],[CÓDIGO]],Tabla3[[#Data],[#Totals],[CÓDIGO]:[CANTIDAD]],3,0)</f>
        <v>100</v>
      </c>
      <c r="D15" s="4" t="s">
        <v>5767</v>
      </c>
      <c r="E15" s="425">
        <f>+IFERROR(VLOOKUP(D15,Tabla3[[Nº]:[Importe]],2,0),0)</f>
        <v>837.69460000000004</v>
      </c>
      <c r="F15" s="425">
        <f>+E15*Tabla20[[#This Row],[CANTIDAD]]</f>
        <v>83769.460000000006</v>
      </c>
      <c r="G15" s="425">
        <f t="shared" si="3"/>
        <v>1352.6152</v>
      </c>
      <c r="H15" s="477">
        <f t="shared" ref="H15:H23" si="4">IFERROR(+G15/E15-1,0)</f>
        <v>0.61468773942198007</v>
      </c>
      <c r="I15" s="182" t="s">
        <v>5675</v>
      </c>
      <c r="J15" s="182" t="s">
        <v>5676</v>
      </c>
      <c r="K15" s="184">
        <f>+IFERROR(LEFT(RIGHT(Tabla3[[#This Row],[DESCRIPCIÒN]],4),3)+0,0)</f>
        <v>200</v>
      </c>
      <c r="L15" s="4" t="s">
        <v>5410</v>
      </c>
      <c r="M15" s="185">
        <f>+_xlfn.XLOOKUP("ESPARRAGOS DE ACERO"&amp;Tabla3[[#This Row],[Nº]],CODIGOS_Y_COSTOS[ID],CODIGOS_Y_COSTOS[COSTO],0,0)</f>
        <v>332.72629999999998</v>
      </c>
      <c r="N15" s="188">
        <f>+Tabla3[[#This Row],[Importe]]*Tabla3[[#This Row],[CANTIDAD]]</f>
        <v>66545.259999999995</v>
      </c>
      <c r="P15" s="38">
        <f>+_xlfn.XLOOKUP("ESPARRAGOS DE ACERO"&amp;Tabla3[[#This Row],[Nº]],CODIGOS_Y_COSTOS[ID],CODIGOS_Y_COSTOS[Precio],0,0)</f>
        <v>1579.95</v>
      </c>
      <c r="Q15" s="396">
        <f t="shared" si="1"/>
        <v>537.18299999999999</v>
      </c>
    </row>
    <row r="16" spans="1:17" s="4" customFormat="1" ht="14.25" x14ac:dyDescent="0.2">
      <c r="A16" s="4" t="str">
        <f t="shared" si="2"/>
        <v>B-06-046</v>
      </c>
      <c r="B16" s="247">
        <f>+VLOOKUP(Tabla20[[#This Row],[CÓDIGO]],Tabla3[[#Data],[#Totals],[CÓDIGO]:[CANTIDAD]],3,0)</f>
        <v>100</v>
      </c>
      <c r="D16" s="4" t="s">
        <v>5787</v>
      </c>
      <c r="E16" s="425">
        <f>+IFERROR(VLOOKUP(D16,Tabla3[[Nº]:[Importe]],2,0),0)</f>
        <v>570.09770000000003</v>
      </c>
      <c r="F16" s="425">
        <f>+E16*Tabla20[[#This Row],[CANTIDAD]]</f>
        <v>57009.770000000004</v>
      </c>
      <c r="G16" s="425">
        <f t="shared" si="3"/>
        <v>920.39359999999988</v>
      </c>
      <c r="H16" s="477">
        <f t="shared" si="4"/>
        <v>0.61444889183029483</v>
      </c>
      <c r="I16" s="182" t="s">
        <v>5678</v>
      </c>
      <c r="J16" s="182" t="s">
        <v>5679</v>
      </c>
      <c r="K16" s="184">
        <f>+IFERROR(LEFT(RIGHT(Tabla3[[#This Row],[DESCRIPCIÒN]],4),3)+0,0)</f>
        <v>200</v>
      </c>
      <c r="L16" s="4" t="s">
        <v>5414</v>
      </c>
      <c r="M16" s="185">
        <f>+_xlfn.XLOOKUP("ESPARRAGOS DE ACERO"&amp;Tabla3[[#This Row],[Nº]],CODIGOS_Y_COSTOS[ID],CODIGOS_Y_COSTOS[COSTO],0,0)</f>
        <v>389.52760000000001</v>
      </c>
      <c r="N16" s="188">
        <f>+Tabla3[[#This Row],[Importe]]*Tabla3[[#This Row],[CANTIDAD]]</f>
        <v>77905.52</v>
      </c>
      <c r="P16" s="38">
        <f>+_xlfn.XLOOKUP("ESPARRAGOS DE ACERO"&amp;Tabla3[[#This Row],[Nº]],CODIGOS_Y_COSTOS[ID],CODIGOS_Y_COSTOS[Precio],0,0)</f>
        <v>1849.35</v>
      </c>
      <c r="Q16" s="396">
        <f t="shared" si="1"/>
        <v>628.77899999999988</v>
      </c>
    </row>
    <row r="17" spans="1:17" s="4" customFormat="1" ht="14.25" x14ac:dyDescent="0.2">
      <c r="A17" s="4" t="str">
        <f t="shared" si="2"/>
        <v>-</v>
      </c>
      <c r="B17" s="247">
        <f>+VLOOKUP(Tabla20[[#This Row],[CÓDIGO]],Tabla3[[#Data],[#Totals],[CÓDIGO]:[CANTIDAD]],3,0)</f>
        <v>0</v>
      </c>
      <c r="E17" s="425">
        <f>+IFERROR(VLOOKUP(D17,Tabla3[[Nº]:[Importe]],2,0),0)</f>
        <v>0</v>
      </c>
      <c r="F17" s="425">
        <f>+E17*Tabla20[[#This Row],[CANTIDAD]]</f>
        <v>0</v>
      </c>
      <c r="G17" s="425">
        <f t="shared" si="3"/>
        <v>0</v>
      </c>
      <c r="H17" s="477">
        <f t="shared" si="4"/>
        <v>0</v>
      </c>
      <c r="I17" s="182" t="s">
        <v>5681</v>
      </c>
      <c r="J17" s="182" t="s">
        <v>5682</v>
      </c>
      <c r="K17" s="184">
        <f>+IFERROR(LEFT(RIGHT(Tabla3[[#This Row],[DESCRIPCIÒN]],4),3)+0,0)</f>
        <v>100</v>
      </c>
      <c r="L17" s="4" t="s">
        <v>5418</v>
      </c>
      <c r="M17" s="185">
        <f>+_xlfn.XLOOKUP("ESPARRAGOS DE ACERO"&amp;Tabla3[[#This Row],[Nº]],CODIGOS_Y_COSTOS[ID],CODIGOS_Y_COSTOS[COSTO],0,0)</f>
        <v>471.20319999999998</v>
      </c>
      <c r="N17" s="188">
        <f>+Tabla3[[#This Row],[Importe]]*Tabla3[[#This Row],[CANTIDAD]]</f>
        <v>47120.32</v>
      </c>
      <c r="P17" s="38">
        <f>+_xlfn.XLOOKUP("ESPARRAGOS DE ACERO"&amp;Tabla3[[#This Row],[Nº]],CODIGOS_Y_COSTOS[ID],CODIGOS_Y_COSTOS[Precio],0,0)</f>
        <v>2238.14</v>
      </c>
      <c r="Q17" s="396">
        <f t="shared" si="1"/>
        <v>760.96759999999983</v>
      </c>
    </row>
    <row r="18" spans="1:17" ht="14.25" x14ac:dyDescent="0.2">
      <c r="A18" s="4" t="str">
        <f t="shared" si="2"/>
        <v>-</v>
      </c>
      <c r="B18" s="247">
        <f>+VLOOKUP(Tabla20[[#This Row],[CÓDIGO]],Tabla3[[#Data],[#Totals],[CÓDIGO]:[CANTIDAD]],3,0)</f>
        <v>0</v>
      </c>
      <c r="D18" s="4"/>
      <c r="E18" s="425">
        <f>+IFERROR(VLOOKUP(D18,Tabla3[[Nº]:[Importe]],2,0),0)</f>
        <v>0</v>
      </c>
      <c r="F18" s="425">
        <f>+E18*Tabla20[[#This Row],[CANTIDAD]]</f>
        <v>0</v>
      </c>
      <c r="G18" s="425">
        <f t="shared" si="3"/>
        <v>0</v>
      </c>
      <c r="H18" s="477">
        <f t="shared" si="4"/>
        <v>0</v>
      </c>
      <c r="I18" s="9" t="s">
        <v>5685</v>
      </c>
      <c r="J18" s="182" t="s">
        <v>5686</v>
      </c>
      <c r="K18" s="184">
        <f>+IFERROR(LEFT(RIGHT(Tabla3[[#This Row],[DESCRIPCIÒN]],4),3)+0,0)</f>
        <v>100</v>
      </c>
      <c r="L18" s="4" t="s">
        <v>5684</v>
      </c>
      <c r="M18" s="185">
        <f>+_xlfn.XLOOKUP("ESPARRAGOS DE ACERO"&amp;Tabla3[[#This Row],[Nº]],CODIGOS_Y_COSTOS[ID],CODIGOS_Y_COSTOS[COSTO],0,0)</f>
        <v>541.01110000000006</v>
      </c>
      <c r="N18" s="189">
        <f>+Tabla3[[#This Row],[Importe]]*Tabla3[[#This Row],[CANTIDAD]]</f>
        <v>54101.110000000008</v>
      </c>
      <c r="P18" s="38">
        <f>+_xlfn.XLOOKUP("ESPARRAGOS DE ACERO"&amp;Tabla3[[#This Row],[Nº]],CODIGOS_Y_COSTOS[ID],CODIGOS_Y_COSTOS[Precio],0,0)</f>
        <v>2568.69</v>
      </c>
      <c r="Q18" s="396">
        <f t="shared" si="1"/>
        <v>873.35459999999989</v>
      </c>
    </row>
    <row r="19" spans="1:17" ht="14.25" x14ac:dyDescent="0.2">
      <c r="A19" s="4" t="str">
        <f>+IFERROR(INDEX(I:I,MATCH(D19,L:L,0),1),"-")</f>
        <v>-</v>
      </c>
      <c r="B19" s="247">
        <f>+VLOOKUP(Tabla20[[#This Row],[CÓDIGO]],Tabla3[[#Data],[#Totals],[CÓDIGO]:[CANTIDAD]],3,0)</f>
        <v>0</v>
      </c>
      <c r="D19" s="4"/>
      <c r="E19" s="425">
        <f>+IFERROR(VLOOKUP(D19,Tabla3[[Nº]:[Importe]],2,0),0)</f>
        <v>0</v>
      </c>
      <c r="F19" s="425">
        <f>+E19*Tabla20[[#This Row],[CANTIDAD]]</f>
        <v>0</v>
      </c>
      <c r="G19" s="425">
        <f>+IFERROR(VLOOKUP(D19,$L$3:$Q$52,6,0),0)</f>
        <v>0</v>
      </c>
      <c r="H19" s="477">
        <f t="shared" si="4"/>
        <v>0</v>
      </c>
      <c r="I19" s="9" t="s">
        <v>5689</v>
      </c>
      <c r="J19" s="182" t="s">
        <v>5690</v>
      </c>
      <c r="K19" s="184">
        <f>+IFERROR(LEFT(RIGHT(Tabla3[[#This Row],[DESCRIPCIÒN]],4),3)+0,0)</f>
        <v>100</v>
      </c>
      <c r="L19" s="4" t="s">
        <v>5688</v>
      </c>
      <c r="M19" s="185">
        <f>+_xlfn.XLOOKUP("ESPARRAGOS DE ACERO"&amp;Tabla3[[#This Row],[Nº]],CODIGOS_Y_COSTOS[ID],CODIGOS_Y_COSTOS[COSTO],0,0)</f>
        <v>628.27089999999998</v>
      </c>
      <c r="N19" s="189">
        <f>+Tabla3[[#This Row],[Importe]]*Tabla3[[#This Row],[CANTIDAD]]</f>
        <v>62827.09</v>
      </c>
      <c r="P19" s="38">
        <f>+_xlfn.XLOOKUP("ESPARRAGOS DE ACERO"&amp;Tabla3[[#This Row],[Nº]],CODIGOS_Y_COSTOS[ID],CODIGOS_Y_COSTOS[Precio],0,0)</f>
        <v>2983.7</v>
      </c>
      <c r="Q19" s="396">
        <f t="shared" si="1"/>
        <v>1014.4579999999999</v>
      </c>
    </row>
    <row r="20" spans="1:17" ht="14.25" x14ac:dyDescent="0.2">
      <c r="A20" s="4" t="str">
        <f>+IFERROR(INDEX(I:I,MATCH(D20,L:L,0),1),"-")</f>
        <v>-</v>
      </c>
      <c r="B20" s="247">
        <f>+VLOOKUP(Tabla20[[#This Row],[CÓDIGO]],Tabla3[[#Data],[#Totals],[CÓDIGO]:[CANTIDAD]],3,0)</f>
        <v>0</v>
      </c>
      <c r="D20" s="4"/>
      <c r="E20" s="425">
        <f>+IFERROR(VLOOKUP(D20,Tabla3[[Nº]:[Importe]],2,0),0)</f>
        <v>0</v>
      </c>
      <c r="F20" s="425">
        <f>+E20*Tabla20[[#This Row],[CANTIDAD]]</f>
        <v>0</v>
      </c>
      <c r="G20" s="425">
        <f>+IFERROR(VLOOKUP(D20,$L$3:$Q$52,6,0),0)</f>
        <v>0</v>
      </c>
      <c r="H20" s="477">
        <f t="shared" si="4"/>
        <v>0</v>
      </c>
      <c r="I20" s="9" t="s">
        <v>5692</v>
      </c>
      <c r="J20" s="182" t="s">
        <v>5693</v>
      </c>
      <c r="K20" s="184">
        <f>+IFERROR(LEFT(RIGHT(Tabla3[[#This Row],[DESCRIPCIÒN]],4),3)+0,0)</f>
        <v>300</v>
      </c>
      <c r="L20" s="4" t="s">
        <v>4792</v>
      </c>
      <c r="M20" s="185">
        <f>+_xlfn.XLOOKUP("ESPARRAGOS DE ACERO"&amp;Tabla3[[#This Row],[Nº]],CODIGOS_Y_COSTOS[ID],CODIGOS_Y_COSTOS[COSTO],0,0)</f>
        <v>339.8759</v>
      </c>
      <c r="N20" s="189">
        <f>+Tabla3[[#This Row],[Importe]]*Tabla3[[#This Row],[CANTIDAD]]</f>
        <v>101962.77</v>
      </c>
      <c r="P20" s="38">
        <f>+_xlfn.XLOOKUP("ESPARRAGOS DE ACERO"&amp;Tabla3[[#This Row],[Nº]],CODIGOS_Y_COSTOS[ID],CODIGOS_Y_COSTOS[Precio],0,0)</f>
        <v>1613.46</v>
      </c>
      <c r="Q20" s="396">
        <f t="shared" si="1"/>
        <v>548.57639999999992</v>
      </c>
    </row>
    <row r="21" spans="1:17" ht="14.25" x14ac:dyDescent="0.2">
      <c r="A21" s="4" t="str">
        <f>+IFERROR(INDEX(I:I,MATCH(D21,L:L,0),1),"-")</f>
        <v>-</v>
      </c>
      <c r="B21" s="247">
        <f>+VLOOKUP(Tabla20[[#This Row],[CÓDIGO]],Tabla3[[#Data],[#Totals],[CÓDIGO]:[CANTIDAD]],3,0)</f>
        <v>0</v>
      </c>
      <c r="D21" s="4"/>
      <c r="E21" s="425">
        <f>+IFERROR(VLOOKUP(D21,Tabla3[[Nº]:[Importe]],2,0),0)</f>
        <v>0</v>
      </c>
      <c r="F21" s="425">
        <f>+E21*Tabla20[[#This Row],[CANTIDAD]]</f>
        <v>0</v>
      </c>
      <c r="G21" s="425">
        <f>+IFERROR(VLOOKUP(D21,$L$3:$Q$52,6,0),0)</f>
        <v>0</v>
      </c>
      <c r="H21" s="477">
        <f t="shared" si="4"/>
        <v>0</v>
      </c>
      <c r="I21" s="9" t="s">
        <v>5695</v>
      </c>
      <c r="J21" s="182" t="s">
        <v>5696</v>
      </c>
      <c r="K21" s="184">
        <f>+IFERROR(LEFT(RIGHT(Tabla3[[#This Row],[DESCRIPCIÒN]],4),3)+0,0)</f>
        <v>300</v>
      </c>
      <c r="L21" s="4" t="s">
        <v>5493</v>
      </c>
      <c r="M21" s="185">
        <f>+_xlfn.XLOOKUP("ESPARRAGOS DE ACERO"&amp;Tabla3[[#This Row],[Nº]],CODIGOS_Y_COSTOS[ID],CODIGOS_Y_COSTOS[COSTO],0,0)</f>
        <v>339.8759</v>
      </c>
      <c r="N21" s="189">
        <f>+Tabla3[[#This Row],[Importe]]*Tabla3[[#This Row],[CANTIDAD]]</f>
        <v>101962.77</v>
      </c>
      <c r="P21" s="38">
        <f>+_xlfn.XLOOKUP("ESPARRAGOS DE ACERO"&amp;Tabla3[[#This Row],[Nº]],CODIGOS_Y_COSTOS[ID],CODIGOS_Y_COSTOS[Precio],0,0)</f>
        <v>1613.46</v>
      </c>
      <c r="Q21" s="396">
        <f t="shared" si="1"/>
        <v>548.57639999999992</v>
      </c>
    </row>
    <row r="22" spans="1:17" ht="14.25" x14ac:dyDescent="0.2">
      <c r="A22" s="4" t="str">
        <f>+IFERROR(INDEX(I:I,MATCH(D22,L:L,0),1),"-")</f>
        <v>-</v>
      </c>
      <c r="B22" s="247">
        <f>+VLOOKUP(Tabla20[[#This Row],[CÓDIGO]],Tabla3[[#Data],[#Totals],[CÓDIGO]:[CANTIDAD]],3,0)</f>
        <v>0</v>
      </c>
      <c r="D22" s="4"/>
      <c r="E22" s="425">
        <f>+IFERROR(VLOOKUP(D22,Tabla3[[Nº]:[Importe]],2,0),0)</f>
        <v>0</v>
      </c>
      <c r="F22" s="425">
        <f>+E22*Tabla20[[#This Row],[CANTIDAD]]</f>
        <v>0</v>
      </c>
      <c r="G22" s="425">
        <f>+IFERROR(VLOOKUP(D22,$L$3:$Q$52,6,0),0)</f>
        <v>0</v>
      </c>
      <c r="H22" s="477">
        <f t="shared" si="4"/>
        <v>0</v>
      </c>
      <c r="I22" s="9" t="s">
        <v>5698</v>
      </c>
      <c r="J22" s="182" t="s">
        <v>5699</v>
      </c>
      <c r="K22" s="184">
        <f>+IFERROR(LEFT(RIGHT(Tabla3[[#This Row],[DESCRIPCIÒN]],4),3)+0,0)</f>
        <v>200</v>
      </c>
      <c r="L22" s="4" t="s">
        <v>5422</v>
      </c>
      <c r="M22" s="185">
        <f>+_xlfn.XLOOKUP("ESPARRAGOS DE ACERO"&amp;Tabla3[[#This Row],[Nº]],CODIGOS_Y_COSTOS[ID],CODIGOS_Y_COSTOS[COSTO],0,0)</f>
        <v>339.8759</v>
      </c>
      <c r="N22" s="189">
        <f>+Tabla3[[#This Row],[Importe]]*Tabla3[[#This Row],[CANTIDAD]]</f>
        <v>67975.179999999993</v>
      </c>
      <c r="P22" s="38">
        <f>+_xlfn.XLOOKUP("ESPARRAGOS DE ACERO"&amp;Tabla3[[#This Row],[Nº]],CODIGOS_Y_COSTOS[ID],CODIGOS_Y_COSTOS[Precio],0,0)</f>
        <v>1319.4</v>
      </c>
      <c r="Q22" s="396">
        <f t="shared" si="1"/>
        <v>448.596</v>
      </c>
    </row>
    <row r="23" spans="1:17" ht="14.25" x14ac:dyDescent="0.2">
      <c r="A23" s="4" t="str">
        <f t="shared" si="2"/>
        <v>-</v>
      </c>
      <c r="B23" s="247">
        <f>+VLOOKUP(Tabla20[[#This Row],[CÓDIGO]],Tabla3[[#Data],[#Totals],[CÓDIGO]:[CANTIDAD]],3,0)</f>
        <v>0</v>
      </c>
      <c r="D23" s="4"/>
      <c r="E23" s="425">
        <f>+IFERROR(VLOOKUP(D23,Tabla3[[Nº]:[Importe]],2,0),0)</f>
        <v>0</v>
      </c>
      <c r="F23" s="425">
        <f>+E23*Tabla20[[#This Row],[CANTIDAD]]</f>
        <v>0</v>
      </c>
      <c r="G23" s="425">
        <f t="shared" si="3"/>
        <v>0</v>
      </c>
      <c r="H23" s="477">
        <f t="shared" si="4"/>
        <v>0</v>
      </c>
      <c r="I23" s="9" t="s">
        <v>5701</v>
      </c>
      <c r="J23" s="182" t="s">
        <v>5702</v>
      </c>
      <c r="K23" s="184">
        <f>+IFERROR(LEFT(RIGHT(Tabla3[[#This Row],[DESCRIPCIÒN]],4),3)+0,0)</f>
        <v>200</v>
      </c>
      <c r="L23" s="4" t="s">
        <v>5498</v>
      </c>
      <c r="M23" s="185">
        <f>+_xlfn.XLOOKUP("ESPARRAGOS DE ACERO"&amp;Tabla3[[#This Row],[Nº]],CODIGOS_Y_COSTOS[ID],CODIGOS_Y_COSTOS[COSTO],0,0)</f>
        <v>381.3227</v>
      </c>
      <c r="N23" s="189">
        <f>+Tabla3[[#This Row],[Importe]]*Tabla3[[#This Row],[CANTIDAD]]</f>
        <v>76264.539999999994</v>
      </c>
      <c r="P23" s="38">
        <f>+_xlfn.XLOOKUP("ESPARRAGOS DE ACERO"&amp;Tabla3[[#This Row],[Nº]],CODIGOS_Y_COSTOS[ID],CODIGOS_Y_COSTOS[Precio],0,0)</f>
        <v>1480.3</v>
      </c>
      <c r="Q23" s="396">
        <f t="shared" si="1"/>
        <v>503.30199999999996</v>
      </c>
    </row>
    <row r="24" spans="1:17" ht="14.25" x14ac:dyDescent="0.2">
      <c r="I24" s="9" t="s">
        <v>5704</v>
      </c>
      <c r="J24" s="182" t="s">
        <v>5705</v>
      </c>
      <c r="K24" s="184">
        <f>+IFERROR(LEFT(RIGHT(Tabla3[[#This Row],[DESCRIPCIÒN]],4),3)+0,0)</f>
        <v>200</v>
      </c>
      <c r="L24" s="4" t="s">
        <v>5426</v>
      </c>
      <c r="M24" s="185">
        <f>+_xlfn.XLOOKUP("ESPARRAGOS DE ACERO"&amp;Tabla3[[#This Row],[Nº]],CODIGOS_Y_COSTOS[ID],CODIGOS_Y_COSTOS[COSTO],0,0)</f>
        <v>397.90410000000003</v>
      </c>
      <c r="N24" s="189">
        <f>+Tabla3[[#This Row],[Importe]]*Tabla3[[#This Row],[CANTIDAD]]</f>
        <v>79580.820000000007</v>
      </c>
      <c r="P24" s="38">
        <f>+_xlfn.XLOOKUP("ESPARRAGOS DE ACERO"&amp;Tabla3[[#This Row],[Nº]],CODIGOS_Y_COSTOS[ID],CODIGOS_Y_COSTOS[Precio],0,0)</f>
        <v>1544.66</v>
      </c>
      <c r="Q24" s="396">
        <f t="shared" si="1"/>
        <v>525.18439999999998</v>
      </c>
    </row>
    <row r="25" spans="1:17" ht="14.25" x14ac:dyDescent="0.2">
      <c r="I25" s="9" t="s">
        <v>5707</v>
      </c>
      <c r="J25" s="182" t="s">
        <v>5708</v>
      </c>
      <c r="K25" s="184">
        <f>+IFERROR(LEFT(RIGHT(Tabla3[[#This Row],[DESCRIPCIÒN]],4),3)+0,0)</f>
        <v>100</v>
      </c>
      <c r="L25" s="4" t="s">
        <v>5430</v>
      </c>
      <c r="M25" s="185">
        <f>+_xlfn.XLOOKUP("ESPARRAGOS DE ACERO"&amp;Tabla3[[#This Row],[Nº]],CODIGOS_Y_COSTOS[ID],CODIGOS_Y_COSTOS[COSTO],0,0)</f>
        <v>471.20319999999998</v>
      </c>
      <c r="N25" s="189">
        <f>+Tabla3[[#This Row],[Importe]]*Tabla3[[#This Row],[CANTIDAD]]</f>
        <v>47120.32</v>
      </c>
      <c r="P25">
        <f>+_xlfn.XLOOKUP("ESPARRAGOS DE ACERO"&amp;Tabla3[[#This Row],[Nº]],CODIGOS_Y_COSTOS[ID],CODIGOS_Y_COSTOS[Precio],0,0)</f>
        <v>2238.14</v>
      </c>
      <c r="Q25" s="396">
        <f t="shared" si="1"/>
        <v>760.96759999999983</v>
      </c>
    </row>
    <row r="26" spans="1:17" ht="14.25" x14ac:dyDescent="0.2">
      <c r="F26" s="62"/>
      <c r="I26" s="9" t="s">
        <v>5710</v>
      </c>
      <c r="J26" s="182" t="s">
        <v>5711</v>
      </c>
      <c r="K26" s="184">
        <f>+IFERROR(LEFT(RIGHT(Tabla3[[#This Row],[DESCRIPCIÒN]],4),3)+0,0)</f>
        <v>100</v>
      </c>
      <c r="L26" s="4" t="s">
        <v>5434</v>
      </c>
      <c r="M26" s="185">
        <f>+_xlfn.XLOOKUP("ESPARRAGOS DE ACERO"&amp;Tabla3[[#This Row],[Nº]],CODIGOS_Y_COSTOS[ID],CODIGOS_Y_COSTOS[COSTO],0,0)</f>
        <v>541.01110000000006</v>
      </c>
      <c r="N26" s="189">
        <f>+Tabla3[[#This Row],[Importe]]*Tabla3[[#This Row],[CANTIDAD]]</f>
        <v>54101.110000000008</v>
      </c>
      <c r="P26">
        <f>+_xlfn.XLOOKUP("ESPARRAGOS DE ACERO"&amp;Tabla3[[#This Row],[Nº]],CODIGOS_Y_COSTOS[ID],CODIGOS_Y_COSTOS[Precio],0,0)</f>
        <v>2568.69</v>
      </c>
      <c r="Q26" s="396">
        <f t="shared" si="1"/>
        <v>873.35459999999989</v>
      </c>
    </row>
    <row r="27" spans="1:17" ht="14.25" x14ac:dyDescent="0.2">
      <c r="I27" s="9" t="s">
        <v>5713</v>
      </c>
      <c r="J27" s="182" t="s">
        <v>5714</v>
      </c>
      <c r="K27" s="184">
        <f>+IFERROR(LEFT(RIGHT(Tabla3[[#This Row],[DESCRIPCIÒN]],4),3)+0,0)</f>
        <v>100</v>
      </c>
      <c r="L27" s="4" t="s">
        <v>5438</v>
      </c>
      <c r="M27" s="185">
        <f>+_xlfn.XLOOKUP("ESPARRAGOS DE ACERO"&amp;Tabla3[[#This Row],[Nº]],CODIGOS_Y_COSTOS[ID],CODIGOS_Y_COSTOS[COSTO],0,0)</f>
        <v>671.89869999999996</v>
      </c>
      <c r="N27" s="189">
        <f>+Tabla3[[#This Row],[Importe]]*Tabla3[[#This Row],[CANTIDAD]]</f>
        <v>67189.87</v>
      </c>
      <c r="P27">
        <f>+_xlfn.XLOOKUP("ESPARRAGOS DE ACERO"&amp;Tabla3[[#This Row],[Nº]],CODIGOS_Y_COSTOS[ID],CODIGOS_Y_COSTOS[Precio],0,0)</f>
        <v>3190.5</v>
      </c>
      <c r="Q27" s="396">
        <f t="shared" si="1"/>
        <v>1084.77</v>
      </c>
    </row>
    <row r="28" spans="1:17" ht="14.25" x14ac:dyDescent="0.2">
      <c r="I28" s="9" t="s">
        <v>5717</v>
      </c>
      <c r="J28" s="182" t="s">
        <v>5718</v>
      </c>
      <c r="K28" s="184">
        <f>+IFERROR(LEFT(RIGHT(Tabla3[[#This Row],[DESCRIPCIÒN]],4),3)+0,0)</f>
        <v>100</v>
      </c>
      <c r="L28" s="4" t="s">
        <v>5716</v>
      </c>
      <c r="M28" s="185">
        <f>+_xlfn.XLOOKUP("ESPARRAGOS DE ACERO"&amp;Tabla3[[#This Row],[Nº]],CODIGOS_Y_COSTOS[ID],CODIGOS_Y_COSTOS[COSTO],0,0)</f>
        <v>764.97590000000002</v>
      </c>
      <c r="N28" s="189">
        <f>+Tabla3[[#This Row],[Importe]]*Tabla3[[#This Row],[CANTIDAD]]</f>
        <v>76497.59</v>
      </c>
      <c r="P28">
        <f>+_xlfn.XLOOKUP("ESPARRAGOS DE ACERO"&amp;Tabla3[[#This Row],[Nº]],CODIGOS_Y_COSTOS[ID],CODIGOS_Y_COSTOS[Precio],0,0)</f>
        <v>3633.18</v>
      </c>
      <c r="Q28" s="396">
        <f t="shared" si="1"/>
        <v>1235.2811999999999</v>
      </c>
    </row>
    <row r="29" spans="1:17" ht="14.25" x14ac:dyDescent="0.2">
      <c r="I29" s="9" t="s">
        <v>5720</v>
      </c>
      <c r="J29" s="182" t="s">
        <v>5721</v>
      </c>
      <c r="K29" s="184">
        <f>+IFERROR(LEFT(RIGHT(Tabla3[[#This Row],[DESCRIPCIÒN]],4),3)+0,0)</f>
        <v>100</v>
      </c>
      <c r="L29" s="4" t="s">
        <v>5442</v>
      </c>
      <c r="M29" s="185">
        <f>+_xlfn.XLOOKUP("ESPARRAGOS DE ACERO"&amp;Tabla3[[#This Row],[Nº]],CODIGOS_Y_COSTOS[ID],CODIGOS_Y_COSTOS[COSTO],0,0)</f>
        <v>820.24260000000004</v>
      </c>
      <c r="N29" s="189">
        <f>+Tabla3[[#This Row],[Importe]]*Tabla3[[#This Row],[CANTIDAD]]</f>
        <v>82024.260000000009</v>
      </c>
      <c r="P29">
        <f>+_xlfn.XLOOKUP("ESPARRAGOS DE ACERO"&amp;Tabla3[[#This Row],[Nº]],CODIGOS_Y_COSTOS[ID],CODIGOS_Y_COSTOS[Precio],0,0)</f>
        <v>3895.29</v>
      </c>
      <c r="Q29" s="396">
        <f t="shared" si="1"/>
        <v>1324.3985999999998</v>
      </c>
    </row>
    <row r="30" spans="1:17" ht="14.25" x14ac:dyDescent="0.2">
      <c r="I30" s="9" t="s">
        <v>5724</v>
      </c>
      <c r="J30" s="182" t="s">
        <v>5725</v>
      </c>
      <c r="K30" s="184">
        <f>+IFERROR(LEFT(RIGHT(Tabla3[[#This Row],[DESCRIPCIÒN]],4),3)+0,0)</f>
        <v>200</v>
      </c>
      <c r="L30" s="4" t="s">
        <v>5723</v>
      </c>
      <c r="M30" s="185">
        <f>+_xlfn.XLOOKUP("ESPARRAGOS DE ACERO"&amp;Tabla3[[#This Row],[Nº]],CODIGOS_Y_COSTOS[ID],CODIGOS_Y_COSTOS[COSTO],0,0)</f>
        <v>485.74430000000001</v>
      </c>
      <c r="N30" s="189">
        <f>+Tabla3[[#This Row],[Importe]]*Tabla3[[#This Row],[CANTIDAD]]</f>
        <v>97148.86</v>
      </c>
      <c r="P30">
        <f>+_xlfn.XLOOKUP("ESPARRAGOS DE ACERO"&amp;Tabla3[[#This Row],[Nº]],CODIGOS_Y_COSTOS[ID],CODIGOS_Y_COSTOS[Precio],0,0)</f>
        <v>2308.04</v>
      </c>
      <c r="Q30" s="396">
        <f t="shared" si="1"/>
        <v>784.73359999999991</v>
      </c>
    </row>
    <row r="31" spans="1:17" ht="14.25" x14ac:dyDescent="0.2">
      <c r="I31" s="9" t="s">
        <v>5728</v>
      </c>
      <c r="J31" s="182" t="s">
        <v>5729</v>
      </c>
      <c r="K31" s="184">
        <f>+IFERROR(LEFT(RIGHT(Tabla3[[#This Row],[DESCRIPCIÒN]],4),3)+0,0)</f>
        <v>100</v>
      </c>
      <c r="L31" s="4" t="s">
        <v>5727</v>
      </c>
      <c r="M31" s="185">
        <f>+_xlfn.XLOOKUP("ESPARRAGOS DE ACERO"&amp;Tabla3[[#This Row],[Nº]],CODIGOS_Y_COSTOS[ID],CODIGOS_Y_COSTOS[COSTO],0,0)</f>
        <v>532.28290000000004</v>
      </c>
      <c r="N31" s="189">
        <f>+Tabla3[[#This Row],[Importe]]*Tabla3[[#This Row],[CANTIDAD]]</f>
        <v>53228.29</v>
      </c>
      <c r="P31">
        <f>+_xlfn.XLOOKUP("ESPARRAGOS DE ACERO"&amp;Tabla3[[#This Row],[Nº]],CODIGOS_Y_COSTOS[ID],CODIGOS_Y_COSTOS[Precio],0,0)</f>
        <v>2527.9299999999998</v>
      </c>
      <c r="Q31" s="396">
        <f t="shared" si="1"/>
        <v>859.49619999999982</v>
      </c>
    </row>
    <row r="32" spans="1:17" ht="14.25" x14ac:dyDescent="0.2">
      <c r="I32" s="9" t="s">
        <v>5732</v>
      </c>
      <c r="J32" s="182" t="s">
        <v>5733</v>
      </c>
      <c r="K32" s="184">
        <f>+IFERROR(LEFT(RIGHT(Tabla3[[#This Row],[DESCRIPCIÒN]],4),3)+0,0)</f>
        <v>100</v>
      </c>
      <c r="L32" s="4" t="s">
        <v>5731</v>
      </c>
      <c r="M32" s="185">
        <f>+_xlfn.XLOOKUP("ESPARRAGOS DE ACERO"&amp;Tabla3[[#This Row],[Nº]],CODIGOS_Y_COSTOS[ID],CODIGOS_Y_COSTOS[COSTO],0,0)</f>
        <v>639.90560000000005</v>
      </c>
      <c r="N32" s="189">
        <f>+Tabla3[[#This Row],[Importe]]*Tabla3[[#This Row],[CANTIDAD]]</f>
        <v>63990.560000000005</v>
      </c>
      <c r="P32">
        <f>+_xlfn.XLOOKUP("ESPARRAGOS DE ACERO"&amp;Tabla3[[#This Row],[Nº]],CODIGOS_Y_COSTOS[ID],CODIGOS_Y_COSTOS[Precio],0,0)</f>
        <v>3039.06</v>
      </c>
      <c r="Q32" s="396">
        <f t="shared" si="1"/>
        <v>1033.2803999999999</v>
      </c>
    </row>
    <row r="33" spans="4:17" ht="14.25" x14ac:dyDescent="0.2">
      <c r="I33" s="9" t="s">
        <v>5736</v>
      </c>
      <c r="J33" s="182" t="s">
        <v>5737</v>
      </c>
      <c r="K33" s="184">
        <f>+IFERROR(LEFT(RIGHT(Tabla3[[#This Row],[DESCRIPCIÒN]],4),3)+0,0)</f>
        <v>100</v>
      </c>
      <c r="L33" s="4" t="s">
        <v>5735</v>
      </c>
      <c r="M33" s="185">
        <f>+_xlfn.XLOOKUP("ESPARRAGOS DE ACERO"&amp;Tabla3[[#This Row],[Nº]],CODIGOS_Y_COSTOS[ID],CODIGOS_Y_COSTOS[COSTO],0,0)</f>
        <v>794.06690000000003</v>
      </c>
      <c r="N33" s="189">
        <f>+Tabla3[[#This Row],[Importe]]*Tabla3[[#This Row],[CANTIDAD]]</f>
        <v>79406.69</v>
      </c>
      <c r="P33">
        <f>+_xlfn.XLOOKUP("ESPARRAGOS DE ACERO"&amp;Tabla3[[#This Row],[Nº]],CODIGOS_Y_COSTOS[ID],CODIGOS_Y_COSTOS[Precio],0,0)</f>
        <v>3742.39</v>
      </c>
      <c r="Q33" s="396">
        <f t="shared" si="1"/>
        <v>1272.4125999999999</v>
      </c>
    </row>
    <row r="34" spans="4:17" ht="14.25" x14ac:dyDescent="0.2">
      <c r="I34" s="9" t="s">
        <v>5740</v>
      </c>
      <c r="J34" s="182" t="s">
        <v>5741</v>
      </c>
      <c r="K34" s="184">
        <f>+IFERROR(LEFT(RIGHT(Tabla3[[#This Row],[DESCRIPCIÒN]],4),3)+0,0)</f>
        <v>200</v>
      </c>
      <c r="L34" s="4" t="s">
        <v>5739</v>
      </c>
      <c r="M34" s="185">
        <f>+_xlfn.XLOOKUP("ESPARRAGOS DE ACERO"&amp;Tabla3[[#This Row],[Nº]],CODIGOS_Y_COSTOS[ID],CODIGOS_Y_COSTOS[COSTO],0,0)</f>
        <v>468.29239999999999</v>
      </c>
      <c r="N34" s="189">
        <f>+Tabla3[[#This Row],[Importe]]*Tabla3[[#This Row],[CANTIDAD]]</f>
        <v>93658.48</v>
      </c>
      <c r="P34">
        <f>+_xlfn.XLOOKUP("ESPARRAGOS DE ACERO"&amp;Tabla3[[#This Row],[Nº]],CODIGOS_Y_COSTOS[ID],CODIGOS_Y_COSTOS[Precio],0,0)</f>
        <v>2127.88</v>
      </c>
      <c r="Q34" s="396">
        <f t="shared" si="1"/>
        <v>723.47919999999999</v>
      </c>
    </row>
    <row r="35" spans="4:17" ht="14.25" x14ac:dyDescent="0.2">
      <c r="I35" s="9" t="s">
        <v>5744</v>
      </c>
      <c r="J35" s="182" t="s">
        <v>5745</v>
      </c>
      <c r="K35" s="184">
        <f>+IFERROR(LEFT(RIGHT(Tabla3[[#This Row],[DESCRIPCIÒN]],4),3)+0,0)</f>
        <v>200</v>
      </c>
      <c r="L35" s="4" t="s">
        <v>5743</v>
      </c>
      <c r="M35" s="185">
        <f>+_xlfn.XLOOKUP("ESPARRAGOS DE ACERO"&amp;Tabla3[[#This Row],[Nº]],CODIGOS_Y_COSTOS[ID],CODIGOS_Y_COSTOS[COSTO],0,0)</f>
        <v>447.93389999999999</v>
      </c>
      <c r="N35" s="189">
        <f>+Tabla3[[#This Row],[Importe]]*Tabla3[[#This Row],[CANTIDAD]]</f>
        <v>89586.78</v>
      </c>
      <c r="P35">
        <f>+_xlfn.XLOOKUP("ESPARRAGOS DE ACERO"&amp;Tabla3[[#This Row],[Nº]],CODIGOS_Y_COSTOS[ID],CODIGOS_Y_COSTOS[Precio],0,0)</f>
        <v>2127.88</v>
      </c>
      <c r="Q35" s="396">
        <f t="shared" ref="Q35:Q51" si="5">+(1-$Q$2)*P35</f>
        <v>723.47919999999999</v>
      </c>
    </row>
    <row r="36" spans="4:17" ht="14.25" x14ac:dyDescent="0.2">
      <c r="I36" s="9" t="s">
        <v>5748</v>
      </c>
      <c r="J36" s="182" t="s">
        <v>5749</v>
      </c>
      <c r="K36" s="184">
        <f>+IFERROR(LEFT(RIGHT(Tabla3[[#This Row],[DESCRIPCIÒN]],4),3)+0,0)</f>
        <v>200</v>
      </c>
      <c r="L36" s="4" t="s">
        <v>5747</v>
      </c>
      <c r="M36" s="185">
        <f>+_xlfn.XLOOKUP("ESPARRAGOS DE ACERO"&amp;Tabla3[[#This Row],[Nº]],CODIGOS_Y_COSTOS[ID],CODIGOS_Y_COSTOS[COSTO],0,0)</f>
        <v>447.93389999999999</v>
      </c>
      <c r="N36" s="189">
        <f>+Tabla3[[#This Row],[Importe]]*Tabla3[[#This Row],[CANTIDAD]]</f>
        <v>89586.78</v>
      </c>
      <c r="P36">
        <f>+_xlfn.XLOOKUP("ESPARRAGOS DE ACERO"&amp;Tabla3[[#This Row],[Nº]],CODIGOS_Y_COSTOS[ID],CODIGOS_Y_COSTOS[Precio],0,0)</f>
        <v>2127.4699999999998</v>
      </c>
      <c r="Q36" s="396">
        <f t="shared" si="5"/>
        <v>723.33979999999985</v>
      </c>
    </row>
    <row r="37" spans="4:17" ht="14.25" x14ac:dyDescent="0.2">
      <c r="I37" s="9" t="s">
        <v>5752</v>
      </c>
      <c r="J37" s="182" t="s">
        <v>5753</v>
      </c>
      <c r="K37" s="184">
        <f>+IFERROR(LEFT(RIGHT(Tabla3[[#This Row],[DESCRIPCIÒN]],4),3)+0,0)</f>
        <v>200</v>
      </c>
      <c r="L37" s="4" t="s">
        <v>5751</v>
      </c>
      <c r="M37" s="185">
        <f>+_xlfn.XLOOKUP("ESPARRAGOS DE ACERO"&amp;Tabla3[[#This Row],[Nº]],CODIGOS_Y_COSTOS[ID],CODIGOS_Y_COSTOS[COSTO],0,0)</f>
        <v>474.10969999999998</v>
      </c>
      <c r="N37" s="189">
        <f>+Tabla3[[#This Row],[Importe]]*Tabla3[[#This Row],[CANTIDAD]]</f>
        <v>94821.94</v>
      </c>
      <c r="P37">
        <f>+_xlfn.XLOOKUP("ESPARRAGOS DE ACERO"&amp;Tabla3[[#This Row],[Nº]],CODIGOS_Y_COSTOS[ID],CODIGOS_Y_COSTOS[Precio],0,0)</f>
        <v>2280.36</v>
      </c>
      <c r="Q37" s="396">
        <f t="shared" si="5"/>
        <v>775.32240000000002</v>
      </c>
    </row>
    <row r="38" spans="4:17" ht="14.25" x14ac:dyDescent="0.2">
      <c r="I38" s="9" t="s">
        <v>5756</v>
      </c>
      <c r="J38" s="182" t="s">
        <v>5757</v>
      </c>
      <c r="K38" s="184">
        <f>+IFERROR(LEFT(RIGHT(Tabla3[[#This Row],[DESCRIPCIÒN]],4),3)+0,0)</f>
        <v>100</v>
      </c>
      <c r="L38" s="4" t="s">
        <v>5755</v>
      </c>
      <c r="M38" s="185">
        <f>+_xlfn.XLOOKUP("ESPARRAGOS DE ACERO"&amp;Tabla3[[#This Row],[Nº]],CODIGOS_Y_COSTOS[ID],CODIGOS_Y_COSTOS[COSTO],0,0)</f>
        <v>503.20069999999998</v>
      </c>
      <c r="N38" s="189">
        <f>+Tabla3[[#This Row],[Importe]]*Tabla3[[#This Row],[CANTIDAD]]</f>
        <v>50320.07</v>
      </c>
      <c r="P38">
        <f>+_xlfn.XLOOKUP("ESPARRAGOS DE ACERO"&amp;Tabla3[[#This Row],[Nº]],CODIGOS_Y_COSTOS[ID],CODIGOS_Y_COSTOS[Precio],0,0)</f>
        <v>2389.58</v>
      </c>
      <c r="Q38" s="396">
        <f t="shared" si="5"/>
        <v>812.45719999999994</v>
      </c>
    </row>
    <row r="39" spans="4:17" ht="14.25" x14ac:dyDescent="0.2">
      <c r="D39" s="31" t="s">
        <v>17895</v>
      </c>
      <c r="I39" s="9" t="s">
        <v>5760</v>
      </c>
      <c r="J39" s="182" t="s">
        <v>5761</v>
      </c>
      <c r="K39" s="184">
        <f>+IFERROR(LEFT(RIGHT(Tabla3[[#This Row],[DESCRIPCIÒN]],4),3)+0,0)</f>
        <v>100</v>
      </c>
      <c r="L39" s="4" t="s">
        <v>5759</v>
      </c>
      <c r="M39" s="185">
        <f>+_xlfn.XLOOKUP("ESPARRAGOS DE ACERO"&amp;Tabla3[[#This Row],[Nº]],CODIGOS_Y_COSTOS[ID],CODIGOS_Y_COSTOS[COSTO],0,0)</f>
        <v>593.36699999999996</v>
      </c>
      <c r="N39" s="189">
        <f>+Tabla3[[#This Row],[Importe]]*Tabla3[[#This Row],[CANTIDAD]]</f>
        <v>59336.7</v>
      </c>
      <c r="P39">
        <f>+_xlfn.XLOOKUP("ESPARRAGOS DE ACERO"&amp;Tabla3[[#This Row],[Nº]],CODIGOS_Y_COSTOS[ID],CODIGOS_Y_COSTOS[Precio],0,0)</f>
        <v>2817.72</v>
      </c>
      <c r="Q39" s="396">
        <f t="shared" si="5"/>
        <v>958.0247999999998</v>
      </c>
    </row>
    <row r="40" spans="4:17" ht="14.25" x14ac:dyDescent="0.2">
      <c r="D40" t="s">
        <v>17913</v>
      </c>
      <c r="E40" t="s">
        <v>17914</v>
      </c>
      <c r="I40" s="9" t="s">
        <v>5764</v>
      </c>
      <c r="J40" s="182" t="s">
        <v>5765</v>
      </c>
      <c r="K40" s="184">
        <f>+IFERROR(LEFT(RIGHT(Tabla3[[#This Row],[DESCRIPCIÒN]],4),3)+0,0)</f>
        <v>100</v>
      </c>
      <c r="L40" s="4" t="s">
        <v>5763</v>
      </c>
      <c r="M40" s="185">
        <f>+_xlfn.XLOOKUP("ESPARRAGOS DE ACERO"&amp;Tabla3[[#This Row],[Nº]],CODIGOS_Y_COSTOS[ID],CODIGOS_Y_COSTOS[COSTO],0,0)</f>
        <v>732.99159999999995</v>
      </c>
      <c r="N40" s="189">
        <f>+Tabla3[[#This Row],[Importe]]*Tabla3[[#This Row],[CANTIDAD]]</f>
        <v>73299.159999999989</v>
      </c>
      <c r="P40">
        <f>+_xlfn.XLOOKUP("ESPARRAGOS DE ACERO"&amp;Tabla3[[#This Row],[Nº]],CODIGOS_Y_COSTOS[ID],CODIGOS_Y_COSTOS[Precio],0,0)</f>
        <v>3480.28</v>
      </c>
      <c r="Q40" s="396">
        <f t="shared" si="5"/>
        <v>1183.2952</v>
      </c>
    </row>
    <row r="41" spans="4:17" ht="14.25" x14ac:dyDescent="0.2">
      <c r="D41" t="s">
        <v>17915</v>
      </c>
      <c r="E41" t="s">
        <v>17916</v>
      </c>
      <c r="I41" s="9" t="s">
        <v>5768</v>
      </c>
      <c r="J41" s="182" t="s">
        <v>5769</v>
      </c>
      <c r="K41" s="184">
        <f>+IFERROR(LEFT(RIGHT(Tabla3[[#This Row],[DESCRIPCIÒN]],4),3)+0,0)</f>
        <v>100</v>
      </c>
      <c r="L41" s="4" t="s">
        <v>5767</v>
      </c>
      <c r="M41" s="185">
        <f>+_xlfn.XLOOKUP("ESPARRAGOS DE ACERO"&amp;Tabla3[[#This Row],[Nº]],CODIGOS_Y_COSTOS[ID],CODIGOS_Y_COSTOS[COSTO],0,0)</f>
        <v>837.69460000000004</v>
      </c>
      <c r="N41" s="189">
        <f>+Tabla3[[#This Row],[Importe]]*Tabla3[[#This Row],[CANTIDAD]]</f>
        <v>83769.460000000006</v>
      </c>
      <c r="P41">
        <f>+_xlfn.XLOOKUP("ESPARRAGOS DE ACERO"&amp;Tabla3[[#This Row],[Nº]],CODIGOS_Y_COSTOS[ID],CODIGOS_Y_COSTOS[Precio],0,0)</f>
        <v>3978.28</v>
      </c>
      <c r="Q41" s="396">
        <f t="shared" si="5"/>
        <v>1352.6152</v>
      </c>
    </row>
    <row r="42" spans="4:17" ht="14.25" x14ac:dyDescent="0.2">
      <c r="D42" t="s">
        <v>17917</v>
      </c>
      <c r="E42" t="s">
        <v>17918</v>
      </c>
      <c r="I42" s="9" t="s">
        <v>5772</v>
      </c>
      <c r="J42" s="182" t="s">
        <v>5773</v>
      </c>
      <c r="K42" s="184">
        <f>+IFERROR(LEFT(RIGHT(Tabla3[[#This Row],[DESCRIPCIÒN]],4),3)+0,0)</f>
        <v>300</v>
      </c>
      <c r="L42" s="4" t="s">
        <v>5771</v>
      </c>
      <c r="M42" s="185">
        <f>+_xlfn.XLOOKUP("ESPARRAGOS DE ACERO"&amp;Tabla3[[#This Row],[Nº]],CODIGOS_Y_COSTOS[ID],CODIGOS_Y_COSTOS[COSTO],0,0)</f>
        <v>465.38589999999999</v>
      </c>
      <c r="N42" s="189">
        <f>+Tabla3[[#This Row],[Importe]]*Tabla3[[#This Row],[CANTIDAD]]</f>
        <v>139615.76999999999</v>
      </c>
      <c r="P42">
        <f>+_xlfn.XLOOKUP("ESPARRAGOS DE ACERO"&amp;Tabla3[[#This Row],[Nº]],CODIGOS_Y_COSTOS[ID],CODIGOS_Y_COSTOS[Precio],0,0)</f>
        <v>2210.5100000000002</v>
      </c>
      <c r="Q42" s="396">
        <f t="shared" si="5"/>
        <v>751.57339999999999</v>
      </c>
    </row>
    <row r="43" spans="4:17" ht="14.25" x14ac:dyDescent="0.2">
      <c r="D43" t="s">
        <v>17919</v>
      </c>
      <c r="E43" t="s">
        <v>17920</v>
      </c>
      <c r="I43" s="9" t="s">
        <v>5776</v>
      </c>
      <c r="J43" s="182" t="s">
        <v>5777</v>
      </c>
      <c r="K43" s="184">
        <f>+IFERROR(LEFT(RIGHT(Tabla3[[#This Row],[DESCRIPCIÒN]],4),3)+0,0)</f>
        <v>100</v>
      </c>
      <c r="L43" s="4" t="s">
        <v>5775</v>
      </c>
      <c r="M43" s="185">
        <f>+_xlfn.XLOOKUP("ESPARRAGOS DE ACERO"&amp;Tabla3[[#This Row],[Nº]],CODIGOS_Y_COSTOS[ID],CODIGOS_Y_COSTOS[COSTO],0,0)</f>
        <v>509.0136</v>
      </c>
      <c r="N43" s="189">
        <f>+Tabla3[[#This Row],[Importe]]*Tabla3[[#This Row],[CANTIDAD]]</f>
        <v>50901.36</v>
      </c>
      <c r="P43">
        <f>+_xlfn.XLOOKUP("ESPARRAGOS DE ACERO"&amp;Tabla3[[#This Row],[Nº]],CODIGOS_Y_COSTOS[ID],CODIGOS_Y_COSTOS[Precio],0,0)</f>
        <v>2345.89</v>
      </c>
      <c r="Q43" s="396">
        <f t="shared" si="5"/>
        <v>797.60259999999994</v>
      </c>
    </row>
    <row r="44" spans="4:17" ht="14.25" x14ac:dyDescent="0.2">
      <c r="D44" t="s">
        <v>17921</v>
      </c>
      <c r="E44" t="s">
        <v>17922</v>
      </c>
      <c r="I44" s="9" t="s">
        <v>5780</v>
      </c>
      <c r="J44" s="182" t="s">
        <v>5781</v>
      </c>
      <c r="K44" s="184">
        <f>+IFERROR(LEFT(RIGHT(Tabla3[[#This Row],[DESCRIPCIÒN]],4),3)+0,0)</f>
        <v>100</v>
      </c>
      <c r="L44" s="4" t="s">
        <v>5779</v>
      </c>
      <c r="M44" s="185">
        <f>+_xlfn.XLOOKUP("ESPARRAGOS DE ACERO"&amp;Tabla3[[#This Row],[Nº]],CODIGOS_Y_COSTOS[ID],CODIGOS_Y_COSTOS[COSTO],0,0)</f>
        <v>529.37639999999999</v>
      </c>
      <c r="N44" s="189">
        <f>+Tabla3[[#This Row],[Importe]]*Tabla3[[#This Row],[CANTIDAD]]</f>
        <v>52937.64</v>
      </c>
      <c r="P44">
        <f>+_xlfn.XLOOKUP("ESPARRAGOS DE ACERO"&amp;Tabla3[[#This Row],[Nº]],CODIGOS_Y_COSTOS[ID],CODIGOS_Y_COSTOS[Precio],0,0)</f>
        <v>2513.38</v>
      </c>
      <c r="Q44" s="396">
        <f t="shared" si="5"/>
        <v>854.54919999999993</v>
      </c>
    </row>
    <row r="45" spans="4:17" ht="14.25" x14ac:dyDescent="0.2">
      <c r="D45" t="s">
        <v>17923</v>
      </c>
      <c r="E45" t="s">
        <v>17924</v>
      </c>
      <c r="I45" s="9" t="s">
        <v>5784</v>
      </c>
      <c r="J45" s="182" t="s">
        <v>5785</v>
      </c>
      <c r="K45" s="184">
        <f>+IFERROR(LEFT(RIGHT(Tabla3[[#This Row],[DESCRIPCIÒN]],4),3)+0,0)</f>
        <v>200</v>
      </c>
      <c r="L45" s="4" t="s">
        <v>5783</v>
      </c>
      <c r="M45" s="185">
        <f>+_xlfn.XLOOKUP("ESPARRAGOS DE ACERO"&amp;Tabla3[[#This Row],[Nº]],CODIGOS_Y_COSTOS[ID],CODIGOS_Y_COSTOS[COSTO],0,0)</f>
        <v>520.64829999999995</v>
      </c>
      <c r="N45" s="189">
        <f>+Tabla3[[#This Row],[Importe]]*Tabla3[[#This Row],[CANTIDAD]]</f>
        <v>104129.65999999999</v>
      </c>
      <c r="P45">
        <f>+_xlfn.XLOOKUP("ESPARRAGOS DE ACERO"&amp;Tabla3[[#This Row],[Nº]],CODIGOS_Y_COSTOS[ID],CODIGOS_Y_COSTOS[Precio],0,0)</f>
        <v>2021.15</v>
      </c>
      <c r="Q45" s="396">
        <f t="shared" si="5"/>
        <v>687.19099999999992</v>
      </c>
    </row>
    <row r="46" spans="4:17" ht="14.25" x14ac:dyDescent="0.2">
      <c r="D46" t="s">
        <v>17925</v>
      </c>
      <c r="E46" t="s">
        <v>17926</v>
      </c>
      <c r="I46" s="9" t="s">
        <v>5788</v>
      </c>
      <c r="J46" s="182" t="s">
        <v>5789</v>
      </c>
      <c r="K46" s="184">
        <f>+IFERROR(LEFT(RIGHT(Tabla3[[#This Row],[DESCRIPCIÒN]],4),3)+0,0)</f>
        <v>100</v>
      </c>
      <c r="L46" s="4" t="s">
        <v>5787</v>
      </c>
      <c r="M46" s="185">
        <f>+_xlfn.XLOOKUP("ESPARRAGOS DE ACERO"&amp;Tabla3[[#This Row],[Nº]],CODIGOS_Y_COSTOS[ID],CODIGOS_Y_COSTOS[COSTO],0,0)</f>
        <v>570.09770000000003</v>
      </c>
      <c r="N46" s="189">
        <f>+Tabla3[[#This Row],[Importe]]*Tabla3[[#This Row],[CANTIDAD]]</f>
        <v>57009.770000000004</v>
      </c>
      <c r="P46">
        <f>+_xlfn.XLOOKUP("ESPARRAGOS DE ACERO"&amp;Tabla3[[#This Row],[Nº]],CODIGOS_Y_COSTOS[ID],CODIGOS_Y_COSTOS[Precio],0,0)</f>
        <v>2707.04</v>
      </c>
      <c r="Q46" s="396">
        <f t="shared" si="5"/>
        <v>920.39359999999988</v>
      </c>
    </row>
    <row r="47" spans="4:17" ht="14.25" x14ac:dyDescent="0.2">
      <c r="D47" t="s">
        <v>17927</v>
      </c>
      <c r="E47" t="s">
        <v>17928</v>
      </c>
      <c r="I47" s="9" t="s">
        <v>5792</v>
      </c>
      <c r="J47" s="182" t="s">
        <v>5793</v>
      </c>
      <c r="K47" s="184">
        <f>+IFERROR(LEFT(RIGHT(Tabla3[[#This Row],[DESCRIPCIÒN]],4),3)+0,0)</f>
        <v>100</v>
      </c>
      <c r="L47" s="4" t="s">
        <v>5791</v>
      </c>
      <c r="M47" s="185">
        <f>+_xlfn.XLOOKUP("ESPARRAGOS DE ACERO"&amp;Tabla3[[#This Row],[Nº]],CODIGOS_Y_COSTOS[ID],CODIGOS_Y_COSTOS[COSTO],0,0)</f>
        <v>616.63630000000001</v>
      </c>
      <c r="N47" s="189">
        <f>+Tabla3[[#This Row],[Importe]]*Tabla3[[#This Row],[CANTIDAD]]</f>
        <v>61663.63</v>
      </c>
      <c r="P47">
        <f>+_xlfn.XLOOKUP("ESPARRAGOS DE ACERO"&amp;Tabla3[[#This Row],[Nº]],CODIGOS_Y_COSTOS[ID],CODIGOS_Y_COSTOS[Precio],0,0)</f>
        <v>2928.39</v>
      </c>
      <c r="Q47" s="396">
        <f t="shared" si="5"/>
        <v>995.65259999999989</v>
      </c>
    </row>
    <row r="48" spans="4:17" ht="14.25" x14ac:dyDescent="0.2">
      <c r="D48" t="s">
        <v>17929</v>
      </c>
      <c r="E48" t="s">
        <v>17930</v>
      </c>
      <c r="I48" s="9" t="s">
        <v>5796</v>
      </c>
      <c r="J48" s="182" t="s">
        <v>5797</v>
      </c>
      <c r="K48" s="184">
        <f>+IFERROR(LEFT(RIGHT(Tabla3[[#This Row],[DESCRIPCIÒN]],4),3)+0,0)</f>
        <v>100</v>
      </c>
      <c r="L48" s="4" t="s">
        <v>5795</v>
      </c>
      <c r="M48" s="185">
        <f>+_xlfn.XLOOKUP("ESPARRAGOS DE ACERO"&amp;Tabla3[[#This Row],[Nº]],CODIGOS_Y_COSTOS[ID],CODIGOS_Y_COSTOS[COSTO],0,0)</f>
        <v>471.20319999999998</v>
      </c>
      <c r="N48" s="189">
        <f>+Tabla3[[#This Row],[Importe]]*Tabla3[[#This Row],[CANTIDAD]]</f>
        <v>47120.32</v>
      </c>
      <c r="P48">
        <f>+_xlfn.XLOOKUP("ESPARRAGOS DE ACERO"&amp;Tabla3[[#This Row],[Nº]],CODIGOS_Y_COSTOS[ID],CODIGOS_Y_COSTOS[Precio],0,0)</f>
        <v>2358.84</v>
      </c>
      <c r="Q48" s="396">
        <f t="shared" si="5"/>
        <v>802.00559999999996</v>
      </c>
    </row>
    <row r="49" spans="4:17" ht="14.25" x14ac:dyDescent="0.2">
      <c r="D49" t="s">
        <v>17931</v>
      </c>
      <c r="E49" t="s">
        <v>17932</v>
      </c>
      <c r="I49" s="9" t="s">
        <v>5800</v>
      </c>
      <c r="J49" s="182" t="s">
        <v>5801</v>
      </c>
      <c r="K49" s="184">
        <f>+IFERROR(LEFT(RIGHT(Tabla3[[#This Row],[DESCRIPCIÒN]],4),3)+0,0)</f>
        <v>200</v>
      </c>
      <c r="L49" s="4" t="s">
        <v>5799</v>
      </c>
      <c r="M49" s="185">
        <f>+_xlfn.XLOOKUP("ESPARRAGOS DE ACERO"&amp;Tabla3[[#This Row],[Nº]],CODIGOS_Y_COSTOS[ID],CODIGOS_Y_COSTOS[COSTO],0,0)</f>
        <v>506.10719999999998</v>
      </c>
      <c r="N49" s="189">
        <f>+Tabla3[[#This Row],[Importe]]*Tabla3[[#This Row],[CANTIDAD]]</f>
        <v>101221.44</v>
      </c>
      <c r="P49">
        <f>+_xlfn.XLOOKUP("ESPARRAGOS DE ACERO"&amp;Tabla3[[#This Row],[Nº]],CODIGOS_Y_COSTOS[ID],CODIGOS_Y_COSTOS[Precio],0,0)</f>
        <v>2404.35</v>
      </c>
      <c r="Q49" s="396">
        <f t="shared" si="5"/>
        <v>817.47899999999993</v>
      </c>
    </row>
    <row r="50" spans="4:17" ht="14.25" x14ac:dyDescent="0.2">
      <c r="D50" t="s">
        <v>17933</v>
      </c>
      <c r="E50" t="s">
        <v>17934</v>
      </c>
      <c r="I50" s="9" t="s">
        <v>5804</v>
      </c>
      <c r="J50" s="182" t="s">
        <v>5805</v>
      </c>
      <c r="K50" s="184">
        <f>+IFERROR(LEFT(RIGHT(Tabla3[[#This Row],[DESCRIPCIÒN]],4),3)+0,0)</f>
        <v>100</v>
      </c>
      <c r="L50" s="4" t="s">
        <v>5803</v>
      </c>
      <c r="M50" s="185">
        <f>+_xlfn.XLOOKUP("ESPARRAGOS DE ACERO"&amp;Tabla3[[#This Row],[Nº]],CODIGOS_Y_COSTOS[ID],CODIGOS_Y_COSTOS[COSTO],0,0)</f>
        <v>604.71140000000003</v>
      </c>
      <c r="N50" s="189">
        <f>+Tabla3[[#This Row],[Importe]]*Tabla3[[#This Row],[CANTIDAD]]</f>
        <v>60471.14</v>
      </c>
      <c r="P50">
        <f>+_xlfn.XLOOKUP("ESPARRAGOS DE ACERO"&amp;Tabla3[[#This Row],[Nº]],CODIGOS_Y_COSTOS[ID],CODIGOS_Y_COSTOS[Precio],0,0)</f>
        <v>2872.75</v>
      </c>
      <c r="Q50" s="396">
        <f t="shared" si="5"/>
        <v>976.7349999999999</v>
      </c>
    </row>
    <row r="51" spans="4:17" ht="14.25" x14ac:dyDescent="0.2">
      <c r="D51" t="s">
        <v>17935</v>
      </c>
      <c r="E51" t="s">
        <v>17936</v>
      </c>
      <c r="I51" s="9" t="s">
        <v>5808</v>
      </c>
      <c r="J51" s="182" t="s">
        <v>5809</v>
      </c>
      <c r="K51" s="184">
        <f>+IFERROR(LEFT(RIGHT(Tabla3[[#This Row],[DESCRIPCIÒN]],4),3)+0,0)</f>
        <v>200</v>
      </c>
      <c r="L51" s="4" t="s">
        <v>5807</v>
      </c>
      <c r="M51" s="185">
        <f>+_xlfn.XLOOKUP("ESPARRAGOS DE ACERO"&amp;Tabla3[[#This Row],[Nº]],CODIGOS_Y_COSTOS[ID],CODIGOS_Y_COSTOS[COSTO],0,0)</f>
        <v>604.71140000000003</v>
      </c>
      <c r="N51" s="189">
        <f>+Tabla3[[#This Row],[Importe]]*Tabla3[[#This Row],[CANTIDAD]]</f>
        <v>120942.28</v>
      </c>
      <c r="P51">
        <f>+_xlfn.XLOOKUP("ESPARRAGOS DE ACERO"&amp;Tabla3[[#This Row],[Nº]],CODIGOS_Y_COSTOS[ID],CODIGOS_Y_COSTOS[Precio],0,0)</f>
        <v>2872.75</v>
      </c>
      <c r="Q51" s="396">
        <f t="shared" si="5"/>
        <v>976.7349999999999</v>
      </c>
    </row>
    <row r="52" spans="4:17" x14ac:dyDescent="0.2">
      <c r="D52" t="s">
        <v>17937</v>
      </c>
      <c r="E52" t="s">
        <v>17938</v>
      </c>
      <c r="I52" s="9" t="s">
        <v>4463</v>
      </c>
      <c r="J52" s="9" t="s">
        <v>4463</v>
      </c>
      <c r="K52" s="184">
        <f>+IFERROR(LEFT(RIGHT(Tabla3[[#This Row],[DESCRIPCIÒN]],4),3)+0,0)</f>
        <v>0</v>
      </c>
      <c r="L52" s="4" t="s">
        <v>4463</v>
      </c>
      <c r="M52" s="186"/>
      <c r="N52" s="189">
        <f>+Tabla3[[#This Row],[Importe]]*Tabla3[[#This Row],[CANTIDAD]]</f>
        <v>0</v>
      </c>
      <c r="P52">
        <f>+_xlfn.XLOOKUP("ESPARRAGOS DE ACERO"&amp;Tabla3[[#This Row],[Nº]],CODIGOS_Y_COSTOS[ID],CODIGOS_Y_COSTOS[Precio],0,0)</f>
        <v>0</v>
      </c>
      <c r="Q52" s="396">
        <v>0</v>
      </c>
    </row>
    <row r="53" spans="4:17" x14ac:dyDescent="0.2">
      <c r="D53" t="s">
        <v>17939</v>
      </c>
      <c r="E53" t="s">
        <v>17940</v>
      </c>
      <c r="I53" s="9" t="s">
        <v>8162</v>
      </c>
      <c r="J53" s="9"/>
      <c r="K53" s="184"/>
      <c r="L53" s="9"/>
      <c r="M53" s="27"/>
      <c r="N53" s="2">
        <f>SUBTOTAL(109,Tabla3[TOTAL])</f>
        <v>3555719.17</v>
      </c>
    </row>
    <row r="54" spans="4:17" x14ac:dyDescent="0.2">
      <c r="D54" t="s">
        <v>17941</v>
      </c>
      <c r="E54" t="s">
        <v>17942</v>
      </c>
    </row>
    <row r="55" spans="4:17" x14ac:dyDescent="0.2">
      <c r="D55" t="s">
        <v>17943</v>
      </c>
      <c r="E55" t="s">
        <v>17944</v>
      </c>
    </row>
    <row r="56" spans="4:17" x14ac:dyDescent="0.2">
      <c r="D56" t="s">
        <v>5800</v>
      </c>
      <c r="E56" t="s">
        <v>5801</v>
      </c>
    </row>
    <row r="57" spans="4:17" x14ac:dyDescent="0.2">
      <c r="D57" t="s">
        <v>17945</v>
      </c>
      <c r="E57" t="s">
        <v>17946</v>
      </c>
    </row>
    <row r="58" spans="4:17" x14ac:dyDescent="0.2">
      <c r="D58" t="s">
        <v>17947</v>
      </c>
      <c r="E58" t="s">
        <v>17948</v>
      </c>
    </row>
    <row r="59" spans="4:17" x14ac:dyDescent="0.2">
      <c r="D59" t="s">
        <v>17949</v>
      </c>
      <c r="E59" t="s">
        <v>17950</v>
      </c>
    </row>
    <row r="60" spans="4:17" x14ac:dyDescent="0.2">
      <c r="D60" t="s">
        <v>17923</v>
      </c>
      <c r="E60" t="s">
        <v>17924</v>
      </c>
    </row>
    <row r="61" spans="4:17" x14ac:dyDescent="0.2">
      <c r="D61" t="s">
        <v>17933</v>
      </c>
      <c r="E61" t="s">
        <v>17934</v>
      </c>
    </row>
    <row r="62" spans="4:17" x14ac:dyDescent="0.2">
      <c r="D62" t="s">
        <v>17951</v>
      </c>
      <c r="E62" t="s">
        <v>17952</v>
      </c>
    </row>
    <row r="63" spans="4:17" x14ac:dyDescent="0.2">
      <c r="D63" t="s">
        <v>17953</v>
      </c>
      <c r="E63" t="s">
        <v>17954</v>
      </c>
    </row>
    <row r="64" spans="4:17" x14ac:dyDescent="0.2">
      <c r="D64" t="s">
        <v>17925</v>
      </c>
      <c r="E64" t="s">
        <v>17926</v>
      </c>
    </row>
    <row r="65" spans="4:5" x14ac:dyDescent="0.2">
      <c r="D65" t="s">
        <v>17955</v>
      </c>
      <c r="E65" t="s">
        <v>17956</v>
      </c>
    </row>
    <row r="66" spans="4:5" x14ac:dyDescent="0.2">
      <c r="D66" t="s">
        <v>17957</v>
      </c>
      <c r="E66" t="s">
        <v>17958</v>
      </c>
    </row>
    <row r="67" spans="4:5" x14ac:dyDescent="0.2">
      <c r="D67" t="s">
        <v>17959</v>
      </c>
      <c r="E67" t="s">
        <v>17960</v>
      </c>
    </row>
    <row r="68" spans="4:5" x14ac:dyDescent="0.2">
      <c r="D68" t="s">
        <v>17919</v>
      </c>
      <c r="E68" t="s">
        <v>17920</v>
      </c>
    </row>
    <row r="69" spans="4:5" x14ac:dyDescent="0.2">
      <c r="D69" t="s">
        <v>17961</v>
      </c>
      <c r="E69" t="s">
        <v>17962</v>
      </c>
    </row>
    <row r="70" spans="4:5" x14ac:dyDescent="0.2">
      <c r="D70" t="s">
        <v>17963</v>
      </c>
      <c r="E70" t="s">
        <v>17964</v>
      </c>
    </row>
  </sheetData>
  <mergeCells count="2">
    <mergeCell ref="I1:K1"/>
    <mergeCell ref="A1:B1"/>
  </mergeCells>
  <phoneticPr fontId="11" type="noConversion"/>
  <conditionalFormatting sqref="B3:B23">
    <cfRule type="expression" dxfId="131" priority="1">
      <formula>IF(_xlfn.ISFORMULA(B3)=TRUE,FALSE,TRUE)</formula>
    </cfRule>
  </conditionalFormatting>
  <dataValidations count="1">
    <dataValidation type="list" allowBlank="1" showInputMessage="1" showErrorMessage="1" sqref="D3:D23" xr:uid="{67E9D4C6-AD3F-4461-9C32-87621E2BAFDC}">
      <formula1>$L$3:$L$52</formula1>
    </dataValidation>
  </dataValidations>
  <pageMargins left="0.7" right="0.7" top="0.75" bottom="0.75" header="0.3" footer="0.3"/>
  <pageSetup paperSize="9"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B2E51-B825-4B2A-A95E-FFCAF1ABBD68}">
  <sheetPr codeName="Hoja6"/>
  <dimension ref="A1:U132"/>
  <sheetViews>
    <sheetView showGridLines="0" tabSelected="1" zoomScale="160" zoomScaleNormal="160" zoomScaleSheetLayoutView="205" workbookViewId="0">
      <pane ySplit="2" topLeftCell="A3" activePane="bottomLeft" state="frozen"/>
      <selection activeCell="I12" sqref="I12"/>
      <selection pane="bottomLeft" activeCell="G19" sqref="G19"/>
    </sheetView>
  </sheetViews>
  <sheetFormatPr baseColWidth="10" defaultColWidth="11.5703125" defaultRowHeight="14.25" x14ac:dyDescent="0.2"/>
  <cols>
    <col min="1" max="1" width="14.28515625" style="249" customWidth="1"/>
    <col min="2" max="2" width="10" style="249" customWidth="1"/>
    <col min="3" max="3" width="2" style="249" customWidth="1"/>
    <col min="4" max="4" width="6.5703125" style="249" customWidth="1"/>
    <col min="5" max="5" width="14.5703125" style="249" bestFit="1" customWidth="1"/>
    <col min="6" max="6" width="17.28515625" style="249" customWidth="1"/>
    <col min="7" max="7" width="19" style="249" customWidth="1"/>
    <col min="8" max="8" width="12.85546875" style="249" bestFit="1" customWidth="1"/>
    <col min="9" max="9" width="58" style="249" customWidth="1"/>
    <col min="10" max="10" width="12.28515625" style="249" customWidth="1"/>
    <col min="11" max="11" width="16.5703125" style="249" customWidth="1"/>
    <col min="12" max="12" width="20.28515625" style="249" customWidth="1"/>
    <col min="13" max="13" width="14" style="247" customWidth="1"/>
    <col min="14" max="14" width="18.28515625" style="249" customWidth="1"/>
    <col min="15" max="15" width="14.85546875" style="249" customWidth="1"/>
    <col min="16" max="16" width="14.5703125" style="249" customWidth="1"/>
    <col min="17" max="18" width="11.5703125" style="249" customWidth="1"/>
    <col min="19" max="19" width="11.5703125" style="249"/>
    <col min="20" max="20" width="48" style="249" bestFit="1" customWidth="1"/>
    <col min="21" max="247" width="11.5703125" style="249"/>
    <col min="248" max="249" width="11.5703125" style="249" customWidth="1"/>
    <col min="250" max="503" width="11.5703125" style="249"/>
    <col min="504" max="505" width="11.5703125" style="249" customWidth="1"/>
    <col min="506" max="759" width="11.5703125" style="249"/>
    <col min="760" max="761" width="11.5703125" style="249" customWidth="1"/>
    <col min="762" max="1015" width="11.5703125" style="249"/>
    <col min="1016" max="1017" width="11.5703125" style="249" customWidth="1"/>
    <col min="1018" max="1271" width="11.5703125" style="249"/>
    <col min="1272" max="1273" width="11.5703125" style="249" customWidth="1"/>
    <col min="1274" max="1527" width="11.5703125" style="249"/>
    <col min="1528" max="1529" width="11.5703125" style="249" customWidth="1"/>
    <col min="1530" max="1783" width="11.5703125" style="249"/>
    <col min="1784" max="1785" width="11.5703125" style="249" customWidth="1"/>
    <col min="1786" max="2039" width="11.5703125" style="249"/>
    <col min="2040" max="2041" width="11.5703125" style="249" customWidth="1"/>
    <col min="2042" max="2295" width="11.5703125" style="249"/>
    <col min="2296" max="2297" width="11.5703125" style="249" customWidth="1"/>
    <col min="2298" max="2551" width="11.5703125" style="249"/>
    <col min="2552" max="2553" width="11.5703125" style="249" customWidth="1"/>
    <col min="2554" max="2807" width="11.5703125" style="249"/>
    <col min="2808" max="2809" width="11.5703125" style="249" customWidth="1"/>
    <col min="2810" max="3063" width="11.5703125" style="249"/>
    <col min="3064" max="3065" width="11.5703125" style="249" customWidth="1"/>
    <col min="3066" max="3319" width="11.5703125" style="249"/>
    <col min="3320" max="3321" width="11.5703125" style="249" customWidth="1"/>
    <col min="3322" max="3575" width="11.5703125" style="249"/>
    <col min="3576" max="3577" width="11.5703125" style="249" customWidth="1"/>
    <col min="3578" max="3831" width="11.5703125" style="249"/>
    <col min="3832" max="3833" width="11.5703125" style="249" customWidth="1"/>
    <col min="3834" max="4087" width="11.5703125" style="249"/>
    <col min="4088" max="4089" width="11.5703125" style="249" customWidth="1"/>
    <col min="4090" max="4343" width="11.5703125" style="249"/>
    <col min="4344" max="4345" width="11.5703125" style="249" customWidth="1"/>
    <col min="4346" max="4599" width="11.5703125" style="249"/>
    <col min="4600" max="4601" width="11.5703125" style="249" customWidth="1"/>
    <col min="4602" max="4855" width="11.5703125" style="249"/>
    <col min="4856" max="4857" width="11.5703125" style="249" customWidth="1"/>
    <col min="4858" max="5111" width="11.5703125" style="249"/>
    <col min="5112" max="5113" width="11.5703125" style="249" customWidth="1"/>
    <col min="5114" max="5367" width="11.5703125" style="249"/>
    <col min="5368" max="5369" width="11.5703125" style="249" customWidth="1"/>
    <col min="5370" max="5623" width="11.5703125" style="249"/>
    <col min="5624" max="5625" width="11.5703125" style="249" customWidth="1"/>
    <col min="5626" max="5879" width="11.5703125" style="249"/>
    <col min="5880" max="5881" width="11.5703125" style="249" customWidth="1"/>
    <col min="5882" max="6135" width="11.5703125" style="249"/>
    <col min="6136" max="6137" width="11.5703125" style="249" customWidth="1"/>
    <col min="6138" max="6391" width="11.5703125" style="249"/>
    <col min="6392" max="6393" width="11.5703125" style="249" customWidth="1"/>
    <col min="6394" max="6647" width="11.5703125" style="249"/>
    <col min="6648" max="6649" width="11.5703125" style="249" customWidth="1"/>
    <col min="6650" max="6903" width="11.5703125" style="249"/>
    <col min="6904" max="6905" width="11.5703125" style="249" customWidth="1"/>
    <col min="6906" max="7159" width="11.5703125" style="249"/>
    <col min="7160" max="7161" width="11.5703125" style="249" customWidth="1"/>
    <col min="7162" max="7415" width="11.5703125" style="249"/>
    <col min="7416" max="7417" width="11.5703125" style="249" customWidth="1"/>
    <col min="7418" max="7671" width="11.5703125" style="249"/>
    <col min="7672" max="7673" width="11.5703125" style="249" customWidth="1"/>
    <col min="7674" max="7927" width="11.5703125" style="249"/>
    <col min="7928" max="7929" width="11.5703125" style="249" customWidth="1"/>
    <col min="7930" max="8183" width="11.5703125" style="249"/>
    <col min="8184" max="8185" width="11.5703125" style="249" customWidth="1"/>
    <col min="8186" max="8439" width="11.5703125" style="249"/>
    <col min="8440" max="8441" width="11.5703125" style="249" customWidth="1"/>
    <col min="8442" max="8695" width="11.5703125" style="249"/>
    <col min="8696" max="8697" width="11.5703125" style="249" customWidth="1"/>
    <col min="8698" max="8951" width="11.5703125" style="249"/>
    <col min="8952" max="8953" width="11.5703125" style="249" customWidth="1"/>
    <col min="8954" max="9207" width="11.5703125" style="249"/>
    <col min="9208" max="9209" width="11.5703125" style="249" customWidth="1"/>
    <col min="9210" max="9463" width="11.5703125" style="249"/>
    <col min="9464" max="9465" width="11.5703125" style="249" customWidth="1"/>
    <col min="9466" max="9719" width="11.5703125" style="249"/>
    <col min="9720" max="9721" width="11.5703125" style="249" customWidth="1"/>
    <col min="9722" max="9975" width="11.5703125" style="249"/>
    <col min="9976" max="9977" width="11.5703125" style="249" customWidth="1"/>
    <col min="9978" max="10231" width="11.5703125" style="249"/>
    <col min="10232" max="10233" width="11.5703125" style="249" customWidth="1"/>
    <col min="10234" max="10487" width="11.5703125" style="249"/>
    <col min="10488" max="10489" width="11.5703125" style="249" customWidth="1"/>
    <col min="10490" max="10743" width="11.5703125" style="249"/>
    <col min="10744" max="10745" width="11.5703125" style="249" customWidth="1"/>
    <col min="10746" max="10999" width="11.5703125" style="249"/>
    <col min="11000" max="11001" width="11.5703125" style="249" customWidth="1"/>
    <col min="11002" max="11255" width="11.5703125" style="249"/>
    <col min="11256" max="11257" width="11.5703125" style="249" customWidth="1"/>
    <col min="11258" max="11511" width="11.5703125" style="249"/>
    <col min="11512" max="11513" width="11.5703125" style="249" customWidth="1"/>
    <col min="11514" max="11767" width="11.5703125" style="249"/>
    <col min="11768" max="11769" width="11.5703125" style="249" customWidth="1"/>
    <col min="11770" max="12023" width="11.5703125" style="249"/>
    <col min="12024" max="12025" width="11.5703125" style="249" customWidth="1"/>
    <col min="12026" max="12279" width="11.5703125" style="249"/>
    <col min="12280" max="12281" width="11.5703125" style="249" customWidth="1"/>
    <col min="12282" max="12535" width="11.5703125" style="249"/>
    <col min="12536" max="12537" width="11.5703125" style="249" customWidth="1"/>
    <col min="12538" max="12791" width="11.5703125" style="249"/>
    <col min="12792" max="12793" width="11.5703125" style="249" customWidth="1"/>
    <col min="12794" max="13047" width="11.5703125" style="249"/>
    <col min="13048" max="13049" width="11.5703125" style="249" customWidth="1"/>
    <col min="13050" max="13303" width="11.5703125" style="249"/>
    <col min="13304" max="13305" width="11.5703125" style="249" customWidth="1"/>
    <col min="13306" max="13559" width="11.5703125" style="249"/>
    <col min="13560" max="13561" width="11.5703125" style="249" customWidth="1"/>
    <col min="13562" max="13815" width="11.5703125" style="249"/>
    <col min="13816" max="13817" width="11.5703125" style="249" customWidth="1"/>
    <col min="13818" max="14071" width="11.5703125" style="249"/>
    <col min="14072" max="14073" width="11.5703125" style="249" customWidth="1"/>
    <col min="14074" max="14327" width="11.5703125" style="249"/>
    <col min="14328" max="14329" width="11.5703125" style="249" customWidth="1"/>
    <col min="14330" max="14583" width="11.5703125" style="249"/>
    <col min="14584" max="14585" width="11.5703125" style="249" customWidth="1"/>
    <col min="14586" max="14839" width="11.5703125" style="249"/>
    <col min="14840" max="14841" width="11.5703125" style="249" customWidth="1"/>
    <col min="14842" max="15095" width="11.5703125" style="249"/>
    <col min="15096" max="15097" width="11.5703125" style="249" customWidth="1"/>
    <col min="15098" max="15351" width="11.5703125" style="249"/>
    <col min="15352" max="15353" width="11.5703125" style="249" customWidth="1"/>
    <col min="15354" max="15607" width="11.5703125" style="249"/>
    <col min="15608" max="15609" width="11.5703125" style="249" customWidth="1"/>
    <col min="15610" max="15863" width="11.5703125" style="249"/>
    <col min="15864" max="15865" width="11.5703125" style="249" customWidth="1"/>
    <col min="15866" max="16119" width="11.5703125" style="249"/>
    <col min="16120" max="16121" width="11.5703125" style="249" customWidth="1"/>
    <col min="16122" max="16384" width="11.5703125" style="249"/>
  </cols>
  <sheetData>
    <row r="1" spans="1:21" ht="25.15" customHeight="1" thickTop="1" thickBot="1" x14ac:dyDescent="0.25">
      <c r="A1" s="1525" t="s">
        <v>17965</v>
      </c>
      <c r="B1" s="1526"/>
      <c r="F1" s="270">
        <f>+SUM(F3:F15)</f>
        <v>254928</v>
      </c>
      <c r="G1" s="610" t="str">
        <f>+"FINAL: "&amp;TEXT(F1*1.21,"$###.###")</f>
        <v>FINAL: $308.463</v>
      </c>
      <c r="H1" s="1523" t="s">
        <v>17966</v>
      </c>
      <c r="I1" s="1524"/>
      <c r="J1" s="1423">
        <v>44813</v>
      </c>
      <c r="K1" s="245" t="s">
        <v>8763</v>
      </c>
      <c r="L1" s="246">
        <v>865</v>
      </c>
      <c r="N1" s="248"/>
      <c r="Q1" s="250">
        <v>0.35</v>
      </c>
    </row>
    <row r="2" spans="1:21" ht="27" customHeight="1" thickBot="1" x14ac:dyDescent="0.25">
      <c r="A2" s="608" t="s">
        <v>8751</v>
      </c>
      <c r="B2" s="609" t="s">
        <v>8322</v>
      </c>
      <c r="D2" s="607" t="s">
        <v>8189</v>
      </c>
      <c r="E2" s="257" t="s">
        <v>8754</v>
      </c>
      <c r="F2" s="257" t="s">
        <v>8162</v>
      </c>
      <c r="G2" s="610" t="str">
        <f>+"IVA: "&amp;TEXT((F1*1.21)-F1,"$###.###")</f>
        <v>IVA: $53.535</v>
      </c>
      <c r="H2" s="251" t="s">
        <v>8189</v>
      </c>
      <c r="I2" s="252" t="s">
        <v>8756</v>
      </c>
      <c r="J2" s="253" t="s">
        <v>17967</v>
      </c>
      <c r="K2" s="254" t="s">
        <v>17968</v>
      </c>
      <c r="L2" s="255" t="s">
        <v>17969</v>
      </c>
      <c r="M2" s="256" t="s">
        <v>17970</v>
      </c>
      <c r="N2" s="256" t="s">
        <v>17971</v>
      </c>
      <c r="O2" s="255" t="s">
        <v>17972</v>
      </c>
      <c r="Q2" s="256" t="s">
        <v>17973</v>
      </c>
      <c r="S2" s="257" t="s">
        <v>8775</v>
      </c>
      <c r="T2" s="257" t="s">
        <v>8350</v>
      </c>
      <c r="U2" s="258" t="s">
        <v>8771</v>
      </c>
    </row>
    <row r="3" spans="1:21" ht="15.75" thickBot="1" x14ac:dyDescent="0.25">
      <c r="A3" s="407" t="str">
        <f>+IFERROR(VLOOKUP(D3,$H$1:$J$76,3,0),"-")</f>
        <v>1.01.0608</v>
      </c>
      <c r="B3" s="268">
        <f t="shared" ref="B3:B15" si="0">+VLOOKUP(A3,$J$1:$M$76,4,0)</f>
        <v>2000</v>
      </c>
      <c r="D3" s="247">
        <v>46</v>
      </c>
      <c r="E3" s="267">
        <f>+IFERROR(VLOOKUP(A3,$J$1:$L$76,3,0),0)</f>
        <v>47.375999999999998</v>
      </c>
      <c r="F3" s="1382">
        <f>+E3*B3</f>
        <v>94752</v>
      </c>
      <c r="G3" s="267"/>
      <c r="H3" s="259">
        <v>32</v>
      </c>
      <c r="I3" s="260" t="s">
        <v>4557</v>
      </c>
      <c r="J3" s="261" t="s">
        <v>4556</v>
      </c>
      <c r="K3" s="264">
        <v>34.270000000000003</v>
      </c>
      <c r="L3" s="262">
        <f>+_xlfn.XLOOKUP("TERMINALES"&amp;H3,CODIGOS_Y_COSTOS[ID],CODIGOS_Y_COSTOS[COSTO],0,0)</f>
        <v>44.274000000000001</v>
      </c>
      <c r="M3" s="249">
        <v>2000</v>
      </c>
      <c r="N3" s="262">
        <f t="shared" ref="N3:N34" si="1">+L3*M3</f>
        <v>88548</v>
      </c>
      <c r="O3" s="262">
        <f t="shared" ref="O3:O34" si="2">+Q3*M3</f>
        <v>18664.698</v>
      </c>
      <c r="P3" s="263"/>
      <c r="Q3" s="262">
        <f>+IFERROR((VLOOKUP(H3,$S$1:$U$46,3,0)*(1-$Q$1)),0)</f>
        <v>9.3323490000000007</v>
      </c>
      <c r="S3" s="249" t="s">
        <v>4541</v>
      </c>
      <c r="T3" s="249" t="s">
        <v>17974</v>
      </c>
      <c r="U3" s="249">
        <v>11.800229999999999</v>
      </c>
    </row>
    <row r="4" spans="1:21" ht="15.75" thickBot="1" x14ac:dyDescent="0.25">
      <c r="A4" s="407" t="str">
        <f t="shared" ref="A4:A15" si="3">+IFERROR(VLOOKUP(D4,$H$1:$J$76,3,0),"-")</f>
        <v>1.01.0624</v>
      </c>
      <c r="B4" s="268">
        <f t="shared" si="0"/>
        <v>2000</v>
      </c>
      <c r="D4" s="247">
        <v>47</v>
      </c>
      <c r="E4" s="267">
        <f t="shared" ref="E4:E15" si="4">+IFERROR(VLOOKUP(A4,$J$1:$L$76,3,0),0)</f>
        <v>55.271999999999998</v>
      </c>
      <c r="F4" s="1382">
        <f t="shared" ref="F4:F15" si="5">+E4*B4</f>
        <v>110544</v>
      </c>
      <c r="G4" s="267"/>
      <c r="H4" s="259">
        <v>33</v>
      </c>
      <c r="I4" s="260" t="s">
        <v>4560</v>
      </c>
      <c r="J4" s="261" t="s">
        <v>4559</v>
      </c>
      <c r="K4" s="264">
        <v>48.76</v>
      </c>
      <c r="L4" s="262">
        <f>+_xlfn.XLOOKUP("TERMINALES"&amp;H4,CODIGOS_Y_COSTOS[ID],CODIGOS_Y_COSTOS[COSTO],0,0)</f>
        <v>62.04</v>
      </c>
      <c r="M4" s="249">
        <v>2000</v>
      </c>
      <c r="N4" s="262">
        <f t="shared" si="1"/>
        <v>124080</v>
      </c>
      <c r="O4" s="262">
        <f t="shared" si="2"/>
        <v>25553.813999999998</v>
      </c>
      <c r="P4" s="263"/>
      <c r="Q4" s="262">
        <f t="shared" ref="Q4:Q32" si="6">+IFERROR((VLOOKUP(H4,$S$1:$U$46,3,0)*(1-$Q$1)),0)</f>
        <v>12.776907</v>
      </c>
      <c r="S4" s="249" t="s">
        <v>4546</v>
      </c>
      <c r="T4" s="249" t="s">
        <v>17975</v>
      </c>
      <c r="U4" s="249">
        <v>12.416429999999998</v>
      </c>
    </row>
    <row r="5" spans="1:21" ht="15.75" thickBot="1" x14ac:dyDescent="0.25">
      <c r="A5" s="407" t="str">
        <f t="shared" si="3"/>
        <v>2.40.2060</v>
      </c>
      <c r="B5" s="268">
        <f t="shared" si="0"/>
        <v>4000</v>
      </c>
      <c r="D5" s="247">
        <v>60</v>
      </c>
      <c r="E5" s="267">
        <f t="shared" si="4"/>
        <v>12.407999999999999</v>
      </c>
      <c r="F5" s="1382">
        <f t="shared" si="5"/>
        <v>49632</v>
      </c>
      <c r="G5" s="461"/>
      <c r="H5" s="259">
        <v>34</v>
      </c>
      <c r="I5" s="260" t="s">
        <v>4563</v>
      </c>
      <c r="J5" s="261" t="s">
        <v>4562</v>
      </c>
      <c r="K5" s="264">
        <v>19.13</v>
      </c>
      <c r="L5" s="262">
        <f>+_xlfn.XLOOKUP("TERMINALES"&amp;H5,CODIGOS_Y_COSTOS[ID],CODIGOS_Y_COSTOS[COSTO],0,0)</f>
        <v>21.15</v>
      </c>
      <c r="M5" s="249">
        <v>2000</v>
      </c>
      <c r="N5" s="262">
        <f t="shared" si="1"/>
        <v>42300</v>
      </c>
      <c r="O5" s="262">
        <f t="shared" si="2"/>
        <v>11254.892999999998</v>
      </c>
      <c r="P5" s="267"/>
      <c r="Q5" s="262">
        <f t="shared" si="6"/>
        <v>5.6274464999999987</v>
      </c>
      <c r="S5" s="249" t="s">
        <v>4549</v>
      </c>
      <c r="T5" s="249" t="s">
        <v>17976</v>
      </c>
      <c r="U5" s="249">
        <v>12.416429999999998</v>
      </c>
    </row>
    <row r="6" spans="1:21" ht="15.75" thickBot="1" x14ac:dyDescent="0.25">
      <c r="A6" s="407" t="str">
        <f t="shared" si="3"/>
        <v>-</v>
      </c>
      <c r="B6" s="268">
        <f t="shared" si="0"/>
        <v>0</v>
      </c>
      <c r="D6" s="247"/>
      <c r="E6" s="267">
        <f t="shared" si="4"/>
        <v>0</v>
      </c>
      <c r="F6" s="1382">
        <f t="shared" si="5"/>
        <v>0</v>
      </c>
      <c r="G6" s="1098"/>
      <c r="H6" s="259">
        <v>35</v>
      </c>
      <c r="I6" s="260" t="s">
        <v>4566</v>
      </c>
      <c r="J6" s="261" t="s">
        <v>4565</v>
      </c>
      <c r="K6" s="264">
        <v>28.02</v>
      </c>
      <c r="L6" s="262">
        <f>+_xlfn.XLOOKUP("TERMINALES"&amp;H6,CODIGOS_Y_COSTOS[ID],CODIGOS_Y_COSTOS[COSTO],0,0)</f>
        <v>34.968000000000004</v>
      </c>
      <c r="M6" s="249">
        <v>2000</v>
      </c>
      <c r="N6" s="262">
        <f t="shared" si="1"/>
        <v>69936</v>
      </c>
      <c r="O6" s="262">
        <f t="shared" si="2"/>
        <v>15260.192999999999</v>
      </c>
      <c r="P6" s="263"/>
      <c r="Q6" s="262">
        <f t="shared" si="6"/>
        <v>7.6300964999999996</v>
      </c>
      <c r="S6" s="249" t="s">
        <v>4553</v>
      </c>
      <c r="T6" s="249" t="s">
        <v>17977</v>
      </c>
      <c r="U6" s="249">
        <v>14.35746</v>
      </c>
    </row>
    <row r="7" spans="1:21" ht="15.75" thickBot="1" x14ac:dyDescent="0.25">
      <c r="A7" s="407" t="str">
        <f t="shared" si="3"/>
        <v>-</v>
      </c>
      <c r="B7" s="268">
        <f t="shared" si="0"/>
        <v>0</v>
      </c>
      <c r="D7" s="247"/>
      <c r="E7" s="267">
        <f t="shared" si="4"/>
        <v>0</v>
      </c>
      <c r="F7" s="1382">
        <f t="shared" si="5"/>
        <v>0</v>
      </c>
      <c r="G7" s="1430"/>
      <c r="H7" s="259">
        <v>36</v>
      </c>
      <c r="I7" s="260" t="s">
        <v>4569</v>
      </c>
      <c r="J7" s="261" t="s">
        <v>4568</v>
      </c>
      <c r="K7" s="502">
        <v>33.65</v>
      </c>
      <c r="L7" s="262">
        <f>+_xlfn.XLOOKUP("TERMINALES"&amp;H7,CODIGOS_Y_COSTOS[ID],CODIGOS_Y_COSTOS[COSTO],0,0)</f>
        <v>44.414999999999999</v>
      </c>
      <c r="M7" s="249">
        <v>2000</v>
      </c>
      <c r="N7" s="262">
        <f t="shared" si="1"/>
        <v>88830</v>
      </c>
      <c r="O7" s="262">
        <f t="shared" si="2"/>
        <v>18304.220999999998</v>
      </c>
      <c r="P7" s="263"/>
      <c r="Q7" s="262">
        <f t="shared" si="6"/>
        <v>9.1521104999999991</v>
      </c>
      <c r="S7" s="249">
        <v>32</v>
      </c>
      <c r="T7" s="249" t="s">
        <v>17978</v>
      </c>
      <c r="U7" s="249">
        <v>14.35746</v>
      </c>
    </row>
    <row r="8" spans="1:21" ht="15.75" thickBot="1" x14ac:dyDescent="0.25">
      <c r="A8" s="407" t="str">
        <f t="shared" si="3"/>
        <v>-</v>
      </c>
      <c r="B8" s="268">
        <f t="shared" si="0"/>
        <v>0</v>
      </c>
      <c r="D8" s="247"/>
      <c r="E8" s="267">
        <f t="shared" si="4"/>
        <v>0</v>
      </c>
      <c r="F8" s="1382">
        <f t="shared" si="5"/>
        <v>0</v>
      </c>
      <c r="G8" s="1098"/>
      <c r="H8" s="259">
        <v>37</v>
      </c>
      <c r="I8" s="260" t="s">
        <v>4572</v>
      </c>
      <c r="J8" s="261" t="s">
        <v>4571</v>
      </c>
      <c r="K8" s="264">
        <v>33.65</v>
      </c>
      <c r="L8" s="262">
        <f>+_xlfn.XLOOKUP("TERMINALES"&amp;H8,CODIGOS_Y_COSTOS[ID],CODIGOS_Y_COSTOS[COSTO],0,0)</f>
        <v>44.414999999999999</v>
      </c>
      <c r="M8" s="249">
        <v>2000</v>
      </c>
      <c r="N8" s="262">
        <f t="shared" si="1"/>
        <v>88830</v>
      </c>
      <c r="O8" s="262">
        <f t="shared" si="2"/>
        <v>18304.220999999998</v>
      </c>
      <c r="P8" s="263"/>
      <c r="Q8" s="262">
        <f t="shared" si="6"/>
        <v>9.1521104999999991</v>
      </c>
      <c r="S8" s="249">
        <v>33</v>
      </c>
      <c r="T8" s="249" t="s">
        <v>17979</v>
      </c>
      <c r="U8" s="249">
        <v>19.656779999999998</v>
      </c>
    </row>
    <row r="9" spans="1:21" ht="15.75" thickBot="1" x14ac:dyDescent="0.25">
      <c r="A9" s="407" t="str">
        <f t="shared" si="3"/>
        <v>-</v>
      </c>
      <c r="B9" s="268">
        <f t="shared" si="0"/>
        <v>0</v>
      </c>
      <c r="D9" s="247"/>
      <c r="E9" s="267">
        <f t="shared" si="4"/>
        <v>0</v>
      </c>
      <c r="F9" s="1382">
        <f t="shared" si="5"/>
        <v>0</v>
      </c>
      <c r="G9" s="1343"/>
      <c r="H9" s="259">
        <v>38</v>
      </c>
      <c r="I9" s="260" t="s">
        <v>4575</v>
      </c>
      <c r="J9" s="261" t="s">
        <v>4574</v>
      </c>
      <c r="K9" s="264">
        <v>28.22</v>
      </c>
      <c r="L9" s="262">
        <f>+_xlfn.XLOOKUP("TERMINALES"&amp;H9,CODIGOS_Y_COSTOS[ID],CODIGOS_Y_COSTOS[COSTO],0,0)</f>
        <v>32.570999999999998</v>
      </c>
      <c r="M9" s="249">
        <v>2000</v>
      </c>
      <c r="N9" s="262">
        <f t="shared" si="1"/>
        <v>65141.999999999993</v>
      </c>
      <c r="O9" s="262">
        <f t="shared" si="2"/>
        <v>15460.457999999999</v>
      </c>
      <c r="P9" s="263"/>
      <c r="Q9" s="262">
        <f t="shared" si="6"/>
        <v>7.7302289999999996</v>
      </c>
      <c r="S9" s="249">
        <v>34</v>
      </c>
      <c r="T9" s="249" t="s">
        <v>17980</v>
      </c>
      <c r="U9" s="249">
        <v>8.6576099999999983</v>
      </c>
    </row>
    <row r="10" spans="1:21" ht="15.75" thickBot="1" x14ac:dyDescent="0.25">
      <c r="A10" s="407" t="str">
        <f t="shared" si="3"/>
        <v>-</v>
      </c>
      <c r="B10" s="268">
        <f t="shared" si="0"/>
        <v>0</v>
      </c>
      <c r="D10" s="247"/>
      <c r="E10" s="267">
        <f t="shared" si="4"/>
        <v>0</v>
      </c>
      <c r="F10" s="1382">
        <f t="shared" si="5"/>
        <v>0</v>
      </c>
      <c r="G10" s="1431"/>
      <c r="H10" s="259">
        <v>40</v>
      </c>
      <c r="I10" s="260" t="s">
        <v>4578</v>
      </c>
      <c r="J10" s="261" t="s">
        <v>4577</v>
      </c>
      <c r="K10" s="264">
        <v>28.93</v>
      </c>
      <c r="L10" s="262">
        <f>+_xlfn.XLOOKUP("TERMINALES"&amp;H10,CODIGOS_Y_COSTOS[ID],CODIGOS_Y_COSTOS[COSTO],0,0)</f>
        <v>37.223999999999997</v>
      </c>
      <c r="M10" s="249">
        <v>2000</v>
      </c>
      <c r="N10" s="262">
        <f t="shared" si="1"/>
        <v>74448</v>
      </c>
      <c r="O10" s="262">
        <f t="shared" si="2"/>
        <v>15860.987999999998</v>
      </c>
      <c r="P10" s="263"/>
      <c r="Q10" s="262">
        <f t="shared" si="6"/>
        <v>7.9304939999999986</v>
      </c>
      <c r="S10" s="249">
        <v>35</v>
      </c>
      <c r="T10" s="249" t="s">
        <v>17981</v>
      </c>
      <c r="U10" s="249">
        <v>11.73861</v>
      </c>
    </row>
    <row r="11" spans="1:21" ht="15.75" thickBot="1" x14ac:dyDescent="0.25">
      <c r="A11" s="407" t="str">
        <f t="shared" si="3"/>
        <v>-</v>
      </c>
      <c r="B11" s="268">
        <f t="shared" si="0"/>
        <v>0</v>
      </c>
      <c r="D11" s="247"/>
      <c r="E11" s="267">
        <f t="shared" si="4"/>
        <v>0</v>
      </c>
      <c r="F11" s="1382">
        <f t="shared" si="5"/>
        <v>0</v>
      </c>
      <c r="G11" s="1344"/>
      <c r="H11" s="259">
        <v>41</v>
      </c>
      <c r="I11" s="452" t="s">
        <v>4581</v>
      </c>
      <c r="J11" s="261" t="s">
        <v>4580</v>
      </c>
      <c r="K11" s="502">
        <v>30.12</v>
      </c>
      <c r="L11" s="262">
        <f>+_xlfn.XLOOKUP("TERMINALES"&amp;H11,CODIGOS_Y_COSTOS[ID],CODIGOS_Y_COSTOS[COSTO],0,0)</f>
        <v>40.043999999999997</v>
      </c>
      <c r="M11" s="249">
        <v>2000</v>
      </c>
      <c r="N11" s="262">
        <f t="shared" si="1"/>
        <v>80088</v>
      </c>
      <c r="O11" s="262">
        <f t="shared" si="2"/>
        <v>17222.789999999997</v>
      </c>
      <c r="P11" s="263"/>
      <c r="Q11" s="262">
        <f t="shared" si="6"/>
        <v>8.6113949999999981</v>
      </c>
      <c r="S11" s="249">
        <v>36</v>
      </c>
      <c r="T11" s="249" t="s">
        <v>17982</v>
      </c>
      <c r="U11" s="249">
        <v>14.080169999999999</v>
      </c>
    </row>
    <row r="12" spans="1:21" ht="15.75" thickBot="1" x14ac:dyDescent="0.25">
      <c r="A12" s="407" t="str">
        <f t="shared" si="3"/>
        <v>-</v>
      </c>
      <c r="B12" s="268">
        <f t="shared" si="0"/>
        <v>0</v>
      </c>
      <c r="D12" s="247"/>
      <c r="E12" s="267">
        <f t="shared" si="4"/>
        <v>0</v>
      </c>
      <c r="F12" s="1382">
        <f t="shared" si="5"/>
        <v>0</v>
      </c>
      <c r="H12" s="259">
        <v>42</v>
      </c>
      <c r="I12" s="452" t="s">
        <v>4584</v>
      </c>
      <c r="J12" s="261" t="s">
        <v>4583</v>
      </c>
      <c r="K12" s="264">
        <v>44.87</v>
      </c>
      <c r="L12" s="262">
        <f>+_xlfn.XLOOKUP("TERMINALES"&amp;H12,CODIGOS_Y_COSTOS[ID],CODIGOS_Y_COSTOS[COSTO],0,0)</f>
        <v>58.938000000000002</v>
      </c>
      <c r="M12" s="249">
        <v>2000</v>
      </c>
      <c r="N12" s="262">
        <f t="shared" si="1"/>
        <v>117876</v>
      </c>
      <c r="O12" s="262">
        <f t="shared" si="2"/>
        <v>29879.537999999997</v>
      </c>
      <c r="P12" s="263"/>
      <c r="Q12" s="262">
        <f t="shared" si="6"/>
        <v>14.939768999999998</v>
      </c>
      <c r="S12" s="249">
        <v>37</v>
      </c>
      <c r="T12" s="249" t="s">
        <v>17983</v>
      </c>
      <c r="U12" s="249">
        <v>14.080169999999999</v>
      </c>
    </row>
    <row r="13" spans="1:21" ht="15.75" thickBot="1" x14ac:dyDescent="0.25">
      <c r="A13" s="407" t="str">
        <f t="shared" si="3"/>
        <v>-</v>
      </c>
      <c r="B13" s="268">
        <f t="shared" si="0"/>
        <v>0</v>
      </c>
      <c r="D13" s="247"/>
      <c r="E13" s="267">
        <f t="shared" si="4"/>
        <v>0</v>
      </c>
      <c r="F13" s="1382">
        <f t="shared" si="5"/>
        <v>0</v>
      </c>
      <c r="H13" s="259">
        <v>43</v>
      </c>
      <c r="I13" s="260" t="s">
        <v>4587</v>
      </c>
      <c r="J13" s="261" t="s">
        <v>4586</v>
      </c>
      <c r="K13" s="264">
        <v>19.48</v>
      </c>
      <c r="L13" s="262">
        <f>+_xlfn.XLOOKUP("TERMINALES"&amp;H13,CODIGOS_Y_COSTOS[ID],CODIGOS_Y_COSTOS[COSTO],0,0)</f>
        <v>23.405999999999999</v>
      </c>
      <c r="M13" s="249">
        <v>2000</v>
      </c>
      <c r="N13" s="262">
        <f t="shared" si="1"/>
        <v>46812</v>
      </c>
      <c r="O13" s="262">
        <f t="shared" si="2"/>
        <v>10654.098</v>
      </c>
      <c r="P13" s="263"/>
      <c r="Q13" s="262">
        <f t="shared" si="6"/>
        <v>5.3270489999999997</v>
      </c>
      <c r="S13" s="249">
        <v>38</v>
      </c>
      <c r="T13" s="249" t="s">
        <v>17984</v>
      </c>
      <c r="U13" s="249">
        <v>11.892659999999999</v>
      </c>
    </row>
    <row r="14" spans="1:21" ht="15.75" thickBot="1" x14ac:dyDescent="0.25">
      <c r="A14" s="407" t="str">
        <f t="shared" si="3"/>
        <v>-</v>
      </c>
      <c r="B14" s="268">
        <f t="shared" si="0"/>
        <v>0</v>
      </c>
      <c r="D14" s="247"/>
      <c r="E14" s="267">
        <f t="shared" si="4"/>
        <v>0</v>
      </c>
      <c r="F14" s="1382">
        <f t="shared" si="5"/>
        <v>0</v>
      </c>
      <c r="G14" s="1333"/>
      <c r="H14" s="259">
        <v>44</v>
      </c>
      <c r="I14" s="260" t="s">
        <v>4590</v>
      </c>
      <c r="J14" s="261" t="s">
        <v>4589</v>
      </c>
      <c r="K14" s="264">
        <v>27.09</v>
      </c>
      <c r="L14" s="262">
        <f>+_xlfn.XLOOKUP("TERMINALES"&amp;H14,CODIGOS_Y_COSTOS[ID],CODIGOS_Y_COSTOS[COSTO],0,0)</f>
        <v>34.404000000000003</v>
      </c>
      <c r="M14" s="249">
        <v>2000</v>
      </c>
      <c r="N14" s="262">
        <f t="shared" si="1"/>
        <v>68808</v>
      </c>
      <c r="O14" s="262">
        <f t="shared" si="2"/>
        <v>13818.285000000002</v>
      </c>
      <c r="P14" s="263"/>
      <c r="Q14" s="262">
        <f t="shared" si="6"/>
        <v>6.9091425000000006</v>
      </c>
      <c r="S14" s="249">
        <v>40</v>
      </c>
      <c r="T14" s="249" t="s">
        <v>17985</v>
      </c>
      <c r="U14" s="249">
        <v>12.200759999999997</v>
      </c>
    </row>
    <row r="15" spans="1:21" ht="15" x14ac:dyDescent="0.2">
      <c r="A15" s="407" t="str">
        <f t="shared" si="3"/>
        <v>-</v>
      </c>
      <c r="B15" s="268">
        <f t="shared" si="0"/>
        <v>0</v>
      </c>
      <c r="D15" s="247"/>
      <c r="E15" s="267">
        <f t="shared" si="4"/>
        <v>0</v>
      </c>
      <c r="F15" s="1382">
        <f t="shared" si="5"/>
        <v>0</v>
      </c>
      <c r="G15" s="1333"/>
      <c r="H15" s="259" t="s">
        <v>17986</v>
      </c>
      <c r="I15" s="260" t="s">
        <v>4593</v>
      </c>
      <c r="J15" s="261" t="s">
        <v>17987</v>
      </c>
      <c r="K15" s="264">
        <v>35.07</v>
      </c>
      <c r="L15" s="262">
        <f>+_xlfn.XLOOKUP("TERMINALES"&amp;H15,CODIGOS_Y_COSTOS[ID],CODIGOS_Y_COSTOS[COSTO],0,0)</f>
        <v>0</v>
      </c>
      <c r="M15" s="249">
        <v>2000</v>
      </c>
      <c r="N15" s="262">
        <f t="shared" si="1"/>
        <v>0</v>
      </c>
      <c r="O15" s="262">
        <f t="shared" si="2"/>
        <v>0</v>
      </c>
      <c r="P15" s="263"/>
      <c r="Q15" s="262">
        <f t="shared" si="6"/>
        <v>0</v>
      </c>
      <c r="S15" s="249">
        <v>41</v>
      </c>
      <c r="T15" s="249" t="s">
        <v>17988</v>
      </c>
      <c r="U15" s="249">
        <v>13.248299999999997</v>
      </c>
    </row>
    <row r="16" spans="1:21" ht="15" x14ac:dyDescent="0.2">
      <c r="G16" s="1333"/>
      <c r="H16" s="259">
        <v>46</v>
      </c>
      <c r="I16" s="452" t="s">
        <v>4590</v>
      </c>
      <c r="J16" s="261" t="s">
        <v>4595</v>
      </c>
      <c r="K16" s="264">
        <v>40.119999999999997</v>
      </c>
      <c r="L16" s="262">
        <f>+_xlfn.XLOOKUP("TERMINALES"&amp;H16,CODIGOS_Y_COSTOS[ID],CODIGOS_Y_COSTOS[COSTO],0,0)</f>
        <v>47.375999999999998</v>
      </c>
      <c r="M16" s="249">
        <v>2000</v>
      </c>
      <c r="N16" s="262">
        <f t="shared" si="1"/>
        <v>94752</v>
      </c>
      <c r="O16" s="262">
        <f t="shared" si="2"/>
        <v>21228.089999999993</v>
      </c>
      <c r="P16" s="263"/>
      <c r="Q16" s="262">
        <f t="shared" si="6"/>
        <v>10.614044999999997</v>
      </c>
      <c r="S16" s="249">
        <v>42</v>
      </c>
      <c r="T16" s="249" t="s">
        <v>17989</v>
      </c>
      <c r="U16" s="249">
        <v>22.984259999999995</v>
      </c>
    </row>
    <row r="17" spans="1:21" ht="15" x14ac:dyDescent="0.2">
      <c r="A17" s="248" t="s">
        <v>17990</v>
      </c>
      <c r="B17" s="248"/>
      <c r="C17" s="248"/>
      <c r="D17" s="248"/>
      <c r="E17" s="248" t="s">
        <v>17991</v>
      </c>
      <c r="G17" s="451"/>
      <c r="H17" s="265">
        <v>47</v>
      </c>
      <c r="I17" s="260" t="s">
        <v>4598</v>
      </c>
      <c r="J17" s="261" t="s">
        <v>4597</v>
      </c>
      <c r="K17" s="264">
        <v>42.13</v>
      </c>
      <c r="L17" s="262">
        <f>+_xlfn.XLOOKUP("TERMINALES"&amp;H17,CODIGOS_Y_COSTOS[ID],CODIGOS_Y_COSTOS[COSTO],0,0)</f>
        <v>55.271999999999998</v>
      </c>
      <c r="M17" s="249">
        <v>2000</v>
      </c>
      <c r="N17" s="262">
        <f t="shared" si="1"/>
        <v>110544</v>
      </c>
      <c r="O17" s="262">
        <f t="shared" si="2"/>
        <v>30760.704000000002</v>
      </c>
      <c r="P17" s="263"/>
      <c r="Q17" s="262">
        <f t="shared" si="6"/>
        <v>15.380352</v>
      </c>
      <c r="S17" s="249">
        <v>72</v>
      </c>
      <c r="T17" s="249" t="s">
        <v>17992</v>
      </c>
      <c r="U17" s="249">
        <v>61.003799999999998</v>
      </c>
    </row>
    <row r="18" spans="1:21" ht="15" x14ac:dyDescent="0.2">
      <c r="G18" s="451"/>
      <c r="H18" s="259">
        <v>51</v>
      </c>
      <c r="I18" s="452" t="s">
        <v>4601</v>
      </c>
      <c r="J18" s="261" t="s">
        <v>4600</v>
      </c>
      <c r="K18" s="502">
        <v>34.46</v>
      </c>
      <c r="L18" s="262">
        <f>+_xlfn.XLOOKUP("TERMINALES"&amp;H18,CODIGOS_Y_COSTOS[ID],CODIGOS_Y_COSTOS[COSTO],0,0)</f>
        <v>47.375999999999998</v>
      </c>
      <c r="M18" s="249">
        <v>2000</v>
      </c>
      <c r="N18" s="262">
        <f t="shared" si="1"/>
        <v>94752</v>
      </c>
      <c r="O18" s="262">
        <f t="shared" si="2"/>
        <v>16902.365999999998</v>
      </c>
      <c r="P18" s="263"/>
      <c r="Q18" s="262">
        <f t="shared" si="6"/>
        <v>8.4511829999999986</v>
      </c>
      <c r="S18" s="249">
        <v>43</v>
      </c>
      <c r="T18" s="249" t="s">
        <v>17993</v>
      </c>
      <c r="U18" s="249">
        <v>8.1954599999999989</v>
      </c>
    </row>
    <row r="19" spans="1:21" ht="15" x14ac:dyDescent="0.2">
      <c r="E19" s="454"/>
      <c r="F19" s="461"/>
      <c r="G19" s="451"/>
      <c r="H19" s="259">
        <v>52</v>
      </c>
      <c r="I19" s="260" t="s">
        <v>4604</v>
      </c>
      <c r="J19" s="261" t="s">
        <v>4603</v>
      </c>
      <c r="K19" s="264">
        <v>42.77</v>
      </c>
      <c r="L19" s="262">
        <f>+_xlfn.XLOOKUP("TERMINALES"&amp;H19,CODIGOS_Y_COSTOS[ID],CODIGOS_Y_COSTOS[COSTO],0,0)</f>
        <v>54.848999999999997</v>
      </c>
      <c r="M19" s="249">
        <v>2000</v>
      </c>
      <c r="N19" s="262">
        <f t="shared" si="1"/>
        <v>109698</v>
      </c>
      <c r="O19" s="262">
        <f t="shared" si="2"/>
        <v>21708.725999999999</v>
      </c>
      <c r="P19" s="263"/>
      <c r="Q19" s="262">
        <f t="shared" si="6"/>
        <v>10.854362999999999</v>
      </c>
      <c r="S19" s="249">
        <v>44</v>
      </c>
      <c r="T19" s="249" t="s">
        <v>17994</v>
      </c>
      <c r="U19" s="249">
        <v>10.62945</v>
      </c>
    </row>
    <row r="20" spans="1:21" ht="15" x14ac:dyDescent="0.2">
      <c r="G20" s="451"/>
      <c r="H20" s="259">
        <v>53</v>
      </c>
      <c r="I20" s="260" t="s">
        <v>4607</v>
      </c>
      <c r="J20" s="261" t="s">
        <v>4606</v>
      </c>
      <c r="K20" s="264">
        <v>66.64</v>
      </c>
      <c r="L20" s="262">
        <f>+_xlfn.XLOOKUP("TERMINALES"&amp;H20,CODIGOS_Y_COSTOS[ID],CODIGOS_Y_COSTOS[COSTO],0,0)</f>
        <v>93.200999999999993</v>
      </c>
      <c r="M20" s="249">
        <v>2000</v>
      </c>
      <c r="N20" s="262">
        <f t="shared" si="1"/>
        <v>186402</v>
      </c>
      <c r="O20" s="262">
        <f t="shared" si="2"/>
        <v>28197.312000000002</v>
      </c>
      <c r="P20" s="263"/>
      <c r="Q20" s="262">
        <f t="shared" si="6"/>
        <v>14.098656</v>
      </c>
      <c r="S20" s="249">
        <v>45</v>
      </c>
      <c r="T20" s="249" t="s">
        <v>17995</v>
      </c>
      <c r="U20" s="249">
        <v>10.814309999999999</v>
      </c>
    </row>
    <row r="21" spans="1:21" ht="15" x14ac:dyDescent="0.2">
      <c r="B21" s="249" t="s">
        <v>17996</v>
      </c>
      <c r="E21" s="249" t="s">
        <v>17997</v>
      </c>
      <c r="G21" s="451"/>
      <c r="H21" s="259">
        <v>54</v>
      </c>
      <c r="I21" s="260" t="s">
        <v>4610</v>
      </c>
      <c r="J21" s="261" t="s">
        <v>4609</v>
      </c>
      <c r="K21" s="264">
        <v>43.88</v>
      </c>
      <c r="L21" s="262">
        <f>+_xlfn.XLOOKUP("TERMINALES"&amp;H21,CODIGOS_Y_COSTOS[ID],CODIGOS_Y_COSTOS[COSTO],0,0)</f>
        <v>56.4</v>
      </c>
      <c r="M21" s="249">
        <v>2000</v>
      </c>
      <c r="N21" s="262">
        <f t="shared" si="1"/>
        <v>112800</v>
      </c>
      <c r="O21" s="262">
        <f t="shared" si="2"/>
        <v>22269.468000000001</v>
      </c>
      <c r="P21" s="263"/>
      <c r="Q21" s="262">
        <f t="shared" si="6"/>
        <v>11.134734</v>
      </c>
      <c r="S21" s="249">
        <v>46</v>
      </c>
      <c r="T21" s="249" t="s">
        <v>17998</v>
      </c>
      <c r="U21" s="249">
        <v>16.329299999999996</v>
      </c>
    </row>
    <row r="22" spans="1:21" ht="15" x14ac:dyDescent="0.2">
      <c r="D22" s="249" t="s">
        <v>8152</v>
      </c>
      <c r="E22" s="454" t="s">
        <v>17999</v>
      </c>
      <c r="G22" s="451"/>
      <c r="H22" s="259">
        <v>64</v>
      </c>
      <c r="I22" s="260" t="s">
        <v>4632</v>
      </c>
      <c r="J22" s="261" t="s">
        <v>4631</v>
      </c>
      <c r="K22" s="264">
        <v>49.64</v>
      </c>
      <c r="L22" s="262">
        <f>+_xlfn.XLOOKUP("TERMINALES"&amp;H22,CODIGOS_Y_COSTOS[ID],CODIGOS_Y_COSTOS[COSTO],0,0)</f>
        <v>62.04</v>
      </c>
      <c r="M22" s="249">
        <v>2000</v>
      </c>
      <c r="N22" s="262">
        <f t="shared" si="1"/>
        <v>124080</v>
      </c>
      <c r="O22" s="262">
        <f t="shared" si="2"/>
        <v>25553.813999999998</v>
      </c>
      <c r="P22" s="263"/>
      <c r="Q22" s="262">
        <f t="shared" si="6"/>
        <v>12.776907</v>
      </c>
      <c r="S22" s="249">
        <v>47</v>
      </c>
      <c r="T22" s="249" t="s">
        <v>18000</v>
      </c>
      <c r="U22" s="249">
        <v>23.66208</v>
      </c>
    </row>
    <row r="23" spans="1:21" ht="15" x14ac:dyDescent="0.2">
      <c r="G23" s="451"/>
      <c r="H23" s="590">
        <v>65</v>
      </c>
      <c r="I23" s="260" t="s">
        <v>4635</v>
      </c>
      <c r="J23" s="261" t="s">
        <v>4634</v>
      </c>
      <c r="K23" s="502">
        <v>78.52</v>
      </c>
      <c r="L23" s="262">
        <f>+_xlfn.XLOOKUP("TERMINALES"&amp;H23,CODIGOS_Y_COSTOS[ID],CODIGOS_Y_COSTOS[COSTO],0,0)</f>
        <v>105.045</v>
      </c>
      <c r="M23" s="249">
        <v>1000</v>
      </c>
      <c r="N23" s="262">
        <f t="shared" si="1"/>
        <v>105045</v>
      </c>
      <c r="O23" s="262">
        <f t="shared" si="2"/>
        <v>20366.950499999999</v>
      </c>
      <c r="P23" s="263"/>
      <c r="Q23" s="262">
        <f t="shared" si="6"/>
        <v>20.366950499999998</v>
      </c>
      <c r="S23" s="249">
        <v>51</v>
      </c>
      <c r="T23" s="249" t="s">
        <v>18001</v>
      </c>
      <c r="U23" s="249">
        <v>13.001819999999999</v>
      </c>
    </row>
    <row r="24" spans="1:21" ht="15" x14ac:dyDescent="0.2">
      <c r="E24" s="449" t="s">
        <v>18002</v>
      </c>
      <c r="G24" s="451"/>
      <c r="H24" s="590">
        <v>66</v>
      </c>
      <c r="I24" s="260" t="s">
        <v>4638</v>
      </c>
      <c r="J24" s="261" t="s">
        <v>4637</v>
      </c>
      <c r="K24" s="264">
        <v>78.52</v>
      </c>
      <c r="L24" s="262">
        <f>+_xlfn.XLOOKUP("TERMINALES"&amp;H24,CODIGOS_Y_COSTOS[ID],CODIGOS_Y_COSTOS[COSTO],0,0)</f>
        <v>105.045</v>
      </c>
      <c r="M24" s="249">
        <v>1000</v>
      </c>
      <c r="N24" s="262">
        <f t="shared" si="1"/>
        <v>105045</v>
      </c>
      <c r="O24" s="262">
        <f t="shared" si="2"/>
        <v>24372.250499999995</v>
      </c>
      <c r="P24" s="263"/>
      <c r="Q24" s="262">
        <f t="shared" si="6"/>
        <v>24.372250499999996</v>
      </c>
      <c r="S24" s="249">
        <v>52</v>
      </c>
      <c r="T24" s="249" t="s">
        <v>18003</v>
      </c>
      <c r="U24" s="249">
        <v>16.699019999999997</v>
      </c>
    </row>
    <row r="25" spans="1:21" ht="15" x14ac:dyDescent="0.2">
      <c r="G25" s="451"/>
      <c r="H25" s="265"/>
      <c r="I25" s="260" t="s">
        <v>18004</v>
      </c>
      <c r="J25" s="261" t="s">
        <v>18005</v>
      </c>
      <c r="K25" s="502">
        <v>51.22</v>
      </c>
      <c r="L25" s="262">
        <f>+_xlfn.XLOOKUP("TERMINALES"&amp;H25,CODIGOS_Y_COSTOS[ID],CODIGOS_Y_COSTOS[COSTO],0,0)</f>
        <v>0</v>
      </c>
      <c r="M25" s="249">
        <v>2000</v>
      </c>
      <c r="N25" s="262">
        <f t="shared" si="1"/>
        <v>0</v>
      </c>
      <c r="O25" s="262">
        <f t="shared" si="2"/>
        <v>0</v>
      </c>
      <c r="P25" s="263"/>
      <c r="Q25" s="262">
        <f t="shared" si="6"/>
        <v>0</v>
      </c>
      <c r="S25" s="249">
        <v>53</v>
      </c>
      <c r="T25" s="249" t="s">
        <v>18006</v>
      </c>
      <c r="U25" s="249">
        <v>21.690239999999999</v>
      </c>
    </row>
    <row r="26" spans="1:21" ht="15" x14ac:dyDescent="0.2">
      <c r="F26" s="450"/>
      <c r="G26" s="451"/>
      <c r="H26" s="591">
        <v>70</v>
      </c>
      <c r="I26" s="260" t="s">
        <v>4650</v>
      </c>
      <c r="J26" s="261" t="s">
        <v>4649</v>
      </c>
      <c r="K26" s="264">
        <v>132.76</v>
      </c>
      <c r="L26" s="262">
        <f>+_xlfn.XLOOKUP("TERMINALES"&amp;H26,CODIGOS_Y_COSTOS[ID],CODIGOS_Y_COSTOS[COSTO],0,0)</f>
        <v>179.77500000000001</v>
      </c>
      <c r="M26" s="249">
        <v>1000</v>
      </c>
      <c r="N26" s="262">
        <f t="shared" si="1"/>
        <v>179775</v>
      </c>
      <c r="O26" s="262">
        <f t="shared" si="2"/>
        <v>39652.47</v>
      </c>
      <c r="P26" s="263"/>
      <c r="Q26" s="262">
        <f t="shared" si="6"/>
        <v>39.652470000000001</v>
      </c>
    </row>
    <row r="27" spans="1:21" ht="15" x14ac:dyDescent="0.2">
      <c r="G27" s="683" t="s">
        <v>8945</v>
      </c>
      <c r="H27" s="591">
        <v>71</v>
      </c>
      <c r="I27" s="260" t="s">
        <v>4653</v>
      </c>
      <c r="J27" s="261" t="s">
        <v>4652</v>
      </c>
      <c r="K27" s="264">
        <v>133.93</v>
      </c>
      <c r="L27" s="262">
        <f>+_xlfn.XLOOKUP("TERMINALES"&amp;H27,CODIGOS_Y_COSTOS[ID],CODIGOS_Y_COSTOS[COSTO],0,0)</f>
        <v>181.32599999999999</v>
      </c>
      <c r="M27" s="249">
        <v>1000</v>
      </c>
      <c r="N27" s="262">
        <f t="shared" si="1"/>
        <v>181326</v>
      </c>
      <c r="O27" s="262">
        <f t="shared" si="2"/>
        <v>39652.47</v>
      </c>
      <c r="P27" s="263"/>
      <c r="Q27" s="262">
        <f t="shared" si="6"/>
        <v>39.652470000000001</v>
      </c>
      <c r="S27" s="249">
        <v>54</v>
      </c>
      <c r="T27" s="249" t="s">
        <v>18007</v>
      </c>
      <c r="U27" s="249">
        <v>17.13036</v>
      </c>
    </row>
    <row r="28" spans="1:21" ht="15" x14ac:dyDescent="0.2">
      <c r="G28" s="451"/>
      <c r="H28" s="591">
        <v>75</v>
      </c>
      <c r="I28" s="260" t="s">
        <v>4665</v>
      </c>
      <c r="J28" s="261" t="s">
        <v>4664</v>
      </c>
      <c r="K28" s="264">
        <v>182.13</v>
      </c>
      <c r="L28" s="262">
        <f>+_xlfn.XLOOKUP("TERMINALES"&amp;H28,CODIGOS_Y_COSTOS[ID],CODIGOS_Y_COSTOS[COSTO],0,0)</f>
        <v>250.55699999999999</v>
      </c>
      <c r="M28" s="249">
        <v>500</v>
      </c>
      <c r="N28" s="262">
        <f t="shared" si="1"/>
        <v>125278.5</v>
      </c>
      <c r="O28" s="262">
        <f t="shared" si="2"/>
        <v>24832.86</v>
      </c>
      <c r="P28" s="263"/>
      <c r="Q28" s="262">
        <f t="shared" si="6"/>
        <v>49.66572</v>
      </c>
    </row>
    <row r="29" spans="1:21" ht="15" x14ac:dyDescent="0.2">
      <c r="G29" s="451"/>
      <c r="H29" s="259" t="s">
        <v>4541</v>
      </c>
      <c r="I29" s="260" t="s">
        <v>4544</v>
      </c>
      <c r="J29" s="261" t="s">
        <v>4543</v>
      </c>
      <c r="K29" s="264">
        <v>28.18</v>
      </c>
      <c r="L29" s="262">
        <f>+_xlfn.XLOOKUP("TERMINALES"&amp;H29,CODIGOS_Y_COSTOS[ID],CODIGOS_Y_COSTOS[COSTO],0,0)</f>
        <v>35.814</v>
      </c>
      <c r="M29" s="249">
        <v>2000</v>
      </c>
      <c r="N29" s="262">
        <f t="shared" si="1"/>
        <v>71628</v>
      </c>
      <c r="O29" s="262">
        <f t="shared" si="2"/>
        <v>15340.298999999999</v>
      </c>
      <c r="P29" s="263"/>
      <c r="Q29" s="262">
        <f t="shared" si="6"/>
        <v>7.6701495</v>
      </c>
      <c r="S29" s="249" t="s">
        <v>4612</v>
      </c>
      <c r="T29" s="249" t="s">
        <v>18008</v>
      </c>
      <c r="U29" s="249">
        <v>6.65496</v>
      </c>
    </row>
    <row r="30" spans="1:21" ht="15" x14ac:dyDescent="0.2">
      <c r="F30" s="257"/>
      <c r="G30" s="451"/>
      <c r="H30" s="259" t="s">
        <v>4546</v>
      </c>
      <c r="I30" s="260" t="s">
        <v>4544</v>
      </c>
      <c r="J30" s="261" t="s">
        <v>4547</v>
      </c>
      <c r="K30" s="264">
        <v>29.17</v>
      </c>
      <c r="L30" s="262">
        <f>+_xlfn.XLOOKUP("TERMINALES"&amp;H30,CODIGOS_Y_COSTOS[ID],CODIGOS_Y_COSTOS[COSTO],0,0)</f>
        <v>37.787999999999997</v>
      </c>
      <c r="M30" s="249">
        <v>2000</v>
      </c>
      <c r="N30" s="262">
        <f t="shared" si="1"/>
        <v>75576</v>
      </c>
      <c r="O30" s="262">
        <f t="shared" si="2"/>
        <v>16141.358999999999</v>
      </c>
      <c r="P30" s="263"/>
      <c r="Q30" s="262">
        <f t="shared" si="6"/>
        <v>8.0706794999999989</v>
      </c>
      <c r="S30" s="249" t="s">
        <v>4616</v>
      </c>
      <c r="T30" s="249" t="s">
        <v>18009</v>
      </c>
      <c r="U30" s="249">
        <v>6.65496</v>
      </c>
    </row>
    <row r="31" spans="1:21" ht="15" x14ac:dyDescent="0.2">
      <c r="F31" s="453"/>
      <c r="G31" s="451"/>
      <c r="H31" s="259" t="s">
        <v>4549</v>
      </c>
      <c r="I31" s="260" t="s">
        <v>4551</v>
      </c>
      <c r="J31" s="261" t="s">
        <v>4550</v>
      </c>
      <c r="K31" s="264">
        <v>29.17</v>
      </c>
      <c r="L31" s="262">
        <f>+_xlfn.XLOOKUP("TERMINALES"&amp;H31,CODIGOS_Y_COSTOS[ID],CODIGOS_Y_COSTOS[COSTO],0,0)</f>
        <v>37.787999999999997</v>
      </c>
      <c r="M31" s="249">
        <v>2000</v>
      </c>
      <c r="N31" s="262">
        <f t="shared" si="1"/>
        <v>75576</v>
      </c>
      <c r="O31" s="262">
        <f t="shared" si="2"/>
        <v>16141.358999999999</v>
      </c>
      <c r="P31" s="263"/>
      <c r="Q31" s="262">
        <f t="shared" si="6"/>
        <v>8.0706794999999989</v>
      </c>
      <c r="S31" s="249">
        <v>59</v>
      </c>
      <c r="T31" s="249" t="s">
        <v>4620</v>
      </c>
      <c r="U31" s="249">
        <v>6.65496</v>
      </c>
    </row>
    <row r="32" spans="1:21" ht="15" x14ac:dyDescent="0.2">
      <c r="F32" s="453"/>
      <c r="G32" s="451"/>
      <c r="H32" s="259" t="s">
        <v>4553</v>
      </c>
      <c r="I32" s="260" t="s">
        <v>4551</v>
      </c>
      <c r="J32" s="261" t="s">
        <v>4554</v>
      </c>
      <c r="K32" s="264">
        <v>33.89</v>
      </c>
      <c r="L32" s="262">
        <f>+_xlfn.XLOOKUP("TERMINALES"&amp;H32,CODIGOS_Y_COSTOS[ID],CODIGOS_Y_COSTOS[COSTO],0,0)</f>
        <v>43.850999999999999</v>
      </c>
      <c r="M32" s="249">
        <v>2000</v>
      </c>
      <c r="N32" s="262">
        <f t="shared" si="1"/>
        <v>87702</v>
      </c>
      <c r="O32" s="262">
        <f t="shared" si="2"/>
        <v>18664.698</v>
      </c>
      <c r="P32" s="263"/>
      <c r="Q32" s="262">
        <f t="shared" si="6"/>
        <v>9.3323490000000007</v>
      </c>
      <c r="S32" s="249">
        <v>60</v>
      </c>
      <c r="T32" s="249" t="s">
        <v>18010</v>
      </c>
      <c r="U32" s="249">
        <v>6.65496</v>
      </c>
    </row>
    <row r="33" spans="6:21" ht="15" x14ac:dyDescent="0.2">
      <c r="F33" s="453"/>
      <c r="G33" s="451"/>
      <c r="H33" s="265"/>
      <c r="I33" s="260" t="s">
        <v>4587</v>
      </c>
      <c r="J33" s="261" t="s">
        <v>4586</v>
      </c>
      <c r="K33" s="264">
        <v>19.48</v>
      </c>
      <c r="L33" s="262">
        <f>+_xlfn.XLOOKUP("TERMINALES"&amp;H33,CODIGOS_Y_COSTOS[ID],CODIGOS_Y_COSTOS[COSTO],0,0)</f>
        <v>0</v>
      </c>
      <c r="M33" s="249">
        <v>2000</v>
      </c>
      <c r="N33" s="262">
        <f t="shared" si="1"/>
        <v>0</v>
      </c>
      <c r="O33" s="262">
        <f t="shared" si="2"/>
        <v>0</v>
      </c>
      <c r="P33" s="263"/>
      <c r="Q33" s="262">
        <f>+IFERROR((VLOOKUP(M33,$S$1:$U$46,3,0)*(1-$Q$1)),0)</f>
        <v>0</v>
      </c>
      <c r="S33" s="249">
        <v>61</v>
      </c>
      <c r="T33" s="249" t="s">
        <v>4625</v>
      </c>
      <c r="U33" s="249">
        <v>168.60772499999999</v>
      </c>
    </row>
    <row r="34" spans="6:21" ht="15" x14ac:dyDescent="0.2">
      <c r="F34" s="453"/>
      <c r="G34" s="451"/>
      <c r="H34" s="265"/>
      <c r="I34" s="260" t="s">
        <v>18011</v>
      </c>
      <c r="J34" s="261" t="s">
        <v>18012</v>
      </c>
      <c r="K34" s="264">
        <v>19.48</v>
      </c>
      <c r="L34" s="262">
        <f>+_xlfn.XLOOKUP("TERMINALES"&amp;H34,CODIGOS_Y_COSTOS[ID],CODIGOS_Y_COSTOS[COSTO],0,0)</f>
        <v>0</v>
      </c>
      <c r="M34" s="249">
        <v>2000</v>
      </c>
      <c r="N34" s="262">
        <f t="shared" si="1"/>
        <v>0</v>
      </c>
      <c r="O34" s="262">
        <f t="shared" si="2"/>
        <v>0</v>
      </c>
      <c r="P34" s="263"/>
      <c r="Q34" s="262">
        <f t="shared" ref="Q34:Q71" si="7">+IFERROR((VLOOKUP(M34,$S$1:$U$46,3,0)*(1-$Q$1)),0)</f>
        <v>0</v>
      </c>
      <c r="S34" s="249">
        <v>62</v>
      </c>
      <c r="T34" s="249" t="s">
        <v>4627</v>
      </c>
      <c r="U34" s="249">
        <v>168.60772499999999</v>
      </c>
    </row>
    <row r="35" spans="6:21" ht="15" x14ac:dyDescent="0.2">
      <c r="F35" s="453"/>
      <c r="G35" s="451"/>
      <c r="H35" s="265"/>
      <c r="I35" s="260" t="s">
        <v>18011</v>
      </c>
      <c r="J35" s="261" t="s">
        <v>18013</v>
      </c>
      <c r="K35" s="264">
        <v>19.48</v>
      </c>
      <c r="L35" s="262">
        <f>+_xlfn.XLOOKUP("TERMINALES"&amp;H35,CODIGOS_Y_COSTOS[ID],CODIGOS_Y_COSTOS[COSTO],0,0)</f>
        <v>0</v>
      </c>
      <c r="M35" s="249">
        <v>2000</v>
      </c>
      <c r="N35" s="262">
        <f t="shared" ref="N35:N66" si="8">+L35*M35</f>
        <v>0</v>
      </c>
      <c r="O35" s="262">
        <f t="shared" ref="O35:O66" si="9">+Q35*M35</f>
        <v>0</v>
      </c>
      <c r="P35" s="263"/>
      <c r="Q35" s="262">
        <f t="shared" si="7"/>
        <v>0</v>
      </c>
      <c r="S35" s="249">
        <v>63</v>
      </c>
      <c r="T35" s="249" t="s">
        <v>4629</v>
      </c>
      <c r="U35" s="249">
        <v>185.46849750000001</v>
      </c>
    </row>
    <row r="36" spans="6:21" ht="15" x14ac:dyDescent="0.2">
      <c r="F36" s="453"/>
      <c r="G36" s="451"/>
      <c r="H36" s="265"/>
      <c r="I36" s="260" t="s">
        <v>18014</v>
      </c>
      <c r="J36" s="261" t="s">
        <v>18015</v>
      </c>
      <c r="K36" s="264">
        <v>19.48</v>
      </c>
      <c r="L36" s="262">
        <f>+_xlfn.XLOOKUP("TERMINALES"&amp;H36,CODIGOS_Y_COSTOS[ID],CODIGOS_Y_COSTOS[COSTO],0,0)</f>
        <v>0</v>
      </c>
      <c r="M36" s="249">
        <v>2000</v>
      </c>
      <c r="N36" s="262">
        <f t="shared" si="8"/>
        <v>0</v>
      </c>
      <c r="O36" s="262">
        <f t="shared" si="9"/>
        <v>0</v>
      </c>
      <c r="P36" s="263"/>
      <c r="Q36" s="262">
        <f t="shared" si="7"/>
        <v>0</v>
      </c>
      <c r="S36" s="249">
        <v>64</v>
      </c>
      <c r="T36" s="249" t="s">
        <v>18016</v>
      </c>
      <c r="U36" s="249">
        <v>19.656779999999998</v>
      </c>
    </row>
    <row r="37" spans="6:21" ht="15" x14ac:dyDescent="0.2">
      <c r="F37" s="453"/>
      <c r="G37" s="451"/>
      <c r="H37" s="265"/>
      <c r="I37" s="260" t="s">
        <v>18017</v>
      </c>
      <c r="J37" s="261" t="s">
        <v>18018</v>
      </c>
      <c r="K37" s="264">
        <v>27.09</v>
      </c>
      <c r="L37" s="262">
        <f>+_xlfn.XLOOKUP("TERMINALES"&amp;H37,CODIGOS_Y_COSTOS[ID],CODIGOS_Y_COSTOS[COSTO],0,0)</f>
        <v>0</v>
      </c>
      <c r="M37" s="249">
        <v>2000</v>
      </c>
      <c r="N37" s="262">
        <f t="shared" si="8"/>
        <v>0</v>
      </c>
      <c r="O37" s="262">
        <f t="shared" si="9"/>
        <v>0</v>
      </c>
      <c r="P37" s="263"/>
      <c r="Q37" s="262">
        <f t="shared" si="7"/>
        <v>0</v>
      </c>
      <c r="S37" s="249">
        <v>65</v>
      </c>
      <c r="T37" s="249" t="s">
        <v>18019</v>
      </c>
      <c r="U37" s="249">
        <v>31.333769999999994</v>
      </c>
    </row>
    <row r="38" spans="6:21" ht="15" x14ac:dyDescent="0.2">
      <c r="F38" s="453"/>
      <c r="G38" s="451"/>
      <c r="H38" s="265"/>
      <c r="I38" s="260" t="s">
        <v>4593</v>
      </c>
      <c r="J38" s="261" t="s">
        <v>18020</v>
      </c>
      <c r="K38" s="264">
        <v>35.07</v>
      </c>
      <c r="L38" s="262">
        <f>+_xlfn.XLOOKUP("TERMINALES"&amp;H38,CODIGOS_Y_COSTOS[ID],CODIGOS_Y_COSTOS[COSTO],0,0)</f>
        <v>0</v>
      </c>
      <c r="M38" s="249">
        <v>2000</v>
      </c>
      <c r="N38" s="262">
        <f t="shared" si="8"/>
        <v>0</v>
      </c>
      <c r="O38" s="262">
        <f t="shared" si="9"/>
        <v>0</v>
      </c>
      <c r="P38" s="263"/>
      <c r="Q38" s="262">
        <f t="shared" si="7"/>
        <v>0</v>
      </c>
      <c r="S38" s="249">
        <v>66</v>
      </c>
      <c r="T38" s="249" t="s">
        <v>18021</v>
      </c>
      <c r="U38" s="249">
        <v>37.495769999999993</v>
      </c>
    </row>
    <row r="39" spans="6:21" ht="15" x14ac:dyDescent="0.2">
      <c r="F39" s="453"/>
      <c r="G39" s="451"/>
      <c r="H39" s="265"/>
      <c r="I39" s="260" t="s">
        <v>18022</v>
      </c>
      <c r="J39" s="261" t="s">
        <v>17987</v>
      </c>
      <c r="K39" s="264">
        <v>35.07</v>
      </c>
      <c r="L39" s="262">
        <f>+_xlfn.XLOOKUP("TERMINALES"&amp;H39,CODIGOS_Y_COSTOS[ID],CODIGOS_Y_COSTOS[COSTO],0,0)</f>
        <v>0</v>
      </c>
      <c r="M39" s="249">
        <v>2000</v>
      </c>
      <c r="N39" s="262">
        <f t="shared" si="8"/>
        <v>0</v>
      </c>
      <c r="O39" s="262">
        <f t="shared" si="9"/>
        <v>0</v>
      </c>
      <c r="P39" s="263"/>
      <c r="Q39" s="262">
        <f t="shared" si="7"/>
        <v>0</v>
      </c>
      <c r="S39" s="249">
        <v>67</v>
      </c>
      <c r="T39" s="249" t="s">
        <v>18023</v>
      </c>
      <c r="U39" s="249">
        <v>53.301300000000005</v>
      </c>
    </row>
    <row r="40" spans="6:21" ht="15" x14ac:dyDescent="0.2">
      <c r="H40" s="265"/>
      <c r="I40" s="260" t="s">
        <v>18024</v>
      </c>
      <c r="J40" s="261" t="s">
        <v>18025</v>
      </c>
      <c r="K40" s="264">
        <v>39.07</v>
      </c>
      <c r="L40" s="262">
        <f>+_xlfn.XLOOKUP("TERMINALES"&amp;H40,CODIGOS_Y_COSTOS[ID],CODIGOS_Y_COSTOS[COSTO],0,0)</f>
        <v>0</v>
      </c>
      <c r="M40" s="249">
        <v>2000</v>
      </c>
      <c r="N40" s="262">
        <f t="shared" si="8"/>
        <v>0</v>
      </c>
      <c r="O40" s="262">
        <f t="shared" si="9"/>
        <v>0</v>
      </c>
      <c r="P40" s="263"/>
      <c r="Q40" s="262">
        <f t="shared" si="7"/>
        <v>0</v>
      </c>
      <c r="S40" s="249">
        <v>68</v>
      </c>
      <c r="T40" s="249" t="s">
        <v>18026</v>
      </c>
      <c r="U40" s="249">
        <v>53.301300000000005</v>
      </c>
    </row>
    <row r="41" spans="6:21" ht="15" x14ac:dyDescent="0.2">
      <c r="G41" s="267"/>
      <c r="H41" s="265"/>
      <c r="I41" s="260" t="s">
        <v>18022</v>
      </c>
      <c r="J41" s="261" t="s">
        <v>18027</v>
      </c>
      <c r="K41" s="264">
        <v>35.44</v>
      </c>
      <c r="L41" s="262">
        <f>+_xlfn.XLOOKUP("TERMINALES"&amp;H41,CODIGOS_Y_COSTOS[ID],CODIGOS_Y_COSTOS[COSTO],0,0)</f>
        <v>0</v>
      </c>
      <c r="M41" s="249">
        <v>2000</v>
      </c>
      <c r="N41" s="262">
        <f t="shared" si="8"/>
        <v>0</v>
      </c>
      <c r="O41" s="262">
        <f t="shared" si="9"/>
        <v>0</v>
      </c>
      <c r="P41" s="263"/>
      <c r="Q41" s="262">
        <f t="shared" si="7"/>
        <v>0</v>
      </c>
      <c r="S41" s="249">
        <v>69</v>
      </c>
      <c r="T41" s="249" t="s">
        <v>18028</v>
      </c>
      <c r="U41" s="249">
        <v>53.301300000000005</v>
      </c>
    </row>
    <row r="42" spans="6:21" ht="15" x14ac:dyDescent="0.2">
      <c r="G42" s="267"/>
      <c r="H42" s="265"/>
      <c r="I42" s="260" t="s">
        <v>18024</v>
      </c>
      <c r="J42" s="261" t="s">
        <v>18029</v>
      </c>
      <c r="K42" s="264">
        <v>38.9</v>
      </c>
      <c r="L42" s="262">
        <f>+_xlfn.XLOOKUP("TERMINALES"&amp;H42,CODIGOS_Y_COSTOS[ID],CODIGOS_Y_COSTOS[COSTO],0,0)</f>
        <v>0</v>
      </c>
      <c r="M42" s="249">
        <v>2000</v>
      </c>
      <c r="N42" s="262">
        <f t="shared" si="8"/>
        <v>0</v>
      </c>
      <c r="O42" s="262">
        <f t="shared" si="9"/>
        <v>0</v>
      </c>
      <c r="P42" s="263"/>
      <c r="Q42" s="262">
        <f t="shared" si="7"/>
        <v>0</v>
      </c>
      <c r="S42" s="249">
        <v>70</v>
      </c>
      <c r="T42" s="249" t="s">
        <v>18030</v>
      </c>
      <c r="U42" s="249">
        <v>61.003799999999998</v>
      </c>
    </row>
    <row r="43" spans="6:21" ht="15" x14ac:dyDescent="0.2">
      <c r="G43" s="267"/>
      <c r="H43" s="265">
        <v>45</v>
      </c>
      <c r="I43" s="512" t="s">
        <v>18031</v>
      </c>
      <c r="J43" s="511" t="s">
        <v>4592</v>
      </c>
      <c r="K43" s="264">
        <v>27.33</v>
      </c>
      <c r="L43" s="262">
        <f>+_xlfn.XLOOKUP("TERMINALES"&amp;H43,CODIGOS_Y_COSTOS[ID],CODIGOS_Y_COSTOS[COSTO],0,0)</f>
        <v>36.237000000000002</v>
      </c>
      <c r="M43" s="249">
        <v>2000</v>
      </c>
      <c r="N43" s="262">
        <f t="shared" si="8"/>
        <v>72474</v>
      </c>
      <c r="O43" s="262">
        <f t="shared" si="9"/>
        <v>0</v>
      </c>
      <c r="P43" s="263"/>
      <c r="Q43" s="262">
        <f t="shared" si="7"/>
        <v>0</v>
      </c>
      <c r="S43" s="249">
        <v>71</v>
      </c>
      <c r="T43" s="249" t="s">
        <v>18032</v>
      </c>
      <c r="U43" s="249">
        <v>61.003799999999998</v>
      </c>
    </row>
    <row r="44" spans="6:21" ht="15" x14ac:dyDescent="0.2">
      <c r="G44" s="267"/>
      <c r="H44" s="265"/>
      <c r="I44" s="260" t="s">
        <v>18033</v>
      </c>
      <c r="J44" s="261" t="s">
        <v>18034</v>
      </c>
      <c r="K44" s="264">
        <v>60</v>
      </c>
      <c r="L44" s="262">
        <f>+_xlfn.XLOOKUP("TERMINALES"&amp;H44,CODIGOS_Y_COSTOS[ID],CODIGOS_Y_COSTOS[COSTO],0,0)</f>
        <v>0</v>
      </c>
      <c r="M44" s="249">
        <v>2000</v>
      </c>
      <c r="N44" s="262">
        <f t="shared" si="8"/>
        <v>0</v>
      </c>
      <c r="O44" s="262">
        <f t="shared" si="9"/>
        <v>0</v>
      </c>
      <c r="P44" s="263"/>
      <c r="Q44" s="262">
        <f t="shared" si="7"/>
        <v>0</v>
      </c>
      <c r="S44" s="249">
        <v>73</v>
      </c>
      <c r="T44" s="249" t="s">
        <v>4659</v>
      </c>
      <c r="U44" s="249">
        <v>76.408799999999999</v>
      </c>
    </row>
    <row r="45" spans="6:21" ht="15" x14ac:dyDescent="0.2">
      <c r="G45" s="267"/>
      <c r="H45" s="266"/>
      <c r="I45" s="452" t="s">
        <v>18035</v>
      </c>
      <c r="J45" s="261" t="s">
        <v>18036</v>
      </c>
      <c r="K45" s="264">
        <v>33.24</v>
      </c>
      <c r="L45" s="262">
        <f>+_xlfn.XLOOKUP("TERMINALES"&amp;H45,CODIGOS_Y_COSTOS[ID],CODIGOS_Y_COSTOS[COSTO],0,0)</f>
        <v>0</v>
      </c>
      <c r="M45" s="249">
        <v>2000</v>
      </c>
      <c r="N45" s="262">
        <f t="shared" si="8"/>
        <v>0</v>
      </c>
      <c r="O45" s="262">
        <f t="shared" si="9"/>
        <v>0</v>
      </c>
      <c r="P45" s="263"/>
      <c r="Q45" s="262">
        <f t="shared" si="7"/>
        <v>0</v>
      </c>
      <c r="S45" s="249">
        <v>74</v>
      </c>
      <c r="T45" s="249" t="s">
        <v>18037</v>
      </c>
      <c r="U45" s="249">
        <v>76.408799999999999</v>
      </c>
    </row>
    <row r="46" spans="6:21" ht="15" x14ac:dyDescent="0.2">
      <c r="G46" s="267"/>
      <c r="H46" s="265"/>
      <c r="I46" s="452" t="s">
        <v>18038</v>
      </c>
      <c r="J46" s="261" t="s">
        <v>18039</v>
      </c>
      <c r="K46" s="264">
        <v>54.47</v>
      </c>
      <c r="L46" s="262">
        <f>+_xlfn.XLOOKUP("TERMINALES"&amp;H46,CODIGOS_Y_COSTOS[ID],CODIGOS_Y_COSTOS[COSTO],0,0)</f>
        <v>0</v>
      </c>
      <c r="M46" s="249">
        <v>2000</v>
      </c>
      <c r="N46" s="262">
        <f t="shared" si="8"/>
        <v>0</v>
      </c>
      <c r="O46" s="262">
        <f t="shared" si="9"/>
        <v>0</v>
      </c>
      <c r="P46" s="263"/>
      <c r="Q46" s="262">
        <f t="shared" si="7"/>
        <v>0</v>
      </c>
      <c r="S46" s="249">
        <v>75</v>
      </c>
      <c r="T46" s="249" t="s">
        <v>18040</v>
      </c>
      <c r="U46" s="249">
        <v>76.408799999999999</v>
      </c>
    </row>
    <row r="47" spans="6:21" ht="15" x14ac:dyDescent="0.2">
      <c r="G47" s="267"/>
      <c r="H47" s="265"/>
      <c r="I47" s="452" t="s">
        <v>4581</v>
      </c>
      <c r="J47" s="261" t="s">
        <v>18041</v>
      </c>
      <c r="K47" s="264">
        <v>44.87</v>
      </c>
      <c r="L47" s="262">
        <f>+_xlfn.XLOOKUP("TERMINALES"&amp;H47,CODIGOS_Y_COSTOS[ID],CODIGOS_Y_COSTOS[COSTO],0,0)</f>
        <v>0</v>
      </c>
      <c r="M47" s="249">
        <v>2000</v>
      </c>
      <c r="N47" s="262">
        <f t="shared" si="8"/>
        <v>0</v>
      </c>
      <c r="O47" s="262">
        <f t="shared" si="9"/>
        <v>0</v>
      </c>
      <c r="P47" s="263"/>
      <c r="Q47" s="262">
        <f t="shared" si="7"/>
        <v>0</v>
      </c>
    </row>
    <row r="48" spans="6:21" ht="15" x14ac:dyDescent="0.2">
      <c r="G48" s="267"/>
      <c r="H48" s="265"/>
      <c r="I48" s="452" t="s">
        <v>18042</v>
      </c>
      <c r="J48" s="261" t="s">
        <v>4606</v>
      </c>
      <c r="K48" s="264">
        <v>66.64</v>
      </c>
      <c r="L48" s="262">
        <f>+_xlfn.XLOOKUP("TERMINALES"&amp;H48,CODIGOS_Y_COSTOS[ID],CODIGOS_Y_COSTOS[COSTO],0,0)</f>
        <v>0</v>
      </c>
      <c r="M48" s="249">
        <v>2000</v>
      </c>
      <c r="N48" s="262">
        <f t="shared" si="8"/>
        <v>0</v>
      </c>
      <c r="O48" s="262">
        <f t="shared" si="9"/>
        <v>0</v>
      </c>
      <c r="P48" s="263"/>
      <c r="Q48" s="262">
        <f t="shared" si="7"/>
        <v>0</v>
      </c>
    </row>
    <row r="49" spans="5:17" ht="15" x14ac:dyDescent="0.2">
      <c r="G49" s="267"/>
      <c r="H49" s="265"/>
      <c r="I49" s="452" t="s">
        <v>4601</v>
      </c>
      <c r="J49" s="261" t="s">
        <v>18043</v>
      </c>
      <c r="K49" s="264">
        <v>44.83</v>
      </c>
      <c r="L49" s="262">
        <f>+_xlfn.XLOOKUP("TERMINALES"&amp;H49,CODIGOS_Y_COSTOS[ID],CODIGOS_Y_COSTOS[COSTO],0,0)</f>
        <v>0</v>
      </c>
      <c r="M49" s="249">
        <v>2000</v>
      </c>
      <c r="N49" s="262">
        <f t="shared" si="8"/>
        <v>0</v>
      </c>
      <c r="O49" s="262">
        <f t="shared" si="9"/>
        <v>0</v>
      </c>
      <c r="P49" s="263"/>
      <c r="Q49" s="262">
        <f t="shared" si="7"/>
        <v>0</v>
      </c>
    </row>
    <row r="50" spans="5:17" ht="15" x14ac:dyDescent="0.2">
      <c r="G50" s="267"/>
      <c r="H50" s="265"/>
      <c r="I50" s="260" t="s">
        <v>18044</v>
      </c>
      <c r="J50" s="261" t="s">
        <v>18045</v>
      </c>
      <c r="K50" s="264">
        <v>67.349999999999994</v>
      </c>
      <c r="L50" s="262">
        <f>+_xlfn.XLOOKUP("TERMINALES"&amp;H50,CODIGOS_Y_COSTOS[ID],CODIGOS_Y_COSTOS[COSTO],0,0)</f>
        <v>0</v>
      </c>
      <c r="M50" s="249">
        <v>2000</v>
      </c>
      <c r="N50" s="262">
        <f t="shared" si="8"/>
        <v>0</v>
      </c>
      <c r="O50" s="262">
        <f t="shared" si="9"/>
        <v>0</v>
      </c>
      <c r="P50" s="263"/>
      <c r="Q50" s="262">
        <f t="shared" si="7"/>
        <v>0</v>
      </c>
    </row>
    <row r="51" spans="5:17" ht="15" x14ac:dyDescent="0.2">
      <c r="H51" s="265"/>
      <c r="I51" s="260" t="s">
        <v>18046</v>
      </c>
      <c r="J51" s="261" t="s">
        <v>18047</v>
      </c>
      <c r="K51" s="264">
        <v>22.92</v>
      </c>
      <c r="L51" s="262">
        <f>+_xlfn.XLOOKUP("TERMINALES"&amp;H51,CODIGOS_Y_COSTOS[ID],CODIGOS_Y_COSTOS[COSTO],0,0)</f>
        <v>0</v>
      </c>
      <c r="M51" s="249">
        <v>2000</v>
      </c>
      <c r="N51" s="262">
        <f t="shared" si="8"/>
        <v>0</v>
      </c>
      <c r="O51" s="262">
        <f t="shared" si="9"/>
        <v>0</v>
      </c>
      <c r="P51" s="263"/>
      <c r="Q51" s="262">
        <f t="shared" si="7"/>
        <v>0</v>
      </c>
    </row>
    <row r="52" spans="5:17" ht="15" x14ac:dyDescent="0.2">
      <c r="H52" s="265"/>
      <c r="I52" s="260" t="s">
        <v>18048</v>
      </c>
      <c r="J52" s="261" t="s">
        <v>18049</v>
      </c>
      <c r="K52" s="264">
        <v>22.92</v>
      </c>
      <c r="L52" s="262">
        <f>+_xlfn.XLOOKUP("TERMINALES"&amp;H52,CODIGOS_Y_COSTOS[ID],CODIGOS_Y_COSTOS[COSTO],0,0)</f>
        <v>0</v>
      </c>
      <c r="M52" s="249">
        <v>2000</v>
      </c>
      <c r="N52" s="262">
        <f t="shared" si="8"/>
        <v>0</v>
      </c>
      <c r="O52" s="262">
        <f t="shared" si="9"/>
        <v>0</v>
      </c>
      <c r="P52" s="263"/>
      <c r="Q52" s="262">
        <f t="shared" si="7"/>
        <v>0</v>
      </c>
    </row>
    <row r="53" spans="5:17" ht="15" x14ac:dyDescent="0.2">
      <c r="H53" s="265"/>
      <c r="I53" s="260" t="s">
        <v>18050</v>
      </c>
      <c r="J53" s="261" t="s">
        <v>18051</v>
      </c>
      <c r="K53" s="264">
        <v>28.18</v>
      </c>
      <c r="L53" s="262">
        <f>+_xlfn.XLOOKUP("TERMINALES"&amp;H53,CODIGOS_Y_COSTOS[ID],CODIGOS_Y_COSTOS[COSTO],0,0)</f>
        <v>0</v>
      </c>
      <c r="M53" s="249">
        <v>2000</v>
      </c>
      <c r="N53" s="262">
        <f t="shared" si="8"/>
        <v>0</v>
      </c>
      <c r="O53" s="262">
        <f t="shared" si="9"/>
        <v>0</v>
      </c>
      <c r="P53" s="263"/>
      <c r="Q53" s="262">
        <f t="shared" si="7"/>
        <v>0</v>
      </c>
    </row>
    <row r="54" spans="5:17" ht="15" x14ac:dyDescent="0.2">
      <c r="H54" s="265"/>
      <c r="I54" s="260" t="s">
        <v>18050</v>
      </c>
      <c r="J54" s="261" t="s">
        <v>18052</v>
      </c>
      <c r="K54" s="264">
        <v>29.17</v>
      </c>
      <c r="L54" s="262">
        <f>+_xlfn.XLOOKUP("TERMINALES"&amp;H54,CODIGOS_Y_COSTOS[ID],CODIGOS_Y_COSTOS[COSTO],0,0)</f>
        <v>0</v>
      </c>
      <c r="M54" s="249">
        <v>2000</v>
      </c>
      <c r="N54" s="262">
        <f t="shared" si="8"/>
        <v>0</v>
      </c>
      <c r="O54" s="262">
        <f t="shared" si="9"/>
        <v>0</v>
      </c>
      <c r="P54" s="263"/>
      <c r="Q54" s="262">
        <f t="shared" si="7"/>
        <v>0</v>
      </c>
    </row>
    <row r="55" spans="5:17" ht="15" x14ac:dyDescent="0.2">
      <c r="H55" s="265"/>
      <c r="I55" s="260" t="s">
        <v>18053</v>
      </c>
      <c r="J55" s="261" t="s">
        <v>18054</v>
      </c>
      <c r="K55" s="264">
        <v>69.3</v>
      </c>
      <c r="L55" s="262">
        <f>+_xlfn.XLOOKUP("TERMINALES"&amp;H55,CODIGOS_Y_COSTOS[ID],CODIGOS_Y_COSTOS[COSTO],0,0)</f>
        <v>0</v>
      </c>
      <c r="M55" s="249">
        <v>2000</v>
      </c>
      <c r="N55" s="262">
        <f t="shared" si="8"/>
        <v>0</v>
      </c>
      <c r="O55" s="262">
        <f t="shared" si="9"/>
        <v>0</v>
      </c>
      <c r="P55" s="263"/>
      <c r="Q55" s="262">
        <f t="shared" si="7"/>
        <v>0</v>
      </c>
    </row>
    <row r="56" spans="5:17" ht="15" x14ac:dyDescent="0.2">
      <c r="H56" s="265"/>
      <c r="I56" s="260" t="s">
        <v>18055</v>
      </c>
      <c r="J56" s="261" t="s">
        <v>18056</v>
      </c>
      <c r="K56" s="264">
        <v>51.22</v>
      </c>
      <c r="L56" s="262">
        <f>+_xlfn.XLOOKUP("TERMINALES"&amp;H56,CODIGOS_Y_COSTOS[ID],CODIGOS_Y_COSTOS[COSTO],0,0)</f>
        <v>0</v>
      </c>
      <c r="M56" s="249">
        <v>2000</v>
      </c>
      <c r="N56" s="262">
        <f t="shared" si="8"/>
        <v>0</v>
      </c>
      <c r="O56" s="262">
        <f t="shared" si="9"/>
        <v>0</v>
      </c>
      <c r="P56" s="263"/>
      <c r="Q56" s="262">
        <f t="shared" si="7"/>
        <v>0</v>
      </c>
    </row>
    <row r="57" spans="5:17" ht="15" x14ac:dyDescent="0.2">
      <c r="E57" s="684" t="s">
        <v>8751</v>
      </c>
      <c r="F57" s="684" t="s">
        <v>8189</v>
      </c>
      <c r="H57" s="265"/>
      <c r="I57" s="260" t="s">
        <v>18057</v>
      </c>
      <c r="J57" s="261" t="s">
        <v>18058</v>
      </c>
      <c r="K57" s="264">
        <v>71.83</v>
      </c>
      <c r="L57" s="262">
        <f>+_xlfn.XLOOKUP("TERMINALES"&amp;H57,CODIGOS_Y_COSTOS[ID],CODIGOS_Y_COSTOS[COSTO],0,0)</f>
        <v>0</v>
      </c>
      <c r="M57" s="249">
        <v>2000</v>
      </c>
      <c r="N57" s="262">
        <f t="shared" si="8"/>
        <v>0</v>
      </c>
      <c r="O57" s="262">
        <f t="shared" si="9"/>
        <v>0</v>
      </c>
      <c r="P57" s="263"/>
      <c r="Q57" s="262">
        <f t="shared" si="7"/>
        <v>0</v>
      </c>
    </row>
    <row r="58" spans="5:17" ht="15" x14ac:dyDescent="0.2">
      <c r="E58" s="249" t="s">
        <v>4640</v>
      </c>
      <c r="F58" s="247">
        <f t="shared" ref="F58:F66" si="10">+_xlfn.XLOOKUP(E58,J:J,H:H,"",0)</f>
        <v>67</v>
      </c>
      <c r="H58" s="265"/>
      <c r="I58" s="260" t="s">
        <v>18059</v>
      </c>
      <c r="J58" s="261" t="s">
        <v>18060</v>
      </c>
      <c r="K58" s="264">
        <v>44.1</v>
      </c>
      <c r="L58" s="262">
        <f>+_xlfn.XLOOKUP("TERMINALES"&amp;H58,CODIGOS_Y_COSTOS[ID],CODIGOS_Y_COSTOS[COSTO],0,0)</f>
        <v>0</v>
      </c>
      <c r="M58" s="249">
        <v>2000</v>
      </c>
      <c r="N58" s="262">
        <f t="shared" si="8"/>
        <v>0</v>
      </c>
      <c r="O58" s="262">
        <f t="shared" si="9"/>
        <v>0</v>
      </c>
      <c r="P58" s="263"/>
      <c r="Q58" s="262">
        <f t="shared" si="7"/>
        <v>0</v>
      </c>
    </row>
    <row r="59" spans="5:17" ht="15" x14ac:dyDescent="0.2">
      <c r="E59" s="249" t="s">
        <v>4643</v>
      </c>
      <c r="F59" s="247">
        <f t="shared" si="10"/>
        <v>68</v>
      </c>
      <c r="H59" s="265"/>
      <c r="I59" s="260" t="s">
        <v>18061</v>
      </c>
      <c r="J59" s="261" t="s">
        <v>18062</v>
      </c>
      <c r="K59" s="264">
        <v>44.1</v>
      </c>
      <c r="L59" s="262">
        <f>+_xlfn.XLOOKUP("TERMINALES"&amp;H59,CODIGOS_Y_COSTOS[ID],CODIGOS_Y_COSTOS[COSTO],0,0)</f>
        <v>0</v>
      </c>
      <c r="M59" s="249">
        <v>2000</v>
      </c>
      <c r="N59" s="262">
        <f t="shared" si="8"/>
        <v>0</v>
      </c>
      <c r="O59" s="262">
        <f t="shared" si="9"/>
        <v>0</v>
      </c>
      <c r="P59" s="263"/>
      <c r="Q59" s="262">
        <f t="shared" si="7"/>
        <v>0</v>
      </c>
    </row>
    <row r="60" spans="5:17" ht="15" x14ac:dyDescent="0.2">
      <c r="E60" s="249" t="s">
        <v>4646</v>
      </c>
      <c r="F60" s="247">
        <f t="shared" si="10"/>
        <v>69</v>
      </c>
      <c r="H60" s="265">
        <v>67</v>
      </c>
      <c r="I60" s="260" t="s">
        <v>4641</v>
      </c>
      <c r="J60" s="261" t="s">
        <v>4640</v>
      </c>
      <c r="K60" s="264">
        <v>129.36000000000001</v>
      </c>
      <c r="L60" s="262">
        <f>+_xlfn.XLOOKUP("TERMINALES"&amp;H60,CODIGOS_Y_COSTOS[ID],CODIGOS_Y_COSTOS[COSTO],0,0)</f>
        <v>178.083</v>
      </c>
      <c r="M60" s="249">
        <v>1000</v>
      </c>
      <c r="N60" s="262">
        <f t="shared" si="8"/>
        <v>178083</v>
      </c>
      <c r="O60" s="262">
        <f t="shared" si="9"/>
        <v>0</v>
      </c>
      <c r="P60" s="263"/>
      <c r="Q60" s="262">
        <f t="shared" si="7"/>
        <v>0</v>
      </c>
    </row>
    <row r="61" spans="5:17" ht="15" x14ac:dyDescent="0.2">
      <c r="E61" s="249" t="s">
        <v>4649</v>
      </c>
      <c r="F61" s="247">
        <f t="shared" si="10"/>
        <v>70</v>
      </c>
      <c r="H61" s="265">
        <v>68</v>
      </c>
      <c r="I61" s="260" t="s">
        <v>4644</v>
      </c>
      <c r="J61" s="261" t="s">
        <v>4643</v>
      </c>
      <c r="K61" s="264">
        <v>129.36000000000001</v>
      </c>
      <c r="L61" s="262">
        <f>+_xlfn.XLOOKUP("TERMINALES"&amp;H61,CODIGOS_Y_COSTOS[ID],CODIGOS_Y_COSTOS[COSTO],0,0)</f>
        <v>178.083</v>
      </c>
      <c r="M61" s="249">
        <v>1000</v>
      </c>
      <c r="N61" s="262">
        <f t="shared" si="8"/>
        <v>178083</v>
      </c>
      <c r="O61" s="262">
        <f t="shared" si="9"/>
        <v>0</v>
      </c>
      <c r="P61" s="263"/>
      <c r="Q61" s="262">
        <f t="shared" si="7"/>
        <v>0</v>
      </c>
    </row>
    <row r="62" spans="5:17" ht="15" x14ac:dyDescent="0.2">
      <c r="E62" s="249" t="s">
        <v>4652</v>
      </c>
      <c r="F62" s="247">
        <f t="shared" si="10"/>
        <v>71</v>
      </c>
      <c r="H62" s="265">
        <v>69</v>
      </c>
      <c r="I62" s="260" t="s">
        <v>4647</v>
      </c>
      <c r="J62" s="261" t="s">
        <v>4646</v>
      </c>
      <c r="K62" s="264">
        <v>129.36000000000001</v>
      </c>
      <c r="L62" s="262">
        <f>+_xlfn.XLOOKUP("TERMINALES"&amp;H62,CODIGOS_Y_COSTOS[ID],CODIGOS_Y_COSTOS[COSTO],0,0)</f>
        <v>178.083</v>
      </c>
      <c r="M62" s="249">
        <v>1000</v>
      </c>
      <c r="N62" s="262">
        <f t="shared" si="8"/>
        <v>178083</v>
      </c>
      <c r="O62" s="262">
        <f t="shared" si="9"/>
        <v>0</v>
      </c>
      <c r="P62" s="263"/>
      <c r="Q62" s="262">
        <f t="shared" si="7"/>
        <v>0</v>
      </c>
    </row>
    <row r="63" spans="5:17" ht="15" x14ac:dyDescent="0.2">
      <c r="E63" s="249" t="s">
        <v>4655</v>
      </c>
      <c r="F63" s="247">
        <f t="shared" si="10"/>
        <v>72</v>
      </c>
      <c r="G63" s="683" t="s">
        <v>8945</v>
      </c>
      <c r="H63" s="265">
        <v>72</v>
      </c>
      <c r="I63" s="260" t="s">
        <v>4656</v>
      </c>
      <c r="J63" s="261" t="s">
        <v>4655</v>
      </c>
      <c r="K63" s="264">
        <v>133.93</v>
      </c>
      <c r="L63" s="262">
        <f>+_xlfn.XLOOKUP("TERMINALES"&amp;H63,CODIGOS_Y_COSTOS[ID],CODIGOS_Y_COSTOS[COSTO],0,0)</f>
        <v>181.32599999999999</v>
      </c>
      <c r="M63" s="249">
        <v>1000</v>
      </c>
      <c r="N63" s="262">
        <f t="shared" si="8"/>
        <v>181326</v>
      </c>
      <c r="O63" s="262">
        <f t="shared" si="9"/>
        <v>0</v>
      </c>
      <c r="P63" s="263"/>
      <c r="Q63" s="262">
        <f t="shared" si="7"/>
        <v>0</v>
      </c>
    </row>
    <row r="64" spans="5:17" ht="15" x14ac:dyDescent="0.2">
      <c r="E64" s="249" t="s">
        <v>4658</v>
      </c>
      <c r="F64" s="247">
        <f t="shared" si="10"/>
        <v>73</v>
      </c>
      <c r="H64" s="685">
        <v>73</v>
      </c>
      <c r="I64" s="260" t="s">
        <v>18063</v>
      </c>
      <c r="J64" s="261" t="s">
        <v>4658</v>
      </c>
      <c r="K64" s="264">
        <v>181.78</v>
      </c>
      <c r="L64" s="262">
        <f>+_xlfn.XLOOKUP("TERMINALES"&amp;H64,CODIGOS_Y_COSTOS[ID],CODIGOS_Y_COSTOS[COSTO],0,0)</f>
        <v>251.685</v>
      </c>
      <c r="M64" s="249">
        <v>500</v>
      </c>
      <c r="N64" s="262">
        <f t="shared" si="8"/>
        <v>125842.5</v>
      </c>
      <c r="O64" s="262">
        <f t="shared" si="9"/>
        <v>0</v>
      </c>
      <c r="P64" s="263"/>
      <c r="Q64" s="262">
        <f t="shared" si="7"/>
        <v>0</v>
      </c>
    </row>
    <row r="65" spans="5:17" ht="15" x14ac:dyDescent="0.2">
      <c r="E65" s="249" t="s">
        <v>4661</v>
      </c>
      <c r="F65" s="247">
        <f t="shared" si="10"/>
        <v>74</v>
      </c>
      <c r="G65" s="683" t="s">
        <v>8945</v>
      </c>
      <c r="H65" s="265">
        <v>74</v>
      </c>
      <c r="I65" s="260" t="s">
        <v>4662</v>
      </c>
      <c r="J65" s="261" t="s">
        <v>4661</v>
      </c>
      <c r="K65" s="264">
        <v>181.78</v>
      </c>
      <c r="L65" s="262">
        <f>+_xlfn.XLOOKUP("TERMINALES"&amp;H65,CODIGOS_Y_COSTOS[ID],CODIGOS_Y_COSTOS[COSTO],0,0)</f>
        <v>251.685</v>
      </c>
      <c r="M65" s="249">
        <v>500</v>
      </c>
      <c r="N65" s="262">
        <f t="shared" si="8"/>
        <v>125842.5</v>
      </c>
      <c r="O65" s="262">
        <f t="shared" si="9"/>
        <v>0</v>
      </c>
      <c r="P65" s="263"/>
      <c r="Q65" s="262">
        <f t="shared" si="7"/>
        <v>0</v>
      </c>
    </row>
    <row r="66" spans="5:17" ht="15" x14ac:dyDescent="0.2">
      <c r="E66" s="249" t="s">
        <v>4664</v>
      </c>
      <c r="F66" s="247">
        <f t="shared" si="10"/>
        <v>75</v>
      </c>
      <c r="H66" s="265"/>
      <c r="I66" s="260" t="s">
        <v>4566</v>
      </c>
      <c r="J66" s="261" t="s">
        <v>18064</v>
      </c>
      <c r="K66" s="264">
        <v>28.02</v>
      </c>
      <c r="L66" s="262">
        <f>+_xlfn.XLOOKUP("TERMINALES"&amp;H66,CODIGOS_Y_COSTOS[ID],CODIGOS_Y_COSTOS[COSTO],0,0)</f>
        <v>0</v>
      </c>
      <c r="M66" s="249">
        <v>2000</v>
      </c>
      <c r="N66" s="262">
        <f t="shared" si="8"/>
        <v>0</v>
      </c>
      <c r="O66" s="262">
        <f t="shared" si="9"/>
        <v>0</v>
      </c>
      <c r="P66" s="263"/>
      <c r="Q66" s="262">
        <f t="shared" si="7"/>
        <v>0</v>
      </c>
    </row>
    <row r="67" spans="5:17" ht="15" x14ac:dyDescent="0.2">
      <c r="H67" s="265"/>
      <c r="I67" s="260" t="s">
        <v>18065</v>
      </c>
      <c r="J67" s="261" t="s">
        <v>18066</v>
      </c>
      <c r="K67" s="264">
        <v>41</v>
      </c>
      <c r="L67" s="262">
        <f>+_xlfn.XLOOKUP("TERMINALES"&amp;H67,CODIGOS_Y_COSTOS[ID],CODIGOS_Y_COSTOS[COSTO],0,0)</f>
        <v>0</v>
      </c>
      <c r="M67" s="249">
        <v>1000</v>
      </c>
      <c r="N67" s="262">
        <f t="shared" ref="N67:N76" si="11">+L67*M67</f>
        <v>0</v>
      </c>
      <c r="O67" s="262">
        <f t="shared" ref="O67:O76" si="12">+Q67*M67</f>
        <v>0</v>
      </c>
      <c r="P67" s="263"/>
      <c r="Q67" s="262">
        <f t="shared" si="7"/>
        <v>0</v>
      </c>
    </row>
    <row r="68" spans="5:17" ht="15" x14ac:dyDescent="0.2">
      <c r="H68" s="265"/>
      <c r="I68" s="260" t="s">
        <v>18067</v>
      </c>
      <c r="J68" s="261" t="s">
        <v>18068</v>
      </c>
      <c r="K68" s="264"/>
      <c r="L68" s="262">
        <f>+_xlfn.XLOOKUP("TERMINALES"&amp;H68,CODIGOS_Y_COSTOS[ID],CODIGOS_Y_COSTOS[COSTO],0,0)</f>
        <v>0</v>
      </c>
      <c r="M68" s="249"/>
      <c r="N68" s="262">
        <f t="shared" si="11"/>
        <v>0</v>
      </c>
      <c r="O68" s="262">
        <f t="shared" si="12"/>
        <v>0</v>
      </c>
      <c r="P68" s="263"/>
      <c r="Q68" s="262">
        <f t="shared" si="7"/>
        <v>0</v>
      </c>
    </row>
    <row r="69" spans="5:17" ht="15" x14ac:dyDescent="0.2">
      <c r="H69" s="265"/>
      <c r="I69" s="260" t="s">
        <v>18069</v>
      </c>
      <c r="J69" s="261" t="s">
        <v>18070</v>
      </c>
      <c r="K69" s="264"/>
      <c r="L69" s="262">
        <f>+_xlfn.XLOOKUP("TERMINALES"&amp;H69,CODIGOS_Y_COSTOS[ID],CODIGOS_Y_COSTOS[COSTO],0,0)</f>
        <v>0</v>
      </c>
      <c r="M69" s="249"/>
      <c r="N69" s="262">
        <f t="shared" si="11"/>
        <v>0</v>
      </c>
      <c r="O69" s="262">
        <f t="shared" si="12"/>
        <v>0</v>
      </c>
      <c r="P69" s="263"/>
      <c r="Q69" s="262">
        <f t="shared" si="7"/>
        <v>0</v>
      </c>
    </row>
    <row r="70" spans="5:17" ht="15" x14ac:dyDescent="0.2">
      <c r="H70" s="265"/>
      <c r="I70" s="260" t="s">
        <v>18071</v>
      </c>
      <c r="J70" s="261" t="s">
        <v>18072</v>
      </c>
      <c r="K70" s="264"/>
      <c r="L70" s="262">
        <f>+_xlfn.XLOOKUP("TERMINALES"&amp;H70,CODIGOS_Y_COSTOS[ID],CODIGOS_Y_COSTOS[COSTO],0,0)</f>
        <v>0</v>
      </c>
      <c r="M70" s="249"/>
      <c r="N70" s="262">
        <f t="shared" si="11"/>
        <v>0</v>
      </c>
      <c r="O70" s="262">
        <f t="shared" si="12"/>
        <v>0</v>
      </c>
      <c r="P70" s="263"/>
      <c r="Q70" s="262">
        <f t="shared" si="7"/>
        <v>0</v>
      </c>
    </row>
    <row r="71" spans="5:17" ht="15" x14ac:dyDescent="0.2">
      <c r="H71" s="265"/>
      <c r="I71" s="260" t="s">
        <v>18073</v>
      </c>
      <c r="J71" s="261" t="s">
        <v>18074</v>
      </c>
      <c r="K71" s="264"/>
      <c r="L71" s="262">
        <f>+_xlfn.XLOOKUP("TERMINALES"&amp;H71,CODIGOS_Y_COSTOS[ID],CODIGOS_Y_COSTOS[COSTO],0,0)</f>
        <v>0</v>
      </c>
      <c r="M71" s="249"/>
      <c r="N71" s="262">
        <f t="shared" si="11"/>
        <v>0</v>
      </c>
      <c r="O71" s="262">
        <f t="shared" si="12"/>
        <v>0</v>
      </c>
      <c r="P71" s="263"/>
      <c r="Q71" s="262">
        <f t="shared" si="7"/>
        <v>0</v>
      </c>
    </row>
    <row r="72" spans="5:17" ht="15" x14ac:dyDescent="0.2">
      <c r="G72" s="451"/>
      <c r="H72" s="265" t="s">
        <v>18075</v>
      </c>
      <c r="I72" s="260" t="s">
        <v>4618</v>
      </c>
      <c r="J72" s="261" t="s">
        <v>4617</v>
      </c>
      <c r="K72" s="264">
        <v>8.6349999999999998</v>
      </c>
      <c r="L72" s="262">
        <f>+_xlfn.XLOOKUP("TERMINALES"&amp;H72,CODIGOS_Y_COSTOS[ID],CODIGOS_Y_COSTOS[COSTO],0,0)</f>
        <v>11.138999999999999</v>
      </c>
      <c r="M72" s="249">
        <v>4000</v>
      </c>
      <c r="N72" s="262">
        <f>+L72*M72</f>
        <v>44556</v>
      </c>
      <c r="O72" s="262">
        <f>+Q72*M72</f>
        <v>17302.896000000001</v>
      </c>
      <c r="P72" s="263"/>
      <c r="Q72" s="262">
        <f>+IFERROR((VLOOKUP(H72,$S$1:$U$46,3,0)*(1-$Q$1)),0)</f>
        <v>4.3257240000000001</v>
      </c>
    </row>
    <row r="73" spans="5:17" ht="15" x14ac:dyDescent="0.2">
      <c r="G73" s="451"/>
      <c r="H73" s="265" t="s">
        <v>18076</v>
      </c>
      <c r="I73" s="260" t="s">
        <v>4614</v>
      </c>
      <c r="J73" s="261" t="s">
        <v>4613</v>
      </c>
      <c r="K73" s="264">
        <v>8.2830000000000013</v>
      </c>
      <c r="L73" s="262">
        <f>+_xlfn.XLOOKUP("TERMINALES"&amp;H73,CODIGOS_Y_COSTOS[ID],CODIGOS_Y_COSTOS[COSTO],0,0)</f>
        <v>10.715999999999999</v>
      </c>
      <c r="M73" s="249">
        <v>4000</v>
      </c>
      <c r="N73" s="262">
        <f>+L73*M73</f>
        <v>42864</v>
      </c>
      <c r="O73" s="262">
        <f>+Q73*M73</f>
        <v>17302.896000000001</v>
      </c>
      <c r="P73" s="263"/>
      <c r="Q73" s="262">
        <f t="shared" ref="Q73:Q74" si="13">+IFERROR((VLOOKUP(H73,$S$1:$U$46,3,0)*(1-$Q$1)),0)</f>
        <v>4.3257240000000001</v>
      </c>
    </row>
    <row r="74" spans="5:17" ht="15" x14ac:dyDescent="0.2">
      <c r="G74" s="451"/>
      <c r="H74" s="265">
        <v>60</v>
      </c>
      <c r="I74" s="260" t="s">
        <v>4614</v>
      </c>
      <c r="J74" s="261" t="s">
        <v>4622</v>
      </c>
      <c r="K74" s="264">
        <v>9.5370000000000008</v>
      </c>
      <c r="L74" s="262">
        <f>+_xlfn.XLOOKUP("TERMINALES"&amp;H74,CODIGOS_Y_COSTOS[ID],CODIGOS_Y_COSTOS[COSTO],0,0)</f>
        <v>12.407999999999999</v>
      </c>
      <c r="M74" s="249">
        <v>4000</v>
      </c>
      <c r="N74" s="262">
        <f t="shared" si="11"/>
        <v>49632</v>
      </c>
      <c r="O74" s="262">
        <f t="shared" si="12"/>
        <v>17302.896000000001</v>
      </c>
      <c r="P74" s="263"/>
      <c r="Q74" s="262">
        <f t="shared" si="13"/>
        <v>4.3257240000000001</v>
      </c>
    </row>
    <row r="75" spans="5:17" x14ac:dyDescent="0.2">
      <c r="J75" s="249" t="s">
        <v>4463</v>
      </c>
    </row>
    <row r="76" spans="5:17" x14ac:dyDescent="0.2">
      <c r="J76" s="249" t="s">
        <v>18077</v>
      </c>
      <c r="K76" s="264">
        <v>32.799999999999997</v>
      </c>
      <c r="L76" s="262">
        <f>+K76*DO</f>
        <v>28371.999999999996</v>
      </c>
      <c r="M76" s="247">
        <v>1000</v>
      </c>
      <c r="N76" s="262">
        <f t="shared" si="11"/>
        <v>28371999.999999996</v>
      </c>
      <c r="O76" s="262">
        <f t="shared" si="12"/>
        <v>0</v>
      </c>
    </row>
    <row r="77" spans="5:17" x14ac:dyDescent="0.2">
      <c r="K77" s="267"/>
    </row>
    <row r="126" spans="7:7" x14ac:dyDescent="0.2">
      <c r="G126" s="249">
        <v>47</v>
      </c>
    </row>
    <row r="127" spans="7:7" x14ac:dyDescent="0.2">
      <c r="G127" s="249">
        <v>53</v>
      </c>
    </row>
    <row r="128" spans="7:7" x14ac:dyDescent="0.2">
      <c r="G128" s="249">
        <v>60</v>
      </c>
    </row>
    <row r="129" spans="7:7" x14ac:dyDescent="0.2">
      <c r="G129" s="249">
        <v>65</v>
      </c>
    </row>
    <row r="130" spans="7:7" x14ac:dyDescent="0.2">
      <c r="G130" s="249">
        <v>72</v>
      </c>
    </row>
    <row r="131" spans="7:7" x14ac:dyDescent="0.2">
      <c r="G131" s="249">
        <v>121</v>
      </c>
    </row>
    <row r="132" spans="7:7" x14ac:dyDescent="0.2">
      <c r="G132" s="249">
        <v>123</v>
      </c>
    </row>
  </sheetData>
  <autoFilter ref="H2:U71" xr:uid="{00000000-0001-0000-0000-000000000000}">
    <sortState xmlns:xlrd2="http://schemas.microsoft.com/office/spreadsheetml/2017/richdata2" ref="H3:U71">
      <sortCondition ref="H2:H71"/>
    </sortState>
  </autoFilter>
  <mergeCells count="2">
    <mergeCell ref="H1:I1"/>
    <mergeCell ref="A1:B1"/>
  </mergeCells>
  <conditionalFormatting sqref="B3:B15">
    <cfRule type="expression" dxfId="130" priority="1">
      <formula>IF(_xlfn.ISFORMULA(B3)=TRUE,FALSE,TRUE)</formula>
    </cfRule>
  </conditionalFormatting>
  <hyperlinks>
    <hyperlink ref="E24" r:id="rId1" xr:uid="{1F7AAA1C-37F6-409F-85DA-DA2A2A094168}"/>
  </hyperlinks>
  <pageMargins left="0.70866141732283472" right="0.70866141732283472" top="0.74803149606299213" bottom="0.74803149606299213" header="0.31496062992125984" footer="0.31496062992125984"/>
  <pageSetup paperSize="9" scale="200"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7F75E-5066-4213-BC46-CE298A721881}">
  <sheetPr codeName="Hoja7"/>
  <dimension ref="A1:R60"/>
  <sheetViews>
    <sheetView view="pageBreakPreview" topLeftCell="A6" zoomScaleNormal="100" zoomScaleSheetLayoutView="100" workbookViewId="0">
      <selection activeCell="A6" sqref="A6:C8"/>
    </sheetView>
  </sheetViews>
  <sheetFormatPr baseColWidth="10" defaultColWidth="11.42578125" defaultRowHeight="12.75" x14ac:dyDescent="0.2"/>
  <cols>
    <col min="1" max="1" width="12" customWidth="1"/>
    <col min="2" max="2" width="29" customWidth="1"/>
    <col min="3" max="3" width="14.85546875" customWidth="1"/>
    <col min="4" max="4" width="2.28515625" customWidth="1"/>
    <col min="5" max="5" width="15" style="13" bestFit="1" customWidth="1"/>
    <col min="6" max="6" width="11.28515625" customWidth="1"/>
    <col min="7" max="7" width="16.140625" customWidth="1"/>
    <col min="8" max="8" width="3.85546875" customWidth="1"/>
    <col min="9" max="9" width="12.85546875" customWidth="1"/>
    <col min="10" max="10" width="14.28515625" customWidth="1"/>
    <col min="11" max="11" width="12.85546875" bestFit="1" customWidth="1"/>
    <col min="12" max="12" width="5" customWidth="1"/>
    <col min="13" max="13" width="44.85546875" bestFit="1" customWidth="1"/>
    <col min="14" max="14" width="13.85546875" customWidth="1"/>
    <col min="15" max="15" width="13.5703125" bestFit="1" customWidth="1"/>
    <col min="16" max="16" width="29.5703125" bestFit="1" customWidth="1"/>
  </cols>
  <sheetData>
    <row r="1" spans="1:18" ht="18.75" thickBot="1" x14ac:dyDescent="0.3">
      <c r="A1" s="1529" t="s">
        <v>18078</v>
      </c>
      <c r="B1" s="1530"/>
      <c r="C1" s="1531"/>
      <c r="E1" s="611" t="s">
        <v>18079</v>
      </c>
      <c r="G1" s="61">
        <f>+SUM(G3:G29)</f>
        <v>328468</v>
      </c>
      <c r="H1" s="2"/>
      <c r="I1" s="40"/>
      <c r="J1" s="40"/>
      <c r="K1" s="61"/>
      <c r="M1" s="99"/>
    </row>
    <row r="2" spans="1:18" ht="30.75" thickBot="1" x14ac:dyDescent="0.25">
      <c r="A2" s="299" t="s">
        <v>18080</v>
      </c>
      <c r="B2" s="300" t="s">
        <v>18081</v>
      </c>
      <c r="C2" s="301" t="s">
        <v>8753</v>
      </c>
      <c r="D2" s="4"/>
      <c r="E2" s="33" t="s">
        <v>8799</v>
      </c>
      <c r="F2" s="383" t="s">
        <v>8754</v>
      </c>
      <c r="G2" s="383" t="s">
        <v>8162</v>
      </c>
      <c r="H2" s="383"/>
      <c r="I2" s="383" t="s">
        <v>18082</v>
      </c>
      <c r="J2" s="384" t="s">
        <v>18083</v>
      </c>
      <c r="K2" s="1114"/>
      <c r="L2" s="291" t="s">
        <v>8799</v>
      </c>
      <c r="M2" s="291" t="s">
        <v>9335</v>
      </c>
      <c r="N2" s="292" t="s">
        <v>8771</v>
      </c>
      <c r="O2" s="293" t="s">
        <v>18080</v>
      </c>
      <c r="P2" s="291" t="s">
        <v>18081</v>
      </c>
      <c r="Q2" s="291" t="s">
        <v>18084</v>
      </c>
      <c r="R2" s="291" t="s">
        <v>8753</v>
      </c>
    </row>
    <row r="3" spans="1:18" x14ac:dyDescent="0.2">
      <c r="A3" s="7">
        <f>+VLOOKUP(E3,Tabla18[],4,0)</f>
        <v>2025</v>
      </c>
      <c r="B3" s="394" t="str">
        <f>+VLOOKUP(E3,Tabla18[],5,0)</f>
        <v>SCC 50/2 - 3/8"</v>
      </c>
      <c r="C3" s="15">
        <f>IFERROR(VLOOKUP(A3,$O$3:$R$40,4,0),0)</f>
        <v>50</v>
      </c>
      <c r="E3" s="614">
        <v>19</v>
      </c>
      <c r="F3" s="612">
        <f>IFERROR(VLOOKUP(E3,Tabla18[],6,0),0)</f>
        <v>1756.8040000000001</v>
      </c>
      <c r="G3" s="54">
        <f>+F3*C3</f>
        <v>87840.200000000012</v>
      </c>
      <c r="H3" s="48"/>
      <c r="I3" s="1109">
        <f>IFERROR(+J3/F3-1,0)</f>
        <v>1.1940032012677566</v>
      </c>
      <c r="J3" s="385">
        <f>IFERROR(VLOOKUP("TERMINALES"&amp;E3,CODIGOS_Y_COSTOS[[#All],[ID]:[Precio]],4,0)*(1-0.46),0)</f>
        <v>3854.4336000000003</v>
      </c>
      <c r="K3" s="1"/>
      <c r="L3" s="158">
        <v>1</v>
      </c>
      <c r="M3" s="158" t="s">
        <v>4668</v>
      </c>
      <c r="N3" s="290">
        <v>36.047699999999992</v>
      </c>
      <c r="O3" s="289">
        <v>2004</v>
      </c>
      <c r="P3" t="s">
        <v>18085</v>
      </c>
      <c r="Q3" s="196">
        <f>+_xlfn.XLOOKUP("TERMINALES"&amp;Tabla18[[#This Row],[Nº]],CODIGOS_Y_COSTOS[ID],CODIGOS_Y_COSTOS[COSTO],0,0)</f>
        <v>225.964</v>
      </c>
      <c r="R3">
        <v>250</v>
      </c>
    </row>
    <row r="4" spans="1:18" x14ac:dyDescent="0.2">
      <c r="A4" s="7">
        <f>+VLOOKUP(E4,Tabla18[],4,0)</f>
        <v>2171</v>
      </c>
      <c r="B4" s="394" t="str">
        <f>+VLOOKUP(E4,Tabla18[],5,0)</f>
        <v>SCA 16 - Ø 5/16"</v>
      </c>
      <c r="C4" s="15">
        <v>50</v>
      </c>
      <c r="E4" s="6">
        <v>21</v>
      </c>
      <c r="F4" s="612">
        <f>IFERROR(VLOOKUP(E4,Tabla18[],6,0),0)</f>
        <v>395.572</v>
      </c>
      <c r="G4" s="48">
        <f t="shared" ref="G4:G21" si="0">+F4*C4</f>
        <v>19778.599999999999</v>
      </c>
      <c r="H4" s="48"/>
      <c r="I4" s="1109">
        <f t="shared" ref="I4:I27" si="1">IFERROR(+J4/F4-1,0)</f>
        <v>0.70262202582589284</v>
      </c>
      <c r="J4" s="385">
        <f>IFERROR(VLOOKUP("TERMINALES"&amp;E4,CODIGOS_Y_COSTOS[[#All],[ID]:[Precio]],4,0)*(1-0.46),0)</f>
        <v>673.50960000000009</v>
      </c>
      <c r="K4" s="1"/>
      <c r="L4" s="158">
        <v>2</v>
      </c>
      <c r="M4" s="158" t="s">
        <v>4670</v>
      </c>
      <c r="N4" s="290">
        <v>36.047699999999992</v>
      </c>
      <c r="O4" s="289">
        <v>2005</v>
      </c>
      <c r="P4" t="s">
        <v>18086</v>
      </c>
      <c r="Q4" s="196">
        <f>+_xlfn.XLOOKUP("TERMINALES"&amp;Tabla18[[#This Row],[Nº]],CODIGOS_Y_COSTOS[ID],CODIGOS_Y_COSTOS[COSTO],0,0)</f>
        <v>220.88</v>
      </c>
      <c r="R4">
        <v>250</v>
      </c>
    </row>
    <row r="5" spans="1:18" x14ac:dyDescent="0.2">
      <c r="A5" s="7">
        <f>+VLOOKUP(E5,Tabla18[],4,0)</f>
        <v>2172</v>
      </c>
      <c r="B5" s="394" t="str">
        <f>+VLOOKUP(E5,Tabla18[],5,0)</f>
        <v xml:space="preserve">SCA 25 - Ø 5/16" </v>
      </c>
      <c r="C5" s="15">
        <v>50</v>
      </c>
      <c r="E5" s="6">
        <v>22</v>
      </c>
      <c r="F5" s="612">
        <f>IFERROR(VLOOKUP(E5,Tabla18[],6,0),0)</f>
        <v>507.04399999999998</v>
      </c>
      <c r="G5" s="48">
        <f t="shared" si="0"/>
        <v>25352.2</v>
      </c>
      <c r="H5" s="48"/>
      <c r="I5" s="1109">
        <f t="shared" si="1"/>
        <v>0.76408122372022969</v>
      </c>
      <c r="J5" s="385">
        <f>IFERROR(VLOOKUP("TERMINALES"&amp;E5,CODIGOS_Y_COSTOS[[#All],[ID]:[Precio]],4,0)*(1-0.46),0)</f>
        <v>894.46680000000015</v>
      </c>
      <c r="K5" s="1"/>
      <c r="L5" s="158">
        <v>3</v>
      </c>
      <c r="M5" s="158" t="s">
        <v>4672</v>
      </c>
      <c r="N5" s="290">
        <v>48.063599999999994</v>
      </c>
      <c r="O5" s="289">
        <v>2006</v>
      </c>
      <c r="P5" t="s">
        <v>18087</v>
      </c>
      <c r="Q5" s="196">
        <f>+_xlfn.XLOOKUP("TERMINALES"&amp;Tabla18[[#This Row],[Nº]],CODIGOS_Y_COSTOS[ID],CODIGOS_Y_COSTOS[COSTO],0,0)</f>
        <v>228.50399999999999</v>
      </c>
      <c r="R5">
        <v>250</v>
      </c>
    </row>
    <row r="6" spans="1:18" x14ac:dyDescent="0.2">
      <c r="A6" s="7">
        <f>+VLOOKUP(E6,Tabla18[],4,0)</f>
        <v>2170</v>
      </c>
      <c r="B6" s="394" t="str">
        <f>+VLOOKUP(E6,Tabla18[],5,0)</f>
        <v>SCA 10 - Ø 5/16"</v>
      </c>
      <c r="C6" s="15">
        <v>50</v>
      </c>
      <c r="E6" s="6">
        <v>20</v>
      </c>
      <c r="F6" s="612">
        <f>IFERROR(VLOOKUP(E6,Tabla18[],6,0),0)</f>
        <v>358.74</v>
      </c>
      <c r="G6" s="48">
        <f t="shared" si="0"/>
        <v>17937</v>
      </c>
      <c r="H6" s="48"/>
      <c r="I6" s="1109">
        <f t="shared" si="1"/>
        <v>0.5191319618665331</v>
      </c>
      <c r="J6" s="385">
        <f>IFERROR(VLOOKUP("TERMINALES"&amp;E6,CODIGOS_Y_COSTOS[[#All],[ID]:[Precio]],4,0)*(1-0.46),0)</f>
        <v>544.97340000000008</v>
      </c>
      <c r="K6" s="1"/>
      <c r="L6" s="158">
        <v>4</v>
      </c>
      <c r="M6" s="158" t="s">
        <v>4674</v>
      </c>
      <c r="N6" s="290">
        <v>48.063599999999994</v>
      </c>
      <c r="O6" s="289">
        <v>2007</v>
      </c>
      <c r="P6" t="s">
        <v>18088</v>
      </c>
      <c r="Q6" s="196">
        <f>+_xlfn.XLOOKUP("TERMINALES"&amp;Tabla18[[#This Row],[Nº]],CODIGOS_Y_COSTOS[ID],CODIGOS_Y_COSTOS[COSTO],0,0)</f>
        <v>235.048</v>
      </c>
      <c r="R6">
        <v>250</v>
      </c>
    </row>
    <row r="7" spans="1:18" x14ac:dyDescent="0.2">
      <c r="A7" s="7">
        <f>+VLOOKUP(E7,Tabla18[],4,0)</f>
        <v>2015</v>
      </c>
      <c r="B7" s="394" t="str">
        <f>+VLOOKUP(E7,Tabla18[],5,0)</f>
        <v>SCC 16/3 - 3/8"</v>
      </c>
      <c r="C7" s="15">
        <f t="shared" ref="C7:C27" si="2">IFERROR(VLOOKUP(A7,$O$3:$R$40,4,0),0)</f>
        <v>150</v>
      </c>
      <c r="E7" s="6">
        <v>12</v>
      </c>
      <c r="F7" s="612">
        <f>IFERROR(VLOOKUP(E7,Tabla18[],6,0),0)</f>
        <v>821.4</v>
      </c>
      <c r="G7" s="48">
        <f t="shared" si="0"/>
        <v>123210</v>
      </c>
      <c r="H7" s="48"/>
      <c r="I7" s="1109">
        <f t="shared" si="1"/>
        <v>1.30491380569759</v>
      </c>
      <c r="J7" s="385">
        <f>IFERROR(VLOOKUP("TERMINALES"&amp;E7,CODIGOS_Y_COSTOS[[#All],[ID]:[Precio]],4,0)*(1-0.46),0)</f>
        <v>1893.2562000000003</v>
      </c>
      <c r="K7" s="1"/>
      <c r="L7" s="158">
        <v>5</v>
      </c>
      <c r="M7" s="158" t="s">
        <v>4676</v>
      </c>
      <c r="N7" s="290">
        <v>67.011749999999992</v>
      </c>
      <c r="O7" s="289">
        <v>2008</v>
      </c>
      <c r="P7" t="s">
        <v>18089</v>
      </c>
      <c r="Q7" s="196">
        <f>+_xlfn.XLOOKUP("TERMINALES"&amp;Tabla18[[#This Row],[Nº]],CODIGOS_Y_COSTOS[ID],CODIGOS_Y_COSTOS[COSTO],0,0)</f>
        <v>323.14400000000001</v>
      </c>
      <c r="R7">
        <v>200</v>
      </c>
    </row>
    <row r="8" spans="1:18" x14ac:dyDescent="0.2">
      <c r="A8" s="7">
        <f>+VLOOKUP(E8,Tabla18[],4,0)</f>
        <v>2019</v>
      </c>
      <c r="B8" s="394" t="str">
        <f>+VLOOKUP(E8,Tabla18[],5,0)</f>
        <v>SCC 25/4 - 1/2"</v>
      </c>
      <c r="C8" s="15">
        <f t="shared" si="2"/>
        <v>50</v>
      </c>
      <c r="E8" s="6">
        <v>16</v>
      </c>
      <c r="F8" s="612">
        <f>IFERROR(VLOOKUP(E8,Tabla18[],6,0),0)</f>
        <v>1087</v>
      </c>
      <c r="G8" s="48">
        <f t="shared" si="0"/>
        <v>54350</v>
      </c>
      <c r="H8" s="48"/>
      <c r="I8" s="1109">
        <f t="shared" si="1"/>
        <v>1.3515286108555657</v>
      </c>
      <c r="J8" s="385">
        <f>IFERROR(VLOOKUP("TERMINALES"&amp;E8,CODIGOS_Y_COSTOS[[#All],[ID]:[Precio]],4,0)*(1-0.46),0)</f>
        <v>2556.1116000000002</v>
      </c>
      <c r="L8" s="158">
        <v>6</v>
      </c>
      <c r="M8" s="158" t="s">
        <v>4678</v>
      </c>
      <c r="N8" s="290">
        <v>67.011749999999992</v>
      </c>
      <c r="O8" s="289">
        <v>2009</v>
      </c>
      <c r="P8" t="s">
        <v>18090</v>
      </c>
      <c r="Q8" s="196">
        <f>+_xlfn.XLOOKUP("TERMINALES"&amp;Tabla18[[#This Row],[Nº]],CODIGOS_Y_COSTOS[ID],CODIGOS_Y_COSTOS[COSTO],0,0)</f>
        <v>319.048</v>
      </c>
      <c r="R8">
        <v>200</v>
      </c>
    </row>
    <row r="9" spans="1:18" x14ac:dyDescent="0.2">
      <c r="A9" s="7" t="str">
        <f>+VLOOKUP(E9,Tabla18[],4,0)</f>
        <v>-</v>
      </c>
      <c r="B9" s="394" t="str">
        <f>+VLOOKUP(E9,Tabla18[],5,0)</f>
        <v>-</v>
      </c>
      <c r="C9" s="15">
        <f t="shared" si="2"/>
        <v>0</v>
      </c>
      <c r="E9" s="6" t="s">
        <v>4463</v>
      </c>
      <c r="F9" s="612">
        <f>IFERROR(VLOOKUP(E9,Tabla18[],6,0),0)</f>
        <v>0</v>
      </c>
      <c r="G9" s="48">
        <f t="shared" si="0"/>
        <v>0</v>
      </c>
      <c r="H9" s="48"/>
      <c r="I9" s="1109">
        <f t="shared" si="1"/>
        <v>0</v>
      </c>
      <c r="J9" s="385">
        <f>IFERROR(VLOOKUP("TERMINALES"&amp;E9,CODIGOS_Y_COSTOS[[#All],[ID]:[Precio]],4,0)*(1-0.46),0)</f>
        <v>0</v>
      </c>
      <c r="L9" s="158">
        <v>7</v>
      </c>
      <c r="M9" s="158" t="s">
        <v>4680</v>
      </c>
      <c r="N9" s="290">
        <v>130.32629999999997</v>
      </c>
      <c r="O9" s="289">
        <v>2010</v>
      </c>
      <c r="P9" t="s">
        <v>18091</v>
      </c>
      <c r="Q9" s="196">
        <f>+_xlfn.XLOOKUP("TERMINALES"&amp;Tabla18[[#This Row],[Nº]],CODIGOS_Y_COSTOS[ID],CODIGOS_Y_COSTOS[COSTO],0,0)</f>
        <v>614.10400000000004</v>
      </c>
      <c r="R9">
        <v>200</v>
      </c>
    </row>
    <row r="10" spans="1:18" x14ac:dyDescent="0.2">
      <c r="A10" s="7" t="str">
        <f>+VLOOKUP(E10,Tabla18[],4,0)</f>
        <v>-</v>
      </c>
      <c r="B10" s="394" t="str">
        <f>+VLOOKUP(E10,Tabla18[],5,0)</f>
        <v>-</v>
      </c>
      <c r="C10" s="15">
        <f t="shared" si="2"/>
        <v>0</v>
      </c>
      <c r="E10" s="6" t="s">
        <v>4463</v>
      </c>
      <c r="F10" s="612">
        <f>IFERROR(VLOOKUP(E10,Tabla18[],6,0),0)</f>
        <v>0</v>
      </c>
      <c r="G10" s="48">
        <f t="shared" si="0"/>
        <v>0</v>
      </c>
      <c r="H10" s="48"/>
      <c r="I10" s="1109">
        <f t="shared" si="1"/>
        <v>0</v>
      </c>
      <c r="J10" s="385">
        <f>IFERROR(VLOOKUP("TERMINALES"&amp;E10,CODIGOS_Y_COSTOS[[#All],[ID]:[Precio]],4,0)*(1-0.46),0)</f>
        <v>0</v>
      </c>
      <c r="L10" s="158">
        <v>8</v>
      </c>
      <c r="M10" s="158" t="s">
        <v>4682</v>
      </c>
      <c r="N10" s="290">
        <v>130.32629999999997</v>
      </c>
      <c r="O10" s="289">
        <v>2011</v>
      </c>
      <c r="P10" t="s">
        <v>18092</v>
      </c>
      <c r="Q10" s="196">
        <f>+_xlfn.XLOOKUP("TERMINALES"&amp;Tabla18[[#This Row],[Nº]],CODIGOS_Y_COSTOS[ID],CODIGOS_Y_COSTOS[COSTO],0,0)</f>
        <v>614.10400000000004</v>
      </c>
      <c r="R10">
        <v>200</v>
      </c>
    </row>
    <row r="11" spans="1:18" x14ac:dyDescent="0.2">
      <c r="A11" s="7" t="str">
        <f>+VLOOKUP(E11,Tabla18[],4,0)</f>
        <v>-</v>
      </c>
      <c r="B11" s="394" t="str">
        <f>+VLOOKUP(E11,Tabla18[],5,0)</f>
        <v>-</v>
      </c>
      <c r="C11" s="15">
        <f t="shared" si="2"/>
        <v>0</v>
      </c>
      <c r="E11" s="6" t="s">
        <v>4463</v>
      </c>
      <c r="F11" s="613">
        <f>IFERROR(VLOOKUP(E11,Tabla18[],6,0),0)</f>
        <v>0</v>
      </c>
      <c r="G11" s="48">
        <f t="shared" si="0"/>
        <v>0</v>
      </c>
      <c r="H11" s="48"/>
      <c r="I11" s="1109">
        <f t="shared" si="1"/>
        <v>0</v>
      </c>
      <c r="J11" s="385">
        <f>IFERROR(VLOOKUP("TERMINALES"&amp;E11,CODIGOS_Y_COSTOS[[#All],[ID]:[Precio]],4,0)*(1-0.46),0)</f>
        <v>0</v>
      </c>
      <c r="L11" s="158">
        <v>9</v>
      </c>
      <c r="M11" s="158" t="s">
        <v>4684</v>
      </c>
      <c r="N11" s="290">
        <v>130.32629999999997</v>
      </c>
      <c r="O11" s="289">
        <v>2012</v>
      </c>
      <c r="P11" t="s">
        <v>18093</v>
      </c>
      <c r="Q11" s="196">
        <f>+_xlfn.XLOOKUP("TERMINALES"&amp;Tabla18[[#This Row],[Nº]],CODIGOS_Y_COSTOS[ID],CODIGOS_Y_COSTOS[COSTO],0,0)</f>
        <v>621.32399999999996</v>
      </c>
      <c r="R11">
        <v>200</v>
      </c>
    </row>
    <row r="12" spans="1:18" x14ac:dyDescent="0.2">
      <c r="A12" s="7" t="str">
        <f>+VLOOKUP(E12,Tabla18[],4,0)</f>
        <v>-</v>
      </c>
      <c r="B12" s="394" t="str">
        <f>+VLOOKUP(E12,Tabla18[],5,0)</f>
        <v>-</v>
      </c>
      <c r="C12" s="15">
        <f t="shared" si="2"/>
        <v>0</v>
      </c>
      <c r="E12" s="6" t="s">
        <v>4463</v>
      </c>
      <c r="F12" s="613">
        <f>IFERROR(VLOOKUP(E12,Tabla18[],6,0),0)</f>
        <v>0</v>
      </c>
      <c r="G12" s="48">
        <f t="shared" si="0"/>
        <v>0</v>
      </c>
      <c r="H12" s="48"/>
      <c r="I12" s="1109">
        <f t="shared" si="1"/>
        <v>0</v>
      </c>
      <c r="J12" s="385">
        <f>IFERROR(VLOOKUP("TERMINALES"&amp;E12,CODIGOS_Y_COSTOS[[#All],[ID]:[Precio]],4,0)*(1-0.46),0)</f>
        <v>0</v>
      </c>
      <c r="L12" s="158">
        <v>10</v>
      </c>
      <c r="M12" s="158" t="s">
        <v>4686</v>
      </c>
      <c r="N12" s="290">
        <v>164.67945</v>
      </c>
      <c r="O12" s="289">
        <v>2013</v>
      </c>
      <c r="P12" t="s">
        <v>18094</v>
      </c>
      <c r="Q12" s="196">
        <f>+_xlfn.XLOOKUP("TERMINALES"&amp;Tabla18[[#This Row],[Nº]],CODIGOS_Y_COSTOS[ID],CODIGOS_Y_COSTOS[COSTO],0,0)</f>
        <v>764.75199999999995</v>
      </c>
      <c r="R12">
        <v>150</v>
      </c>
    </row>
    <row r="13" spans="1:18" x14ac:dyDescent="0.2">
      <c r="A13" s="7" t="str">
        <f>+VLOOKUP(E13,Tabla18[],4,0)</f>
        <v>-</v>
      </c>
      <c r="B13" s="394" t="str">
        <f>+VLOOKUP(E13,Tabla18[],5,0)</f>
        <v>-</v>
      </c>
      <c r="C13" s="15">
        <f t="shared" si="2"/>
        <v>0</v>
      </c>
      <c r="E13" s="6" t="s">
        <v>4463</v>
      </c>
      <c r="F13" s="613">
        <f>IFERROR(VLOOKUP(E13,Tabla18[],6,0),0)</f>
        <v>0</v>
      </c>
      <c r="G13" s="48">
        <f t="shared" si="0"/>
        <v>0</v>
      </c>
      <c r="H13" s="48"/>
      <c r="I13" s="1109">
        <f t="shared" si="1"/>
        <v>0</v>
      </c>
      <c r="J13" s="385">
        <f>IFERROR(VLOOKUP("TERMINALES"&amp;E13,CODIGOS_Y_COSTOS[[#All],[ID]:[Precio]],4,0)*(1-0.46),0)</f>
        <v>0</v>
      </c>
      <c r="L13" s="158">
        <v>11</v>
      </c>
      <c r="M13" s="158" t="s">
        <v>4688</v>
      </c>
      <c r="N13" s="290">
        <v>164.67945</v>
      </c>
      <c r="O13" s="289">
        <v>2014</v>
      </c>
      <c r="P13" t="s">
        <v>18095</v>
      </c>
      <c r="Q13" s="196">
        <f>+_xlfn.XLOOKUP("TERMINALES"&amp;Tabla18[[#This Row],[Nº]],CODIGOS_Y_COSTOS[ID],CODIGOS_Y_COSTOS[COSTO],0,0)</f>
        <v>772.548</v>
      </c>
      <c r="R13">
        <v>150</v>
      </c>
    </row>
    <row r="14" spans="1:18" x14ac:dyDescent="0.2">
      <c r="A14" s="7" t="str">
        <f>+VLOOKUP(E14,Tabla18[],4,0)</f>
        <v>-</v>
      </c>
      <c r="B14" s="394" t="str">
        <f>+VLOOKUP(E14,Tabla18[],5,0)</f>
        <v>-</v>
      </c>
      <c r="C14" s="15">
        <f t="shared" si="2"/>
        <v>0</v>
      </c>
      <c r="E14" s="6" t="s">
        <v>4463</v>
      </c>
      <c r="F14" s="613">
        <f>IFERROR(VLOOKUP(E14,Tabla18[],6,0),0)</f>
        <v>0</v>
      </c>
      <c r="G14" s="48">
        <f t="shared" si="0"/>
        <v>0</v>
      </c>
      <c r="H14" s="48"/>
      <c r="I14" s="1109">
        <f t="shared" si="1"/>
        <v>0</v>
      </c>
      <c r="J14" s="385">
        <f>IFERROR(VLOOKUP("TERMINALES"&amp;E14,CODIGOS_Y_COSTOS[[#All],[ID]:[Precio]],4,0)*(1-0.46),0)</f>
        <v>0</v>
      </c>
      <c r="L14" s="158">
        <v>12</v>
      </c>
      <c r="M14" s="158" t="s">
        <v>4690</v>
      </c>
      <c r="N14" s="290">
        <v>164.67945</v>
      </c>
      <c r="O14" s="289">
        <v>2015</v>
      </c>
      <c r="P14" t="s">
        <v>18096</v>
      </c>
      <c r="Q14" s="196">
        <f>+_xlfn.XLOOKUP("TERMINALES"&amp;Tabla18[[#This Row],[Nº]],CODIGOS_Y_COSTOS[ID],CODIGOS_Y_COSTOS[COSTO],0,0)</f>
        <v>821.4</v>
      </c>
      <c r="R14">
        <v>150</v>
      </c>
    </row>
    <row r="15" spans="1:18" x14ac:dyDescent="0.2">
      <c r="A15" s="7" t="str">
        <f>+VLOOKUP(E15,Tabla18[],4,0)</f>
        <v>-</v>
      </c>
      <c r="B15" s="394" t="str">
        <f>+VLOOKUP(E15,Tabla18[],5,0)</f>
        <v>-</v>
      </c>
      <c r="C15" s="15">
        <f t="shared" si="2"/>
        <v>0</v>
      </c>
      <c r="E15" s="6" t="s">
        <v>4463</v>
      </c>
      <c r="F15" s="613">
        <f>IFERROR(VLOOKUP(E15,Tabla18[],6,0),0)</f>
        <v>0</v>
      </c>
      <c r="G15" s="48">
        <f t="shared" si="0"/>
        <v>0</v>
      </c>
      <c r="H15" s="48"/>
      <c r="I15" s="1109">
        <f t="shared" si="1"/>
        <v>0</v>
      </c>
      <c r="J15" s="385">
        <f>IFERROR(VLOOKUP("TERMINALES"&amp;E15,CODIGOS_Y_COSTOS[[#All],[ID]:[Precio]],4,0)*(1-0.46),0)</f>
        <v>0</v>
      </c>
      <c r="L15" s="158">
        <v>13</v>
      </c>
      <c r="M15" s="158" t="s">
        <v>4692</v>
      </c>
      <c r="N15" s="290">
        <v>182.70329999999996</v>
      </c>
      <c r="O15" s="289">
        <v>2016</v>
      </c>
      <c r="P15" t="s">
        <v>18097</v>
      </c>
      <c r="Q15" s="196">
        <f>+_xlfn.XLOOKUP("TERMINALES"&amp;Tabla18[[#This Row],[Nº]],CODIGOS_Y_COSTOS[ID],CODIGOS_Y_COSTOS[COSTO],0,0)</f>
        <v>840.31600000000003</v>
      </c>
      <c r="R15">
        <v>100</v>
      </c>
    </row>
    <row r="16" spans="1:18" x14ac:dyDescent="0.2">
      <c r="A16" s="7" t="str">
        <f>+VLOOKUP(E16,Tabla18[],4,0)</f>
        <v>-</v>
      </c>
      <c r="B16" s="394" t="str">
        <f>+VLOOKUP(E16,Tabla18[],5,0)</f>
        <v>-</v>
      </c>
      <c r="C16" s="15">
        <f t="shared" si="2"/>
        <v>0</v>
      </c>
      <c r="E16" s="6" t="s">
        <v>4463</v>
      </c>
      <c r="F16" s="613">
        <f>IFERROR(VLOOKUP(E16,Tabla18[],6,0),0)</f>
        <v>0</v>
      </c>
      <c r="G16" s="48">
        <f t="shared" si="0"/>
        <v>0</v>
      </c>
      <c r="H16" s="48"/>
      <c r="I16" s="1109">
        <f t="shared" si="1"/>
        <v>0</v>
      </c>
      <c r="J16" s="385">
        <f>IFERROR(VLOOKUP("TERMINALES"&amp;E16,CODIGOS_Y_COSTOS[[#All],[ID]:[Precio]],4,0)*(1-0.46),0)</f>
        <v>0</v>
      </c>
      <c r="L16" s="158">
        <v>14</v>
      </c>
      <c r="M16" s="158" t="s">
        <v>4694</v>
      </c>
      <c r="N16" s="290">
        <v>182.70329999999996</v>
      </c>
      <c r="O16" s="289">
        <v>2017</v>
      </c>
      <c r="P16" t="s">
        <v>18098</v>
      </c>
      <c r="Q16" s="196">
        <f>+_xlfn.XLOOKUP("TERMINALES"&amp;Tabla18[[#This Row],[Nº]],CODIGOS_Y_COSTOS[ID],CODIGOS_Y_COSTOS[COSTO],0,0)</f>
        <v>840.31600000000003</v>
      </c>
      <c r="R16">
        <v>100</v>
      </c>
    </row>
    <row r="17" spans="1:18" x14ac:dyDescent="0.2">
      <c r="A17" s="7" t="str">
        <f>+VLOOKUP(E17,Tabla18[],4,0)</f>
        <v>-</v>
      </c>
      <c r="B17" s="394" t="str">
        <f>+VLOOKUP(E17,Tabla18[],5,0)</f>
        <v>-</v>
      </c>
      <c r="C17" s="15">
        <f t="shared" si="2"/>
        <v>0</v>
      </c>
      <c r="E17" s="6" t="s">
        <v>4463</v>
      </c>
      <c r="F17" s="613">
        <f>IFERROR(VLOOKUP(E17,Tabla18[],6,0),0)</f>
        <v>0</v>
      </c>
      <c r="G17" s="48">
        <f t="shared" si="0"/>
        <v>0</v>
      </c>
      <c r="H17" s="48"/>
      <c r="I17" s="1109">
        <f t="shared" si="1"/>
        <v>0</v>
      </c>
      <c r="J17" s="385">
        <f>IFERROR(VLOOKUP("TERMINALES"&amp;E17,CODIGOS_Y_COSTOS[[#All],[ID]:[Precio]],4,0)*(1-0.46),0)</f>
        <v>0</v>
      </c>
      <c r="L17" s="158">
        <v>15</v>
      </c>
      <c r="M17" s="158" t="s">
        <v>4696</v>
      </c>
      <c r="N17" s="290">
        <v>182.70329999999996</v>
      </c>
      <c r="O17" s="289">
        <v>2018</v>
      </c>
      <c r="P17" t="s">
        <v>18099</v>
      </c>
      <c r="Q17" s="196">
        <f>+_xlfn.XLOOKUP("TERMINALES"&amp;Tabla18[[#This Row],[Nº]],CODIGOS_Y_COSTOS[ID],CODIGOS_Y_COSTOS[COSTO],0,0)</f>
        <v>856.32399999999996</v>
      </c>
      <c r="R17">
        <v>100</v>
      </c>
    </row>
    <row r="18" spans="1:18" x14ac:dyDescent="0.2">
      <c r="A18" s="7" t="str">
        <f>+VLOOKUP(E18,Tabla18[],4,0)</f>
        <v>-</v>
      </c>
      <c r="B18" s="394" t="str">
        <f>+VLOOKUP(E18,Tabla18[],5,0)</f>
        <v>-</v>
      </c>
      <c r="C18" s="15">
        <f t="shared" si="2"/>
        <v>0</v>
      </c>
      <c r="E18" s="6" t="s">
        <v>4463</v>
      </c>
      <c r="F18" s="613">
        <f>IFERROR(VLOOKUP(E18,Tabla18[],6,0),0)</f>
        <v>0</v>
      </c>
      <c r="G18" s="48">
        <f t="shared" si="0"/>
        <v>0</v>
      </c>
      <c r="H18" s="48"/>
      <c r="I18" s="1109">
        <f t="shared" si="1"/>
        <v>0</v>
      </c>
      <c r="J18" s="385">
        <f>IFERROR(VLOOKUP("TERMINALES"&amp;E18,CODIGOS_Y_COSTOS[[#All],[ID]:[Precio]],4,0)*(1-0.46),0)</f>
        <v>0</v>
      </c>
      <c r="L18" s="158">
        <v>16</v>
      </c>
      <c r="M18" s="158" t="s">
        <v>4698</v>
      </c>
      <c r="N18" s="290">
        <v>232.92359999999996</v>
      </c>
      <c r="O18" s="289">
        <v>2019</v>
      </c>
      <c r="P18" t="s">
        <v>18100</v>
      </c>
      <c r="Q18" s="196">
        <f>+_xlfn.XLOOKUP("TERMINALES"&amp;Tabla18[[#This Row],[Nº]],CODIGOS_Y_COSTOS[ID],CODIGOS_Y_COSTOS[COSTO],0,0)</f>
        <v>1087</v>
      </c>
      <c r="R18">
        <v>50</v>
      </c>
    </row>
    <row r="19" spans="1:18" x14ac:dyDescent="0.2">
      <c r="A19" s="7" t="str">
        <f>+VLOOKUP(E19,Tabla18[],4,0)</f>
        <v>-</v>
      </c>
      <c r="B19" s="394" t="str">
        <f>+VLOOKUP(E19,Tabla18[],5,0)</f>
        <v>-</v>
      </c>
      <c r="C19" s="15">
        <f t="shared" si="2"/>
        <v>0</v>
      </c>
      <c r="E19" s="6" t="s">
        <v>4463</v>
      </c>
      <c r="F19" s="613">
        <f>IFERROR(VLOOKUP(E19,Tabla18[],6,0),0)</f>
        <v>0</v>
      </c>
      <c r="G19" s="48">
        <f t="shared" si="0"/>
        <v>0</v>
      </c>
      <c r="H19" s="48"/>
      <c r="I19" s="1109">
        <f t="shared" si="1"/>
        <v>0</v>
      </c>
      <c r="J19" s="385">
        <f>IFERROR(VLOOKUP("TERMINALES"&amp;E19,CODIGOS_Y_COSTOS[[#All],[ID]:[Precio]],4,0)*(1-0.46),0)</f>
        <v>0</v>
      </c>
      <c r="L19" s="158">
        <v>17</v>
      </c>
      <c r="M19" s="158" t="s">
        <v>4700</v>
      </c>
      <c r="N19" s="290">
        <v>271.74419999999998</v>
      </c>
      <c r="O19" s="289">
        <v>2022</v>
      </c>
      <c r="P19" t="s">
        <v>18101</v>
      </c>
      <c r="Q19" s="196">
        <f>+_xlfn.XLOOKUP("TERMINALES"&amp;Tabla18[[#This Row],[Nº]],CODIGOS_Y_COSTOS[ID],CODIGOS_Y_COSTOS[COSTO],0,0)</f>
        <v>1344.172</v>
      </c>
      <c r="R19">
        <v>50</v>
      </c>
    </row>
    <row r="20" spans="1:18" x14ac:dyDescent="0.2">
      <c r="A20" s="7" t="str">
        <f>+VLOOKUP(E20,Tabla18[],4,0)</f>
        <v>-</v>
      </c>
      <c r="B20" s="394" t="str">
        <f>+VLOOKUP(E20,Tabla18[],5,0)</f>
        <v>-</v>
      </c>
      <c r="C20" s="15">
        <f t="shared" si="2"/>
        <v>0</v>
      </c>
      <c r="E20" s="6" t="s">
        <v>4463</v>
      </c>
      <c r="F20" s="613">
        <f>IFERROR(VLOOKUP(E20,Tabla18[],6,0),0)</f>
        <v>0</v>
      </c>
      <c r="G20" s="48">
        <f t="shared" si="0"/>
        <v>0</v>
      </c>
      <c r="H20" s="48"/>
      <c r="I20" s="1109">
        <f t="shared" si="1"/>
        <v>0</v>
      </c>
      <c r="J20" s="385">
        <f>IFERROR(VLOOKUP("TERMINALES"&amp;E20,CODIGOS_Y_COSTOS[[#All],[ID]:[Precio]],4,0)*(1-0.46),0)</f>
        <v>0</v>
      </c>
      <c r="L20" s="158">
        <v>18</v>
      </c>
      <c r="M20" s="158" t="s">
        <v>4702</v>
      </c>
      <c r="N20" s="290">
        <v>351.23399999999998</v>
      </c>
      <c r="O20" s="289">
        <v>2024</v>
      </c>
      <c r="P20" t="s">
        <v>18102</v>
      </c>
      <c r="Q20" s="196">
        <f>+_xlfn.XLOOKUP("TERMINALES"&amp;Tabla18[[#This Row],[Nº]],CODIGOS_Y_COSTOS[ID],CODIGOS_Y_COSTOS[COSTO],0,0)</f>
        <v>1756.8040000000001</v>
      </c>
      <c r="R20">
        <v>50</v>
      </c>
    </row>
    <row r="21" spans="1:18" x14ac:dyDescent="0.2">
      <c r="A21" s="7" t="str">
        <f>+VLOOKUP(E21,Tabla18[],4,0)</f>
        <v>-</v>
      </c>
      <c r="B21" s="394" t="str">
        <f>+VLOOKUP(E21,Tabla18[],5,0)</f>
        <v>-</v>
      </c>
      <c r="C21" s="15">
        <f t="shared" si="2"/>
        <v>0</v>
      </c>
      <c r="E21" s="6" t="s">
        <v>4463</v>
      </c>
      <c r="F21" s="613">
        <f>IFERROR(VLOOKUP(E21,Tabla18[],6,0),0)</f>
        <v>0</v>
      </c>
      <c r="G21" s="48">
        <f t="shared" si="0"/>
        <v>0</v>
      </c>
      <c r="H21" s="48"/>
      <c r="I21" s="1109">
        <f t="shared" si="1"/>
        <v>0</v>
      </c>
      <c r="J21" s="385">
        <f>IFERROR(VLOOKUP("TERMINALES"&amp;E21,CODIGOS_Y_COSTOS[[#All],[ID]:[Precio]],4,0)*(1-0.46),0)</f>
        <v>0</v>
      </c>
      <c r="L21" s="158">
        <v>19</v>
      </c>
      <c r="M21" s="158" t="s">
        <v>4704</v>
      </c>
      <c r="N21" s="290">
        <v>351.23399999999998</v>
      </c>
      <c r="O21" s="289">
        <v>2025</v>
      </c>
      <c r="P21" t="s">
        <v>18103</v>
      </c>
      <c r="Q21" s="196">
        <f>+_xlfn.XLOOKUP("TERMINALES"&amp;Tabla18[[#This Row],[Nº]],CODIGOS_Y_COSTOS[ID],CODIGOS_Y_COSTOS[COSTO],0,0)</f>
        <v>1756.8040000000001</v>
      </c>
      <c r="R21">
        <v>50</v>
      </c>
    </row>
    <row r="22" spans="1:18" x14ac:dyDescent="0.2">
      <c r="A22" s="7" t="str">
        <f>+VLOOKUP(E22,Tabla18[],4,0)</f>
        <v>-</v>
      </c>
      <c r="B22" s="394" t="str">
        <f>+VLOOKUP(E22,Tabla18[],5,0)</f>
        <v>-</v>
      </c>
      <c r="C22" s="15">
        <f t="shared" si="2"/>
        <v>0</v>
      </c>
      <c r="E22" s="6" t="s">
        <v>4463</v>
      </c>
      <c r="F22" s="613">
        <f>IFERROR(VLOOKUP(E22,Tabla18[],6,0),0)</f>
        <v>0</v>
      </c>
      <c r="G22" s="48">
        <f t="shared" ref="G22:G27" si="3">+F22*C22</f>
        <v>0</v>
      </c>
      <c r="H22" s="48"/>
      <c r="I22" s="1109">
        <f t="shared" si="1"/>
        <v>0</v>
      </c>
      <c r="J22" s="385">
        <f>IFERROR(VLOOKUP("TERMINALES"&amp;E22,CODIGOS_Y_COSTOS[[#All],[ID]:[Precio]],4,0)*(1-0.46),0)</f>
        <v>0</v>
      </c>
      <c r="L22" s="158">
        <v>20</v>
      </c>
      <c r="M22" s="158" t="s">
        <v>4706</v>
      </c>
      <c r="N22" s="290">
        <v>81.769739999999999</v>
      </c>
      <c r="O22" s="289">
        <v>2170</v>
      </c>
      <c r="P22" t="s">
        <v>18104</v>
      </c>
      <c r="Q22" s="196">
        <f>+_xlfn.XLOOKUP("TERMINALES"&amp;Tabla18[[#This Row],[Nº]],CODIGOS_Y_COSTOS[ID],CODIGOS_Y_COSTOS[COSTO],0,0)</f>
        <v>358.74</v>
      </c>
      <c r="R22">
        <v>1</v>
      </c>
    </row>
    <row r="23" spans="1:18" x14ac:dyDescent="0.2">
      <c r="A23" s="7" t="str">
        <f>+VLOOKUP(E23,Tabla18[],4,0)</f>
        <v>-</v>
      </c>
      <c r="B23" s="394" t="str">
        <f>+VLOOKUP(E23,Tabla18[],5,0)</f>
        <v>-</v>
      </c>
      <c r="C23" s="15">
        <f t="shared" si="2"/>
        <v>0</v>
      </c>
      <c r="E23" s="6" t="s">
        <v>4463</v>
      </c>
      <c r="F23" s="613">
        <f>IFERROR(VLOOKUP(E23,Tabla18[],6,0),0)</f>
        <v>0</v>
      </c>
      <c r="G23" s="48">
        <f t="shared" si="3"/>
        <v>0</v>
      </c>
      <c r="H23" s="48"/>
      <c r="I23" s="1109">
        <f t="shared" si="1"/>
        <v>0</v>
      </c>
      <c r="J23" s="385">
        <f>IFERROR(VLOOKUP("TERMINALES"&amp;E23,CODIGOS_Y_COSTOS[[#All],[ID]:[Precio]],4,0)*(1-0.46),0)</f>
        <v>0</v>
      </c>
      <c r="L23" s="158">
        <v>21</v>
      </c>
      <c r="M23" s="158" t="s">
        <v>4708</v>
      </c>
      <c r="N23" s="290">
        <v>101.05679999999998</v>
      </c>
      <c r="O23" s="289">
        <v>2171</v>
      </c>
      <c r="P23" t="s">
        <v>18105</v>
      </c>
      <c r="Q23" s="196">
        <f>+_xlfn.XLOOKUP("TERMINALES"&amp;Tabla18[[#This Row],[Nº]],CODIGOS_Y_COSTOS[ID],CODIGOS_Y_COSTOS[COSTO],0,0)</f>
        <v>395.572</v>
      </c>
      <c r="R23">
        <v>1</v>
      </c>
    </row>
    <row r="24" spans="1:18" x14ac:dyDescent="0.2">
      <c r="A24" s="7" t="str">
        <f>+VLOOKUP(E24,Tabla18[],4,0)</f>
        <v>-</v>
      </c>
      <c r="B24" s="394" t="str">
        <f>+VLOOKUP(E24,Tabla18[],5,0)</f>
        <v>-</v>
      </c>
      <c r="C24" s="15">
        <f t="shared" si="2"/>
        <v>0</v>
      </c>
      <c r="E24" s="6" t="s">
        <v>4463</v>
      </c>
      <c r="F24" s="613">
        <f>IFERROR(VLOOKUP(E24,Tabla18[],6,0),0)</f>
        <v>0</v>
      </c>
      <c r="G24" s="48">
        <f t="shared" si="3"/>
        <v>0</v>
      </c>
      <c r="H24" s="48"/>
      <c r="I24" s="1109">
        <f t="shared" si="1"/>
        <v>0</v>
      </c>
      <c r="J24" s="385">
        <f>IFERROR(VLOOKUP("TERMINALES"&amp;E24,CODIGOS_Y_COSTOS[[#All],[ID]:[Precio]],4,0)*(1-0.46),0)</f>
        <v>0</v>
      </c>
      <c r="L24" s="158">
        <v>22</v>
      </c>
      <c r="M24" s="158" t="s">
        <v>4710</v>
      </c>
      <c r="N24" s="290">
        <v>134.20836</v>
      </c>
      <c r="O24" s="289">
        <v>2172</v>
      </c>
      <c r="P24" t="s">
        <v>18106</v>
      </c>
      <c r="Q24" s="196">
        <f>+_xlfn.XLOOKUP("TERMINALES"&amp;Tabla18[[#This Row],[Nº]],CODIGOS_Y_COSTOS[ID],CODIGOS_Y_COSTOS[COSTO],0,0)</f>
        <v>507.04399999999998</v>
      </c>
      <c r="R24">
        <v>1</v>
      </c>
    </row>
    <row r="25" spans="1:18" x14ac:dyDescent="0.2">
      <c r="A25" s="7" t="str">
        <f>+VLOOKUP(E25,Tabla18[],4,0)</f>
        <v>-</v>
      </c>
      <c r="B25" s="394" t="str">
        <f>+VLOOKUP(E25,Tabla18[],5,0)</f>
        <v>-</v>
      </c>
      <c r="C25" s="15">
        <f t="shared" si="2"/>
        <v>0</v>
      </c>
      <c r="E25" s="6" t="s">
        <v>4463</v>
      </c>
      <c r="F25" s="613">
        <f>IFERROR(VLOOKUP(E25,Tabla18[],6,0),0)</f>
        <v>0</v>
      </c>
      <c r="G25" s="48">
        <f t="shared" si="3"/>
        <v>0</v>
      </c>
      <c r="H25" s="48"/>
      <c r="I25" s="1109">
        <f t="shared" si="1"/>
        <v>0</v>
      </c>
      <c r="J25" s="385">
        <f>IFERROR(VLOOKUP("TERMINALES"&amp;E25,CODIGOS_Y_COSTOS[[#All],[ID]:[Precio]],4,0)*(1-0.46),0)</f>
        <v>0</v>
      </c>
      <c r="L25" s="158">
        <v>23</v>
      </c>
      <c r="M25" s="158" t="s">
        <v>4712</v>
      </c>
      <c r="N25" s="290">
        <v>134.20836</v>
      </c>
      <c r="O25" s="289">
        <v>2173</v>
      </c>
      <c r="P25" t="s">
        <v>18107</v>
      </c>
      <c r="Q25" s="196">
        <f>+_xlfn.XLOOKUP("TERMINALES"&amp;Tabla18[[#This Row],[Nº]],CODIGOS_Y_COSTOS[ID],CODIGOS_Y_COSTOS[COSTO],0,0)</f>
        <v>609.41999999999996</v>
      </c>
      <c r="R25">
        <v>1</v>
      </c>
    </row>
    <row r="26" spans="1:18" x14ac:dyDescent="0.2">
      <c r="A26" s="7" t="str">
        <f>+VLOOKUP(E26,Tabla18[],4,0)</f>
        <v>-</v>
      </c>
      <c r="B26" s="394" t="str">
        <f>+VLOOKUP(E26,Tabla18[],5,0)</f>
        <v>-</v>
      </c>
      <c r="C26" s="15">
        <f t="shared" si="2"/>
        <v>0</v>
      </c>
      <c r="E26" s="6" t="s">
        <v>4463</v>
      </c>
      <c r="F26" s="613">
        <f>IFERROR(VLOOKUP(E26,Tabla18[],6,0),0)</f>
        <v>0</v>
      </c>
      <c r="G26" s="48">
        <f t="shared" si="3"/>
        <v>0</v>
      </c>
      <c r="H26" s="48"/>
      <c r="I26" s="1109">
        <f t="shared" si="1"/>
        <v>0</v>
      </c>
      <c r="J26" s="385">
        <f>IFERROR(VLOOKUP("TERMINALES"&amp;E26,CODIGOS_Y_COSTOS[[#All],[ID]:[Precio]],4,0)*(1-0.46),0)</f>
        <v>0</v>
      </c>
      <c r="L26" s="158">
        <v>24</v>
      </c>
      <c r="M26" s="158" t="s">
        <v>4714</v>
      </c>
      <c r="N26" s="290">
        <v>231.62958</v>
      </c>
      <c r="O26" s="289">
        <v>2174</v>
      </c>
      <c r="P26" t="s">
        <v>18108</v>
      </c>
      <c r="Q26" s="196">
        <f>+_xlfn.XLOOKUP("TERMINALES"&amp;Tabla18[[#This Row],[Nº]],CODIGOS_Y_COSTOS[ID],CODIGOS_Y_COSTOS[COSTO],0,0)</f>
        <v>1047.6120000000001</v>
      </c>
      <c r="R26">
        <v>1</v>
      </c>
    </row>
    <row r="27" spans="1:18" ht="13.5" thickBot="1" x14ac:dyDescent="0.25">
      <c r="A27" s="7" t="str">
        <f>+VLOOKUP(E27,Tabla18[],4,0)</f>
        <v>-</v>
      </c>
      <c r="B27" s="394" t="str">
        <f>+VLOOKUP(E27,Tabla18[],5,0)</f>
        <v>-</v>
      </c>
      <c r="C27" s="15">
        <f t="shared" si="2"/>
        <v>0</v>
      </c>
      <c r="E27" s="615" t="s">
        <v>4463</v>
      </c>
      <c r="F27" s="613">
        <f>IFERROR(VLOOKUP(E27,Tabla18[],6,0),0)</f>
        <v>0</v>
      </c>
      <c r="G27" s="48">
        <f t="shared" si="3"/>
        <v>0</v>
      </c>
      <c r="H27" s="48"/>
      <c r="I27" s="1109">
        <f t="shared" si="1"/>
        <v>0</v>
      </c>
      <c r="J27" s="385">
        <f>IFERROR(VLOOKUP("TERMINALES"&amp;E27,CODIGOS_Y_COSTOS[[#All],[ID]:[Precio]],4,0)*(1-0.46),0)</f>
        <v>0</v>
      </c>
      <c r="L27" s="158">
        <v>25</v>
      </c>
      <c r="M27" s="158" t="s">
        <v>4716</v>
      </c>
      <c r="N27" s="290">
        <v>311.61234000000002</v>
      </c>
      <c r="O27" s="289">
        <v>2175</v>
      </c>
      <c r="P27" t="s">
        <v>18109</v>
      </c>
      <c r="Q27" s="196">
        <f>+_xlfn.XLOOKUP("TERMINALES"&amp;Tabla18[[#This Row],[Nº]],CODIGOS_Y_COSTOS[ID],CODIGOS_Y_COSTOS[COSTO],0,0)</f>
        <v>1413.72</v>
      </c>
      <c r="R27">
        <v>1</v>
      </c>
    </row>
    <row r="28" spans="1:18" x14ac:dyDescent="0.2">
      <c r="E28"/>
      <c r="L28" s="158">
        <v>80</v>
      </c>
      <c r="M28" s="158" t="s">
        <v>4722</v>
      </c>
      <c r="N28" s="290">
        <v>10.765784249999998</v>
      </c>
      <c r="O28" s="289">
        <v>3001</v>
      </c>
      <c r="P28" t="s">
        <v>18110</v>
      </c>
      <c r="Q28" s="196">
        <f>+_xlfn.XLOOKUP("TERMINALES"&amp;Tabla18[[#This Row],[Nº]],CODIGOS_Y_COSTOS[ID],CODIGOS_Y_COSTOS[COSTO],0,0)</f>
        <v>65.927999999999997</v>
      </c>
      <c r="R28">
        <v>200</v>
      </c>
    </row>
    <row r="29" spans="1:18" x14ac:dyDescent="0.2">
      <c r="E29"/>
      <c r="L29" s="158">
        <v>81</v>
      </c>
      <c r="M29" s="158" t="s">
        <v>4724</v>
      </c>
      <c r="N29" s="290">
        <v>11.034986625</v>
      </c>
      <c r="O29" s="289">
        <v>3002</v>
      </c>
      <c r="P29" t="s">
        <v>18111</v>
      </c>
      <c r="Q29" s="196">
        <f>+_xlfn.XLOOKUP("TERMINALES"&amp;Tabla18[[#This Row],[Nº]],CODIGOS_Y_COSTOS[ID],CODIGOS_Y_COSTOS[COSTO],0,0)</f>
        <v>66.975999999999999</v>
      </c>
      <c r="R29">
        <v>200</v>
      </c>
    </row>
    <row r="30" spans="1:18" x14ac:dyDescent="0.2">
      <c r="G30">
        <v>2</v>
      </c>
      <c r="L30" s="158">
        <v>82</v>
      </c>
      <c r="M30" s="158" t="s">
        <v>4726</v>
      </c>
      <c r="N30" s="290">
        <v>17.225485874999997</v>
      </c>
      <c r="O30" s="289">
        <v>3003</v>
      </c>
      <c r="P30" t="s">
        <v>18112</v>
      </c>
      <c r="Q30" s="196">
        <f>+_xlfn.XLOOKUP("TERMINALES"&amp;Tabla18[[#This Row],[Nº]],CODIGOS_Y_COSTOS[ID],CODIGOS_Y_COSTOS[COSTO],0,0)</f>
        <v>104.648</v>
      </c>
      <c r="R30">
        <v>200</v>
      </c>
    </row>
    <row r="31" spans="1:18" x14ac:dyDescent="0.2">
      <c r="G31">
        <v>5</v>
      </c>
      <c r="L31" s="158">
        <v>83</v>
      </c>
      <c r="M31" s="158" t="s">
        <v>4726</v>
      </c>
      <c r="N31" s="290">
        <v>14.264837437500001</v>
      </c>
      <c r="O31" s="289">
        <v>3004</v>
      </c>
      <c r="P31" t="s">
        <v>18113</v>
      </c>
      <c r="Q31" s="196">
        <f>+_xlfn.XLOOKUP("TERMINALES"&amp;Tabla18[[#This Row],[Nº]],CODIGOS_Y_COSTOS[ID],CODIGOS_Y_COSTOS[COSTO],0,0)</f>
        <v>87.287999999999997</v>
      </c>
      <c r="R31">
        <v>200</v>
      </c>
    </row>
    <row r="32" spans="1:18" x14ac:dyDescent="0.2">
      <c r="G32">
        <v>6</v>
      </c>
      <c r="L32" s="158">
        <v>84</v>
      </c>
      <c r="M32" s="158" t="s">
        <v>4729</v>
      </c>
      <c r="N32" s="290">
        <v>16.821682312500002</v>
      </c>
      <c r="O32" s="289">
        <v>3005</v>
      </c>
      <c r="P32" t="s">
        <v>18114</v>
      </c>
      <c r="Q32" s="196">
        <f>+_xlfn.XLOOKUP("TERMINALES"&amp;Tabla18[[#This Row],[Nº]],CODIGOS_Y_COSTOS[ID],CODIGOS_Y_COSTOS[COSTO],0,0)</f>
        <v>102.93600000000001</v>
      </c>
      <c r="R32">
        <v>100</v>
      </c>
    </row>
    <row r="33" spans="1:18" x14ac:dyDescent="0.2">
      <c r="G33">
        <v>8</v>
      </c>
      <c r="L33" s="158">
        <v>85</v>
      </c>
      <c r="M33" s="158" t="s">
        <v>4731</v>
      </c>
      <c r="N33" s="290">
        <v>9.4197723750000009</v>
      </c>
      <c r="O33" s="289">
        <v>3006</v>
      </c>
      <c r="P33" t="s">
        <v>18115</v>
      </c>
      <c r="Q33" s="196">
        <f>+_xlfn.XLOOKUP("TERMINALES"&amp;Tabla18[[#This Row],[Nº]],CODIGOS_Y_COSTOS[ID],CODIGOS_Y_COSTOS[COSTO],0,0)</f>
        <v>59.316000000000003</v>
      </c>
      <c r="R33">
        <v>200</v>
      </c>
    </row>
    <row r="34" spans="1:18" ht="13.5" thickBot="1" x14ac:dyDescent="0.25">
      <c r="G34">
        <v>11</v>
      </c>
      <c r="L34" s="158">
        <v>86</v>
      </c>
      <c r="M34" s="158" t="s">
        <v>4733</v>
      </c>
      <c r="N34" s="290">
        <v>9.6895524374999979</v>
      </c>
      <c r="O34" s="289">
        <v>3007</v>
      </c>
      <c r="P34" t="s">
        <v>18116</v>
      </c>
      <c r="Q34" s="196">
        <f>+_xlfn.XLOOKUP("TERMINALES"&amp;Tabla18[[#This Row],[Nº]],CODIGOS_Y_COSTOS[ID],CODIGOS_Y_COSTOS[COSTO],0,0)</f>
        <v>60.887999999999998</v>
      </c>
      <c r="R34">
        <v>200</v>
      </c>
    </row>
    <row r="35" spans="1:18" ht="13.5" thickBot="1" x14ac:dyDescent="0.25">
      <c r="A35" s="1527" t="s">
        <v>18117</v>
      </c>
      <c r="B35" s="1528"/>
      <c r="C35" s="1">
        <f>1000*290</f>
        <v>290000</v>
      </c>
      <c r="G35">
        <v>22</v>
      </c>
      <c r="L35" s="158">
        <v>87</v>
      </c>
      <c r="M35" s="158" t="s">
        <v>4735</v>
      </c>
      <c r="N35" s="290">
        <v>11.034986625</v>
      </c>
      <c r="O35" s="289">
        <v>3008</v>
      </c>
      <c r="P35" t="s">
        <v>18118</v>
      </c>
      <c r="Q35" s="196">
        <f>+_xlfn.XLOOKUP("TERMINALES"&amp;Tabla18[[#This Row],[Nº]],CODIGOS_Y_COSTOS[ID],CODIGOS_Y_COSTOS[COSTO],0,0)</f>
        <v>66.212000000000003</v>
      </c>
      <c r="R35">
        <v>200</v>
      </c>
    </row>
    <row r="36" spans="1:18" ht="15.75" thickBot="1" x14ac:dyDescent="0.25">
      <c r="A36" s="392" t="s">
        <v>8799</v>
      </c>
      <c r="B36" s="393" t="s">
        <v>8753</v>
      </c>
      <c r="L36" s="158">
        <v>88</v>
      </c>
      <c r="M36" s="158" t="s">
        <v>4737</v>
      </c>
      <c r="N36" s="290">
        <v>9.4197723750000009</v>
      </c>
      <c r="O36" s="289">
        <v>3012</v>
      </c>
      <c r="P36" t="s">
        <v>18119</v>
      </c>
      <c r="Q36" s="196">
        <f>+_xlfn.XLOOKUP("TERMINALES"&amp;Tabla18[[#This Row],[Nº]],CODIGOS_Y_COSTOS[ID],CODIGOS_Y_COSTOS[COSTO],0,0)</f>
        <v>57.176000000000002</v>
      </c>
      <c r="R36">
        <v>200</v>
      </c>
    </row>
    <row r="37" spans="1:18" x14ac:dyDescent="0.2">
      <c r="A37" s="199">
        <v>1</v>
      </c>
      <c r="B37" s="10">
        <v>20</v>
      </c>
      <c r="E37" s="13">
        <f>IFERROR(VLOOKUP(A37,$E$3:$E$16,1,0),0)</f>
        <v>0</v>
      </c>
      <c r="L37" s="158">
        <v>89</v>
      </c>
      <c r="M37" s="158" t="s">
        <v>4739</v>
      </c>
      <c r="N37" s="290">
        <v>12.111218437499998</v>
      </c>
      <c r="O37" s="289">
        <v>3014</v>
      </c>
      <c r="P37" t="s">
        <v>18120</v>
      </c>
      <c r="Q37" s="196">
        <f>+_xlfn.XLOOKUP("TERMINALES"&amp;Tabla18[[#This Row],[Nº]],CODIGOS_Y_COSTOS[ID],CODIGOS_Y_COSTOS[COSTO],0,0)</f>
        <v>75.251999999999995</v>
      </c>
      <c r="R37">
        <v>200</v>
      </c>
    </row>
    <row r="38" spans="1:18" x14ac:dyDescent="0.2">
      <c r="A38" s="101">
        <v>2</v>
      </c>
      <c r="B38" s="11">
        <v>30</v>
      </c>
      <c r="E38" s="13">
        <f t="shared" ref="E38:E50" si="4">IFERROR(VLOOKUP(A38,$E$3:$E$16,1,0),0)</f>
        <v>0</v>
      </c>
      <c r="L38" s="158">
        <v>90</v>
      </c>
      <c r="M38" s="158" t="s">
        <v>4741</v>
      </c>
      <c r="N38" s="290">
        <v>20.186134312499995</v>
      </c>
      <c r="O38" s="289">
        <v>3015</v>
      </c>
      <c r="P38" t="s">
        <v>18121</v>
      </c>
      <c r="Q38" s="196">
        <f>+_xlfn.XLOOKUP("TERMINALES"&amp;Tabla18[[#This Row],[Nº]],CODIGOS_Y_COSTOS[ID],CODIGOS_Y_COSTOS[COSTO],0,0)</f>
        <v>120.34399999999999</v>
      </c>
      <c r="R38">
        <v>100</v>
      </c>
    </row>
    <row r="39" spans="1:18" x14ac:dyDescent="0.2">
      <c r="A39" s="101">
        <v>3</v>
      </c>
      <c r="B39" s="11">
        <v>30</v>
      </c>
      <c r="E39" s="13">
        <f t="shared" si="4"/>
        <v>0</v>
      </c>
      <c r="L39" s="288">
        <v>91</v>
      </c>
      <c r="M39" s="288" t="s">
        <v>4743</v>
      </c>
      <c r="N39" s="294">
        <v>8.6531810624999981</v>
      </c>
      <c r="O39" s="295">
        <v>3016</v>
      </c>
      <c r="P39" t="s">
        <v>18122</v>
      </c>
      <c r="Q39" s="196">
        <f>+_xlfn.XLOOKUP("TERMINALES"&amp;Tabla18[[#This Row],[Nº]],CODIGOS_Y_COSTOS[ID],CODIGOS_Y_COSTOS[COSTO],0,0)</f>
        <v>52.372</v>
      </c>
      <c r="R39">
        <v>200</v>
      </c>
    </row>
    <row r="40" spans="1:18" x14ac:dyDescent="0.2">
      <c r="A40" s="101">
        <v>4</v>
      </c>
      <c r="B40" s="11">
        <v>20</v>
      </c>
      <c r="E40" s="13">
        <f t="shared" si="4"/>
        <v>0</v>
      </c>
      <c r="L40" s="288" t="s">
        <v>4463</v>
      </c>
      <c r="M40" s="288" t="s">
        <v>4463</v>
      </c>
      <c r="N40" s="294">
        <v>0</v>
      </c>
      <c r="O40" s="295" t="s">
        <v>4463</v>
      </c>
      <c r="P40" t="s">
        <v>4463</v>
      </c>
      <c r="Q40">
        <v>0</v>
      </c>
      <c r="R40" t="e">
        <v>#N/A</v>
      </c>
    </row>
    <row r="41" spans="1:18" x14ac:dyDescent="0.2">
      <c r="A41" s="101">
        <v>5</v>
      </c>
      <c r="B41" s="11">
        <v>70</v>
      </c>
      <c r="E41" s="13">
        <f t="shared" si="4"/>
        <v>0</v>
      </c>
      <c r="L41" s="288"/>
      <c r="M41" s="288"/>
      <c r="N41" s="294"/>
      <c r="O41" s="295"/>
      <c r="R41" t="e">
        <v>#N/A</v>
      </c>
    </row>
    <row r="42" spans="1:18" x14ac:dyDescent="0.2">
      <c r="A42" s="101">
        <v>6</v>
      </c>
      <c r="B42" s="11">
        <v>80</v>
      </c>
      <c r="E42" s="13">
        <f t="shared" si="4"/>
        <v>0</v>
      </c>
    </row>
    <row r="43" spans="1:18" x14ac:dyDescent="0.2">
      <c r="A43" s="101">
        <v>7</v>
      </c>
      <c r="B43" s="11">
        <v>20</v>
      </c>
      <c r="E43" s="13">
        <f t="shared" si="4"/>
        <v>0</v>
      </c>
    </row>
    <row r="44" spans="1:18" x14ac:dyDescent="0.2">
      <c r="A44" s="101">
        <v>8</v>
      </c>
      <c r="B44" s="11">
        <v>30</v>
      </c>
      <c r="E44" s="13">
        <f t="shared" si="4"/>
        <v>0</v>
      </c>
    </row>
    <row r="45" spans="1:18" x14ac:dyDescent="0.2">
      <c r="A45" s="101">
        <v>9</v>
      </c>
      <c r="B45" s="11">
        <v>20</v>
      </c>
      <c r="E45" s="13">
        <f t="shared" si="4"/>
        <v>0</v>
      </c>
    </row>
    <row r="46" spans="1:18" x14ac:dyDescent="0.2">
      <c r="A46" s="101">
        <v>10</v>
      </c>
      <c r="B46" s="11">
        <v>55</v>
      </c>
      <c r="E46" s="13">
        <f t="shared" si="4"/>
        <v>0</v>
      </c>
    </row>
    <row r="47" spans="1:18" x14ac:dyDescent="0.2">
      <c r="A47" s="101">
        <v>11</v>
      </c>
      <c r="B47" s="11">
        <v>20</v>
      </c>
      <c r="E47" s="13">
        <f t="shared" si="4"/>
        <v>0</v>
      </c>
    </row>
    <row r="48" spans="1:18" x14ac:dyDescent="0.2">
      <c r="A48" s="101">
        <v>12</v>
      </c>
      <c r="B48" s="11">
        <v>50</v>
      </c>
      <c r="E48" s="13">
        <f t="shared" si="4"/>
        <v>12</v>
      </c>
    </row>
    <row r="49" spans="1:13" ht="18" x14ac:dyDescent="0.2">
      <c r="A49" s="101">
        <v>13</v>
      </c>
      <c r="B49" s="11">
        <v>30</v>
      </c>
      <c r="E49" s="13">
        <f t="shared" si="4"/>
        <v>0</v>
      </c>
      <c r="M49" s="296" t="s">
        <v>18123</v>
      </c>
    </row>
    <row r="50" spans="1:13" ht="15" thickBot="1" x14ac:dyDescent="0.25">
      <c r="A50" s="200">
        <v>16</v>
      </c>
      <c r="B50" s="12">
        <v>10</v>
      </c>
      <c r="E50" s="13">
        <f t="shared" si="4"/>
        <v>16</v>
      </c>
      <c r="M50" s="1424" t="s">
        <v>18124</v>
      </c>
    </row>
    <row r="51" spans="1:13" ht="14.25" x14ac:dyDescent="0.2">
      <c r="M51" s="1424" t="s">
        <v>18125</v>
      </c>
    </row>
    <row r="52" spans="1:13" ht="14.25" x14ac:dyDescent="0.2">
      <c r="M52" s="1424" t="s">
        <v>18126</v>
      </c>
    </row>
    <row r="53" spans="1:13" x14ac:dyDescent="0.2">
      <c r="M53" s="297"/>
    </row>
    <row r="54" spans="1:13" ht="14.25" x14ac:dyDescent="0.2">
      <c r="M54" s="1424" t="s">
        <v>18127</v>
      </c>
    </row>
    <row r="55" spans="1:13" x14ac:dyDescent="0.2">
      <c r="M55" s="298" t="s">
        <v>18128</v>
      </c>
    </row>
    <row r="58" spans="1:13" x14ac:dyDescent="0.2">
      <c r="M58" t="s">
        <v>18129</v>
      </c>
    </row>
    <row r="59" spans="1:13" x14ac:dyDescent="0.2">
      <c r="M59" s="169" t="s">
        <v>18130</v>
      </c>
    </row>
    <row r="60" spans="1:13" x14ac:dyDescent="0.2">
      <c r="M60" t="s">
        <v>18131</v>
      </c>
    </row>
  </sheetData>
  <mergeCells count="2">
    <mergeCell ref="A35:B35"/>
    <mergeCell ref="A1:C1"/>
  </mergeCells>
  <phoneticPr fontId="11" type="noConversion"/>
  <hyperlinks>
    <hyperlink ref="M55" r:id="rId1" display="mailto:info@lct.com.ar" xr:uid="{4CAA371E-2E5B-4BA4-BB30-255018FF81A9}"/>
  </hyperlinks>
  <pageMargins left="0.7" right="0.7" top="0.75" bottom="0.75" header="0.3" footer="0.3"/>
  <pageSetup paperSize="9" orientation="portrait" r:id="rId2"/>
  <ignoredErrors>
    <ignoredError sqref="M59" numberStoredAsText="1"/>
  </ignoredErrors>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F8B2-77D4-43BB-8EA5-35BCC8282C55}">
  <sheetPr codeName="Hoja17"/>
  <dimension ref="A1:Q30"/>
  <sheetViews>
    <sheetView zoomScale="200" zoomScaleNormal="200" workbookViewId="0">
      <pane ySplit="2" topLeftCell="A3" activePane="bottomLeft" state="frozen"/>
      <selection activeCell="C16" sqref="C16"/>
      <selection pane="bottomLeft" sqref="A1:B12"/>
    </sheetView>
  </sheetViews>
  <sheetFormatPr baseColWidth="10" defaultColWidth="11.42578125" defaultRowHeight="12.75" x14ac:dyDescent="0.2"/>
  <cols>
    <col min="3" max="3" width="11.42578125" customWidth="1"/>
    <col min="4" max="4" width="25.5703125" style="3" customWidth="1"/>
    <col min="5" max="5" width="11.140625" style="4" bestFit="1" customWidth="1"/>
    <col min="6" max="6" width="13" style="4" bestFit="1" customWidth="1"/>
    <col min="7" max="7" width="13.28515625" bestFit="1" customWidth="1"/>
    <col min="8" max="8" width="30.7109375" bestFit="1" customWidth="1"/>
    <col min="9" max="9" width="43.5703125" customWidth="1"/>
    <col min="10" max="10" width="8" style="13" bestFit="1" customWidth="1"/>
  </cols>
  <sheetData>
    <row r="1" spans="1:14" ht="13.5" thickBot="1" x14ac:dyDescent="0.25">
      <c r="A1" s="1502" t="s">
        <v>6817</v>
      </c>
      <c r="B1" s="1503"/>
      <c r="D1" s="437"/>
      <c r="F1" s="397">
        <f>+SUM(F3:F15)</f>
        <v>582586.94999999995</v>
      </c>
      <c r="H1" t="s">
        <v>6817</v>
      </c>
      <c r="L1" t="s">
        <v>8350</v>
      </c>
      <c r="M1" s="395">
        <v>44886</v>
      </c>
    </row>
    <row r="2" spans="1:14" x14ac:dyDescent="0.2">
      <c r="A2" s="41" t="s">
        <v>8751</v>
      </c>
      <c r="B2" s="600" t="s">
        <v>8322</v>
      </c>
      <c r="C2" s="597" t="s">
        <v>8799</v>
      </c>
      <c r="D2" s="32" t="s">
        <v>8977</v>
      </c>
      <c r="E2" s="30" t="s">
        <v>8754</v>
      </c>
      <c r="F2" s="30" t="s">
        <v>8162</v>
      </c>
      <c r="H2" s="31" t="s">
        <v>18132</v>
      </c>
      <c r="I2" s="31" t="s">
        <v>18133</v>
      </c>
      <c r="J2" s="32" t="s">
        <v>5</v>
      </c>
      <c r="K2" s="31" t="s">
        <v>18134</v>
      </c>
      <c r="L2" s="500" t="s">
        <v>6</v>
      </c>
      <c r="M2" s="62">
        <v>0.3</v>
      </c>
      <c r="N2" s="95"/>
    </row>
    <row r="3" spans="1:14" x14ac:dyDescent="0.2">
      <c r="A3" s="7">
        <f t="shared" ref="A3:A15" si="0">+VLOOKUP(D3,$H$3:$J$30,3,0)</f>
        <v>6004</v>
      </c>
      <c r="B3" s="867">
        <v>30</v>
      </c>
      <c r="C3" s="15">
        <v>4</v>
      </c>
      <c r="D3" s="3" t="str">
        <f>+VLOOKUP(C3&amp;"*",$H$1:$H$29,1,0)</f>
        <v>4 - 1/2  NF</v>
      </c>
      <c r="E3" s="396">
        <f>+VLOOKUP(D3,$H$1:$L$29,5,0)</f>
        <v>1566.075</v>
      </c>
      <c r="F3" s="396">
        <f t="shared" ref="F3:F14" si="1">+E3*B3</f>
        <v>46982.25</v>
      </c>
      <c r="G3" s="1">
        <f>F3+F4+F5+F6</f>
        <v>202136.69999999998</v>
      </c>
      <c r="H3" t="s">
        <v>6818</v>
      </c>
      <c r="I3" t="s">
        <v>6820</v>
      </c>
      <c r="J3" s="32">
        <f>+_xlfn.XLOOKUP($H$1&amp;H3,CODIGOS_Y_COSTOS[ID],CODIGOS_Y_COSTOS[CODIGO],0,0)</f>
        <v>6004</v>
      </c>
      <c r="K3" s="1">
        <f>+_xlfn.XLOOKUP($H$1&amp;H3,CODIGOS_Y_COSTOS[ID],CODIGOS_Y_COSTOS[Precio],0,0)</f>
        <v>4650.6189999999997</v>
      </c>
      <c r="L3" s="1">
        <f>+_xlfn.XLOOKUP($H$1&amp;H3,CODIGOS_Y_COSTOS[ID],CODIGOS_Y_COSTOS[COSTO],0,0)</f>
        <v>1566.075</v>
      </c>
    </row>
    <row r="4" spans="1:14" x14ac:dyDescent="0.2">
      <c r="A4" s="7" t="str">
        <f t="shared" si="0"/>
        <v>6007 P</v>
      </c>
      <c r="B4" s="867">
        <v>30</v>
      </c>
      <c r="C4" s="1155">
        <v>8</v>
      </c>
      <c r="D4" s="3" t="str">
        <f t="shared" ref="D4:D15" si="2">+VLOOKUP(C4&amp;"*",$H$1:$H$29,1,0)</f>
        <v>8 - 22 x 1,5 EMB EX 12mm</v>
      </c>
      <c r="E4" s="396">
        <f t="shared" ref="E4:E15" si="3">+VLOOKUP(D4,$H$1:$L$29,5,0)</f>
        <v>1605.41</v>
      </c>
      <c r="F4" s="396">
        <f t="shared" si="1"/>
        <v>48162.3</v>
      </c>
      <c r="G4" s="1"/>
      <c r="H4" t="s">
        <v>6822</v>
      </c>
      <c r="I4" t="s">
        <v>6823</v>
      </c>
      <c r="J4" s="32">
        <f>+_xlfn.XLOOKUP($H$1&amp;H4,CODIGOS_Y_COSTOS[ID],CODIGOS_Y_COSTOS[CODIGO],0,0)</f>
        <v>6006</v>
      </c>
      <c r="K4" s="1">
        <f>+_xlfn.XLOOKUP($H$1&amp;H4,CODIGOS_Y_COSTOS[ID],CODIGOS_Y_COSTOS[Precio],0,0)</f>
        <v>5714</v>
      </c>
      <c r="L4" s="1">
        <f>+_xlfn.XLOOKUP($H$1&amp;H4,CODIGOS_Y_COSTOS[ID],CODIGOS_Y_COSTOS[COSTO],0,0)</f>
        <v>1435.075</v>
      </c>
    </row>
    <row r="5" spans="1:14" x14ac:dyDescent="0.2">
      <c r="A5" s="7" t="str">
        <f t="shared" si="0"/>
        <v>6008 P</v>
      </c>
      <c r="B5" s="867">
        <v>30</v>
      </c>
      <c r="C5" s="13">
        <v>10</v>
      </c>
      <c r="D5" s="3" t="str">
        <f t="shared" si="2"/>
        <v>10 - 16 x 1.5 EMB CUAD 8mm</v>
      </c>
      <c r="E5" s="396">
        <f t="shared" si="3"/>
        <v>1594.95</v>
      </c>
      <c r="F5" s="396">
        <f t="shared" si="1"/>
        <v>47848.5</v>
      </c>
      <c r="G5" s="726">
        <v>6035</v>
      </c>
      <c r="H5" t="s">
        <v>6825</v>
      </c>
      <c r="I5" t="s">
        <v>6826</v>
      </c>
      <c r="J5" s="32">
        <f>+_xlfn.XLOOKUP($H$1&amp;H5,CODIGOS_Y_COSTOS[ID],CODIGOS_Y_COSTOS[CODIGO],0,0)</f>
        <v>6007</v>
      </c>
      <c r="K5" s="1">
        <f>+_xlfn.XLOOKUP($H$1&amp;H5,CODIGOS_Y_COSTOS[ID],CODIGOS_Y_COSTOS[Precio],0,0)</f>
        <v>8578.1429000000007</v>
      </c>
      <c r="L5" s="1">
        <f>+_xlfn.XLOOKUP($H$1&amp;H5,CODIGOS_Y_COSTOS[ID],CODIGOS_Y_COSTOS[COSTO],0,0)</f>
        <v>2206.3249999999998</v>
      </c>
    </row>
    <row r="6" spans="1:14" x14ac:dyDescent="0.2">
      <c r="A6" s="7">
        <f t="shared" si="0"/>
        <v>6012</v>
      </c>
      <c r="B6" s="867">
        <v>30</v>
      </c>
      <c r="C6" s="13">
        <v>12</v>
      </c>
      <c r="D6" s="3" t="str">
        <f t="shared" si="2"/>
        <v>12 - 18 x 1,5</v>
      </c>
      <c r="E6" s="396">
        <f t="shared" si="3"/>
        <v>1971.4549999999999</v>
      </c>
      <c r="F6" s="396">
        <f t="shared" si="1"/>
        <v>59143.649999999994</v>
      </c>
      <c r="G6" s="1"/>
      <c r="H6" t="s">
        <v>6828</v>
      </c>
      <c r="I6" t="s">
        <v>6830</v>
      </c>
      <c r="J6" s="32" t="str">
        <f>+_xlfn.XLOOKUP($H$1&amp;H6,CODIGOS_Y_COSTOS[ID],CODIGOS_Y_COSTOS[CODIGO],0,0)</f>
        <v>6007 P</v>
      </c>
      <c r="K6" s="1">
        <f>+_xlfn.XLOOKUP($H$1&amp;H6,CODIGOS_Y_COSTOS[ID],CODIGOS_Y_COSTOS[Precio],0,0)</f>
        <v>5649.3095000000003</v>
      </c>
      <c r="L6" s="1">
        <f>+_xlfn.XLOOKUP($H$1&amp;H6,CODIGOS_Y_COSTOS[ID],CODIGOS_Y_COSTOS[COSTO],0,0)</f>
        <v>1605.41</v>
      </c>
    </row>
    <row r="7" spans="1:14" x14ac:dyDescent="0.2">
      <c r="A7" s="7">
        <f t="shared" si="0"/>
        <v>6013</v>
      </c>
      <c r="B7" s="867">
        <v>30</v>
      </c>
      <c r="C7" s="1155">
        <v>13</v>
      </c>
      <c r="D7" s="3" t="str">
        <f t="shared" si="2"/>
        <v>13 - 16 x 1,5</v>
      </c>
      <c r="E7" s="396">
        <f t="shared" si="3"/>
        <v>2047.125</v>
      </c>
      <c r="F7" s="396">
        <f t="shared" si="1"/>
        <v>61413.75</v>
      </c>
      <c r="G7" s="1"/>
      <c r="H7" t="s">
        <v>6832</v>
      </c>
      <c r="I7" t="s">
        <v>6833</v>
      </c>
      <c r="J7" s="32">
        <f>+_xlfn.XLOOKUP($H$1&amp;H7,CODIGOS_Y_COSTOS[ID],CODIGOS_Y_COSTOS[CODIGO],0,0)</f>
        <v>6008</v>
      </c>
      <c r="K7" s="1">
        <f>+_xlfn.XLOOKUP($H$1&amp;H7,CODIGOS_Y_COSTOS[ID],CODIGOS_Y_COSTOS[Precio],0,0)</f>
        <v>5936.0713999999998</v>
      </c>
      <c r="L7" s="1">
        <f>+_xlfn.XLOOKUP($H$1&amp;H7,CODIGOS_Y_COSTOS[ID],CODIGOS_Y_COSTOS[COSTO],0,0)</f>
        <v>1526.575</v>
      </c>
    </row>
    <row r="8" spans="1:14" x14ac:dyDescent="0.2">
      <c r="A8" s="7" t="str">
        <f t="shared" si="0"/>
        <v>6014 P</v>
      </c>
      <c r="B8" s="867">
        <v>30</v>
      </c>
      <c r="C8" s="13">
        <v>15</v>
      </c>
      <c r="D8" s="3" t="str">
        <f t="shared" si="2"/>
        <v>15 - 14 x 1.5</v>
      </c>
      <c r="E8" s="396">
        <f t="shared" si="3"/>
        <v>1328.9849999999999</v>
      </c>
      <c r="F8" s="396">
        <f t="shared" si="1"/>
        <v>39869.549999999996</v>
      </c>
      <c r="G8" s="1"/>
      <c r="H8" t="s">
        <v>6835</v>
      </c>
      <c r="I8" t="s">
        <v>6837</v>
      </c>
      <c r="J8" s="32" t="str">
        <f>+_xlfn.XLOOKUP($H$1&amp;H8,CODIGOS_Y_COSTOS[ID],CODIGOS_Y_COSTOS[CODIGO],0,0)</f>
        <v>6008 P</v>
      </c>
      <c r="K8" s="1">
        <f>+_xlfn.XLOOKUP($H$1&amp;H8,CODIGOS_Y_COSTOS[ID],CODIGOS_Y_COSTOS[Precio],0,0)</f>
        <v>6201.8571000000002</v>
      </c>
      <c r="L8" s="1">
        <f>+_xlfn.XLOOKUP($H$1&amp;H8,CODIGOS_Y_COSTOS[ID],CODIGOS_Y_COSTOS[COSTO],0,0)</f>
        <v>1594.95</v>
      </c>
    </row>
    <row r="9" spans="1:14" x14ac:dyDescent="0.2">
      <c r="A9" s="7">
        <f t="shared" si="0"/>
        <v>6029</v>
      </c>
      <c r="B9" s="867">
        <v>30</v>
      </c>
      <c r="C9" s="13">
        <v>29</v>
      </c>
      <c r="D9" s="3" t="str">
        <f t="shared" si="2"/>
        <v>29 - 14 x 1,5</v>
      </c>
      <c r="E9" s="396">
        <f t="shared" si="3"/>
        <v>1668.45</v>
      </c>
      <c r="F9" s="396">
        <f t="shared" si="1"/>
        <v>50053.5</v>
      </c>
      <c r="G9" s="1"/>
      <c r="H9" t="s">
        <v>6839</v>
      </c>
      <c r="I9" t="s">
        <v>6840</v>
      </c>
      <c r="J9" s="32">
        <f>+_xlfn.XLOOKUP($H$1&amp;H9,CODIGOS_Y_COSTOS[ID],CODIGOS_Y_COSTOS[CODIGO],0,0)</f>
        <v>6010</v>
      </c>
      <c r="K9" s="1">
        <f>+_xlfn.XLOOKUP($H$1&amp;H9,CODIGOS_Y_COSTOS[ID],CODIGOS_Y_COSTOS[Precio],0,0)</f>
        <v>6330.1428999999998</v>
      </c>
      <c r="L9" s="1">
        <f>+_xlfn.XLOOKUP($H$1&amp;H9,CODIGOS_Y_COSTOS[ID],CODIGOS_Y_COSTOS[COSTO],0,0)</f>
        <v>1628.0250000000001</v>
      </c>
    </row>
    <row r="10" spans="1:14" x14ac:dyDescent="0.2">
      <c r="A10" s="7">
        <f t="shared" si="0"/>
        <v>6032</v>
      </c>
      <c r="B10" s="15">
        <v>30</v>
      </c>
      <c r="C10" s="13">
        <v>32</v>
      </c>
      <c r="D10" s="3" t="str">
        <f t="shared" si="2"/>
        <v>32 - 14 x 1,5 TORX c/ORING</v>
      </c>
      <c r="E10" s="396">
        <f t="shared" si="3"/>
        <v>3760.8150000000001</v>
      </c>
      <c r="F10" s="396">
        <f t="shared" si="1"/>
        <v>112824.45</v>
      </c>
      <c r="G10" s="1"/>
      <c r="H10" t="s">
        <v>6842</v>
      </c>
      <c r="I10" t="s">
        <v>6843</v>
      </c>
      <c r="J10" s="32">
        <f>+_xlfn.XLOOKUP($H$1&amp;H10,CODIGOS_Y_COSTOS[ID],CODIGOS_Y_COSTOS[CODIGO],0,0)</f>
        <v>6012</v>
      </c>
      <c r="K10" s="1">
        <f>+_xlfn.XLOOKUP($H$1&amp;H10,CODIGOS_Y_COSTOS[ID],CODIGOS_Y_COSTOS[Precio],0,0)</f>
        <v>7664.8810000000003</v>
      </c>
      <c r="L10" s="1">
        <f>+_xlfn.XLOOKUP($H$1&amp;H10,CODIGOS_Y_COSTOS[ID],CODIGOS_Y_COSTOS[COSTO],0,0)</f>
        <v>1971.4549999999999</v>
      </c>
    </row>
    <row r="11" spans="1:14" x14ac:dyDescent="0.2">
      <c r="A11" s="7">
        <f t="shared" si="0"/>
        <v>6035</v>
      </c>
      <c r="B11" s="15">
        <v>30</v>
      </c>
      <c r="C11" s="13">
        <v>35</v>
      </c>
      <c r="D11" s="3" t="str">
        <f t="shared" si="2"/>
        <v>35 - 18 x 1,5 EMB EX 10mm</v>
      </c>
      <c r="E11" s="396">
        <f t="shared" si="3"/>
        <v>1854.7249999999999</v>
      </c>
      <c r="F11" s="396">
        <f t="shared" si="1"/>
        <v>55641.75</v>
      </c>
      <c r="G11" s="1"/>
      <c r="H11" t="s">
        <v>6845</v>
      </c>
      <c r="I11" t="s">
        <v>6846</v>
      </c>
      <c r="J11" s="32">
        <f>+_xlfn.XLOOKUP($H$1&amp;H11,CODIGOS_Y_COSTOS[ID],CODIGOS_Y_COSTOS[CODIGO],0,0)</f>
        <v>6013</v>
      </c>
      <c r="K11" s="1">
        <f>+_xlfn.XLOOKUP($H$1&amp;H11,CODIGOS_Y_COSTOS[ID],CODIGOS_Y_COSTOS[Precio],0,0)</f>
        <v>7961.1189999999997</v>
      </c>
      <c r="L11" s="1">
        <f>+_xlfn.XLOOKUP($H$1&amp;H11,CODIGOS_Y_COSTOS[ID],CODIGOS_Y_COSTOS[COSTO],0,0)</f>
        <v>2047.125</v>
      </c>
    </row>
    <row r="12" spans="1:14" x14ac:dyDescent="0.2">
      <c r="A12" s="7">
        <f t="shared" si="0"/>
        <v>6041</v>
      </c>
      <c r="B12" s="15">
        <v>30</v>
      </c>
      <c r="C12" s="13">
        <v>41</v>
      </c>
      <c r="D12" s="3" t="str">
        <f t="shared" si="2"/>
        <v>41 - 12 x 1,25</v>
      </c>
      <c r="E12" s="396">
        <f t="shared" si="3"/>
        <v>2021.575</v>
      </c>
      <c r="F12" s="396">
        <f t="shared" si="1"/>
        <v>60647.25</v>
      </c>
      <c r="G12" s="1"/>
      <c r="H12" t="s">
        <v>6848</v>
      </c>
      <c r="I12" t="s">
        <v>6849</v>
      </c>
      <c r="J12" s="32">
        <f>+_xlfn.XLOOKUP($H$1&amp;H12,CODIGOS_Y_COSTOS[ID],CODIGOS_Y_COSTOS[CODIGO],0,0)</f>
        <v>6014</v>
      </c>
      <c r="K12" s="1">
        <f>+_xlfn.XLOOKUP($H$1&amp;H12,CODIGOS_Y_COSTOS[ID],CODIGOS_Y_COSTOS[Precio],0,0)</f>
        <v>5404.6428999999998</v>
      </c>
      <c r="L12" s="1">
        <f>+_xlfn.XLOOKUP($H$1&amp;H12,CODIGOS_Y_COSTOS[ID],CODIGOS_Y_COSTOS[COSTO],0,0)</f>
        <v>1402.51</v>
      </c>
    </row>
    <row r="13" spans="1:14" x14ac:dyDescent="0.2">
      <c r="A13" s="7" t="str">
        <f t="shared" si="0"/>
        <v>-</v>
      </c>
      <c r="B13" s="15"/>
      <c r="C13" s="13" t="s">
        <v>4463</v>
      </c>
      <c r="D13" s="3" t="str">
        <f t="shared" si="2"/>
        <v>-</v>
      </c>
      <c r="E13" s="396">
        <f t="shared" si="3"/>
        <v>0</v>
      </c>
      <c r="F13" s="396">
        <f t="shared" si="1"/>
        <v>0</v>
      </c>
      <c r="G13" s="1"/>
      <c r="H13" t="s">
        <v>6851</v>
      </c>
      <c r="I13" t="s">
        <v>6853</v>
      </c>
      <c r="J13" s="32" t="str">
        <f>+_xlfn.XLOOKUP($H$1&amp;H13,CODIGOS_Y_COSTOS[ID],CODIGOS_Y_COSTOS[CODIGO],0,0)</f>
        <v>6014 P</v>
      </c>
      <c r="K13" s="1">
        <f>+_xlfn.XLOOKUP($H$1&amp;H13,CODIGOS_Y_COSTOS[ID],CODIGOS_Y_COSTOS[Precio],0,0)</f>
        <v>4867.9762000000001</v>
      </c>
      <c r="L13" s="1">
        <f>+_xlfn.XLOOKUP($H$1&amp;H13,CODIGOS_Y_COSTOS[ID],CODIGOS_Y_COSTOS[COSTO],0,0)</f>
        <v>1328.9849999999999</v>
      </c>
    </row>
    <row r="14" spans="1:14" x14ac:dyDescent="0.2">
      <c r="A14" s="7" t="str">
        <f t="shared" si="0"/>
        <v>-</v>
      </c>
      <c r="B14" s="15"/>
      <c r="C14" s="13" t="s">
        <v>4463</v>
      </c>
      <c r="D14" s="3" t="str">
        <f t="shared" si="2"/>
        <v>-</v>
      </c>
      <c r="E14" s="396">
        <f t="shared" si="3"/>
        <v>0</v>
      </c>
      <c r="F14" s="396">
        <f t="shared" si="1"/>
        <v>0</v>
      </c>
      <c r="G14" s="1"/>
      <c r="H14" t="s">
        <v>6855</v>
      </c>
      <c r="I14" t="s">
        <v>6856</v>
      </c>
      <c r="J14" s="32">
        <f>+_xlfn.XLOOKUP($H$1&amp;H14,CODIGOS_Y_COSTOS[ID],CODIGOS_Y_COSTOS[CODIGO],0,0)</f>
        <v>6017</v>
      </c>
      <c r="K14" s="1">
        <f>+_xlfn.XLOOKUP($H$1&amp;H14,CODIGOS_Y_COSTOS[ID],CODIGOS_Y_COSTOS[Precio],0,0)</f>
        <v>12393.642900000001</v>
      </c>
      <c r="L14" s="1">
        <f>+_xlfn.XLOOKUP($H$1&amp;H14,CODIGOS_Y_COSTOS[ID],CODIGOS_Y_COSTOS[COSTO],0,0)</f>
        <v>3187.4349999999999</v>
      </c>
    </row>
    <row r="15" spans="1:14" ht="13.5" thickBot="1" x14ac:dyDescent="0.25">
      <c r="A15" s="8" t="str">
        <f t="shared" si="0"/>
        <v>-</v>
      </c>
      <c r="B15" s="16"/>
      <c r="C15" s="4" t="s">
        <v>4463</v>
      </c>
      <c r="D15" s="3" t="str">
        <f t="shared" si="2"/>
        <v>-</v>
      </c>
      <c r="E15" s="396">
        <f t="shared" si="3"/>
        <v>0</v>
      </c>
      <c r="F15" s="396">
        <f>+E15*B15</f>
        <v>0</v>
      </c>
      <c r="H15" t="s">
        <v>6858</v>
      </c>
      <c r="I15" t="s">
        <v>6860</v>
      </c>
      <c r="J15" s="32" t="str">
        <f>+_xlfn.XLOOKUP($H$1&amp;H15,CODIGOS_Y_COSTOS[ID],CODIGOS_Y_COSTOS[CODIGO],0,0)</f>
        <v>6028 P</v>
      </c>
      <c r="K15" s="1">
        <f>+_xlfn.XLOOKUP($H$1&amp;H15,CODIGOS_Y_COSTOS[ID],CODIGOS_Y_COSTOS[Precio],0,0)</f>
        <v>5957</v>
      </c>
      <c r="L15" s="1">
        <f>+_xlfn.XLOOKUP($H$1&amp;H15,CODIGOS_Y_COSTOS[ID],CODIGOS_Y_COSTOS[COSTO],0,0)</f>
        <v>1574.125</v>
      </c>
    </row>
    <row r="16" spans="1:14" x14ac:dyDescent="0.2">
      <c r="C16" s="13"/>
      <c r="H16" t="s">
        <v>6862</v>
      </c>
      <c r="I16" t="s">
        <v>6863</v>
      </c>
      <c r="J16" s="32">
        <f>+_xlfn.XLOOKUP($H$1&amp;H16,CODIGOS_Y_COSTOS[ID],CODIGOS_Y_COSTOS[CODIGO],0,0)</f>
        <v>6029</v>
      </c>
      <c r="K16" s="1">
        <f>+_xlfn.XLOOKUP($H$1&amp;H16,CODIGOS_Y_COSTOS[ID],CODIGOS_Y_COSTOS[Precio],0,0)</f>
        <v>6285.6428999999998</v>
      </c>
      <c r="L16" s="1">
        <f>+_xlfn.XLOOKUP($H$1&amp;H16,CODIGOS_Y_COSTOS[ID],CODIGOS_Y_COSTOS[COSTO],0,0)</f>
        <v>1668.45</v>
      </c>
    </row>
    <row r="17" spans="3:17" x14ac:dyDescent="0.2">
      <c r="C17" s="13"/>
      <c r="F17" s="396">
        <v>12798.099999999999</v>
      </c>
      <c r="H17" t="s">
        <v>6865</v>
      </c>
      <c r="I17" t="s">
        <v>6866</v>
      </c>
      <c r="J17" s="32">
        <f>+_xlfn.XLOOKUP($H$1&amp;H17,CODIGOS_Y_COSTOS[ID],CODIGOS_Y_COSTOS[CODIGO],0,0)</f>
        <v>6030</v>
      </c>
      <c r="K17" s="1">
        <f>+_xlfn.XLOOKUP($H$1&amp;H17,CODIGOS_Y_COSTOS[ID],CODIGOS_Y_COSTOS[Precio],0,0)</f>
        <v>6383.9286000000002</v>
      </c>
      <c r="L17" s="1">
        <f>+_xlfn.XLOOKUP($H$1&amp;H17,CODIGOS_Y_COSTOS[ID],CODIGOS_Y_COSTOS[COSTO],0,0)</f>
        <v>1701</v>
      </c>
    </row>
    <row r="18" spans="3:17" x14ac:dyDescent="0.2">
      <c r="C18" s="13"/>
      <c r="H18" t="s">
        <v>6868</v>
      </c>
      <c r="I18" t="s">
        <v>6869</v>
      </c>
      <c r="J18" s="32">
        <f>+_xlfn.XLOOKUP($H$1&amp;H18,CODIGOS_Y_COSTOS[ID],CODIGOS_Y_COSTOS[CODIGO],0,0)</f>
        <v>6031</v>
      </c>
      <c r="K18" s="1">
        <f>+_xlfn.XLOOKUP($H$1&amp;H18,CODIGOS_Y_COSTOS[ID],CODIGOS_Y_COSTOS[Precio],0,0)</f>
        <v>5508.4048000000003</v>
      </c>
      <c r="L18" s="1">
        <f>+_xlfn.XLOOKUP($H$1&amp;H18,CODIGOS_Y_COSTOS[ID],CODIGOS_Y_COSTOS[COSTO],0,0)</f>
        <v>1496.99</v>
      </c>
    </row>
    <row r="19" spans="3:17" x14ac:dyDescent="0.2">
      <c r="C19" s="13"/>
      <c r="D19" s="3" t="s">
        <v>21556</v>
      </c>
      <c r="H19" t="s">
        <v>6871</v>
      </c>
      <c r="I19" t="s">
        <v>6872</v>
      </c>
      <c r="J19" s="32">
        <f>+_xlfn.XLOOKUP($H$1&amp;H19,CODIGOS_Y_COSTOS[ID],CODIGOS_Y_COSTOS[CODIGO],0,0)</f>
        <v>6032</v>
      </c>
      <c r="K19" s="1">
        <f>+_xlfn.XLOOKUP($H$1&amp;H19,CODIGOS_Y_COSTOS[ID],CODIGOS_Y_COSTOS[Precio],0,0)</f>
        <v>14625.619000000001</v>
      </c>
      <c r="L19" s="1">
        <f>+_xlfn.XLOOKUP($H$1&amp;H19,CODIGOS_Y_COSTOS[ID],CODIGOS_Y_COSTOS[COSTO],0,0)</f>
        <v>3760.8150000000001</v>
      </c>
      <c r="O19" s="2"/>
      <c r="P19" s="2"/>
      <c r="Q19" s="2"/>
    </row>
    <row r="20" spans="3:17" x14ac:dyDescent="0.2">
      <c r="C20" s="13"/>
      <c r="D20" s="4" t="s">
        <v>21557</v>
      </c>
      <c r="H20" t="s">
        <v>6874</v>
      </c>
      <c r="I20" t="s">
        <v>6875</v>
      </c>
      <c r="J20" s="32">
        <f>+_xlfn.XLOOKUP($H$1&amp;H20,CODIGOS_Y_COSTOS[ID],CODIGOS_Y_COSTOS[CODIGO],0,0)</f>
        <v>6033</v>
      </c>
      <c r="K20" s="1">
        <f>+_xlfn.XLOOKUP($H$1&amp;H20,CODIGOS_Y_COSTOS[ID],CODIGOS_Y_COSTOS[Precio],0,0)</f>
        <v>6784.1666999999998</v>
      </c>
      <c r="L20" s="1">
        <f>+_xlfn.XLOOKUP($H$1&amp;H20,CODIGOS_Y_COSTOS[ID],CODIGOS_Y_COSTOS[COSTO],0,0)</f>
        <v>1791.05</v>
      </c>
    </row>
    <row r="21" spans="3:17" x14ac:dyDescent="0.2">
      <c r="C21" s="13"/>
      <c r="D21" s="4"/>
      <c r="H21" t="s">
        <v>6877</v>
      </c>
      <c r="I21" t="s">
        <v>6878</v>
      </c>
      <c r="J21" s="32">
        <f>+_xlfn.XLOOKUP($H$1&amp;H21,CODIGOS_Y_COSTOS[ID],CODIGOS_Y_COSTOS[CODIGO],0,0)</f>
        <v>6034</v>
      </c>
      <c r="K21" s="1">
        <f>+_xlfn.XLOOKUP($H$1&amp;H21,CODIGOS_Y_COSTOS[ID],CODIGOS_Y_COSTOS[Precio],0,0)</f>
        <v>6388.8571000000002</v>
      </c>
      <c r="L21" s="1">
        <f>+_xlfn.XLOOKUP($H$1&amp;H21,CODIGOS_Y_COSTOS[ID],CODIGOS_Y_COSTOS[COSTO],0,0)</f>
        <v>1728.03</v>
      </c>
    </row>
    <row r="22" spans="3:17" x14ac:dyDescent="0.2">
      <c r="C22" s="13"/>
      <c r="D22" s="4"/>
      <c r="H22" t="s">
        <v>6880</v>
      </c>
      <c r="I22" t="s">
        <v>6881</v>
      </c>
      <c r="J22" s="32">
        <f>+_xlfn.XLOOKUP($H$1&amp;H22,CODIGOS_Y_COSTOS[ID],CODIGOS_Y_COSTOS[CODIGO],0,0)</f>
        <v>6035</v>
      </c>
      <c r="K22" s="1">
        <f>+_xlfn.XLOOKUP($H$1&amp;H22,CODIGOS_Y_COSTOS[ID],CODIGOS_Y_COSTOS[Precio],0,0)</f>
        <v>7131.3333000000002</v>
      </c>
      <c r="L22" s="1">
        <f>+_xlfn.XLOOKUP($H$1&amp;H22,CODIGOS_Y_COSTOS[ID],CODIGOS_Y_COSTOS[COSTO],0,0)</f>
        <v>1854.7249999999999</v>
      </c>
    </row>
    <row r="23" spans="3:17" x14ac:dyDescent="0.2">
      <c r="C23" s="13"/>
      <c r="D23" s="4"/>
      <c r="H23" t="s">
        <v>6883</v>
      </c>
      <c r="I23" t="s">
        <v>6884</v>
      </c>
      <c r="J23" s="32">
        <f>+_xlfn.XLOOKUP($H$1&amp;H23,CODIGOS_Y_COSTOS[ID],CODIGOS_Y_COSTOS[CODIGO],0,0)</f>
        <v>6038</v>
      </c>
      <c r="K23" s="1">
        <f>+_xlfn.XLOOKUP($H$1&amp;H23,CODIGOS_Y_COSTOS[ID],CODIGOS_Y_COSTOS[Precio],0,0)</f>
        <v>6433.9762000000001</v>
      </c>
      <c r="L23" s="1">
        <f>+_xlfn.XLOOKUP($H$1&amp;H23,CODIGOS_Y_COSTOS[ID],CODIGOS_Y_COSTOS[COSTO],0,0)</f>
        <v>1726.095</v>
      </c>
    </row>
    <row r="24" spans="3:17" x14ac:dyDescent="0.2">
      <c r="C24" s="13"/>
      <c r="D24" s="4"/>
      <c r="H24" t="s">
        <v>6886</v>
      </c>
      <c r="I24" t="s">
        <v>6887</v>
      </c>
      <c r="J24" s="32">
        <f>+_xlfn.XLOOKUP($H$1&amp;H24,CODIGOS_Y_COSTOS[ID],CODIGOS_Y_COSTOS[CODIGO],0,0)</f>
        <v>6039</v>
      </c>
      <c r="K24" s="1">
        <f>+_xlfn.XLOOKUP($H$1&amp;H24,CODIGOS_Y_COSTOS[ID],CODIGOS_Y_COSTOS[Precio],0,0)</f>
        <v>11201.1667</v>
      </c>
      <c r="L24" s="1">
        <f>+_xlfn.XLOOKUP($H$1&amp;H24,CODIGOS_Y_COSTOS[ID],CODIGOS_Y_COSTOS[COSTO],0,0)</f>
        <v>2880.59</v>
      </c>
      <c r="O24" s="2"/>
      <c r="P24" s="2"/>
      <c r="Q24" s="2"/>
    </row>
    <row r="25" spans="3:17" x14ac:dyDescent="0.2">
      <c r="D25" s="4"/>
      <c r="H25" t="s">
        <v>6889</v>
      </c>
      <c r="I25" t="s">
        <v>6890</v>
      </c>
      <c r="J25" s="32">
        <f>+_xlfn.XLOOKUP($H$1&amp;H25,CODIGOS_Y_COSTOS[ID],CODIGOS_Y_COSTOS[CODIGO],0,0)</f>
        <v>6041</v>
      </c>
      <c r="K25" s="1">
        <f>+_xlfn.XLOOKUP($H$1&amp;H25,CODIGOS_Y_COSTOS[ID],CODIGOS_Y_COSTOS[Precio],0,0)</f>
        <v>7861.0713999999998</v>
      </c>
      <c r="L25" s="1">
        <f>+_xlfn.XLOOKUP($H$1&amp;H25,CODIGOS_Y_COSTOS[ID],CODIGOS_Y_COSTOS[COSTO],0,0)</f>
        <v>2021.575</v>
      </c>
    </row>
    <row r="26" spans="3:17" x14ac:dyDescent="0.2">
      <c r="D26" s="4"/>
      <c r="H26" t="s">
        <v>6892</v>
      </c>
      <c r="I26" t="s">
        <v>6893</v>
      </c>
      <c r="J26" s="32">
        <f>+_xlfn.XLOOKUP($H$1&amp;H26,CODIGOS_Y_COSTOS[ID],CODIGOS_Y_COSTOS[CODIGO],0,0)</f>
        <v>6042</v>
      </c>
      <c r="K26" s="1">
        <f>+_xlfn.XLOOKUP($H$1&amp;H26,CODIGOS_Y_COSTOS[ID],CODIGOS_Y_COSTOS[Precio],0,0)</f>
        <v>7861.0713999999998</v>
      </c>
      <c r="L26" s="1">
        <f>+_xlfn.XLOOKUP($H$1&amp;H26,CODIGOS_Y_COSTOS[ID],CODIGOS_Y_COSTOS[COSTO],0,0)</f>
        <v>2021.575</v>
      </c>
    </row>
    <row r="27" spans="3:17" x14ac:dyDescent="0.2">
      <c r="D27" s="4"/>
      <c r="H27" t="s">
        <v>6895</v>
      </c>
      <c r="I27" t="s">
        <v>6896</v>
      </c>
      <c r="J27" s="32">
        <f>+_xlfn.XLOOKUP($H$1&amp;H27,CODIGOS_Y_COSTOS[ID],CODIGOS_Y_COSTOS[CODIGO],0,0)</f>
        <v>6044</v>
      </c>
      <c r="K27" s="1">
        <f>+_xlfn.XLOOKUP($H$1&amp;H27,CODIGOS_Y_COSTOS[ID],CODIGOS_Y_COSTOS[Precio],0,0)</f>
        <v>5207.5713999999998</v>
      </c>
      <c r="L27" s="1">
        <f>+_xlfn.XLOOKUP($H$1&amp;H27,CODIGOS_Y_COSTOS[ID],CODIGOS_Y_COSTOS[COSTO],0,0)</f>
        <v>1449.325</v>
      </c>
    </row>
    <row r="28" spans="3:17" x14ac:dyDescent="0.2">
      <c r="D28" s="4"/>
      <c r="H28" t="s">
        <v>6898</v>
      </c>
      <c r="I28" t="s">
        <v>6899</v>
      </c>
      <c r="J28" s="32">
        <f>+_xlfn.XLOOKUP($H$1&amp;H28,CODIGOS_Y_COSTOS[ID],CODIGOS_Y_COSTOS[CODIGO],0,0)</f>
        <v>6049</v>
      </c>
      <c r="K28" s="1">
        <f>+_xlfn.XLOOKUP($H$1&amp;H28,CODIGOS_Y_COSTOS[ID],CODIGOS_Y_COSTOS[Precio],0,0)</f>
        <v>5149.78</v>
      </c>
      <c r="L28" s="1">
        <f>+_xlfn.XLOOKUP($H$1&amp;H28,CODIGOS_Y_COSTOS[ID],CODIGOS_Y_COSTOS[COSTO],0,0)</f>
        <v>1517</v>
      </c>
    </row>
    <row r="29" spans="3:17" x14ac:dyDescent="0.2">
      <c r="D29" s="4"/>
      <c r="H29" t="s">
        <v>4463</v>
      </c>
      <c r="I29" t="s">
        <v>4463</v>
      </c>
      <c r="J29" s="32" t="s">
        <v>4463</v>
      </c>
      <c r="K29" s="1">
        <f>+_xlfn.XLOOKUP($H$1&amp;H29,CODIGOS_Y_COSTOS[ID],CODIGOS_Y_COSTOS[Precio],0,0)</f>
        <v>0</v>
      </c>
      <c r="L29" s="1">
        <f>+_xlfn.XLOOKUP($H$1&amp;H29,CODIGOS_Y_COSTOS[ID],CODIGOS_Y_COSTOS[COSTO],0,0)</f>
        <v>0</v>
      </c>
    </row>
    <row r="30" spans="3:17" x14ac:dyDescent="0.2">
      <c r="D30" s="4"/>
    </row>
  </sheetData>
  <mergeCells count="1">
    <mergeCell ref="A1:B1"/>
  </mergeCells>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11F4E-A737-41AE-8762-20F24106696E}">
  <sheetPr codeName="Hoja20"/>
  <dimension ref="A1:BD91"/>
  <sheetViews>
    <sheetView zoomScale="85" zoomScaleNormal="85" zoomScaleSheetLayoutView="205" workbookViewId="0">
      <pane ySplit="2" topLeftCell="A3" activePane="bottomLeft" state="frozen"/>
      <selection activeCell="I12" sqref="I12"/>
      <selection pane="bottomLeft" activeCell="A3" sqref="A3"/>
    </sheetView>
  </sheetViews>
  <sheetFormatPr baseColWidth="10" defaultColWidth="11.42578125" defaultRowHeight="12.75" x14ac:dyDescent="0.2"/>
  <cols>
    <col min="1" max="1" width="43.42578125" customWidth="1"/>
    <col min="2" max="2" width="8.85546875" bestFit="1" customWidth="1"/>
    <col min="3" max="3" width="5.5703125" style="30" customWidth="1"/>
    <col min="4" max="4" width="1" customWidth="1"/>
    <col min="5" max="5" width="10" customWidth="1"/>
    <col min="6" max="6" width="14.5703125" customWidth="1"/>
    <col min="7" max="7" width="14.7109375" bestFit="1" customWidth="1"/>
    <col min="9" max="9" width="11.28515625" style="4"/>
    <col min="10" max="10" width="30" style="207" customWidth="1"/>
    <col min="11" max="11" width="11.28515625" style="1"/>
    <col min="12" max="12" width="33" customWidth="1"/>
    <col min="14" max="14" width="16" customWidth="1"/>
    <col min="19" max="19" width="45.28515625" customWidth="1"/>
    <col min="20" max="20" width="25.5703125" bestFit="1" customWidth="1"/>
    <col min="21" max="21" width="9" bestFit="1" customWidth="1"/>
    <col min="22" max="22" width="11" bestFit="1" customWidth="1"/>
    <col min="23" max="23" width="14" bestFit="1" customWidth="1"/>
    <col min="24" max="24" width="14.7109375" bestFit="1" customWidth="1"/>
    <col min="25" max="25" width="17" bestFit="1" customWidth="1"/>
    <col min="26" max="26" width="32.5703125" bestFit="1" customWidth="1"/>
    <col min="27" max="27" width="2.5703125" customWidth="1"/>
    <col min="28" max="28" width="17" customWidth="1"/>
    <col min="37" max="37" width="6" bestFit="1" customWidth="1"/>
    <col min="38" max="38" width="41" bestFit="1" customWidth="1"/>
    <col min="39" max="39" width="16.28515625" bestFit="1" customWidth="1"/>
    <col min="55" max="55" width="52.28515625" customWidth="1"/>
    <col min="57" max="57" width="47.5703125" bestFit="1" customWidth="1"/>
    <col min="58" max="59" width="12.140625" bestFit="1" customWidth="1"/>
  </cols>
  <sheetData>
    <row r="1" spans="1:39" s="81" customFormat="1" ht="30.75" thickBot="1" x14ac:dyDescent="0.4">
      <c r="A1" s="1532" t="s">
        <v>18135</v>
      </c>
      <c r="B1" s="1533"/>
      <c r="C1" s="217"/>
      <c r="E1" s="1099"/>
      <c r="F1" s="1103">
        <f>+SUM(F3:F38)</f>
        <v>309900</v>
      </c>
      <c r="G1" s="26"/>
      <c r="H1" s="26"/>
      <c r="I1" s="213" t="s">
        <v>8189</v>
      </c>
      <c r="J1" s="214" t="s">
        <v>8178</v>
      </c>
      <c r="K1" s="222" t="s">
        <v>8771</v>
      </c>
      <c r="L1" s="215" t="s">
        <v>18136</v>
      </c>
      <c r="M1" s="216" t="s">
        <v>3</v>
      </c>
      <c r="N1" s="210" t="s">
        <v>18137</v>
      </c>
      <c r="S1" s="103" t="s">
        <v>18138</v>
      </c>
      <c r="T1" s="104" t="s">
        <v>18139</v>
      </c>
      <c r="U1" s="104" t="s">
        <v>18140</v>
      </c>
      <c r="V1" s="104" t="s">
        <v>18141</v>
      </c>
      <c r="W1" s="104" t="s">
        <v>18142</v>
      </c>
      <c r="X1" s="104" t="s">
        <v>3</v>
      </c>
      <c r="Y1" s="105"/>
      <c r="Z1" s="104" t="s">
        <v>18143</v>
      </c>
      <c r="AA1" s="106"/>
      <c r="AB1" s="154" t="s">
        <v>4624</v>
      </c>
      <c r="AC1" s="106"/>
      <c r="AK1" s="160" t="s">
        <v>8799</v>
      </c>
      <c r="AL1" s="160" t="s">
        <v>8756</v>
      </c>
      <c r="AM1" s="160" t="s">
        <v>8771</v>
      </c>
    </row>
    <row r="2" spans="1:39" ht="24" thickBot="1" x14ac:dyDescent="0.4">
      <c r="A2" s="616" t="s">
        <v>18144</v>
      </c>
      <c r="B2" s="218" t="s">
        <v>8160</v>
      </c>
      <c r="C2" s="218" t="s">
        <v>8799</v>
      </c>
      <c r="E2" s="1100" t="s">
        <v>18145</v>
      </c>
      <c r="F2" s="1100" t="s">
        <v>8107</v>
      </c>
      <c r="G2" s="26"/>
      <c r="H2" s="26"/>
      <c r="I2" s="208">
        <v>2</v>
      </c>
      <c r="J2" s="414" t="s">
        <v>3178</v>
      </c>
      <c r="K2" s="64">
        <v>143.91350999999997</v>
      </c>
      <c r="L2" s="1267" t="str">
        <f>IFERROR(INDEX($S$1:$S$89,MATCH(I2,$AB$1:$AB$89,0),1),0)</f>
        <v>Tuerca Reten Doble - 1/4pulg</v>
      </c>
      <c r="M2" s="64">
        <f>+IFERROR(VLOOKUP(L2,$S$1:$Z$89,8,0),0)</f>
        <v>276</v>
      </c>
      <c r="N2" s="211">
        <f>+K2*0.55</f>
        <v>79.152430499999994</v>
      </c>
      <c r="S2" s="107" t="s">
        <v>18146</v>
      </c>
      <c r="T2" s="108"/>
      <c r="U2" s="108"/>
      <c r="V2" s="108"/>
      <c r="W2" s="108"/>
      <c r="X2" s="108" t="s">
        <v>8754</v>
      </c>
      <c r="Y2" s="109"/>
      <c r="Z2" s="108"/>
      <c r="AA2" s="106"/>
      <c r="AB2" s="155" t="s">
        <v>8799</v>
      </c>
      <c r="AC2" s="581"/>
      <c r="AK2" s="156">
        <v>2</v>
      </c>
      <c r="AL2" s="156" t="s">
        <v>3178</v>
      </c>
      <c r="AM2" s="157">
        <v>143.91350999999997</v>
      </c>
    </row>
    <row r="3" spans="1:39" s="9" customFormat="1" ht="24" thickBot="1" x14ac:dyDescent="0.4">
      <c r="A3" s="501" t="str">
        <f>+IFERROR(VLOOKUP(C3,$I$1:$M$38,4,0),"")</f>
        <v>Tuerca Reten Doble - 1/4pulg</v>
      </c>
      <c r="B3" s="881">
        <v>300</v>
      </c>
      <c r="C3" s="1425">
        <v>2</v>
      </c>
      <c r="E3" s="1101">
        <f>+IFERROR(VLOOKUP(C3,$I$1:$M$38,5,0)*1,0)</f>
        <v>276</v>
      </c>
      <c r="F3" s="1102">
        <f>+E3*B3</f>
        <v>82800</v>
      </c>
      <c r="G3" s="26"/>
      <c r="H3" s="26"/>
      <c r="I3" s="208">
        <v>3</v>
      </c>
      <c r="J3" s="415" t="s">
        <v>3181</v>
      </c>
      <c r="K3" s="76">
        <v>143.91350999999997</v>
      </c>
      <c r="L3" s="1267" t="str">
        <f t="shared" ref="L3:L38" si="0">IFERROR(INDEX($S$1:$S$89,MATCH(I3,$AB$1:$AB$89,0),1),0)</f>
        <v>Tuerca Reten Doble - 5/16pulg</v>
      </c>
      <c r="M3" s="64">
        <f t="shared" ref="M3:M38" si="1">+IFERROR(VLOOKUP(L3,$S$1:$Z$89,8,0),0)</f>
        <v>276</v>
      </c>
      <c r="N3" s="211">
        <f t="shared" ref="N3:N36" si="2">+K3*0.55</f>
        <v>79.152430499999994</v>
      </c>
      <c r="S3" s="205" t="str">
        <f t="shared" ref="S3:S14" si="3">+$S$1&amp;$S$2&amp;" - "&amp;T3</f>
        <v>Tuerca Reten para Tornillo Parker -  6 (simple)</v>
      </c>
      <c r="T3" s="111" t="s">
        <v>18147</v>
      </c>
      <c r="U3" s="111">
        <v>22</v>
      </c>
      <c r="V3" s="111">
        <v>11</v>
      </c>
      <c r="W3" s="111">
        <v>11</v>
      </c>
      <c r="X3" s="111"/>
      <c r="Y3" s="112"/>
      <c r="Z3" s="111">
        <f>IFERROR(VLOOKUP(S3,CODIGOS_Y_COSTOS[[CODIGO]:[COSTO]],2,0),0)</f>
        <v>0</v>
      </c>
      <c r="AA3" s="106"/>
      <c r="AB3" s="113"/>
      <c r="AC3" s="699"/>
      <c r="AK3" s="158">
        <v>3</v>
      </c>
      <c r="AL3" s="158" t="s">
        <v>3181</v>
      </c>
      <c r="AM3" s="159">
        <v>143.91350999999997</v>
      </c>
    </row>
    <row r="4" spans="1:39" ht="25.5" thickBot="1" x14ac:dyDescent="0.4">
      <c r="A4" s="46" t="str">
        <f t="shared" ref="A4:A12" si="4">+IFERROR(VLOOKUP(C4,$I$1:$M$38,4,0),"")</f>
        <v>Tuerca Reten Embutida - 5mm</v>
      </c>
      <c r="B4" s="882">
        <v>300</v>
      </c>
      <c r="C4" s="1425">
        <v>9</v>
      </c>
      <c r="E4" s="1101">
        <f t="shared" ref="E4:E12" si="5">+IFERROR(VLOOKUP(C4,$I$1:$M$38,5,0)*1,0)</f>
        <v>189</v>
      </c>
      <c r="F4" s="1102">
        <f>+E4*B4</f>
        <v>56700</v>
      </c>
      <c r="G4" s="26"/>
      <c r="H4" s="26"/>
      <c r="I4" s="208">
        <v>5</v>
      </c>
      <c r="J4" s="414" t="s">
        <v>3184</v>
      </c>
      <c r="K4" s="64">
        <v>143.91350999999997</v>
      </c>
      <c r="L4" s="1267" t="str">
        <f t="shared" si="0"/>
        <v>Tuerca Reten Doble - 6mm</v>
      </c>
      <c r="M4" s="64">
        <f t="shared" si="1"/>
        <v>276</v>
      </c>
      <c r="N4" s="211">
        <f t="shared" si="2"/>
        <v>79.152430499999994</v>
      </c>
      <c r="S4" s="205" t="str">
        <f t="shared" si="3"/>
        <v>Tuerca Reten para Tornillo Parker - 4</v>
      </c>
      <c r="T4" s="114">
        <v>4</v>
      </c>
      <c r="U4" s="114">
        <v>11</v>
      </c>
      <c r="V4" s="114">
        <v>8</v>
      </c>
      <c r="W4" s="114">
        <v>5.5</v>
      </c>
      <c r="X4" s="114"/>
      <c r="Y4" s="115"/>
      <c r="Z4" s="111">
        <f>IFERROR(VLOOKUP(S4,CODIGOS_Y_COSTOS[[CODIGO]:[COSTO]],2,0),0)</f>
        <v>117</v>
      </c>
      <c r="AA4" s="106"/>
      <c r="AB4" s="116">
        <v>14</v>
      </c>
      <c r="AC4" s="106">
        <v>106</v>
      </c>
      <c r="AK4" s="156">
        <v>5</v>
      </c>
      <c r="AL4" s="156" t="s">
        <v>3184</v>
      </c>
      <c r="AM4" s="157">
        <v>143.91350999999997</v>
      </c>
    </row>
    <row r="5" spans="1:39" ht="25.5" thickBot="1" x14ac:dyDescent="0.4">
      <c r="A5" s="46" t="str">
        <f t="shared" si="4"/>
        <v>Tuerca Reten Embutida - 6mm</v>
      </c>
      <c r="B5" s="882">
        <v>300</v>
      </c>
      <c r="C5" s="1425">
        <v>10</v>
      </c>
      <c r="E5" s="1101">
        <f t="shared" si="5"/>
        <v>189</v>
      </c>
      <c r="F5" s="1102">
        <f>+E5*B5</f>
        <v>56700</v>
      </c>
      <c r="G5" s="26"/>
      <c r="H5" s="26"/>
      <c r="I5" s="208">
        <v>6</v>
      </c>
      <c r="J5" s="414" t="s">
        <v>3187</v>
      </c>
      <c r="K5" s="64">
        <v>143.91350999999997</v>
      </c>
      <c r="L5" s="1267" t="str">
        <f t="shared" si="0"/>
        <v>Tuerca Reten Doble - 8mm</v>
      </c>
      <c r="M5" s="64">
        <f t="shared" si="1"/>
        <v>276</v>
      </c>
      <c r="N5" s="211">
        <f t="shared" si="2"/>
        <v>79.152430499999994</v>
      </c>
      <c r="S5" s="205" t="str">
        <f t="shared" si="3"/>
        <v>Tuerca Reten para Tornillo Parker - 6</v>
      </c>
      <c r="T5" s="114">
        <v>6</v>
      </c>
      <c r="U5" s="114">
        <v>17</v>
      </c>
      <c r="V5" s="114">
        <v>11</v>
      </c>
      <c r="W5" s="114">
        <v>8</v>
      </c>
      <c r="X5" s="114">
        <v>0.26</v>
      </c>
      <c r="Y5" s="115"/>
      <c r="Z5" s="111">
        <f>IFERROR(VLOOKUP(S5,CODIGOS_Y_COSTOS[[CODIGO]:[COSTO]],2,0),0)</f>
        <v>117</v>
      </c>
      <c r="AA5" s="106"/>
      <c r="AB5" s="116">
        <v>18</v>
      </c>
      <c r="AC5" s="106">
        <v>106</v>
      </c>
      <c r="AK5" s="158">
        <v>6</v>
      </c>
      <c r="AL5" s="158" t="s">
        <v>3187</v>
      </c>
      <c r="AM5" s="159">
        <v>143.91350999999997</v>
      </c>
    </row>
    <row r="6" spans="1:39" s="9" customFormat="1" ht="24" thickBot="1" x14ac:dyDescent="0.4">
      <c r="A6" s="46" t="str">
        <f t="shared" ref="A6:A10" si="6">+IFERROR(VLOOKUP(C6,$I$1:$M$38,4,0),"")</f>
        <v>Tuerca Reten para Tornillo Parker - #8 automotor</v>
      </c>
      <c r="B6" s="882">
        <v>300</v>
      </c>
      <c r="C6" s="1425">
        <v>17</v>
      </c>
      <c r="D6"/>
      <c r="E6" s="1101">
        <f t="shared" si="5"/>
        <v>131</v>
      </c>
      <c r="F6" s="1102">
        <f>+E6*B6</f>
        <v>39300</v>
      </c>
      <c r="G6" s="26"/>
      <c r="H6" s="26"/>
      <c r="I6" s="208">
        <v>7</v>
      </c>
      <c r="J6" s="221" t="s">
        <v>3190</v>
      </c>
      <c r="K6" s="76">
        <v>180.70064999999997</v>
      </c>
      <c r="L6" s="1267" t="str">
        <f t="shared" si="0"/>
        <v>Tuerca Reten Embutida - Larga M6mm</v>
      </c>
      <c r="M6" s="64">
        <f t="shared" si="1"/>
        <v>232</v>
      </c>
      <c r="N6" s="211">
        <f t="shared" si="2"/>
        <v>99.385357499999984</v>
      </c>
      <c r="S6" s="205" t="str">
        <f t="shared" si="3"/>
        <v>Tuerca Reten para Tornillo Parker - 7</v>
      </c>
      <c r="T6" s="114">
        <v>7</v>
      </c>
      <c r="U6" s="114">
        <v>15</v>
      </c>
      <c r="V6" s="114">
        <v>12</v>
      </c>
      <c r="W6" s="114">
        <v>8</v>
      </c>
      <c r="X6" s="114"/>
      <c r="Y6" s="115"/>
      <c r="Z6" s="111">
        <f>IFERROR(VLOOKUP(S6,CODIGOS_Y_COSTOS[[CODIGO]:[COSTO]],2,0),0)</f>
        <v>117</v>
      </c>
      <c r="AA6" s="106"/>
      <c r="AB6" s="116">
        <v>16</v>
      </c>
      <c r="AC6" s="106">
        <v>106</v>
      </c>
      <c r="AK6" s="156">
        <v>7</v>
      </c>
      <c r="AL6" s="156" t="s">
        <v>3190</v>
      </c>
      <c r="AM6" s="157">
        <v>180.70064999999997</v>
      </c>
    </row>
    <row r="7" spans="1:39" ht="24" thickBot="1" x14ac:dyDescent="0.4">
      <c r="A7" s="46" t="str">
        <f t="shared" si="6"/>
        <v>Tuerca Reten para Tornillo Parker - #10 automotor</v>
      </c>
      <c r="B7" s="882">
        <v>300</v>
      </c>
      <c r="C7" s="1425">
        <v>21</v>
      </c>
      <c r="E7" s="1101">
        <f t="shared" si="5"/>
        <v>131</v>
      </c>
      <c r="F7" s="1102">
        <f>+E7*B7</f>
        <v>39300</v>
      </c>
      <c r="G7" s="26"/>
      <c r="H7" s="26"/>
      <c r="I7" s="208">
        <v>8</v>
      </c>
      <c r="J7" s="220" t="s">
        <v>3193</v>
      </c>
      <c r="K7" s="64">
        <v>180.70064999999997</v>
      </c>
      <c r="L7" s="1267" t="str">
        <f t="shared" si="0"/>
        <v>Tuerca Reten Embutida - Larga ¼mm</v>
      </c>
      <c r="M7" s="64">
        <f t="shared" si="1"/>
        <v>232</v>
      </c>
      <c r="N7" s="211">
        <f t="shared" si="2"/>
        <v>99.385357499999984</v>
      </c>
      <c r="S7" s="205" t="str">
        <f t="shared" si="3"/>
        <v>Tuerca Reten para Tornillo Parker - 8</v>
      </c>
      <c r="T7" s="114">
        <v>8</v>
      </c>
      <c r="U7" s="114">
        <v>17</v>
      </c>
      <c r="V7" s="114">
        <v>11</v>
      </c>
      <c r="W7" s="114">
        <v>8</v>
      </c>
      <c r="X7" s="114">
        <v>0.26</v>
      </c>
      <c r="Y7" s="115"/>
      <c r="Z7" s="111">
        <f>IFERROR(VLOOKUP(S7,CODIGOS_Y_COSTOS[[CODIGO]:[COSTO]],2,0),0)</f>
        <v>117</v>
      </c>
      <c r="AA7" s="106"/>
      <c r="AB7" s="116">
        <v>22</v>
      </c>
      <c r="AC7" s="106">
        <v>106</v>
      </c>
      <c r="AK7" s="158">
        <v>8</v>
      </c>
      <c r="AL7" s="158" t="s">
        <v>3193</v>
      </c>
      <c r="AM7" s="159">
        <v>180.70064999999997</v>
      </c>
    </row>
    <row r="8" spans="1:39" ht="25.5" thickBot="1" x14ac:dyDescent="0.4">
      <c r="A8" s="46" t="str">
        <f t="shared" si="6"/>
        <v>Tuerca Reten para Tornillo Parker - 8</v>
      </c>
      <c r="B8" s="882">
        <v>300</v>
      </c>
      <c r="C8" s="1425">
        <v>22</v>
      </c>
      <c r="D8" s="9"/>
      <c r="E8" s="1101">
        <f t="shared" si="5"/>
        <v>117</v>
      </c>
      <c r="F8" s="1102">
        <f t="shared" ref="F8:F9" si="7">+E8*B8</f>
        <v>35100</v>
      </c>
      <c r="G8" s="26"/>
      <c r="H8" s="26"/>
      <c r="I8" s="208" t="s">
        <v>3195</v>
      </c>
      <c r="J8" s="414" t="s">
        <v>3197</v>
      </c>
      <c r="K8" s="64">
        <v>56.844449999999988</v>
      </c>
      <c r="L8" s="1267" t="str">
        <f t="shared" si="0"/>
        <v>Tuerca Reten Embutida - Moto 5mm</v>
      </c>
      <c r="M8" s="64">
        <f t="shared" si="1"/>
        <v>145</v>
      </c>
      <c r="N8" s="211">
        <f t="shared" si="2"/>
        <v>31.264447499999996</v>
      </c>
      <c r="S8" s="205" t="str">
        <f t="shared" si="3"/>
        <v>Tuerca Reten para Tornillo Parker - 10</v>
      </c>
      <c r="T8" s="117">
        <v>10</v>
      </c>
      <c r="U8" s="117">
        <v>15</v>
      </c>
      <c r="V8" s="117">
        <v>12</v>
      </c>
      <c r="W8" s="117">
        <v>8</v>
      </c>
      <c r="X8" s="117">
        <v>0.33</v>
      </c>
      <c r="Y8" s="115"/>
      <c r="Z8" s="111">
        <f>IFERROR(VLOOKUP(S8,CODIGOS_Y_COSTOS[[CODIGO]:[COSTO]],2,0),0)</f>
        <v>117</v>
      </c>
      <c r="AA8" s="106"/>
      <c r="AB8" s="116">
        <v>24</v>
      </c>
      <c r="AC8" s="106">
        <v>106</v>
      </c>
      <c r="AK8" s="156" t="s">
        <v>3195</v>
      </c>
      <c r="AL8" s="156" t="s">
        <v>3197</v>
      </c>
      <c r="AM8" s="157">
        <v>56.844449999999988</v>
      </c>
    </row>
    <row r="9" spans="1:39" ht="25.5" thickBot="1" x14ac:dyDescent="0.4">
      <c r="A9" s="46" t="str">
        <f t="shared" si="6"/>
        <v/>
      </c>
      <c r="B9" s="882"/>
      <c r="C9" s="1425"/>
      <c r="D9" s="9"/>
      <c r="E9" s="1101">
        <f t="shared" si="5"/>
        <v>0</v>
      </c>
      <c r="F9" s="1102">
        <f t="shared" si="7"/>
        <v>0</v>
      </c>
      <c r="G9" s="26"/>
      <c r="H9" s="26"/>
      <c r="I9" s="208" t="s">
        <v>3199</v>
      </c>
      <c r="J9" s="414" t="s">
        <v>3201</v>
      </c>
      <c r="K9" s="64">
        <v>56.844449999999988</v>
      </c>
      <c r="L9" s="1267" t="str">
        <f t="shared" si="0"/>
        <v>Tuerca Reten Embutida - Moto 6mm</v>
      </c>
      <c r="M9" s="64">
        <f t="shared" si="1"/>
        <v>145</v>
      </c>
      <c r="N9" s="211">
        <f t="shared" si="2"/>
        <v>31.264447499999996</v>
      </c>
      <c r="S9" s="205" t="str">
        <f t="shared" si="3"/>
        <v>Tuerca Reten para Tornillo Parker - 12</v>
      </c>
      <c r="T9" s="117">
        <v>12</v>
      </c>
      <c r="U9" s="117">
        <v>20</v>
      </c>
      <c r="V9" s="117">
        <v>14</v>
      </c>
      <c r="W9" s="117">
        <v>11</v>
      </c>
      <c r="X9" s="117">
        <v>0.37</v>
      </c>
      <c r="Y9" s="115"/>
      <c r="Z9" s="111">
        <f>IFERROR(VLOOKUP(S9,CODIGOS_Y_COSTOS[[CODIGO]:[COSTO]],2,0),0)</f>
        <v>131</v>
      </c>
      <c r="AA9" s="106"/>
      <c r="AB9" s="116">
        <v>25</v>
      </c>
      <c r="AC9" s="106">
        <v>119</v>
      </c>
      <c r="AK9" s="158" t="s">
        <v>3199</v>
      </c>
      <c r="AL9" s="158" t="s">
        <v>3201</v>
      </c>
      <c r="AM9" s="159">
        <v>56.844449999999988</v>
      </c>
    </row>
    <row r="10" spans="1:39" ht="25.5" thickBot="1" x14ac:dyDescent="0.4">
      <c r="A10" s="46" t="str">
        <f t="shared" si="6"/>
        <v/>
      </c>
      <c r="B10" s="882"/>
      <c r="C10" s="1425"/>
      <c r="D10" s="9"/>
      <c r="E10" s="1101">
        <f t="shared" si="5"/>
        <v>0</v>
      </c>
      <c r="F10" s="1102">
        <f t="shared" ref="F10:F12" si="8">+E10*B10</f>
        <v>0</v>
      </c>
      <c r="G10" s="26"/>
      <c r="H10" s="26"/>
      <c r="I10" s="208">
        <v>9</v>
      </c>
      <c r="J10" s="414" t="s">
        <v>3204</v>
      </c>
      <c r="K10" s="64">
        <v>76.254749999999987</v>
      </c>
      <c r="L10" s="1267" t="str">
        <f t="shared" si="0"/>
        <v>Tuerca Reten Embutida - 5mm</v>
      </c>
      <c r="M10" s="64">
        <f t="shared" si="1"/>
        <v>189</v>
      </c>
      <c r="N10" s="211">
        <f t="shared" si="2"/>
        <v>41.940112499999998</v>
      </c>
      <c r="S10" s="205" t="str">
        <f t="shared" si="3"/>
        <v>Tuerca Reten para Tornillo Parker - 12 LARGA</v>
      </c>
      <c r="T10" s="117" t="s">
        <v>18148</v>
      </c>
      <c r="U10" s="117">
        <v>23</v>
      </c>
      <c r="V10" s="117">
        <v>12</v>
      </c>
      <c r="W10" s="117">
        <v>12</v>
      </c>
      <c r="X10" s="117">
        <v>0.32</v>
      </c>
      <c r="Y10" s="115"/>
      <c r="Z10" s="111">
        <f>IFERROR(VLOOKUP(S10,CODIGOS_Y_COSTOS[[CODIGO]:[COSTO]],2,0),0)</f>
        <v>131</v>
      </c>
      <c r="AA10" s="106"/>
      <c r="AB10" s="116">
        <v>26</v>
      </c>
      <c r="AC10" s="106">
        <v>119</v>
      </c>
      <c r="AK10" s="156">
        <v>9</v>
      </c>
      <c r="AL10" s="156" t="s">
        <v>3204</v>
      </c>
      <c r="AM10" s="157">
        <v>76.254749999999987</v>
      </c>
    </row>
    <row r="11" spans="1:39" ht="25.5" thickBot="1" x14ac:dyDescent="0.4">
      <c r="A11" s="46" t="str">
        <f t="shared" si="4"/>
        <v/>
      </c>
      <c r="B11" s="882"/>
      <c r="C11" s="1425"/>
      <c r="D11" s="30"/>
      <c r="E11" s="1101">
        <f t="shared" si="5"/>
        <v>0</v>
      </c>
      <c r="F11" s="1102">
        <f t="shared" si="8"/>
        <v>0</v>
      </c>
      <c r="G11" s="26"/>
      <c r="H11" s="26"/>
      <c r="I11" s="208">
        <v>10</v>
      </c>
      <c r="J11" s="414" t="s">
        <v>3207</v>
      </c>
      <c r="K11" s="64">
        <v>76.254749999999987</v>
      </c>
      <c r="L11" s="1267" t="str">
        <f t="shared" si="0"/>
        <v>Tuerca Reten Embutida - 6mm</v>
      </c>
      <c r="M11" s="64">
        <f t="shared" si="1"/>
        <v>189</v>
      </c>
      <c r="N11" s="211">
        <f t="shared" si="2"/>
        <v>41.940112499999998</v>
      </c>
      <c r="S11" s="205" t="str">
        <f t="shared" si="3"/>
        <v>Tuerca Reten para Tornillo Parker - 14</v>
      </c>
      <c r="T11" s="117">
        <v>14</v>
      </c>
      <c r="U11" s="117">
        <v>20</v>
      </c>
      <c r="V11" s="117">
        <v>14</v>
      </c>
      <c r="W11" s="117">
        <v>11</v>
      </c>
      <c r="X11" s="117">
        <v>0.37</v>
      </c>
      <c r="Y11" s="115"/>
      <c r="Z11" s="111">
        <f>IFERROR(VLOOKUP(S11,CODIGOS_Y_COSTOS[[CODIGO]:[COSTO]],2,0),0)</f>
        <v>131</v>
      </c>
      <c r="AA11" s="106"/>
      <c r="AB11" s="116">
        <v>28</v>
      </c>
      <c r="AC11" s="106">
        <v>119</v>
      </c>
      <c r="AK11" s="158">
        <v>10</v>
      </c>
      <c r="AL11" s="158" t="s">
        <v>3207</v>
      </c>
      <c r="AM11" s="159">
        <v>76.254749999999987</v>
      </c>
    </row>
    <row r="12" spans="1:39" ht="24" thickBot="1" x14ac:dyDescent="0.4">
      <c r="A12" s="46" t="str">
        <f t="shared" si="4"/>
        <v/>
      </c>
      <c r="B12" s="882"/>
      <c r="C12" s="1425"/>
      <c r="D12" s="30"/>
      <c r="E12" s="1101">
        <f t="shared" si="5"/>
        <v>0</v>
      </c>
      <c r="F12" s="1102">
        <f t="shared" si="8"/>
        <v>0</v>
      </c>
      <c r="G12" s="26"/>
      <c r="H12" s="26"/>
      <c r="I12" s="208">
        <v>12</v>
      </c>
      <c r="J12" s="220" t="s">
        <v>3210</v>
      </c>
      <c r="K12" s="64">
        <v>90.491681280000009</v>
      </c>
      <c r="L12" s="1267" t="str">
        <f t="shared" si="0"/>
        <v>Tuerca Jaula - 5mm a=8x8</v>
      </c>
      <c r="M12" s="64">
        <f t="shared" si="1"/>
        <v>203</v>
      </c>
      <c r="N12" s="211">
        <f t="shared" si="2"/>
        <v>49.770424704000007</v>
      </c>
      <c r="S12" s="205" t="str">
        <f t="shared" si="3"/>
        <v>Tuerca Reten para Tornillo Parker - #6 automotor</v>
      </c>
      <c r="T12" s="117" t="s">
        <v>18149</v>
      </c>
      <c r="U12" s="117">
        <v>19</v>
      </c>
      <c r="V12" s="117">
        <v>12</v>
      </c>
      <c r="W12" s="117">
        <v>10.5</v>
      </c>
      <c r="X12" s="117"/>
      <c r="Y12" s="115"/>
      <c r="Z12" s="111">
        <f>IFERROR(VLOOKUP(S12,CODIGOS_Y_COSTOS[[CODIGO]:[COSTO]],2,0),0)</f>
        <v>131</v>
      </c>
      <c r="AA12" s="106"/>
      <c r="AB12" s="116">
        <v>15</v>
      </c>
      <c r="AC12" s="106">
        <v>119</v>
      </c>
      <c r="AK12" s="156">
        <v>12</v>
      </c>
      <c r="AL12" s="156" t="s">
        <v>3210</v>
      </c>
      <c r="AM12" s="157">
        <v>90.491681280000009</v>
      </c>
    </row>
    <row r="13" spans="1:39" ht="24" thickBot="1" x14ac:dyDescent="0.4">
      <c r="C13" s="1425"/>
      <c r="I13" s="208">
        <v>13</v>
      </c>
      <c r="J13" s="220" t="s">
        <v>3213</v>
      </c>
      <c r="K13" s="64">
        <v>90.491681280000009</v>
      </c>
      <c r="L13" s="1267" t="str">
        <f t="shared" si="0"/>
        <v>Tuerca Jaula - 6mm a=8x8</v>
      </c>
      <c r="M13" s="64">
        <f t="shared" si="1"/>
        <v>203</v>
      </c>
      <c r="N13" s="211">
        <f t="shared" si="2"/>
        <v>49.770424704000007</v>
      </c>
      <c r="S13" s="205" t="str">
        <f t="shared" si="3"/>
        <v>Tuerca Reten para Tornillo Parker - #8 automotor</v>
      </c>
      <c r="T13" s="117" t="s">
        <v>18150</v>
      </c>
      <c r="U13" s="117">
        <v>19</v>
      </c>
      <c r="V13" s="117">
        <v>12</v>
      </c>
      <c r="W13" s="117">
        <v>10.5</v>
      </c>
      <c r="X13" s="117"/>
      <c r="Y13" s="115"/>
      <c r="Z13" s="111">
        <f>IFERROR(VLOOKUP(S13,CODIGOS_Y_COSTOS[[CODIGO]:[COSTO]],2,0),0)</f>
        <v>131</v>
      </c>
      <c r="AA13" s="106"/>
      <c r="AB13" s="116">
        <v>17</v>
      </c>
      <c r="AC13" s="106">
        <v>119</v>
      </c>
      <c r="AK13" s="158">
        <v>13</v>
      </c>
      <c r="AL13" s="158" t="s">
        <v>3213</v>
      </c>
      <c r="AM13" s="159">
        <v>90.491681280000009</v>
      </c>
    </row>
    <row r="14" spans="1:39" ht="25.5" thickBot="1" x14ac:dyDescent="0.4">
      <c r="C14" s="1425"/>
      <c r="F14" s="61"/>
      <c r="I14" s="208">
        <v>14</v>
      </c>
      <c r="J14" s="414" t="s">
        <v>3216</v>
      </c>
      <c r="K14" s="64">
        <v>25.248794999999998</v>
      </c>
      <c r="L14" s="1267" t="str">
        <f t="shared" si="0"/>
        <v>Tuerca Reten para Tornillo Parker - 4</v>
      </c>
      <c r="M14" s="64">
        <f t="shared" si="1"/>
        <v>117</v>
      </c>
      <c r="N14" s="211">
        <f t="shared" si="2"/>
        <v>13.886837249999999</v>
      </c>
      <c r="S14" s="206" t="str">
        <f t="shared" si="3"/>
        <v>Tuerca Reten para Tornillo Parker - #10 automotor</v>
      </c>
      <c r="T14" s="119" t="s">
        <v>18151</v>
      </c>
      <c r="U14" s="119">
        <v>19</v>
      </c>
      <c r="V14" s="119">
        <v>12</v>
      </c>
      <c r="W14" s="119">
        <v>10.5</v>
      </c>
      <c r="X14" s="119"/>
      <c r="Y14" s="120"/>
      <c r="Z14" s="111">
        <f>IFERROR(VLOOKUP(S14,CODIGOS_Y_COSTOS[[CODIGO]:[COSTO]],2,0),0)</f>
        <v>131</v>
      </c>
      <c r="AA14" s="106"/>
      <c r="AB14" s="121">
        <v>21</v>
      </c>
      <c r="AC14" s="106">
        <v>119</v>
      </c>
      <c r="AK14" s="156">
        <v>14</v>
      </c>
      <c r="AL14" s="156" t="s">
        <v>3216</v>
      </c>
      <c r="AM14" s="157">
        <v>25.248794999999998</v>
      </c>
    </row>
    <row r="15" spans="1:39" ht="25.5" thickBot="1" x14ac:dyDescent="0.4">
      <c r="C15" s="1425"/>
      <c r="I15" s="208">
        <v>15</v>
      </c>
      <c r="J15" s="414" t="s">
        <v>3219</v>
      </c>
      <c r="K15" s="64">
        <v>25.248794999999998</v>
      </c>
      <c r="L15" s="1267" t="str">
        <f t="shared" si="0"/>
        <v>Tuerca Reten para Tornillo Parker - #6 automotor</v>
      </c>
      <c r="M15" s="64">
        <f t="shared" si="1"/>
        <v>131</v>
      </c>
      <c r="N15" s="211">
        <f t="shared" si="2"/>
        <v>13.886837249999999</v>
      </c>
      <c r="S15" s="106"/>
      <c r="T15" s="122"/>
      <c r="U15" s="122"/>
      <c r="V15" s="122"/>
      <c r="W15" s="122"/>
      <c r="X15" s="122"/>
      <c r="Y15" s="123"/>
      <c r="Z15" s="124"/>
      <c r="AA15" s="106"/>
      <c r="AB15" s="124"/>
      <c r="AC15" s="106"/>
      <c r="AK15" s="158">
        <v>15</v>
      </c>
      <c r="AL15" s="158" t="s">
        <v>3219</v>
      </c>
      <c r="AM15" s="159">
        <v>25.248794999999998</v>
      </c>
    </row>
    <row r="16" spans="1:39" ht="25.5" thickBot="1" x14ac:dyDescent="0.4">
      <c r="C16" s="9"/>
      <c r="I16" s="208">
        <v>16</v>
      </c>
      <c r="J16" s="414" t="s">
        <v>3222</v>
      </c>
      <c r="K16" s="64">
        <v>25.248794999999998</v>
      </c>
      <c r="L16" s="1267" t="str">
        <f t="shared" si="0"/>
        <v>Tuerca Reten para Tornillo Parker - 7</v>
      </c>
      <c r="M16" s="64">
        <f t="shared" si="1"/>
        <v>117</v>
      </c>
      <c r="N16" s="211">
        <f t="shared" si="2"/>
        <v>13.886837249999999</v>
      </c>
      <c r="S16" s="106"/>
      <c r="T16" s="122"/>
      <c r="U16" s="122"/>
      <c r="V16" s="122"/>
      <c r="W16" s="122"/>
      <c r="X16" s="122"/>
      <c r="Y16" s="123"/>
      <c r="Z16" s="124"/>
      <c r="AA16" s="106"/>
      <c r="AB16" s="124"/>
      <c r="AC16" s="106"/>
      <c r="AK16" s="156">
        <v>16</v>
      </c>
      <c r="AL16" s="156" t="s">
        <v>3222</v>
      </c>
      <c r="AM16" s="157">
        <v>25.248794999999998</v>
      </c>
    </row>
    <row r="17" spans="3:56" ht="25.5" thickBot="1" x14ac:dyDescent="0.4">
      <c r="C17" s="9"/>
      <c r="I17" s="208">
        <v>17</v>
      </c>
      <c r="J17" s="414" t="s">
        <v>3225</v>
      </c>
      <c r="K17" s="64">
        <v>25.248794999999998</v>
      </c>
      <c r="L17" s="1267" t="str">
        <f t="shared" si="0"/>
        <v>Tuerca Reten para Tornillo Parker - #8 automotor</v>
      </c>
      <c r="M17" s="64">
        <f t="shared" si="1"/>
        <v>131</v>
      </c>
      <c r="N17" s="211">
        <f t="shared" si="2"/>
        <v>13.886837249999999</v>
      </c>
      <c r="S17" s="103" t="s">
        <v>18152</v>
      </c>
      <c r="T17" s="104" t="s">
        <v>18153</v>
      </c>
      <c r="U17" s="104" t="s">
        <v>18140</v>
      </c>
      <c r="V17" s="104" t="s">
        <v>18141</v>
      </c>
      <c r="W17" s="104" t="s">
        <v>18142</v>
      </c>
      <c r="X17" s="104" t="s">
        <v>3</v>
      </c>
      <c r="Y17" s="105"/>
      <c r="Z17" s="125" t="s">
        <v>18143</v>
      </c>
      <c r="AA17" s="106"/>
      <c r="AB17" s="154" t="s">
        <v>4624</v>
      </c>
      <c r="AC17" s="106"/>
      <c r="AK17" s="158">
        <v>17</v>
      </c>
      <c r="AL17" s="158" t="s">
        <v>3225</v>
      </c>
      <c r="AM17" s="159">
        <v>25.248794999999998</v>
      </c>
    </row>
    <row r="18" spans="3:56" ht="25.5" thickBot="1" x14ac:dyDescent="0.4">
      <c r="C18" s="9"/>
      <c r="I18" s="208">
        <v>18</v>
      </c>
      <c r="J18" s="414" t="s">
        <v>3228</v>
      </c>
      <c r="K18" s="64">
        <v>25.248794999999998</v>
      </c>
      <c r="L18" s="1267" t="str">
        <f t="shared" si="0"/>
        <v>Tuerca Reten para Tornillo Parker - 6</v>
      </c>
      <c r="M18" s="64">
        <f t="shared" si="1"/>
        <v>117</v>
      </c>
      <c r="N18" s="211">
        <f t="shared" si="2"/>
        <v>13.886837249999999</v>
      </c>
      <c r="S18" s="107" t="s">
        <v>18154</v>
      </c>
      <c r="T18" s="108" t="s">
        <v>18155</v>
      </c>
      <c r="U18" s="108"/>
      <c r="V18" s="108"/>
      <c r="W18" s="108"/>
      <c r="X18" s="108" t="s">
        <v>8754</v>
      </c>
      <c r="Y18" s="109"/>
      <c r="Z18" s="126"/>
      <c r="AA18" s="106"/>
      <c r="AB18" s="155" t="s">
        <v>8799</v>
      </c>
      <c r="AC18" s="106"/>
      <c r="AK18" s="156">
        <v>18</v>
      </c>
      <c r="AL18" s="156" t="s">
        <v>3228</v>
      </c>
      <c r="AM18" s="157">
        <v>25.248794999999998</v>
      </c>
      <c r="BB18" s="1534" t="s">
        <v>18156</v>
      </c>
      <c r="BC18" s="1535"/>
      <c r="BD18" s="1535"/>
    </row>
    <row r="19" spans="3:56" ht="29.25" thickBot="1" x14ac:dyDescent="0.4">
      <c r="C19" s="9"/>
      <c r="I19" s="208">
        <v>19</v>
      </c>
      <c r="J19" s="414" t="s">
        <v>3230</v>
      </c>
      <c r="K19" s="64">
        <v>34.815300000000001</v>
      </c>
      <c r="L19" s="1267">
        <f t="shared" si="0"/>
        <v>0</v>
      </c>
      <c r="M19" s="64">
        <f t="shared" si="1"/>
        <v>0</v>
      </c>
      <c r="N19" s="211">
        <f t="shared" si="2"/>
        <v>19.148415000000004</v>
      </c>
      <c r="S19" s="110"/>
      <c r="T19" s="127"/>
      <c r="U19" s="127"/>
      <c r="V19" s="127"/>
      <c r="W19" s="127"/>
      <c r="X19" s="127"/>
      <c r="Y19" s="128"/>
      <c r="Z19" s="129"/>
      <c r="AA19" s="106"/>
      <c r="AB19" s="129"/>
      <c r="AC19" s="106"/>
      <c r="AK19" s="158">
        <v>19</v>
      </c>
      <c r="AL19" s="158" t="s">
        <v>3230</v>
      </c>
      <c r="AM19" s="159">
        <v>34.815300000000001</v>
      </c>
      <c r="BB19" s="1050" t="s">
        <v>18157</v>
      </c>
      <c r="BC19" s="1051" t="s">
        <v>8920</v>
      </c>
      <c r="BD19" s="1055" t="s">
        <v>18158</v>
      </c>
    </row>
    <row r="20" spans="3:56" ht="25.5" thickBot="1" x14ac:dyDescent="0.4">
      <c r="C20" s="9"/>
      <c r="I20" s="208">
        <v>20</v>
      </c>
      <c r="J20" s="414" t="s">
        <v>3232</v>
      </c>
      <c r="K20" s="64">
        <v>29.288602199999996</v>
      </c>
      <c r="L20" s="1267">
        <f t="shared" si="0"/>
        <v>0</v>
      </c>
      <c r="M20" s="64">
        <f t="shared" si="1"/>
        <v>0</v>
      </c>
      <c r="N20" s="211">
        <f t="shared" si="2"/>
        <v>16.108731209999998</v>
      </c>
      <c r="S20" s="110"/>
      <c r="T20" s="114">
        <v>3</v>
      </c>
      <c r="U20" s="114">
        <v>12</v>
      </c>
      <c r="V20" s="114">
        <v>8</v>
      </c>
      <c r="W20" s="114" t="s">
        <v>4463</v>
      </c>
      <c r="X20" s="114"/>
      <c r="Y20" s="115"/>
      <c r="Z20" s="114">
        <f>+VLOOKUP(S20,CODIGOS_Y_COSTOS[[CODIGO]:[COSTO]],2,0)</f>
        <v>0</v>
      </c>
      <c r="AA20" s="106"/>
      <c r="AB20" s="116"/>
      <c r="AC20" s="106"/>
      <c r="AK20" s="156">
        <v>20</v>
      </c>
      <c r="AL20" s="156" t="s">
        <v>3232</v>
      </c>
      <c r="AM20" s="157">
        <v>29.288602199999996</v>
      </c>
      <c r="BB20" s="1059">
        <v>6</v>
      </c>
      <c r="BC20" s="1053" t="s">
        <v>18159</v>
      </c>
      <c r="BD20" s="1056">
        <v>72</v>
      </c>
    </row>
    <row r="21" spans="3:56" ht="25.5" thickBot="1" x14ac:dyDescent="0.4">
      <c r="C21" s="9"/>
      <c r="I21" s="208">
        <v>21</v>
      </c>
      <c r="J21" s="414" t="s">
        <v>3235</v>
      </c>
      <c r="K21" s="64">
        <v>29.288602199999996</v>
      </c>
      <c r="L21" s="1267" t="str">
        <f t="shared" si="0"/>
        <v>Tuerca Reten para Tornillo Parker - #10 automotor</v>
      </c>
      <c r="M21" s="64">
        <f t="shared" si="1"/>
        <v>131</v>
      </c>
      <c r="N21" s="211">
        <f t="shared" si="2"/>
        <v>16.108731209999998</v>
      </c>
      <c r="S21" s="118"/>
      <c r="T21" s="119"/>
      <c r="U21" s="119"/>
      <c r="V21" s="119"/>
      <c r="W21" s="119"/>
      <c r="X21" s="119"/>
      <c r="Y21" s="130"/>
      <c r="Z21" s="121"/>
      <c r="AA21" s="106"/>
      <c r="AB21" s="121"/>
      <c r="AC21" s="106"/>
      <c r="AK21" s="158">
        <v>21</v>
      </c>
      <c r="AL21" s="158" t="s">
        <v>3235</v>
      </c>
      <c r="AM21" s="159">
        <v>29.288602199999996</v>
      </c>
      <c r="BB21" s="1060">
        <v>7</v>
      </c>
      <c r="BC21" s="1052" t="s">
        <v>18160</v>
      </c>
      <c r="BD21" s="1057">
        <v>71</v>
      </c>
    </row>
    <row r="22" spans="3:56" ht="25.5" thickBot="1" x14ac:dyDescent="0.4">
      <c r="C22" s="9"/>
      <c r="I22" s="208">
        <v>22</v>
      </c>
      <c r="J22" s="414" t="s">
        <v>3238</v>
      </c>
      <c r="K22" s="64">
        <v>29.288602199999996</v>
      </c>
      <c r="L22" s="1267" t="str">
        <f t="shared" si="0"/>
        <v>Tuerca Reten para Tornillo Parker - 8</v>
      </c>
      <c r="M22" s="64">
        <f t="shared" si="1"/>
        <v>117</v>
      </c>
      <c r="N22" s="211">
        <f t="shared" si="2"/>
        <v>16.108731209999998</v>
      </c>
      <c r="S22" s="106"/>
      <c r="T22" s="122"/>
      <c r="U22" s="122"/>
      <c r="V22" s="122"/>
      <c r="W22" s="122"/>
      <c r="X22" s="122"/>
      <c r="Y22" s="123"/>
      <c r="Z22" s="124"/>
      <c r="AA22" s="106"/>
      <c r="AB22" s="124"/>
      <c r="AC22" s="106"/>
      <c r="AK22" s="156">
        <v>22</v>
      </c>
      <c r="AL22" s="156" t="s">
        <v>3238</v>
      </c>
      <c r="AM22" s="157">
        <v>29.288602199999996</v>
      </c>
      <c r="BB22" s="1060">
        <v>8</v>
      </c>
      <c r="BC22" s="1052" t="s">
        <v>18161</v>
      </c>
      <c r="BD22" s="1057">
        <v>9</v>
      </c>
    </row>
    <row r="23" spans="3:56" ht="25.5" thickBot="1" x14ac:dyDescent="0.4">
      <c r="C23" s="9"/>
      <c r="I23" s="208">
        <v>24</v>
      </c>
      <c r="J23" s="414" t="s">
        <v>3241</v>
      </c>
      <c r="K23" s="64">
        <v>29.288602199999996</v>
      </c>
      <c r="L23" s="1267" t="str">
        <f t="shared" si="0"/>
        <v>Tuerca Reten para Tornillo Parker - 10</v>
      </c>
      <c r="M23" s="64">
        <f t="shared" si="1"/>
        <v>117</v>
      </c>
      <c r="N23" s="211">
        <f t="shared" si="2"/>
        <v>16.108731209999998</v>
      </c>
      <c r="S23" s="106"/>
      <c r="T23" s="122"/>
      <c r="U23" s="122"/>
      <c r="V23" s="122"/>
      <c r="W23" s="122"/>
      <c r="X23" s="122"/>
      <c r="Y23" s="123"/>
      <c r="Z23" s="124"/>
      <c r="AA23" s="122"/>
      <c r="AB23" s="124"/>
      <c r="AC23" s="106"/>
      <c r="AK23" s="158">
        <v>24</v>
      </c>
      <c r="AL23" s="158" t="s">
        <v>3241</v>
      </c>
      <c r="AM23" s="159">
        <v>29.288602199999996</v>
      </c>
      <c r="BB23" s="1060">
        <v>9</v>
      </c>
      <c r="BC23" s="1052" t="s">
        <v>3103</v>
      </c>
      <c r="BD23" s="1057">
        <v>8</v>
      </c>
    </row>
    <row r="24" spans="3:56" ht="25.5" thickBot="1" x14ac:dyDescent="0.4">
      <c r="C24" s="9"/>
      <c r="I24" s="208">
        <v>25</v>
      </c>
      <c r="J24" s="414" t="s">
        <v>3244</v>
      </c>
      <c r="K24" s="64">
        <v>33.274800000000006</v>
      </c>
      <c r="L24" s="1267" t="str">
        <f t="shared" si="0"/>
        <v>Tuerca Reten para Tornillo Parker - 12</v>
      </c>
      <c r="M24" s="64">
        <f t="shared" si="1"/>
        <v>131</v>
      </c>
      <c r="N24" s="211">
        <f t="shared" si="2"/>
        <v>18.301140000000004</v>
      </c>
      <c r="S24" s="103" t="s">
        <v>18162</v>
      </c>
      <c r="T24" s="104" t="s">
        <v>18155</v>
      </c>
      <c r="U24" s="104" t="s">
        <v>18163</v>
      </c>
      <c r="V24" s="104" t="s">
        <v>18164</v>
      </c>
      <c r="W24" s="104" t="s">
        <v>18142</v>
      </c>
      <c r="X24" s="104" t="s">
        <v>3</v>
      </c>
      <c r="Y24" s="105"/>
      <c r="Z24" s="125" t="s">
        <v>18143</v>
      </c>
      <c r="AA24" s="106"/>
      <c r="AB24" s="154" t="s">
        <v>4624</v>
      </c>
      <c r="AC24" s="106"/>
      <c r="AK24" s="156">
        <v>25</v>
      </c>
      <c r="AL24" s="156" t="s">
        <v>3244</v>
      </c>
      <c r="AM24" s="157">
        <v>33.274800000000006</v>
      </c>
      <c r="BB24" s="1060">
        <v>10</v>
      </c>
      <c r="BC24" s="1052" t="s">
        <v>18165</v>
      </c>
      <c r="BD24" s="1057">
        <v>11</v>
      </c>
    </row>
    <row r="25" spans="3:56" ht="25.5" thickBot="1" x14ac:dyDescent="0.4">
      <c r="C25" s="9"/>
      <c r="I25" s="208">
        <v>26</v>
      </c>
      <c r="J25" s="414" t="s">
        <v>3247</v>
      </c>
      <c r="K25" s="64">
        <v>33.274800000000006</v>
      </c>
      <c r="L25" s="1267" t="str">
        <f t="shared" si="0"/>
        <v>Tuerca Reten para Tornillo Parker - 12 LARGA</v>
      </c>
      <c r="M25" s="64">
        <f t="shared" si="1"/>
        <v>131</v>
      </c>
      <c r="N25" s="211">
        <f t="shared" si="2"/>
        <v>18.301140000000004</v>
      </c>
      <c r="S25" s="107"/>
      <c r="T25" s="108"/>
      <c r="U25" s="108"/>
      <c r="V25" s="108"/>
      <c r="W25" s="108"/>
      <c r="X25" s="108" t="s">
        <v>8754</v>
      </c>
      <c r="Y25" s="109"/>
      <c r="Z25" s="126"/>
      <c r="AA25" s="106"/>
      <c r="AB25" s="155" t="s">
        <v>8799</v>
      </c>
      <c r="AC25" s="106"/>
      <c r="AK25" s="158">
        <v>26</v>
      </c>
      <c r="AL25" s="158" t="s">
        <v>3247</v>
      </c>
      <c r="AM25" s="159">
        <v>33.274800000000006</v>
      </c>
      <c r="BB25" s="1060">
        <v>11</v>
      </c>
      <c r="BC25" s="1052" t="s">
        <v>18166</v>
      </c>
      <c r="BD25" s="1057">
        <v>12</v>
      </c>
    </row>
    <row r="26" spans="3:56" ht="25.5" thickBot="1" x14ac:dyDescent="0.4">
      <c r="C26" s="9"/>
      <c r="I26" s="208">
        <v>28</v>
      </c>
      <c r="J26" s="414" t="s">
        <v>3250</v>
      </c>
      <c r="K26" s="64">
        <v>37.588199999999993</v>
      </c>
      <c r="L26" s="1267" t="str">
        <f t="shared" si="0"/>
        <v>Tuerca Reten para Tornillo Parker - 14</v>
      </c>
      <c r="M26" s="64">
        <f t="shared" si="1"/>
        <v>131</v>
      </c>
      <c r="N26" s="211">
        <f t="shared" si="2"/>
        <v>20.673509999999997</v>
      </c>
      <c r="S26" s="110"/>
      <c r="T26" s="111">
        <v>5</v>
      </c>
      <c r="U26" s="111" t="s">
        <v>4463</v>
      </c>
      <c r="V26" s="111" t="s">
        <v>18167</v>
      </c>
      <c r="W26" s="111">
        <v>13</v>
      </c>
      <c r="X26" s="111">
        <v>1.2</v>
      </c>
      <c r="Y26" s="112"/>
      <c r="Z26" s="114">
        <f>+VLOOKUP(S26,CODIGOS_Y_COSTOS[[CODIGO]:[COSTO]],2,0)</f>
        <v>0</v>
      </c>
      <c r="AA26" s="106"/>
      <c r="AB26" s="113"/>
      <c r="AC26" s="106"/>
      <c r="AK26" s="156">
        <v>28</v>
      </c>
      <c r="AL26" s="156" t="s">
        <v>3250</v>
      </c>
      <c r="AM26" s="157">
        <v>37.588199999999993</v>
      </c>
      <c r="BB26" s="1060">
        <v>13</v>
      </c>
      <c r="BC26" s="1052" t="s">
        <v>3110</v>
      </c>
      <c r="BD26" s="1057">
        <v>13</v>
      </c>
    </row>
    <row r="27" spans="3:56" ht="24" thickBot="1" x14ac:dyDescent="0.4">
      <c r="C27" s="9"/>
      <c r="I27" s="208">
        <v>32</v>
      </c>
      <c r="J27" s="220" t="s">
        <v>3252</v>
      </c>
      <c r="K27" s="64">
        <v>20.149739999999998</v>
      </c>
      <c r="L27" s="1267" t="str">
        <f t="shared" si="0"/>
        <v>Aranlock  - 6</v>
      </c>
      <c r="M27" s="64">
        <f t="shared" si="1"/>
        <v>0</v>
      </c>
      <c r="N27" s="211">
        <f t="shared" si="2"/>
        <v>11.082357</v>
      </c>
      <c r="S27" s="205" t="str">
        <f>+$S$24&amp;" - "&amp;U27&amp;U24</f>
        <v>Tuerca Reten Doble - 1/4pulg</v>
      </c>
      <c r="T27" s="114"/>
      <c r="U27" s="131" t="s">
        <v>18168</v>
      </c>
      <c r="V27" s="131" t="s">
        <v>18167</v>
      </c>
      <c r="W27" s="114">
        <v>13</v>
      </c>
      <c r="X27" s="114">
        <v>1.2</v>
      </c>
      <c r="Y27" s="115"/>
      <c r="Z27" s="114">
        <f>+VLOOKUP(S27,CODIGOS_Y_COSTOS[[CODIGO]:[COSTO]],2,0)</f>
        <v>276</v>
      </c>
      <c r="AA27" s="106"/>
      <c r="AB27" s="116">
        <v>2</v>
      </c>
      <c r="AC27" s="106">
        <v>251</v>
      </c>
      <c r="AK27" s="158">
        <v>32</v>
      </c>
      <c r="AL27" s="158" t="s">
        <v>3252</v>
      </c>
      <c r="AM27" s="159">
        <v>20.149739999999998</v>
      </c>
      <c r="BB27" s="1060">
        <v>14</v>
      </c>
      <c r="BC27" s="1052" t="s">
        <v>18169</v>
      </c>
      <c r="BD27" s="1057">
        <v>14</v>
      </c>
    </row>
    <row r="28" spans="3:56" ht="24" thickBot="1" x14ac:dyDescent="0.4">
      <c r="C28" s="9"/>
      <c r="I28" s="208">
        <v>33</v>
      </c>
      <c r="J28" s="220" t="s">
        <v>3254</v>
      </c>
      <c r="K28" s="64">
        <v>20.149739999999998</v>
      </c>
      <c r="L28" s="1267" t="str">
        <f t="shared" si="0"/>
        <v>Aranlock  - 7</v>
      </c>
      <c r="M28" s="64">
        <f t="shared" si="1"/>
        <v>0</v>
      </c>
      <c r="N28" s="211">
        <f t="shared" si="2"/>
        <v>11.082357</v>
      </c>
      <c r="S28" s="205" t="str">
        <f>+$S$24&amp;" - "&amp;T28&amp;T24</f>
        <v>Tuerca Reten Doble - 6mm</v>
      </c>
      <c r="T28" s="114">
        <v>6</v>
      </c>
      <c r="U28" s="114" t="s">
        <v>4463</v>
      </c>
      <c r="V28" s="131" t="s">
        <v>18167</v>
      </c>
      <c r="W28" s="114">
        <v>13</v>
      </c>
      <c r="X28" s="114">
        <v>1.2</v>
      </c>
      <c r="Y28" s="115"/>
      <c r="Z28" s="114">
        <f>+VLOOKUP(S28,CODIGOS_Y_COSTOS[[CODIGO]:[COSTO]],2,0)</f>
        <v>276</v>
      </c>
      <c r="AA28" s="106"/>
      <c r="AB28" s="116">
        <v>5</v>
      </c>
      <c r="AC28" s="106">
        <v>251</v>
      </c>
      <c r="AK28" s="156">
        <v>33</v>
      </c>
      <c r="AL28" s="156" t="s">
        <v>3254</v>
      </c>
      <c r="AM28" s="157">
        <v>20.149739999999998</v>
      </c>
      <c r="BB28" s="1060">
        <v>15</v>
      </c>
      <c r="BC28" s="1052" t="s">
        <v>18170</v>
      </c>
      <c r="BD28" s="1057">
        <v>15</v>
      </c>
    </row>
    <row r="29" spans="3:56" ht="24" thickBot="1" x14ac:dyDescent="0.4">
      <c r="C29" s="9"/>
      <c r="I29" s="208">
        <v>34</v>
      </c>
      <c r="J29" s="220" t="s">
        <v>3256</v>
      </c>
      <c r="K29" s="64">
        <v>20.149739999999998</v>
      </c>
      <c r="L29" s="1267" t="str">
        <f t="shared" si="0"/>
        <v>Aranlock  - 8 D=16</v>
      </c>
      <c r="M29" s="64">
        <f t="shared" si="1"/>
        <v>0</v>
      </c>
      <c r="N29" s="211">
        <f t="shared" si="2"/>
        <v>11.082357</v>
      </c>
      <c r="S29" s="205" t="str">
        <f>+$S$24&amp;" - "&amp;U29&amp;U24</f>
        <v>Tuerca Reten Doble - 5/16pulg</v>
      </c>
      <c r="T29" s="114"/>
      <c r="U29" s="114" t="s">
        <v>18171</v>
      </c>
      <c r="V29" s="131" t="s">
        <v>18167</v>
      </c>
      <c r="W29" s="114">
        <v>13</v>
      </c>
      <c r="X29" s="114">
        <v>1.2</v>
      </c>
      <c r="Y29" s="115"/>
      <c r="Z29" s="114">
        <f>+VLOOKUP(S29,CODIGOS_Y_COSTOS[[CODIGO]:[COSTO]],2,0)</f>
        <v>276</v>
      </c>
      <c r="AA29" s="106"/>
      <c r="AB29" s="116">
        <v>3</v>
      </c>
      <c r="AC29" s="106">
        <v>251</v>
      </c>
      <c r="AK29" s="158">
        <v>34</v>
      </c>
      <c r="AL29" s="158" t="s">
        <v>3256</v>
      </c>
      <c r="AM29" s="159">
        <v>20.149739999999998</v>
      </c>
      <c r="BB29" s="1060">
        <v>17</v>
      </c>
      <c r="BC29" s="1052" t="s">
        <v>3116</v>
      </c>
      <c r="BD29" s="1057">
        <v>17</v>
      </c>
    </row>
    <row r="30" spans="3:56" ht="24" thickBot="1" x14ac:dyDescent="0.4">
      <c r="C30" s="9"/>
      <c r="I30" s="208">
        <v>35</v>
      </c>
      <c r="J30" s="220" t="s">
        <v>3258</v>
      </c>
      <c r="K30" s="64">
        <v>20.149739999999998</v>
      </c>
      <c r="L30" s="1267">
        <f t="shared" si="0"/>
        <v>0</v>
      </c>
      <c r="M30" s="64">
        <f t="shared" si="1"/>
        <v>0</v>
      </c>
      <c r="N30" s="211">
        <f t="shared" si="2"/>
        <v>11.082357</v>
      </c>
      <c r="S30" s="205" t="str">
        <f>+$S$24&amp;" - "&amp;T30&amp;T24</f>
        <v>Tuerca Reten Doble - 8mm</v>
      </c>
      <c r="T30" s="114">
        <v>8</v>
      </c>
      <c r="U30" s="114" t="s">
        <v>4463</v>
      </c>
      <c r="V30" s="131" t="s">
        <v>18167</v>
      </c>
      <c r="W30" s="114">
        <v>13</v>
      </c>
      <c r="X30" s="114">
        <v>1.2</v>
      </c>
      <c r="Y30" s="115"/>
      <c r="Z30" s="114">
        <f>+VLOOKUP(S30,CODIGOS_Y_COSTOS[[CODIGO]:[COSTO]],2,0)</f>
        <v>276</v>
      </c>
      <c r="AA30" s="106"/>
      <c r="AB30" s="116">
        <v>6</v>
      </c>
      <c r="AC30" s="106">
        <v>251</v>
      </c>
      <c r="AK30" s="156">
        <v>35</v>
      </c>
      <c r="AL30" s="156" t="s">
        <v>3258</v>
      </c>
      <c r="AM30" s="157">
        <v>20.149739999999998</v>
      </c>
      <c r="BB30" s="1060">
        <v>18</v>
      </c>
      <c r="BC30" s="1052" t="s">
        <v>18172</v>
      </c>
      <c r="BD30" s="1057">
        <v>18</v>
      </c>
    </row>
    <row r="31" spans="3:56" ht="24" thickBot="1" x14ac:dyDescent="0.4">
      <c r="C31" s="9"/>
      <c r="I31" s="208">
        <v>36</v>
      </c>
      <c r="J31" s="220" t="s">
        <v>3260</v>
      </c>
      <c r="K31" s="64">
        <v>20.149739999999998</v>
      </c>
      <c r="L31" s="1267" t="str">
        <f t="shared" si="0"/>
        <v>Aranlock  - 10</v>
      </c>
      <c r="M31" s="64">
        <f t="shared" si="1"/>
        <v>0</v>
      </c>
      <c r="N31" s="211">
        <f t="shared" si="2"/>
        <v>11.082357</v>
      </c>
      <c r="S31" s="118"/>
      <c r="T31" s="119"/>
      <c r="U31" s="119"/>
      <c r="V31" s="119"/>
      <c r="W31" s="119"/>
      <c r="X31" s="119"/>
      <c r="Y31" s="120"/>
      <c r="Z31" s="121"/>
      <c r="AA31" s="106"/>
      <c r="AB31" s="121"/>
      <c r="AC31" s="106"/>
      <c r="AK31" s="158">
        <v>36</v>
      </c>
      <c r="AL31" s="158" t="s">
        <v>3260</v>
      </c>
      <c r="AM31" s="159">
        <v>20.149739999999998</v>
      </c>
      <c r="BB31" s="1060">
        <v>19</v>
      </c>
      <c r="BC31" s="1052" t="s">
        <v>3110</v>
      </c>
      <c r="BD31" s="1057">
        <v>19</v>
      </c>
    </row>
    <row r="32" spans="3:56" ht="25.5" thickBot="1" x14ac:dyDescent="0.4">
      <c r="C32" s="9"/>
      <c r="I32" s="208">
        <v>42</v>
      </c>
      <c r="J32" s="414" t="s">
        <v>3263</v>
      </c>
      <c r="K32" s="64">
        <v>36.201749999999997</v>
      </c>
      <c r="L32" s="1267" t="str">
        <f t="shared" si="0"/>
        <v>Tuerca Tina  Inserto para Madera - W 3/16</v>
      </c>
      <c r="M32" s="64">
        <f t="shared" si="1"/>
        <v>145</v>
      </c>
      <c r="N32" s="211">
        <f t="shared" si="2"/>
        <v>19.9109625</v>
      </c>
      <c r="S32" s="106"/>
      <c r="T32" s="122"/>
      <c r="U32" s="122"/>
      <c r="V32" s="122"/>
      <c r="W32" s="122"/>
      <c r="X32" s="122"/>
      <c r="Y32" s="123"/>
      <c r="Z32" s="124"/>
      <c r="AA32" s="122"/>
      <c r="AB32" s="124"/>
      <c r="AC32" s="106"/>
      <c r="AK32" s="156">
        <v>42</v>
      </c>
      <c r="AL32" s="156" t="s">
        <v>3263</v>
      </c>
      <c r="AM32" s="157">
        <v>36.201749999999997</v>
      </c>
      <c r="BB32" s="1060">
        <v>20</v>
      </c>
      <c r="BC32" s="1052" t="s">
        <v>18173</v>
      </c>
      <c r="BD32" s="1057">
        <v>20</v>
      </c>
    </row>
    <row r="33" spans="3:56" ht="25.5" thickBot="1" x14ac:dyDescent="0.4">
      <c r="C33" s="9"/>
      <c r="I33" s="208">
        <v>43</v>
      </c>
      <c r="J33" s="414" t="s">
        <v>3266</v>
      </c>
      <c r="K33" s="64">
        <v>36.201749999999997</v>
      </c>
      <c r="L33" s="1267" t="str">
        <f t="shared" si="0"/>
        <v>Tuerca Tina  Inserto para Madera - M 5</v>
      </c>
      <c r="M33" s="64">
        <f t="shared" si="1"/>
        <v>145</v>
      </c>
      <c r="N33" s="211">
        <f t="shared" si="2"/>
        <v>19.9109625</v>
      </c>
      <c r="S33" s="106"/>
      <c r="T33" s="122"/>
      <c r="U33" s="122"/>
      <c r="V33" s="122"/>
      <c r="W33" s="122"/>
      <c r="X33" s="122"/>
      <c r="Y33" s="123"/>
      <c r="Z33" s="124"/>
      <c r="AA33" s="122"/>
      <c r="AB33" s="124"/>
      <c r="AC33" s="106"/>
      <c r="AK33" s="158">
        <v>43</v>
      </c>
      <c r="AL33" s="158" t="s">
        <v>3266</v>
      </c>
      <c r="AM33" s="159">
        <v>36.201749999999997</v>
      </c>
      <c r="BB33" s="1060">
        <v>21</v>
      </c>
      <c r="BC33" s="1052" t="s">
        <v>18174</v>
      </c>
      <c r="BD33" s="1057">
        <v>21</v>
      </c>
    </row>
    <row r="34" spans="3:56" ht="24" thickBot="1" x14ac:dyDescent="0.4">
      <c r="C34" s="9"/>
      <c r="I34" s="208">
        <v>44</v>
      </c>
      <c r="J34" s="414" t="s">
        <v>3269</v>
      </c>
      <c r="K34" s="64">
        <v>45.229079999999996</v>
      </c>
      <c r="L34" s="1267" t="str">
        <f t="shared" si="0"/>
        <v>Tuerca Tina  Inserto para Madera - W ¼</v>
      </c>
      <c r="M34" s="64">
        <f t="shared" si="1"/>
        <v>159</v>
      </c>
      <c r="N34" s="211">
        <f t="shared" si="2"/>
        <v>24.875993999999999</v>
      </c>
      <c r="S34" s="103" t="s">
        <v>18175</v>
      </c>
      <c r="T34" s="104" t="s">
        <v>18153</v>
      </c>
      <c r="U34" s="104" t="s">
        <v>18176</v>
      </c>
      <c r="V34" s="104" t="s">
        <v>4463</v>
      </c>
      <c r="W34" s="104" t="s">
        <v>11678</v>
      </c>
      <c r="X34" s="104" t="s">
        <v>3</v>
      </c>
      <c r="Y34" s="105"/>
      <c r="Z34" s="125" t="s">
        <v>18143</v>
      </c>
      <c r="AA34" s="132"/>
      <c r="AB34" s="154" t="s">
        <v>4624</v>
      </c>
      <c r="AC34" s="106"/>
      <c r="AK34" s="156">
        <v>44</v>
      </c>
      <c r="AL34" s="156" t="s">
        <v>3269</v>
      </c>
      <c r="AM34" s="157">
        <v>45.229079999999996</v>
      </c>
      <c r="BB34" s="1060">
        <v>30</v>
      </c>
      <c r="BC34" s="1052" t="s">
        <v>18177</v>
      </c>
      <c r="BD34" s="1057">
        <v>30</v>
      </c>
    </row>
    <row r="35" spans="3:56" ht="25.5" thickBot="1" x14ac:dyDescent="0.4">
      <c r="C35" s="9"/>
      <c r="I35" s="208">
        <v>45</v>
      </c>
      <c r="J35" s="414" t="s">
        <v>3272</v>
      </c>
      <c r="K35" s="64">
        <v>45.229079999999996</v>
      </c>
      <c r="L35" s="1267" t="str">
        <f t="shared" si="0"/>
        <v>Tuerca Tina  Inserto para Madera - M 6</v>
      </c>
      <c r="M35" s="64">
        <f t="shared" si="1"/>
        <v>159</v>
      </c>
      <c r="N35" s="211">
        <f t="shared" si="2"/>
        <v>24.875993999999999</v>
      </c>
      <c r="S35" s="107"/>
      <c r="T35" s="108"/>
      <c r="U35" s="108"/>
      <c r="V35" s="107"/>
      <c r="W35" s="107"/>
      <c r="X35" s="108" t="s">
        <v>8754</v>
      </c>
      <c r="Y35" s="109"/>
      <c r="Z35" s="126"/>
      <c r="AA35" s="106"/>
      <c r="AB35" s="155" t="s">
        <v>8799</v>
      </c>
      <c r="AC35" s="106"/>
      <c r="AK35" s="158">
        <v>45</v>
      </c>
      <c r="AL35" s="158" t="s">
        <v>3272</v>
      </c>
      <c r="AM35" s="159">
        <v>45.229079999999996</v>
      </c>
      <c r="BB35" s="1060">
        <v>31</v>
      </c>
      <c r="BC35" s="1052" t="s">
        <v>3127</v>
      </c>
      <c r="BD35" s="1057">
        <v>31</v>
      </c>
    </row>
    <row r="36" spans="3:56" ht="25.5" thickBot="1" x14ac:dyDescent="0.4">
      <c r="C36" s="9"/>
      <c r="I36" s="208">
        <v>46</v>
      </c>
      <c r="J36" s="414" t="s">
        <v>3275</v>
      </c>
      <c r="K36" s="64">
        <v>59.617350000000002</v>
      </c>
      <c r="L36" s="1267" t="str">
        <f t="shared" si="0"/>
        <v>Tuerca Tina  Inserto para Madera - W 5/16</v>
      </c>
      <c r="M36" s="64">
        <f t="shared" si="1"/>
        <v>174</v>
      </c>
      <c r="N36" s="211">
        <f t="shared" si="2"/>
        <v>32.789542500000003</v>
      </c>
      <c r="S36" s="110"/>
      <c r="T36" s="111"/>
      <c r="U36" s="111"/>
      <c r="V36" s="111"/>
      <c r="W36" s="111"/>
      <c r="X36" s="111"/>
      <c r="Y36" s="133"/>
      <c r="Z36" s="113"/>
      <c r="AA36" s="132"/>
      <c r="AB36" s="113"/>
      <c r="AC36" s="106"/>
      <c r="AK36" s="156">
        <v>46</v>
      </c>
      <c r="AL36" s="156" t="s">
        <v>3275</v>
      </c>
      <c r="AM36" s="157">
        <v>59.617350000000002</v>
      </c>
      <c r="BB36" s="1060">
        <v>32</v>
      </c>
      <c r="BC36" s="1052" t="s">
        <v>3129</v>
      </c>
      <c r="BD36" s="1057">
        <v>32</v>
      </c>
    </row>
    <row r="37" spans="3:56" ht="25.5" thickBot="1" x14ac:dyDescent="0.4">
      <c r="C37" s="9"/>
      <c r="I37" s="209">
        <v>47</v>
      </c>
      <c r="J37" s="416" t="s">
        <v>3278</v>
      </c>
      <c r="K37" s="65">
        <v>59.617350000000002</v>
      </c>
      <c r="L37" s="1267" t="str">
        <f t="shared" si="0"/>
        <v>Tuerca Tina  Inserto para Madera - M 8</v>
      </c>
      <c r="M37" s="64">
        <f t="shared" si="1"/>
        <v>174</v>
      </c>
      <c r="N37" s="212">
        <f>+K37*0.55</f>
        <v>32.789542500000003</v>
      </c>
      <c r="S37" s="110"/>
      <c r="T37" s="114">
        <v>4</v>
      </c>
      <c r="U37" s="114">
        <v>11.3</v>
      </c>
      <c r="V37" s="114" t="s">
        <v>4463</v>
      </c>
      <c r="W37" s="114">
        <v>0.2</v>
      </c>
      <c r="X37" s="114" t="s">
        <v>4463</v>
      </c>
      <c r="Y37" s="115"/>
      <c r="Z37" s="114">
        <f>IFERROR(VLOOKUP(S37,CODIGOS_Y_COSTOS[[CODIGO]:[COSTO]],2,0),0)</f>
        <v>0</v>
      </c>
      <c r="AA37" s="132"/>
      <c r="AB37" s="116"/>
      <c r="AC37" s="106"/>
      <c r="AK37" s="158">
        <v>47</v>
      </c>
      <c r="AL37" s="158" t="s">
        <v>3278</v>
      </c>
      <c r="AM37" s="159">
        <v>59.617350000000002</v>
      </c>
      <c r="BB37" s="1060">
        <v>37</v>
      </c>
      <c r="BC37" s="1052" t="s">
        <v>3131</v>
      </c>
      <c r="BD37" s="1057">
        <v>37</v>
      </c>
    </row>
    <row r="38" spans="3:56" ht="25.5" thickBot="1" x14ac:dyDescent="0.4">
      <c r="C38" s="9"/>
      <c r="I38" s="209">
        <v>48</v>
      </c>
      <c r="J38" s="416" t="s">
        <v>3278</v>
      </c>
      <c r="K38" s="65">
        <v>59.617350000000002</v>
      </c>
      <c r="L38" s="1267" t="str">
        <f t="shared" si="0"/>
        <v>Tuerca Tina  Inserto para Madera - M 10</v>
      </c>
      <c r="M38" s="64">
        <f t="shared" si="1"/>
        <v>0</v>
      </c>
      <c r="N38" s="212">
        <f>+K38*0.55</f>
        <v>32.789542500000003</v>
      </c>
      <c r="S38" s="205"/>
      <c r="T38" s="114">
        <v>5</v>
      </c>
      <c r="U38" s="114">
        <v>11.3</v>
      </c>
      <c r="V38" s="114" t="s">
        <v>4463</v>
      </c>
      <c r="W38" s="114">
        <v>0.2</v>
      </c>
      <c r="X38" s="114" t="s">
        <v>4463</v>
      </c>
      <c r="Y38" s="115"/>
      <c r="Z38" s="114">
        <f>IFERROR(VLOOKUP(S38,CODIGOS_Y_COSTOS[[CODIGO]:[COSTO]],2,0),0)</f>
        <v>0</v>
      </c>
      <c r="AA38" s="132"/>
      <c r="AB38" s="116"/>
      <c r="AC38" s="106"/>
      <c r="BB38" s="1060">
        <v>38</v>
      </c>
      <c r="BC38" s="1052" t="s">
        <v>18178</v>
      </c>
      <c r="BD38" s="1057" t="s">
        <v>4463</v>
      </c>
    </row>
    <row r="39" spans="3:56" ht="23.25" x14ac:dyDescent="0.35">
      <c r="C39" s="9"/>
      <c r="S39" s="205" t="str">
        <f>+$S$34&amp;" - "&amp;T39</f>
        <v>Aranlock  - 6</v>
      </c>
      <c r="T39" s="114">
        <v>6</v>
      </c>
      <c r="U39" s="114">
        <v>16</v>
      </c>
      <c r="V39" s="114" t="s">
        <v>4463</v>
      </c>
      <c r="W39" s="114">
        <v>0.3</v>
      </c>
      <c r="X39" s="114" t="s">
        <v>4463</v>
      </c>
      <c r="Y39" s="115"/>
      <c r="Z39" s="114">
        <f>IFERROR(VLOOKUP(S39,CODIGOS_Y_COSTOS[[CODIGO]:[COSTO]],2,0),0)</f>
        <v>0</v>
      </c>
      <c r="AA39" s="132"/>
      <c r="AB39" s="116">
        <v>32</v>
      </c>
      <c r="AC39" s="106"/>
      <c r="BB39" s="1060">
        <v>39</v>
      </c>
      <c r="BC39" s="1052" t="s">
        <v>18179</v>
      </c>
      <c r="BD39" s="1057" t="s">
        <v>4463</v>
      </c>
    </row>
    <row r="40" spans="3:56" ht="23.25" x14ac:dyDescent="0.35">
      <c r="C40" s="9"/>
      <c r="S40" s="205" t="str">
        <f>+$S$34&amp;" - "&amp;T40</f>
        <v>Aranlock  - 7</v>
      </c>
      <c r="T40" s="114">
        <v>7</v>
      </c>
      <c r="U40" s="114">
        <v>16</v>
      </c>
      <c r="V40" s="114" t="s">
        <v>4463</v>
      </c>
      <c r="W40" s="114">
        <v>0.3</v>
      </c>
      <c r="X40" s="114"/>
      <c r="Y40" s="115"/>
      <c r="Z40" s="114">
        <f>IFERROR(VLOOKUP(S40,CODIGOS_Y_COSTOS[[CODIGO]:[COSTO]],2,0),0)</f>
        <v>0</v>
      </c>
      <c r="AA40" s="132"/>
      <c r="AB40" s="116">
        <v>33</v>
      </c>
      <c r="AC40" s="106"/>
      <c r="BB40" s="1060">
        <v>40</v>
      </c>
      <c r="BC40" s="1052" t="s">
        <v>3133</v>
      </c>
      <c r="BD40" s="1057">
        <v>40</v>
      </c>
    </row>
    <row r="41" spans="3:56" ht="23.25" x14ac:dyDescent="0.35">
      <c r="C41" s="9"/>
      <c r="S41" s="205" t="str">
        <f>+$S$34&amp;" - "&amp;T41&amp;" D="&amp;U41</f>
        <v>Aranlock  - 8 D=16</v>
      </c>
      <c r="T41" s="114">
        <v>8</v>
      </c>
      <c r="U41" s="114">
        <v>16</v>
      </c>
      <c r="V41" s="114" t="s">
        <v>4463</v>
      </c>
      <c r="W41" s="114">
        <v>0.3</v>
      </c>
      <c r="X41" s="114" t="s">
        <v>4463</v>
      </c>
      <c r="Y41" s="115"/>
      <c r="Z41" s="114">
        <f>IFERROR(VLOOKUP(S41,CODIGOS_Y_COSTOS[[CODIGO]:[COSTO]],2,0),0)</f>
        <v>0</v>
      </c>
      <c r="AA41" s="132"/>
      <c r="AB41" s="116">
        <v>34</v>
      </c>
      <c r="AC41" s="106"/>
      <c r="BB41" s="1060">
        <v>41</v>
      </c>
      <c r="BC41" s="1052" t="s">
        <v>3135</v>
      </c>
      <c r="BD41" s="1057">
        <v>41</v>
      </c>
    </row>
    <row r="42" spans="3:56" ht="23.25" x14ac:dyDescent="0.35">
      <c r="C42" s="9"/>
      <c r="S42" s="205" t="str">
        <f>+$S$34&amp;" - "&amp;T42</f>
        <v>Aranlock  - 10</v>
      </c>
      <c r="T42" s="114">
        <v>10</v>
      </c>
      <c r="U42" s="114">
        <v>18</v>
      </c>
      <c r="V42" s="114" t="s">
        <v>4463</v>
      </c>
      <c r="W42" s="114">
        <v>0.30000000000000004</v>
      </c>
      <c r="X42" s="114"/>
      <c r="Y42" s="115"/>
      <c r="Z42" s="114">
        <f>IFERROR(VLOOKUP(S42,CODIGOS_Y_COSTOS[[CODIGO]:[COSTO]],2,0),0)</f>
        <v>0</v>
      </c>
      <c r="AA42" s="132"/>
      <c r="AB42" s="116">
        <v>36</v>
      </c>
      <c r="AC42" s="106"/>
      <c r="BB42" s="1060">
        <v>43</v>
      </c>
      <c r="BC42" s="1052" t="s">
        <v>3137</v>
      </c>
      <c r="BD42" s="1057">
        <v>43</v>
      </c>
    </row>
    <row r="43" spans="3:56" ht="23.25" x14ac:dyDescent="0.35">
      <c r="C43" s="9"/>
      <c r="S43" s="205"/>
      <c r="T43" s="114">
        <v>8</v>
      </c>
      <c r="U43" s="114">
        <v>21</v>
      </c>
      <c r="V43" s="114" t="s">
        <v>4463</v>
      </c>
      <c r="W43" s="114">
        <v>0.3</v>
      </c>
      <c r="X43" s="114"/>
      <c r="Y43" s="115"/>
      <c r="Z43" s="114">
        <f>IFERROR(VLOOKUP(S43,CODIGOS_Y_COSTOS[[CODIGO]:[COSTO]],2,0),0)</f>
        <v>0</v>
      </c>
      <c r="AA43" s="132"/>
      <c r="AB43" s="116"/>
      <c r="AC43" s="106"/>
      <c r="BB43" s="1060">
        <v>44</v>
      </c>
      <c r="BC43" s="1052" t="s">
        <v>18180</v>
      </c>
      <c r="BD43" s="1057" t="s">
        <v>4463</v>
      </c>
    </row>
    <row r="44" spans="3:56" ht="23.25" x14ac:dyDescent="0.35">
      <c r="S44" s="110"/>
      <c r="T44" s="117">
        <v>10</v>
      </c>
      <c r="U44" s="117">
        <v>21</v>
      </c>
      <c r="V44" s="117" t="s">
        <v>4463</v>
      </c>
      <c r="W44" s="114">
        <v>0.3</v>
      </c>
      <c r="X44" s="117"/>
      <c r="Y44" s="115"/>
      <c r="Z44" s="114">
        <f>IFERROR(VLOOKUP(S44,CODIGOS_Y_COSTOS[[CODIGO]:[COSTO]],2,0),0)</f>
        <v>0</v>
      </c>
      <c r="AA44" s="132"/>
      <c r="AB44" s="116"/>
      <c r="AC44" s="106"/>
      <c r="BB44" s="1060">
        <v>45</v>
      </c>
      <c r="BC44" s="1052" t="s">
        <v>18180</v>
      </c>
      <c r="BD44" s="1057" t="s">
        <v>4463</v>
      </c>
    </row>
    <row r="45" spans="3:56" ht="23.25" x14ac:dyDescent="0.35">
      <c r="S45" s="110"/>
      <c r="T45" s="117">
        <v>12</v>
      </c>
      <c r="U45" s="117">
        <v>21</v>
      </c>
      <c r="V45" s="117" t="s">
        <v>4463</v>
      </c>
      <c r="W45" s="114">
        <v>0.3</v>
      </c>
      <c r="X45" s="117"/>
      <c r="Y45" s="115"/>
      <c r="Z45" s="114">
        <f>IFERROR(VLOOKUP(S45,CODIGOS_Y_COSTOS[[CODIGO]:[COSTO]],2,0),0)</f>
        <v>0</v>
      </c>
      <c r="AA45" s="132"/>
      <c r="AB45" s="116"/>
      <c r="AC45" s="106"/>
      <c r="BB45" s="1060">
        <v>47</v>
      </c>
      <c r="BC45" s="1052" t="s">
        <v>18181</v>
      </c>
      <c r="BD45" s="1057">
        <v>47</v>
      </c>
    </row>
    <row r="46" spans="3:56" ht="23.25" x14ac:dyDescent="0.35">
      <c r="S46" s="110"/>
      <c r="T46" s="117"/>
      <c r="U46" s="117"/>
      <c r="V46" s="117"/>
      <c r="W46" s="117"/>
      <c r="X46" s="117"/>
      <c r="Y46" s="134"/>
      <c r="Z46" s="135"/>
      <c r="AA46" s="132"/>
      <c r="AB46" s="135"/>
      <c r="AC46" s="106"/>
      <c r="BB46" s="1060">
        <v>48</v>
      </c>
      <c r="BC46" s="1052" t="s">
        <v>18182</v>
      </c>
      <c r="BD46" s="1057">
        <v>5</v>
      </c>
    </row>
    <row r="47" spans="3:56" ht="24" thickBot="1" x14ac:dyDescent="0.4">
      <c r="S47" s="118"/>
      <c r="T47" s="119"/>
      <c r="U47" s="119"/>
      <c r="V47" s="119"/>
      <c r="W47" s="119"/>
      <c r="X47" s="119"/>
      <c r="Y47" s="120"/>
      <c r="Z47" s="121"/>
      <c r="AA47" s="132"/>
      <c r="AB47" s="121"/>
      <c r="AC47" s="106"/>
      <c r="BB47" s="1060">
        <v>49</v>
      </c>
      <c r="BC47" s="1052" t="s">
        <v>3141</v>
      </c>
      <c r="BD47" s="1057">
        <v>49</v>
      </c>
    </row>
    <row r="48" spans="3:56" ht="24" thickBot="1" x14ac:dyDescent="0.4">
      <c r="S48" s="106"/>
      <c r="T48" s="122"/>
      <c r="U48" s="122"/>
      <c r="V48" s="122"/>
      <c r="W48" s="122"/>
      <c r="X48" s="122"/>
      <c r="Y48" s="123"/>
      <c r="Z48" s="124"/>
      <c r="AA48" s="122"/>
      <c r="AB48" s="124"/>
      <c r="AC48" s="106"/>
      <c r="BB48" s="1060">
        <v>50</v>
      </c>
      <c r="BC48" s="1052" t="s">
        <v>18183</v>
      </c>
      <c r="BD48" s="1057">
        <v>2</v>
      </c>
    </row>
    <row r="49" spans="19:56" ht="23.25" x14ac:dyDescent="0.35">
      <c r="S49" s="103" t="s">
        <v>18184</v>
      </c>
      <c r="T49" s="104" t="s">
        <v>18155</v>
      </c>
      <c r="U49" s="104" t="s">
        <v>18163</v>
      </c>
      <c r="V49" s="104" t="s">
        <v>18185</v>
      </c>
      <c r="W49" s="104" t="s">
        <v>18186</v>
      </c>
      <c r="X49" s="104" t="s">
        <v>18187</v>
      </c>
      <c r="Y49" s="105"/>
      <c r="Z49" s="125" t="s">
        <v>18143</v>
      </c>
      <c r="AA49" s="122"/>
      <c r="AB49" s="154" t="s">
        <v>4624</v>
      </c>
      <c r="AC49" s="106"/>
      <c r="BB49" s="1060">
        <v>51</v>
      </c>
      <c r="BC49" s="1052" t="s">
        <v>18188</v>
      </c>
      <c r="BD49" s="1057">
        <v>4</v>
      </c>
    </row>
    <row r="50" spans="19:56" ht="24" thickBot="1" x14ac:dyDescent="0.4">
      <c r="S50" s="107"/>
      <c r="T50" s="108"/>
      <c r="U50" s="108"/>
      <c r="V50" s="108"/>
      <c r="W50" s="108"/>
      <c r="X50" s="107" t="s">
        <v>18189</v>
      </c>
      <c r="Y50" s="109"/>
      <c r="Z50" s="126"/>
      <c r="AA50" s="122"/>
      <c r="AB50" s="155" t="s">
        <v>8799</v>
      </c>
      <c r="AC50" s="106"/>
      <c r="BB50" s="1060">
        <v>52</v>
      </c>
      <c r="BC50" s="1052" t="s">
        <v>18190</v>
      </c>
      <c r="BD50" s="1057" t="s">
        <v>4463</v>
      </c>
    </row>
    <row r="51" spans="19:56" ht="23.25" x14ac:dyDescent="0.35">
      <c r="S51" s="110"/>
      <c r="T51" s="114"/>
      <c r="U51" s="114"/>
      <c r="V51" s="114"/>
      <c r="W51" s="114"/>
      <c r="X51" s="114"/>
      <c r="Y51" s="114"/>
      <c r="Z51" s="116"/>
      <c r="AA51" s="122"/>
      <c r="AB51" s="116"/>
      <c r="AC51" s="106"/>
      <c r="BB51" s="1060">
        <v>53</v>
      </c>
      <c r="BC51" s="1052" t="s">
        <v>4860</v>
      </c>
      <c r="BD51" s="1057">
        <v>53</v>
      </c>
    </row>
    <row r="52" spans="19:56" ht="23.25" x14ac:dyDescent="0.35">
      <c r="S52" s="205" t="str">
        <f>+$S$49&amp;" - "&amp;T52&amp;T49&amp;" a="&amp;V52</f>
        <v>Tuerca Jaula - 5mm a=8x8</v>
      </c>
      <c r="T52" s="114">
        <v>5</v>
      </c>
      <c r="U52" s="114" t="s">
        <v>4463</v>
      </c>
      <c r="V52" s="114" t="s">
        <v>18191</v>
      </c>
      <c r="W52" s="114" t="s">
        <v>18192</v>
      </c>
      <c r="X52" s="114">
        <v>285.60000000000002</v>
      </c>
      <c r="Y52" s="114"/>
      <c r="Z52" s="114">
        <f>+VLOOKUP(S52,CODIGOS_Y_COSTOS[[CODIGO]:[COSTO]],2,0)</f>
        <v>203</v>
      </c>
      <c r="AA52" s="122"/>
      <c r="AB52" s="116">
        <v>12</v>
      </c>
      <c r="AC52" s="106">
        <v>185</v>
      </c>
      <c r="BB52" s="1060">
        <v>54</v>
      </c>
      <c r="BC52" s="1052" t="s">
        <v>4862</v>
      </c>
      <c r="BD52" s="1057">
        <v>54</v>
      </c>
    </row>
    <row r="53" spans="19:56" ht="23.25" x14ac:dyDescent="0.35">
      <c r="S53" s="205"/>
      <c r="T53" s="114" t="s">
        <v>4463</v>
      </c>
      <c r="U53" s="1268" t="s">
        <v>18193</v>
      </c>
      <c r="V53" s="131" t="s">
        <v>18191</v>
      </c>
      <c r="W53" s="114" t="s">
        <v>18192</v>
      </c>
      <c r="X53" s="114">
        <v>285.60000000000002</v>
      </c>
      <c r="Y53" s="115"/>
      <c r="Z53" s="114">
        <f>+VLOOKUP(S53,CODIGOS_Y_COSTOS[[CODIGO]:[COSTO]],2,0)</f>
        <v>0</v>
      </c>
      <c r="AA53" s="122"/>
      <c r="AB53" s="116"/>
      <c r="AC53" s="106"/>
      <c r="BB53" s="1060">
        <v>55</v>
      </c>
      <c r="BC53" s="1052" t="s">
        <v>4864</v>
      </c>
      <c r="BD53" s="1057">
        <v>55</v>
      </c>
    </row>
    <row r="54" spans="19:56" ht="23.25" x14ac:dyDescent="0.35">
      <c r="S54" s="205"/>
      <c r="T54" s="114">
        <v>5</v>
      </c>
      <c r="U54" s="114" t="s">
        <v>4463</v>
      </c>
      <c r="V54" s="114" t="s">
        <v>18194</v>
      </c>
      <c r="W54" s="114" t="s">
        <v>18192</v>
      </c>
      <c r="X54" s="114" t="s">
        <v>4463</v>
      </c>
      <c r="Y54" s="115"/>
      <c r="Z54" s="114">
        <f>+VLOOKUP(S54,CODIGOS_Y_COSTOS[[CODIGO]:[COSTO]],2,0)</f>
        <v>0</v>
      </c>
      <c r="AA54" s="122"/>
      <c r="AB54" s="116"/>
      <c r="AC54" s="106"/>
      <c r="BB54" s="1060">
        <v>56</v>
      </c>
      <c r="BC54" s="1052" t="s">
        <v>4866</v>
      </c>
      <c r="BD54" s="1057">
        <v>56</v>
      </c>
    </row>
    <row r="55" spans="19:56" ht="23.25" x14ac:dyDescent="0.35">
      <c r="S55" s="205"/>
      <c r="T55" s="114" t="s">
        <v>4463</v>
      </c>
      <c r="U55" s="131"/>
      <c r="V55" s="114"/>
      <c r="W55" s="114"/>
      <c r="X55" s="114"/>
      <c r="Y55" s="138"/>
      <c r="Z55" s="116"/>
      <c r="AA55" s="122"/>
      <c r="AB55" s="116"/>
      <c r="AC55" s="106"/>
      <c r="BB55" s="1060">
        <v>57</v>
      </c>
      <c r="BC55" s="1052" t="s">
        <v>3149</v>
      </c>
      <c r="BD55" s="1057">
        <v>57</v>
      </c>
    </row>
    <row r="56" spans="19:56" ht="23.25" x14ac:dyDescent="0.35">
      <c r="S56" s="205" t="str">
        <f>+S49&amp;" - "&amp;T56&amp;T49&amp;" a="&amp;V56</f>
        <v>Tuerca Jaula - 6mm a=8x8</v>
      </c>
      <c r="T56" s="114">
        <v>6</v>
      </c>
      <c r="U56" s="131" t="s">
        <v>4463</v>
      </c>
      <c r="V56" s="136" t="s">
        <v>18191</v>
      </c>
      <c r="W56" s="136" t="s">
        <v>18192</v>
      </c>
      <c r="X56" s="114">
        <v>285.60000000000002</v>
      </c>
      <c r="Y56" s="115"/>
      <c r="Z56" s="114">
        <f>+VLOOKUP(S56,CODIGOS_Y_COSTOS[[CODIGO]:[COSTO]],2,0)</f>
        <v>203</v>
      </c>
      <c r="AA56" s="122"/>
      <c r="AB56" s="116">
        <v>13</v>
      </c>
      <c r="AC56" s="106">
        <v>185</v>
      </c>
      <c r="BB56" s="1060">
        <v>58</v>
      </c>
      <c r="BC56" s="1052" t="s">
        <v>3152</v>
      </c>
      <c r="BD56" s="1057">
        <v>58</v>
      </c>
    </row>
    <row r="57" spans="19:56" ht="24" thickBot="1" x14ac:dyDescent="0.4">
      <c r="S57" s="205"/>
      <c r="T57" s="114" t="s">
        <v>4463</v>
      </c>
      <c r="U57" s="131" t="s">
        <v>18168</v>
      </c>
      <c r="V57" s="131" t="s">
        <v>18191</v>
      </c>
      <c r="W57" s="114" t="s">
        <v>18192</v>
      </c>
      <c r="X57" s="114">
        <v>285.60000000000002</v>
      </c>
      <c r="Y57" s="115"/>
      <c r="Z57" s="114">
        <f>+VLOOKUP(S57,CODIGOS_Y_COSTOS[[CODIGO]:[COSTO]],2,0)</f>
        <v>0</v>
      </c>
      <c r="AA57" s="122"/>
      <c r="AB57" s="116"/>
      <c r="AC57" s="106"/>
      <c r="BB57" s="1061">
        <v>59</v>
      </c>
      <c r="BC57" s="1054" t="s">
        <v>3155</v>
      </c>
      <c r="BD57" s="1058">
        <v>59</v>
      </c>
    </row>
    <row r="58" spans="19:56" ht="23.25" x14ac:dyDescent="0.35">
      <c r="S58" s="205"/>
      <c r="T58" s="114">
        <v>6</v>
      </c>
      <c r="U58" s="131" t="s">
        <v>4463</v>
      </c>
      <c r="V58" s="114" t="s">
        <v>18194</v>
      </c>
      <c r="W58" s="114" t="s">
        <v>18192</v>
      </c>
      <c r="X58" s="114">
        <v>321.3</v>
      </c>
      <c r="Y58" s="115"/>
      <c r="Z58" s="114">
        <f>+VLOOKUP(S58,CODIGOS_Y_COSTOS[[CODIGO]:[COSTO]],2,0)</f>
        <v>0</v>
      </c>
      <c r="AA58" s="122"/>
      <c r="AB58" s="116"/>
      <c r="AC58" s="106"/>
    </row>
    <row r="59" spans="19:56" ht="23.25" x14ac:dyDescent="0.35">
      <c r="S59" s="110"/>
      <c r="T59" s="114" t="s">
        <v>4463</v>
      </c>
      <c r="U59" s="131"/>
      <c r="V59" s="114"/>
      <c r="W59" s="114"/>
      <c r="X59" s="114"/>
      <c r="Y59" s="115"/>
      <c r="Z59" s="116"/>
      <c r="AA59" s="122"/>
      <c r="AB59" s="116"/>
      <c r="AC59" s="106"/>
    </row>
    <row r="60" spans="19:56" ht="23.25" x14ac:dyDescent="0.35">
      <c r="S60" s="110"/>
      <c r="T60" s="114" t="s">
        <v>18195</v>
      </c>
      <c r="U60" s="131"/>
      <c r="V60" s="114" t="s">
        <v>18196</v>
      </c>
      <c r="W60" s="114" t="s">
        <v>18197</v>
      </c>
      <c r="X60" s="114"/>
      <c r="Y60" s="139"/>
      <c r="Z60" s="114">
        <v>0.25</v>
      </c>
      <c r="AA60" s="122"/>
      <c r="AB60" s="116"/>
      <c r="AC60" s="106"/>
    </row>
    <row r="61" spans="19:56" ht="23.25" x14ac:dyDescent="0.35">
      <c r="S61" s="110"/>
      <c r="T61" s="114" t="s">
        <v>18198</v>
      </c>
      <c r="U61" s="131"/>
      <c r="V61" s="114" t="s">
        <v>18196</v>
      </c>
      <c r="W61" s="114" t="s">
        <v>18197</v>
      </c>
      <c r="X61" s="114"/>
      <c r="Y61" s="139"/>
      <c r="Z61" s="114">
        <v>0.25</v>
      </c>
      <c r="AA61" s="122"/>
      <c r="AB61" s="116"/>
      <c r="AC61" s="106"/>
    </row>
    <row r="62" spans="19:56" ht="24" thickBot="1" x14ac:dyDescent="0.4">
      <c r="S62" s="118"/>
      <c r="T62" s="119" t="s">
        <v>18199</v>
      </c>
      <c r="U62" s="119"/>
      <c r="V62" s="119"/>
      <c r="W62" s="119"/>
      <c r="X62" s="119"/>
      <c r="Y62" s="120"/>
      <c r="Z62" s="121" t="s">
        <v>4463</v>
      </c>
      <c r="AA62" s="122"/>
      <c r="AB62" s="121"/>
      <c r="AC62" s="106"/>
    </row>
    <row r="63" spans="19:56" ht="23.25" x14ac:dyDescent="0.35">
      <c r="S63" s="106"/>
      <c r="T63" s="122"/>
      <c r="U63" s="122"/>
      <c r="V63" s="122"/>
      <c r="W63" s="122"/>
      <c r="X63" s="122"/>
      <c r="Y63" s="123"/>
      <c r="Z63" s="124"/>
      <c r="AA63" s="122"/>
      <c r="AB63" s="124"/>
      <c r="AC63" s="106"/>
    </row>
    <row r="64" spans="19:56" ht="24" thickBot="1" x14ac:dyDescent="0.4">
      <c r="S64" s="106"/>
      <c r="T64" s="122"/>
      <c r="U64" s="122"/>
      <c r="V64" s="122"/>
      <c r="W64" s="122"/>
      <c r="X64" s="122"/>
      <c r="Y64" s="123"/>
      <c r="Z64" s="124"/>
      <c r="AA64" s="122"/>
      <c r="AB64" s="124"/>
      <c r="AC64" s="106"/>
    </row>
    <row r="65" spans="19:30" ht="23.25" x14ac:dyDescent="0.35">
      <c r="S65" s="103" t="s">
        <v>18200</v>
      </c>
      <c r="T65" s="104" t="s">
        <v>18155</v>
      </c>
      <c r="U65" s="104" t="s">
        <v>18140</v>
      </c>
      <c r="V65" s="104" t="s">
        <v>18141</v>
      </c>
      <c r="W65" s="104" t="s">
        <v>18142</v>
      </c>
      <c r="X65" s="104"/>
      <c r="Y65" s="105"/>
      <c r="Z65" s="125" t="s">
        <v>18143</v>
      </c>
      <c r="AA65" s="122"/>
      <c r="AB65" s="154" t="s">
        <v>4624</v>
      </c>
      <c r="AC65" s="106"/>
    </row>
    <row r="66" spans="19:30" ht="24" thickBot="1" x14ac:dyDescent="0.4">
      <c r="S66" s="107" t="s">
        <v>18201</v>
      </c>
      <c r="T66" s="108"/>
      <c r="U66" s="108"/>
      <c r="V66" s="108"/>
      <c r="W66" s="108"/>
      <c r="X66" s="108"/>
      <c r="Y66" s="109"/>
      <c r="Z66" s="126"/>
      <c r="AA66" s="122"/>
      <c r="AB66" s="155" t="s">
        <v>8799</v>
      </c>
      <c r="AC66" s="106"/>
    </row>
    <row r="67" spans="19:30" ht="23.25" x14ac:dyDescent="0.35">
      <c r="S67" s="110"/>
      <c r="T67" s="111"/>
      <c r="U67" s="111"/>
      <c r="V67" s="111"/>
      <c r="W67" s="111"/>
      <c r="X67" s="111"/>
      <c r="Y67" s="133"/>
      <c r="Z67" s="113"/>
      <c r="AA67" s="122"/>
      <c r="AB67" s="113"/>
      <c r="AC67" s="106"/>
    </row>
    <row r="68" spans="19:30" ht="23.25" x14ac:dyDescent="0.35">
      <c r="S68" s="203" t="str">
        <f>+$S$65&amp;$S$66&amp;" - "&amp;T68&amp;T65</f>
        <v>Tuerca Reten Embutida - 5mm</v>
      </c>
      <c r="T68" s="114">
        <v>5</v>
      </c>
      <c r="U68" s="114">
        <v>22</v>
      </c>
      <c r="V68" s="114">
        <v>15</v>
      </c>
      <c r="W68" s="114">
        <v>12</v>
      </c>
      <c r="X68" s="114" t="s">
        <v>4463</v>
      </c>
      <c r="Y68" s="138" t="s">
        <v>18202</v>
      </c>
      <c r="Z68" s="114">
        <f>+VLOOKUP(S68,CODIGOS_Y_COSTOS[[CODIGO]:[COSTO]],2,0)</f>
        <v>189</v>
      </c>
      <c r="AA68" s="122"/>
      <c r="AB68" s="116">
        <v>9</v>
      </c>
      <c r="AC68" s="106">
        <v>172</v>
      </c>
    </row>
    <row r="69" spans="19:30" ht="23.25" x14ac:dyDescent="0.35">
      <c r="S69" s="203" t="str">
        <f>+$S$65&amp;$S$66&amp;" - "&amp;T69&amp;$T$65</f>
        <v>Tuerca Reten Embutida - 6mm</v>
      </c>
      <c r="T69" s="117">
        <v>6</v>
      </c>
      <c r="U69" s="117">
        <v>22</v>
      </c>
      <c r="V69" s="117">
        <v>15</v>
      </c>
      <c r="W69" s="117">
        <v>12</v>
      </c>
      <c r="X69" s="117" t="s">
        <v>4463</v>
      </c>
      <c r="Y69" s="138" t="s">
        <v>18202</v>
      </c>
      <c r="Z69" s="114">
        <f>+VLOOKUP(S69,CODIGOS_Y_COSTOS[[CODIGO]:[COSTO]],2,0)</f>
        <v>189</v>
      </c>
      <c r="AA69" s="122"/>
      <c r="AB69" s="116">
        <v>10</v>
      </c>
      <c r="AC69" s="106">
        <v>172</v>
      </c>
    </row>
    <row r="70" spans="19:30" ht="23.25" x14ac:dyDescent="0.35">
      <c r="S70" s="203" t="str">
        <f>+$S$65&amp;$S$66&amp;" - "&amp;T70&amp;$T$65</f>
        <v>Tuerca Reten Embutida - Moto 5mm</v>
      </c>
      <c r="T70" s="117" t="s">
        <v>18203</v>
      </c>
      <c r="U70" s="117">
        <v>17</v>
      </c>
      <c r="V70" s="117">
        <v>11</v>
      </c>
      <c r="W70" s="117">
        <v>8.5</v>
      </c>
      <c r="X70" s="117"/>
      <c r="Y70" s="138" t="s">
        <v>18204</v>
      </c>
      <c r="Z70" s="114">
        <f>+VLOOKUP(S70,CODIGOS_Y_COSTOS[[CODIGO]:[COSTO]],2,0)</f>
        <v>145</v>
      </c>
      <c r="AA70" s="122"/>
      <c r="AB70" s="116" t="s">
        <v>18205</v>
      </c>
      <c r="AC70" s="106">
        <v>132</v>
      </c>
    </row>
    <row r="71" spans="19:30" ht="23.25" x14ac:dyDescent="0.35">
      <c r="S71" s="203" t="str">
        <f>+$S$65&amp;$S$66&amp;" - "&amp;T71&amp;$T$65</f>
        <v>Tuerca Reten Embutida - Moto 6mm</v>
      </c>
      <c r="T71" s="117" t="s">
        <v>18206</v>
      </c>
      <c r="U71" s="117">
        <v>17</v>
      </c>
      <c r="V71" s="117">
        <v>11</v>
      </c>
      <c r="W71" s="117">
        <v>8.5</v>
      </c>
      <c r="X71" s="117"/>
      <c r="Y71" s="138" t="s">
        <v>18204</v>
      </c>
      <c r="Z71" s="114">
        <f>+VLOOKUP(S71,CODIGOS_Y_COSTOS[[CODIGO]:[COSTO]],2,0)</f>
        <v>145</v>
      </c>
      <c r="AA71" s="122"/>
      <c r="AB71" s="116" t="s">
        <v>18207</v>
      </c>
      <c r="AC71" s="106">
        <v>132</v>
      </c>
    </row>
    <row r="72" spans="19:30" ht="23.25" x14ac:dyDescent="0.35">
      <c r="S72" s="203"/>
      <c r="T72" s="117"/>
      <c r="U72" s="117"/>
      <c r="V72" s="117"/>
      <c r="W72" s="117"/>
      <c r="X72" s="117"/>
      <c r="Y72" s="140"/>
      <c r="Z72" s="135"/>
      <c r="AA72" s="122"/>
      <c r="AB72" s="135"/>
      <c r="AC72" s="106"/>
    </row>
    <row r="73" spans="19:30" ht="23.25" x14ac:dyDescent="0.35">
      <c r="S73" s="203" t="str">
        <f>+$S$65&amp;$S$66&amp;" - "&amp;T73&amp;$T$65</f>
        <v>Tuerca Reten Embutida - Larga ¼mm</v>
      </c>
      <c r="T73" s="117" t="s">
        <v>18208</v>
      </c>
      <c r="U73" s="117"/>
      <c r="V73" s="117"/>
      <c r="W73" s="117"/>
      <c r="X73" s="117"/>
      <c r="Y73" s="141"/>
      <c r="Z73" s="114">
        <f>+VLOOKUP(S73,CODIGOS_Y_COSTOS[[CODIGO]:[COSTO]],2,0)</f>
        <v>232</v>
      </c>
      <c r="AA73" s="122"/>
      <c r="AB73" s="135">
        <v>8</v>
      </c>
      <c r="AC73" s="106">
        <v>211</v>
      </c>
    </row>
    <row r="74" spans="19:30" ht="23.25" x14ac:dyDescent="0.35">
      <c r="S74" s="203" t="str">
        <f>+$S$65&amp;$S$66&amp;" - "&amp;T74&amp;$T$65</f>
        <v>Tuerca Reten Embutida - Larga M6mm</v>
      </c>
      <c r="T74" s="117" t="s">
        <v>18209</v>
      </c>
      <c r="U74" s="117"/>
      <c r="V74" s="117"/>
      <c r="W74" s="117"/>
      <c r="X74" s="117"/>
      <c r="Y74" s="141"/>
      <c r="Z74" s="114">
        <f>+VLOOKUP(S74,CODIGOS_Y_COSTOS[[CODIGO]:[COSTO]],2,0)</f>
        <v>232</v>
      </c>
      <c r="AA74" s="122"/>
      <c r="AB74" s="135">
        <v>7</v>
      </c>
      <c r="AC74" s="106">
        <v>211</v>
      </c>
    </row>
    <row r="75" spans="19:30" ht="24" thickBot="1" x14ac:dyDescent="0.4">
      <c r="S75" s="118"/>
      <c r="T75" s="119"/>
      <c r="U75" s="119"/>
      <c r="V75" s="119"/>
      <c r="W75" s="119"/>
      <c r="X75" s="119"/>
      <c r="Y75" s="120"/>
      <c r="Z75" s="121"/>
      <c r="AA75" s="122"/>
      <c r="AB75" s="121"/>
      <c r="AC75" s="106"/>
    </row>
    <row r="76" spans="19:30" ht="13.5" thickBot="1" x14ac:dyDescent="0.25">
      <c r="S76" s="137"/>
      <c r="T76" s="142"/>
      <c r="U76" s="142"/>
      <c r="V76" s="142"/>
      <c r="W76" s="142"/>
      <c r="X76" s="142"/>
      <c r="Y76" s="143"/>
      <c r="Z76" s="144"/>
      <c r="AA76" s="142"/>
      <c r="AB76" s="144"/>
      <c r="AC76" s="137"/>
    </row>
    <row r="77" spans="19:30" ht="23.25" x14ac:dyDescent="0.35">
      <c r="S77" s="103" t="s">
        <v>18210</v>
      </c>
      <c r="T77" s="104" t="s">
        <v>18211</v>
      </c>
      <c r="U77" s="104" t="s">
        <v>18140</v>
      </c>
      <c r="V77" s="104" t="s">
        <v>18141</v>
      </c>
      <c r="W77" s="104" t="s">
        <v>18142</v>
      </c>
      <c r="X77" s="104"/>
      <c r="Y77" s="104"/>
      <c r="Z77" s="125" t="s">
        <v>18143</v>
      </c>
      <c r="AA77" s="122"/>
      <c r="AB77" s="154" t="s">
        <v>4624</v>
      </c>
      <c r="AC77" s="106"/>
    </row>
    <row r="78" spans="19:30" ht="24" thickBot="1" x14ac:dyDescent="0.4">
      <c r="S78" s="107" t="s">
        <v>18212</v>
      </c>
      <c r="T78" s="108"/>
      <c r="U78" s="108"/>
      <c r="V78" s="108"/>
      <c r="W78" s="108"/>
      <c r="X78" s="108"/>
      <c r="Y78" s="108"/>
      <c r="Z78" s="126"/>
      <c r="AA78" s="122"/>
      <c r="AB78" s="155" t="s">
        <v>8799</v>
      </c>
      <c r="AC78" s="106"/>
    </row>
    <row r="79" spans="19:30" ht="23.25" x14ac:dyDescent="0.35">
      <c r="S79" s="145"/>
      <c r="T79" s="136"/>
      <c r="U79" s="136"/>
      <c r="V79" s="114"/>
      <c r="W79" s="114"/>
      <c r="X79" s="114"/>
      <c r="Y79" s="146"/>
      <c r="Z79" s="116"/>
      <c r="AA79" s="122"/>
      <c r="AB79" s="116"/>
      <c r="AC79" s="106"/>
    </row>
    <row r="80" spans="19:30" ht="23.25" x14ac:dyDescent="0.35">
      <c r="S80" s="147"/>
      <c r="T80" s="114" t="s">
        <v>18213</v>
      </c>
      <c r="U80" s="114">
        <v>15</v>
      </c>
      <c r="V80" s="114">
        <v>6</v>
      </c>
      <c r="W80" s="114">
        <v>4.5</v>
      </c>
      <c r="X80" s="114"/>
      <c r="Y80" s="148"/>
      <c r="Z80" s="114">
        <f>IFERROR(VLOOKUP(S80,CODIGOS_Y_COSTOS[[CODIGO]:[COSTO]],2,0),0)</f>
        <v>0</v>
      </c>
      <c r="AA80" s="122"/>
      <c r="AB80" s="116"/>
      <c r="AC80" s="106"/>
      <c r="AD80">
        <f>+Z80*1.1</f>
        <v>0</v>
      </c>
    </row>
    <row r="81" spans="19:30" ht="23.25" x14ac:dyDescent="0.35">
      <c r="S81" s="147"/>
      <c r="T81" s="114" t="s">
        <v>18214</v>
      </c>
      <c r="U81" s="114">
        <v>15</v>
      </c>
      <c r="V81" s="114">
        <v>6</v>
      </c>
      <c r="W81" s="114">
        <v>4.5</v>
      </c>
      <c r="X81" s="114"/>
      <c r="Y81" s="149"/>
      <c r="Z81" s="114">
        <f>IFERROR(VLOOKUP(S81,CODIGOS_Y_COSTOS[[CODIGO]:[COSTO]],2,0),0)</f>
        <v>0</v>
      </c>
      <c r="AA81" s="122"/>
      <c r="AB81" s="116"/>
      <c r="AC81" s="106"/>
      <c r="AD81">
        <f t="shared" ref="AD81:AD88" si="9">+Z81*1.1</f>
        <v>0</v>
      </c>
    </row>
    <row r="82" spans="19:30" ht="23.25" x14ac:dyDescent="0.35">
      <c r="S82" s="204" t="str">
        <f t="shared" ref="S82:S88" si="10">+$S$77&amp;$S$78&amp; " - "&amp;T82</f>
        <v>Tuerca Tina  Inserto para Madera - M 5</v>
      </c>
      <c r="T82" s="114" t="s">
        <v>18215</v>
      </c>
      <c r="U82" s="114">
        <v>15</v>
      </c>
      <c r="V82" s="114">
        <v>7.5</v>
      </c>
      <c r="W82" s="114">
        <v>6</v>
      </c>
      <c r="X82" s="114"/>
      <c r="Y82" s="149"/>
      <c r="Z82" s="114">
        <f>IFERROR(VLOOKUP(S82,CODIGOS_Y_COSTOS[[CODIGO]:[COSTO]],2,0),0)</f>
        <v>145</v>
      </c>
      <c r="AA82" s="122"/>
      <c r="AB82" s="116">
        <v>43</v>
      </c>
      <c r="AC82" s="106">
        <v>132</v>
      </c>
      <c r="AD82">
        <f t="shared" si="9"/>
        <v>159.5</v>
      </c>
    </row>
    <row r="83" spans="19:30" ht="23.25" x14ac:dyDescent="0.35">
      <c r="S83" s="204" t="str">
        <f t="shared" si="10"/>
        <v>Tuerca Tina  Inserto para Madera - W 3/16</v>
      </c>
      <c r="T83" s="114" t="s">
        <v>18216</v>
      </c>
      <c r="U83" s="114">
        <v>15</v>
      </c>
      <c r="V83" s="114">
        <v>7.5</v>
      </c>
      <c r="W83" s="114">
        <v>6</v>
      </c>
      <c r="X83" s="114"/>
      <c r="Y83" s="149"/>
      <c r="Z83" s="114">
        <f>IFERROR(VLOOKUP(S83,CODIGOS_Y_COSTOS[[CODIGO]:[COSTO]],2,0),0)</f>
        <v>145</v>
      </c>
      <c r="AA83" s="122"/>
      <c r="AB83" s="116">
        <v>42</v>
      </c>
      <c r="AC83" s="106">
        <v>132</v>
      </c>
      <c r="AD83">
        <f t="shared" si="9"/>
        <v>159.5</v>
      </c>
    </row>
    <row r="84" spans="19:30" ht="23.25" x14ac:dyDescent="0.35">
      <c r="S84" s="204" t="str">
        <f t="shared" si="10"/>
        <v>Tuerca Tina  Inserto para Madera - M 6</v>
      </c>
      <c r="T84" s="114" t="s">
        <v>18217</v>
      </c>
      <c r="U84" s="114">
        <v>18</v>
      </c>
      <c r="V84" s="114">
        <v>10</v>
      </c>
      <c r="W84" s="114">
        <v>7.5</v>
      </c>
      <c r="X84" s="114"/>
      <c r="Y84" s="139"/>
      <c r="Z84" s="114">
        <f>IFERROR(VLOOKUP(S84,CODIGOS_Y_COSTOS[[CODIGO]:[COSTO]],2,0),0)</f>
        <v>159</v>
      </c>
      <c r="AA84" s="122"/>
      <c r="AB84" s="116">
        <v>45</v>
      </c>
      <c r="AC84" s="106">
        <v>145</v>
      </c>
      <c r="AD84">
        <f t="shared" si="9"/>
        <v>174.9</v>
      </c>
    </row>
    <row r="85" spans="19:30" ht="23.25" x14ac:dyDescent="0.35">
      <c r="S85" s="204" t="str">
        <f t="shared" si="10"/>
        <v>Tuerca Tina  Inserto para Madera - W ¼</v>
      </c>
      <c r="T85" s="114" t="s">
        <v>18218</v>
      </c>
      <c r="U85" s="114">
        <v>18</v>
      </c>
      <c r="V85" s="114">
        <v>10</v>
      </c>
      <c r="W85" s="114">
        <v>7.5</v>
      </c>
      <c r="X85" s="114"/>
      <c r="Y85" s="139"/>
      <c r="Z85" s="114">
        <f>IFERROR(VLOOKUP(S85,CODIGOS_Y_COSTOS[[CODIGO]:[COSTO]],2,0),0)</f>
        <v>159</v>
      </c>
      <c r="AA85" s="122"/>
      <c r="AB85" s="116">
        <v>44</v>
      </c>
      <c r="AC85" s="106">
        <v>145</v>
      </c>
      <c r="AD85">
        <f t="shared" si="9"/>
        <v>174.9</v>
      </c>
    </row>
    <row r="86" spans="19:30" ht="23.25" x14ac:dyDescent="0.35">
      <c r="S86" s="204" t="str">
        <f t="shared" si="10"/>
        <v>Tuerca Tina  Inserto para Madera - M 8</v>
      </c>
      <c r="T86" s="114" t="s">
        <v>18219</v>
      </c>
      <c r="U86" s="114">
        <v>22</v>
      </c>
      <c r="V86" s="114">
        <v>11</v>
      </c>
      <c r="W86" s="114">
        <v>9.5</v>
      </c>
      <c r="X86" s="114"/>
      <c r="Y86" s="139"/>
      <c r="Z86" s="114">
        <f>IFERROR(VLOOKUP(S86,CODIGOS_Y_COSTOS[[CODIGO]:[COSTO]],2,0),0)</f>
        <v>174</v>
      </c>
      <c r="AA86" s="122"/>
      <c r="AB86" s="116">
        <v>47</v>
      </c>
      <c r="AC86" s="106">
        <v>158</v>
      </c>
      <c r="AD86">
        <f t="shared" si="9"/>
        <v>191.4</v>
      </c>
    </row>
    <row r="87" spans="19:30" ht="23.25" x14ac:dyDescent="0.35">
      <c r="S87" s="204" t="str">
        <f t="shared" si="10"/>
        <v>Tuerca Tina  Inserto para Madera - W 5/16</v>
      </c>
      <c r="T87" s="114" t="s">
        <v>18220</v>
      </c>
      <c r="U87" s="114">
        <v>22</v>
      </c>
      <c r="V87" s="114">
        <v>11</v>
      </c>
      <c r="W87" s="114">
        <v>9.5</v>
      </c>
      <c r="X87" s="114"/>
      <c r="Y87" s="116"/>
      <c r="Z87" s="114">
        <f>IFERROR(VLOOKUP(S87,CODIGOS_Y_COSTOS[[CODIGO]:[COSTO]],2,0),0)</f>
        <v>174</v>
      </c>
      <c r="AA87" s="122"/>
      <c r="AB87" s="116">
        <v>46</v>
      </c>
      <c r="AC87" s="106">
        <v>158</v>
      </c>
      <c r="AD87">
        <f t="shared" si="9"/>
        <v>191.4</v>
      </c>
    </row>
    <row r="88" spans="19:30" ht="23.25" x14ac:dyDescent="0.35">
      <c r="S88" s="204" t="str">
        <f t="shared" si="10"/>
        <v>Tuerca Tina  Inserto para Madera - M 10</v>
      </c>
      <c r="T88" s="114" t="s">
        <v>18221</v>
      </c>
      <c r="U88" s="114">
        <v>25</v>
      </c>
      <c r="V88" s="114">
        <v>12.5</v>
      </c>
      <c r="W88" s="114">
        <v>11</v>
      </c>
      <c r="X88" s="114"/>
      <c r="Y88" s="116"/>
      <c r="Z88" s="114">
        <f>IFERROR(VLOOKUP(S88,CODIGOS_Y_COSTOS[[CODIGO]:[COSTO]],2,0),0)</f>
        <v>0</v>
      </c>
      <c r="AA88" s="122"/>
      <c r="AB88" s="116">
        <v>48</v>
      </c>
      <c r="AC88" s="106"/>
      <c r="AD88">
        <f t="shared" si="9"/>
        <v>0</v>
      </c>
    </row>
    <row r="89" spans="19:30" ht="24" thickBot="1" x14ac:dyDescent="0.4">
      <c r="S89" s="150"/>
      <c r="T89" s="119" t="s">
        <v>18222</v>
      </c>
      <c r="U89" s="119">
        <v>25</v>
      </c>
      <c r="V89" s="119">
        <v>12.5</v>
      </c>
      <c r="W89" s="119">
        <v>11</v>
      </c>
      <c r="X89" s="119"/>
      <c r="Y89" s="121"/>
      <c r="Z89" s="121"/>
      <c r="AA89" s="122"/>
      <c r="AB89" s="121"/>
      <c r="AC89" s="106"/>
    </row>
    <row r="90" spans="19:30" x14ac:dyDescent="0.2">
      <c r="S90" s="151"/>
      <c r="T90" s="152"/>
      <c r="U90" s="152"/>
      <c r="V90" s="152"/>
      <c r="W90" s="152"/>
      <c r="X90" s="152"/>
      <c r="Y90" s="153"/>
      <c r="Z90" s="152"/>
      <c r="AA90" s="152"/>
      <c r="AB90" s="152"/>
      <c r="AC90" s="151"/>
    </row>
    <row r="91" spans="19:30" x14ac:dyDescent="0.2">
      <c r="S91" s="151"/>
      <c r="T91" s="152"/>
      <c r="U91" s="152"/>
      <c r="V91" s="152"/>
      <c r="W91" s="152"/>
      <c r="X91" s="152"/>
      <c r="Y91" s="153"/>
      <c r="Z91" s="152"/>
      <c r="AA91" s="152"/>
      <c r="AB91" s="152"/>
      <c r="AC91" s="151"/>
    </row>
  </sheetData>
  <mergeCells count="2">
    <mergeCell ref="A1:B1"/>
    <mergeCell ref="BB18:BD18"/>
  </mergeCells>
  <pageMargins left="0.7" right="0.7" top="0.75" bottom="0.75" header="0.3" footer="0.3"/>
  <pageSetup paperSize="9" orientation="portrait" r:id="rId1"/>
  <ignoredErrors>
    <ignoredError sqref="S41" formula="1"/>
    <ignoredError sqref="U53 U29" twoDigitTextYear="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2F4C1-9A56-4923-8E79-DEAEE3D7DAD1}">
  <sheetPr codeName="Hoja1"/>
  <dimension ref="A1:AO856"/>
  <sheetViews>
    <sheetView zoomScaleNormal="100" workbookViewId="0">
      <selection activeCell="B3" sqref="B3"/>
    </sheetView>
  </sheetViews>
  <sheetFormatPr baseColWidth="10" defaultColWidth="11.42578125" defaultRowHeight="12.75" x14ac:dyDescent="0.2"/>
  <cols>
    <col min="1" max="1" width="11.5703125" customWidth="1"/>
    <col min="2" max="2" width="13.85546875" customWidth="1"/>
    <col min="3" max="3" width="2.85546875" customWidth="1"/>
    <col min="4" max="4" width="3" bestFit="1" customWidth="1"/>
    <col min="5" max="5" width="11.5703125" customWidth="1"/>
    <col min="6" max="6" width="13.5703125" style="1" bestFit="1" customWidth="1"/>
    <col min="7" max="7" width="13.28515625" style="13" bestFit="1" customWidth="1"/>
    <col min="8" max="8" width="12.28515625" bestFit="1" customWidth="1"/>
    <col min="9" max="9" width="9.7109375" bestFit="1" customWidth="1"/>
    <col min="10" max="10" width="2.7109375" customWidth="1"/>
    <col min="11" max="11" width="10" bestFit="1" customWidth="1"/>
    <col min="12" max="12" width="33.7109375" customWidth="1"/>
    <col min="13" max="13" width="10" customWidth="1"/>
    <col min="14" max="14" width="12.28515625" bestFit="1" customWidth="1"/>
    <col min="15" max="15" width="2.5703125" customWidth="1"/>
    <col min="18" max="18" width="9.85546875" bestFit="1" customWidth="1"/>
    <col min="19" max="19" width="3.5703125" bestFit="1" customWidth="1"/>
    <col min="25" max="25" width="15.5703125" style="1" customWidth="1"/>
    <col min="27" max="27" width="12.5703125" bestFit="1" customWidth="1"/>
    <col min="32" max="32" width="9.5703125" bestFit="1" customWidth="1"/>
    <col min="33" max="33" width="2.85546875" customWidth="1"/>
    <col min="36" max="36" width="16" bestFit="1" customWidth="1"/>
    <col min="38" max="38" width="3.7109375" customWidth="1"/>
    <col min="41" max="41" width="13.28515625" bestFit="1" customWidth="1"/>
  </cols>
  <sheetData>
    <row r="1" spans="1:41" ht="16.5" thickBot="1" x14ac:dyDescent="0.25">
      <c r="A1" s="1536" t="s">
        <v>18223</v>
      </c>
      <c r="B1" s="1537"/>
      <c r="E1" s="30" t="s">
        <v>18224</v>
      </c>
      <c r="F1" s="30" t="s">
        <v>18224</v>
      </c>
      <c r="G1" s="426">
        <f>+SUM(F3:F28)</f>
        <v>114359.67999999999</v>
      </c>
      <c r="H1" s="378" t="s">
        <v>4624</v>
      </c>
      <c r="I1" s="63"/>
      <c r="J1" s="2"/>
      <c r="K1" s="325" t="s">
        <v>2</v>
      </c>
      <c r="L1" s="325" t="s">
        <v>8756</v>
      </c>
      <c r="M1" s="325" t="s">
        <v>3</v>
      </c>
      <c r="N1" s="325" t="s">
        <v>8188</v>
      </c>
      <c r="P1" s="325" t="s">
        <v>2</v>
      </c>
      <c r="Q1" s="325" t="s">
        <v>8188</v>
      </c>
      <c r="V1" s="325" t="s">
        <v>8188</v>
      </c>
      <c r="X1" s="325" t="s">
        <v>3</v>
      </c>
      <c r="Y1" s="325" t="s">
        <v>8772</v>
      </c>
      <c r="Z1" s="4" t="s">
        <v>18225</v>
      </c>
      <c r="AA1" s="398">
        <v>0.32</v>
      </c>
      <c r="AC1" s="30" t="s">
        <v>8189</v>
      </c>
      <c r="AD1" s="30"/>
      <c r="AE1" s="30" t="s">
        <v>4624</v>
      </c>
      <c r="AF1" s="30" t="s">
        <v>18224</v>
      </c>
      <c r="AJ1" t="s">
        <v>18226</v>
      </c>
      <c r="AK1" s="62">
        <v>0.4</v>
      </c>
      <c r="AM1" t="s">
        <v>18227</v>
      </c>
      <c r="AO1" s="31" t="s">
        <v>18228</v>
      </c>
    </row>
    <row r="2" spans="1:41" ht="13.5" thickBot="1" x14ac:dyDescent="0.25">
      <c r="A2" s="427" t="s">
        <v>5</v>
      </c>
      <c r="B2" s="428" t="s">
        <v>8753</v>
      </c>
      <c r="D2" s="373" t="s">
        <v>8799</v>
      </c>
      <c r="E2" s="303" t="s">
        <v>8754</v>
      </c>
      <c r="F2" s="374" t="s">
        <v>8772</v>
      </c>
      <c r="G2" s="5" t="s">
        <v>5</v>
      </c>
      <c r="H2" s="305" t="s">
        <v>18145</v>
      </c>
      <c r="I2" s="304" t="s">
        <v>8774</v>
      </c>
      <c r="J2" s="2"/>
      <c r="K2" s="158">
        <v>1</v>
      </c>
      <c r="L2" s="158" t="s">
        <v>2969</v>
      </c>
      <c r="M2" s="159">
        <v>83.64</v>
      </c>
      <c r="N2" s="323">
        <v>2030</v>
      </c>
      <c r="P2">
        <v>1</v>
      </c>
      <c r="Q2">
        <f t="shared" ref="Q2:Q18" si="0">+VLOOKUP(P2,$K$2:$N$75,4,0)</f>
        <v>2030</v>
      </c>
      <c r="R2" t="str">
        <f>+VLOOKUP("*"&amp;Q2&amp;"*",$V$1:$X$856,1,0)</f>
        <v>2030 x 50</v>
      </c>
      <c r="S2" t="str">
        <f>+VLOOKUP("*"&amp;Q2&amp;"*",$V$1:$X$856,2,0)</f>
        <v>c/u</v>
      </c>
      <c r="T2" s="1">
        <f>+VLOOKUP("*"&amp;Q2&amp;"*",$V$1:$X$856,3,0)</f>
        <v>286.72000000000003</v>
      </c>
      <c r="U2">
        <f>+RIGHT(R2,3)+0</f>
        <v>50</v>
      </c>
      <c r="V2" s="326">
        <v>1000</v>
      </c>
      <c r="W2" s="327" t="s">
        <v>18229</v>
      </c>
      <c r="X2" s="328">
        <v>1267.2</v>
      </c>
      <c r="Y2" s="1">
        <f>+(1-$AA$1)*X2</f>
        <v>861.69599999999991</v>
      </c>
      <c r="AC2">
        <v>1</v>
      </c>
      <c r="AD2" t="str">
        <f>IFERROR(VLOOKUP("*"&amp;VLOOKUP(AC2,$K$2:$N$75,4,0)&amp;"*",$V$1:$X$856,1,0),0)</f>
        <v>2030 x 50</v>
      </c>
      <c r="AE2" s="1">
        <f>+(1-0.45)*VLOOKUP(AC2,$K$1:$M$68,3,0)</f>
        <v>46.002000000000002</v>
      </c>
      <c r="AF2" s="1">
        <f>+IFERROR(VLOOKUP(AD2,$V$1:$Y$856,4,0),0)</f>
        <v>194.96960000000001</v>
      </c>
      <c r="AH2" s="95">
        <f>IFERROR(+AE2/AF2-1,0)</f>
        <v>-0.7640555245535714</v>
      </c>
      <c r="AK2" s="1">
        <f>+IFERROR(IF(AH2&lt;0.4,(AF2*$AK$1)+AF2,AE2),AE2)</f>
        <v>272.95744000000002</v>
      </c>
      <c r="AM2" s="2">
        <f>+AK2-AE2</f>
        <v>226.95544000000001</v>
      </c>
      <c r="AO2" s="1">
        <f t="shared" ref="AO2:AO33" si="1">+ROUND(AK2*1.667,2)</f>
        <v>455.02</v>
      </c>
    </row>
    <row r="3" spans="1:41" ht="15" thickBot="1" x14ac:dyDescent="0.25">
      <c r="A3" s="429">
        <f>+IFERROR(LEFT(VLOOKUP("*"&amp;VLOOKUP(D3,$K$1:$N$68,4,0)&amp;"*",$V$1:$X$856,1,0),4)+0,"-")</f>
        <v>2103</v>
      </c>
      <c r="B3" s="1091">
        <f>IFERROR(RIGHT(VLOOKUP("*"&amp;A3&amp;"*",$V$1:$X$856,1,0),3)+0,0)</f>
        <v>50</v>
      </c>
      <c r="D3" s="939">
        <v>6</v>
      </c>
      <c r="E3" s="377">
        <f>+IFERROR(VLOOKUP(G3,$V$1:$Y$856,4,0),0)</f>
        <v>278.52799999999996</v>
      </c>
      <c r="F3" s="55">
        <f t="shared" ref="F3:F28" si="2">+IFERROR(E3*B3,0)</f>
        <v>13926.399999999998</v>
      </c>
      <c r="G3" s="17" t="str">
        <f>+IFERROR(VLOOKUP("*"&amp;VLOOKUP(D3,$K$1:$N$68,4,0)&amp;"*",$V$1:$X$856,1,0),"-")</f>
        <v>2103/3 x50</v>
      </c>
      <c r="H3" s="1269">
        <f>+IFERROR(IFERROR((1-0.45)*VLOOKUP(D3,$K$1:$M$68,3,0),0)*B3,0)</f>
        <v>2658.4250000000006</v>
      </c>
      <c r="I3" s="1270">
        <f>IFERROR(H3/E3-1,0)</f>
        <v>8.5445520737591956</v>
      </c>
      <c r="J3" s="2"/>
      <c r="K3" s="156">
        <v>2</v>
      </c>
      <c r="L3" s="156" t="s">
        <v>2969</v>
      </c>
      <c r="M3" s="157">
        <v>83.64</v>
      </c>
      <c r="N3" s="324">
        <v>2031</v>
      </c>
      <c r="P3">
        <v>2</v>
      </c>
      <c r="Q3">
        <f t="shared" si="0"/>
        <v>2031</v>
      </c>
      <c r="R3" t="str">
        <f t="shared" ref="R3:R27" si="3">+VLOOKUP("*"&amp;Q3&amp;"*",$V$1:$X$856,1,0)</f>
        <v>2031 x 50</v>
      </c>
      <c r="S3" t="str">
        <f t="shared" ref="S3:S27" si="4">+VLOOKUP("*"&amp;Q3&amp;"*",$V$1:$X$856,2,0)</f>
        <v>c/u</v>
      </c>
      <c r="T3" s="1">
        <f t="shared" ref="T3:T27" si="5">+VLOOKUP("*"&amp;Q3&amp;"*",$V$1:$X$856,3,0)</f>
        <v>286.72000000000003</v>
      </c>
      <c r="U3">
        <f t="shared" ref="U3:U27" si="6">+RIGHT(R3,3)+0</f>
        <v>50</v>
      </c>
      <c r="V3" s="326" t="s">
        <v>18230</v>
      </c>
      <c r="W3" s="327" t="s">
        <v>18229</v>
      </c>
      <c r="X3" s="328">
        <v>1920</v>
      </c>
      <c r="Y3" s="1">
        <f t="shared" ref="Y3:Y66" si="7">+(1-$AA$1)*X3</f>
        <v>1305.5999999999999</v>
      </c>
      <c r="AA3" s="2"/>
      <c r="AC3">
        <v>2</v>
      </c>
      <c r="AD3" t="str">
        <f t="shared" ref="AD3:AD66" si="8">IFERROR(VLOOKUP("*"&amp;VLOOKUP(AC3,$K$2:$N$75,4,0)&amp;"*",$V$1:$X$856,1,0),0)</f>
        <v>2031 x 50</v>
      </c>
      <c r="AE3" s="1">
        <f t="shared" ref="AE3:AE66" si="9">+(1-0.45)*VLOOKUP(AC3,$K$1:$M$68,3,0)</f>
        <v>46.002000000000002</v>
      </c>
      <c r="AF3" s="1">
        <f t="shared" ref="AF3:AF66" si="10">+IFERROR(VLOOKUP(AD3,$V$1:$Y$856,4,0),0)</f>
        <v>194.96960000000001</v>
      </c>
      <c r="AH3" s="95">
        <f t="shared" ref="AH3:AH66" si="11">IFERROR(+AE3/AF3-1,0)</f>
        <v>-0.7640555245535714</v>
      </c>
      <c r="AK3" s="1">
        <f t="shared" ref="AK3:AK66" si="12">+IFERROR(IF(AH3&lt;0.4,(AF3*$AK$1)+AF3,AE3),AE3)</f>
        <v>272.95744000000002</v>
      </c>
      <c r="AM3" s="2">
        <f t="shared" ref="AM3:AM66" si="13">+AK3-AE3</f>
        <v>226.95544000000001</v>
      </c>
      <c r="AO3" s="1">
        <f t="shared" si="1"/>
        <v>455.02</v>
      </c>
    </row>
    <row r="4" spans="1:41" ht="15" thickBot="1" x14ac:dyDescent="0.25">
      <c r="A4" s="429">
        <f t="shared" ref="A4:A28" si="14">+IFERROR(LEFT(VLOOKUP("*"&amp;VLOOKUP(D4,$K$1:$N$68,4,0)&amp;"*",$V$1:$X$856,1,0),4)+0,"-")</f>
        <v>5122</v>
      </c>
      <c r="B4" s="1091">
        <f t="shared" ref="B4:B28" si="15">IFERROR(RIGHT(VLOOKUP("*"&amp;A4&amp;"*",$V$1:$X$856,1,0),3)+0,0)</f>
        <v>50</v>
      </c>
      <c r="D4" s="735">
        <v>25</v>
      </c>
      <c r="E4" s="377">
        <f t="shared" ref="E4:E28" si="16">+IFERROR(VLOOKUP(G4,$V$1:$Y$856,4,0),0)</f>
        <v>0</v>
      </c>
      <c r="F4" s="56">
        <f t="shared" si="2"/>
        <v>0</v>
      </c>
      <c r="G4" s="17" t="str">
        <f t="shared" ref="G4:G28" si="17">+IFERROR(VLOOKUP("*"&amp;VLOOKUP(D4,$K$1:$N$68,4,0)&amp;"*",$V$1:$X$856,1,0),"-")</f>
        <v>5122/Ax 50</v>
      </c>
      <c r="H4" s="1269">
        <f t="shared" ref="H4:H28" si="18">+IFERROR(IFERROR((1-0.45)*VLOOKUP(D4,$K$1:$M$68,3,0),0)*B4,0)</f>
        <v>4588.6500000000005</v>
      </c>
      <c r="I4" s="380">
        <f t="shared" ref="I4:I28" si="19">IFERROR(H4/E4-1,0)</f>
        <v>0</v>
      </c>
      <c r="K4" s="158">
        <v>3</v>
      </c>
      <c r="L4" s="158" t="s">
        <v>2972</v>
      </c>
      <c r="M4" s="159">
        <v>157.76</v>
      </c>
      <c r="N4" s="323">
        <v>2058</v>
      </c>
      <c r="P4">
        <v>3</v>
      </c>
      <c r="Q4">
        <f t="shared" si="0"/>
        <v>2058</v>
      </c>
      <c r="R4" t="str">
        <f t="shared" si="3"/>
        <v>2058 x 50</v>
      </c>
      <c r="S4" t="str">
        <f t="shared" si="4"/>
        <v>c/u</v>
      </c>
      <c r="T4" s="1">
        <f t="shared" si="5"/>
        <v>540.79999999999995</v>
      </c>
      <c r="U4">
        <f t="shared" si="6"/>
        <v>50</v>
      </c>
      <c r="V4" s="326">
        <v>1001</v>
      </c>
      <c r="W4" s="327" t="s">
        <v>18229</v>
      </c>
      <c r="X4" s="328">
        <v>2304</v>
      </c>
      <c r="Y4" s="1">
        <f t="shared" si="7"/>
        <v>1566.7199999999998</v>
      </c>
      <c r="AC4">
        <v>3</v>
      </c>
      <c r="AD4" t="str">
        <f t="shared" si="8"/>
        <v>2058 x 50</v>
      </c>
      <c r="AE4" s="1">
        <f t="shared" si="9"/>
        <v>86.768000000000001</v>
      </c>
      <c r="AF4" s="1">
        <f t="shared" si="10"/>
        <v>367.74399999999991</v>
      </c>
      <c r="AH4" s="95">
        <f t="shared" si="11"/>
        <v>-0.76405325443786976</v>
      </c>
      <c r="AK4" s="1">
        <f t="shared" si="12"/>
        <v>514.84159999999986</v>
      </c>
      <c r="AM4" s="2">
        <f t="shared" si="13"/>
        <v>428.07359999999983</v>
      </c>
      <c r="AO4" s="1">
        <f t="shared" si="1"/>
        <v>858.24</v>
      </c>
    </row>
    <row r="5" spans="1:41" ht="15" thickBot="1" x14ac:dyDescent="0.25">
      <c r="A5" s="429">
        <f t="shared" si="14"/>
        <v>5126</v>
      </c>
      <c r="B5" s="1091">
        <f t="shared" si="15"/>
        <v>50</v>
      </c>
      <c r="D5" s="735">
        <v>26</v>
      </c>
      <c r="E5" s="377">
        <f t="shared" si="16"/>
        <v>242.624</v>
      </c>
      <c r="F5" s="56">
        <f t="shared" si="2"/>
        <v>12131.199999999999</v>
      </c>
      <c r="G5" s="17" t="str">
        <f t="shared" si="17"/>
        <v>5126 x 50</v>
      </c>
      <c r="H5" s="1269">
        <f t="shared" si="18"/>
        <v>4588.6500000000005</v>
      </c>
      <c r="I5" s="380">
        <f t="shared" si="19"/>
        <v>17.912597269849648</v>
      </c>
      <c r="J5" s="95"/>
      <c r="K5" s="156">
        <v>4</v>
      </c>
      <c r="L5" s="156" t="s">
        <v>2975</v>
      </c>
      <c r="M5" s="157">
        <v>79.83</v>
      </c>
      <c r="N5" s="324" t="s">
        <v>18231</v>
      </c>
      <c r="P5">
        <v>10</v>
      </c>
      <c r="Q5">
        <f t="shared" si="0"/>
        <v>2150</v>
      </c>
      <c r="R5" t="str">
        <f t="shared" si="3"/>
        <v>2150 x 30</v>
      </c>
      <c r="S5" t="str">
        <f t="shared" si="4"/>
        <v>c/u</v>
      </c>
      <c r="T5" s="1">
        <f t="shared" si="5"/>
        <v>638.4</v>
      </c>
      <c r="U5">
        <f t="shared" si="6"/>
        <v>30</v>
      </c>
      <c r="V5" s="326" t="s">
        <v>18232</v>
      </c>
      <c r="W5" s="327" t="s">
        <v>18229</v>
      </c>
      <c r="X5" s="328">
        <v>2688</v>
      </c>
      <c r="Y5" s="1">
        <f t="shared" si="7"/>
        <v>1827.84</v>
      </c>
      <c r="AC5">
        <v>4</v>
      </c>
      <c r="AD5" t="str">
        <f t="shared" si="8"/>
        <v>2103/1 x50</v>
      </c>
      <c r="AE5" s="1">
        <f t="shared" si="9"/>
        <v>43.906500000000001</v>
      </c>
      <c r="AF5" s="1">
        <f t="shared" si="10"/>
        <v>229.78559999999999</v>
      </c>
      <c r="AH5" s="95">
        <f t="shared" si="11"/>
        <v>-0.80892405790441169</v>
      </c>
      <c r="AK5" s="1">
        <f t="shared" si="12"/>
        <v>321.69983999999999</v>
      </c>
      <c r="AM5" s="2">
        <f t="shared" si="13"/>
        <v>277.79334</v>
      </c>
      <c r="AO5" s="1">
        <f t="shared" si="1"/>
        <v>536.27</v>
      </c>
    </row>
    <row r="6" spans="1:41" ht="15" thickBot="1" x14ac:dyDescent="0.25">
      <c r="A6" s="429" t="str">
        <f>IFERROR(LEFT(VLOOKUP("*"&amp;VLOOKUP(D6,$K$1:$N$68,4,0)&amp;"*",$V$1:$X$856,1,0),4)+0,"-")</f>
        <v>-</v>
      </c>
      <c r="B6" s="1091">
        <f t="shared" si="15"/>
        <v>0</v>
      </c>
      <c r="D6" s="735">
        <v>27</v>
      </c>
      <c r="E6" s="377">
        <f t="shared" si="16"/>
        <v>0</v>
      </c>
      <c r="F6" s="56">
        <f t="shared" si="2"/>
        <v>0</v>
      </c>
      <c r="G6" s="17" t="str">
        <f t="shared" si="17"/>
        <v>-</v>
      </c>
      <c r="H6" s="1269">
        <f t="shared" si="18"/>
        <v>0</v>
      </c>
      <c r="I6" s="380">
        <f t="shared" si="19"/>
        <v>0</v>
      </c>
      <c r="K6" s="158">
        <v>5</v>
      </c>
      <c r="L6" s="158" t="s">
        <v>2978</v>
      </c>
      <c r="M6" s="159">
        <v>79.83</v>
      </c>
      <c r="N6" s="323" t="s">
        <v>18233</v>
      </c>
      <c r="P6">
        <v>11</v>
      </c>
      <c r="Q6">
        <f t="shared" si="0"/>
        <v>6104</v>
      </c>
      <c r="R6" t="str">
        <f t="shared" si="3"/>
        <v>6104 x 30</v>
      </c>
      <c r="S6" t="str">
        <f t="shared" si="4"/>
        <v>c/u</v>
      </c>
      <c r="T6" s="1">
        <f t="shared" si="5"/>
        <v>358.4</v>
      </c>
      <c r="U6">
        <f t="shared" si="6"/>
        <v>30</v>
      </c>
      <c r="V6" s="326" t="s">
        <v>18234</v>
      </c>
      <c r="W6" s="327" t="s">
        <v>18229</v>
      </c>
      <c r="X6" s="328">
        <v>3225.6</v>
      </c>
      <c r="Y6" s="1">
        <f t="shared" si="7"/>
        <v>2193.4079999999999</v>
      </c>
      <c r="AC6">
        <v>5</v>
      </c>
      <c r="AD6" t="str">
        <f t="shared" si="8"/>
        <v>2103/2 x50</v>
      </c>
      <c r="AE6" s="1">
        <f t="shared" si="9"/>
        <v>43.906500000000001</v>
      </c>
      <c r="AF6" s="1">
        <f t="shared" si="10"/>
        <v>229.78559999999999</v>
      </c>
      <c r="AH6" s="95">
        <f t="shared" si="11"/>
        <v>-0.80892405790441169</v>
      </c>
      <c r="AK6" s="1">
        <f t="shared" si="12"/>
        <v>321.69983999999999</v>
      </c>
      <c r="AM6" s="2">
        <f t="shared" si="13"/>
        <v>277.79334</v>
      </c>
      <c r="AO6" s="1">
        <f t="shared" si="1"/>
        <v>536.27</v>
      </c>
    </row>
    <row r="7" spans="1:41" ht="15" thickBot="1" x14ac:dyDescent="0.25">
      <c r="A7" s="429" t="str">
        <f t="shared" si="14"/>
        <v>-</v>
      </c>
      <c r="B7" s="1091">
        <f t="shared" si="15"/>
        <v>0</v>
      </c>
      <c r="D7" s="735">
        <v>30</v>
      </c>
      <c r="E7" s="377" t="str">
        <f t="shared" si="16"/>
        <v>Final</v>
      </c>
      <c r="F7" s="56">
        <f t="shared" si="2"/>
        <v>0</v>
      </c>
      <c r="G7" s="17" t="str">
        <f t="shared" si="17"/>
        <v>Código</v>
      </c>
      <c r="H7" s="1269">
        <f t="shared" si="18"/>
        <v>0</v>
      </c>
      <c r="I7" s="380">
        <f t="shared" si="19"/>
        <v>0</v>
      </c>
      <c r="K7" s="156">
        <v>6</v>
      </c>
      <c r="L7" s="156" t="s">
        <v>2981</v>
      </c>
      <c r="M7" s="157">
        <v>96.67</v>
      </c>
      <c r="N7" s="324" t="s">
        <v>18235</v>
      </c>
      <c r="P7">
        <v>12</v>
      </c>
      <c r="Q7">
        <f t="shared" si="0"/>
        <v>3061</v>
      </c>
      <c r="R7" t="str">
        <f t="shared" si="3"/>
        <v>3061 x50</v>
      </c>
      <c r="S7" t="str">
        <f t="shared" si="4"/>
        <v>c/u</v>
      </c>
      <c r="T7" s="1">
        <f t="shared" si="5"/>
        <v>266.24</v>
      </c>
      <c r="U7">
        <v>50</v>
      </c>
      <c r="V7" s="326" t="s">
        <v>18236</v>
      </c>
      <c r="W7" s="327" t="s">
        <v>18229</v>
      </c>
      <c r="X7" s="328">
        <v>1920</v>
      </c>
      <c r="Y7" s="1">
        <f t="shared" si="7"/>
        <v>1305.5999999999999</v>
      </c>
      <c r="AC7">
        <v>6</v>
      </c>
      <c r="AD7" t="str">
        <f t="shared" si="8"/>
        <v>2103/3 x50</v>
      </c>
      <c r="AE7" s="1">
        <f t="shared" si="9"/>
        <v>53.168500000000009</v>
      </c>
      <c r="AF7" s="1">
        <f t="shared" si="10"/>
        <v>278.52799999999996</v>
      </c>
      <c r="AH7" s="95">
        <f t="shared" si="11"/>
        <v>-0.80910895852481612</v>
      </c>
      <c r="AK7" s="1">
        <f t="shared" si="12"/>
        <v>389.93919999999997</v>
      </c>
      <c r="AM7" s="2">
        <f t="shared" si="13"/>
        <v>336.77069999999998</v>
      </c>
      <c r="AO7" s="1">
        <f t="shared" si="1"/>
        <v>650.03</v>
      </c>
    </row>
    <row r="8" spans="1:41" ht="15" thickBot="1" x14ac:dyDescent="0.25">
      <c r="A8" s="429">
        <f t="shared" si="14"/>
        <v>6108</v>
      </c>
      <c r="B8" s="1091">
        <f t="shared" si="15"/>
        <v>50</v>
      </c>
      <c r="D8" s="735">
        <v>34</v>
      </c>
      <c r="E8" s="377">
        <f t="shared" si="16"/>
        <v>661.50399999999991</v>
      </c>
      <c r="F8" s="56">
        <f t="shared" si="2"/>
        <v>33075.199999999997</v>
      </c>
      <c r="G8" s="17" t="str">
        <f t="shared" si="17"/>
        <v>6108 x 50</v>
      </c>
      <c r="H8" s="1269">
        <f t="shared" si="18"/>
        <v>7804.2250000000013</v>
      </c>
      <c r="I8" s="380">
        <f t="shared" si="19"/>
        <v>10.797698880127713</v>
      </c>
      <c r="K8" s="158">
        <v>7</v>
      </c>
      <c r="L8" s="158" t="s">
        <v>2983</v>
      </c>
      <c r="M8" s="159">
        <v>98.58</v>
      </c>
      <c r="N8" s="323">
        <v>2104</v>
      </c>
      <c r="P8">
        <v>13</v>
      </c>
      <c r="Q8">
        <f t="shared" si="0"/>
        <v>3235</v>
      </c>
      <c r="R8" t="str">
        <f t="shared" si="3"/>
        <v>3235 x 50</v>
      </c>
      <c r="S8" t="str">
        <f t="shared" si="4"/>
        <v>c/u</v>
      </c>
      <c r="T8" s="1">
        <f t="shared" si="5"/>
        <v>572.79999999999995</v>
      </c>
      <c r="U8">
        <f t="shared" si="6"/>
        <v>50</v>
      </c>
      <c r="V8" s="326">
        <v>1002</v>
      </c>
      <c r="W8" s="327" t="s">
        <v>18229</v>
      </c>
      <c r="X8" s="328">
        <v>2304</v>
      </c>
      <c r="Y8" s="1">
        <f t="shared" si="7"/>
        <v>1566.7199999999998</v>
      </c>
      <c r="AC8">
        <v>7</v>
      </c>
      <c r="AD8" t="str">
        <f t="shared" si="8"/>
        <v>2104 x 50</v>
      </c>
      <c r="AE8" s="1">
        <f t="shared" si="9"/>
        <v>54.219000000000001</v>
      </c>
      <c r="AF8" s="1">
        <f t="shared" si="10"/>
        <v>229.78559999999999</v>
      </c>
      <c r="AH8" s="95">
        <f t="shared" si="11"/>
        <v>-0.76404526654411764</v>
      </c>
      <c r="AK8" s="1">
        <f t="shared" si="12"/>
        <v>321.69983999999999</v>
      </c>
      <c r="AM8" s="2">
        <f t="shared" si="13"/>
        <v>267.48084</v>
      </c>
      <c r="AO8" s="1">
        <f t="shared" si="1"/>
        <v>536.27</v>
      </c>
    </row>
    <row r="9" spans="1:41" ht="15" thickBot="1" x14ac:dyDescent="0.25">
      <c r="A9" s="429">
        <f t="shared" si="14"/>
        <v>6591</v>
      </c>
      <c r="B9" s="1091">
        <f t="shared" si="15"/>
        <v>30</v>
      </c>
      <c r="D9" s="735">
        <v>47</v>
      </c>
      <c r="E9" s="377">
        <f t="shared" si="16"/>
        <v>622.33600000000001</v>
      </c>
      <c r="F9" s="56">
        <f t="shared" si="2"/>
        <v>18670.080000000002</v>
      </c>
      <c r="G9" s="17" t="str">
        <f t="shared" si="17"/>
        <v>6591 x 30</v>
      </c>
      <c r="H9" s="1269">
        <f t="shared" si="18"/>
        <v>4516.380000000001</v>
      </c>
      <c r="I9" s="380">
        <f t="shared" si="19"/>
        <v>6.2571408371040738</v>
      </c>
      <c r="K9" s="156">
        <v>8</v>
      </c>
      <c r="L9" s="156" t="s">
        <v>2985</v>
      </c>
      <c r="M9" s="157">
        <v>352.87</v>
      </c>
      <c r="N9" s="324">
        <v>2106</v>
      </c>
      <c r="P9">
        <v>14</v>
      </c>
      <c r="Q9">
        <f t="shared" si="0"/>
        <v>3142</v>
      </c>
      <c r="R9" t="str">
        <f t="shared" si="3"/>
        <v>3142 x 50</v>
      </c>
      <c r="S9" t="str">
        <f t="shared" si="4"/>
        <v>c/u</v>
      </c>
      <c r="T9" s="1">
        <f t="shared" si="5"/>
        <v>600</v>
      </c>
      <c r="U9">
        <f t="shared" si="6"/>
        <v>50</v>
      </c>
      <c r="V9" s="326" t="s">
        <v>18237</v>
      </c>
      <c r="W9" s="327" t="s">
        <v>18229</v>
      </c>
      <c r="X9" s="328">
        <v>1472</v>
      </c>
      <c r="Y9" s="1">
        <f t="shared" si="7"/>
        <v>1000.9599999999999</v>
      </c>
      <c r="AC9">
        <v>8</v>
      </c>
      <c r="AD9" t="str">
        <f t="shared" si="8"/>
        <v>2106 x 30</v>
      </c>
      <c r="AE9" s="1">
        <f t="shared" si="9"/>
        <v>194.07850000000002</v>
      </c>
      <c r="AF9" s="1">
        <f t="shared" si="10"/>
        <v>0</v>
      </c>
      <c r="AH9" s="95">
        <f t="shared" si="11"/>
        <v>0</v>
      </c>
      <c r="AK9" s="1">
        <f t="shared" si="12"/>
        <v>0</v>
      </c>
      <c r="AM9" s="2">
        <f t="shared" si="13"/>
        <v>-194.07850000000002</v>
      </c>
      <c r="AO9" s="1">
        <f t="shared" si="1"/>
        <v>0</v>
      </c>
    </row>
    <row r="10" spans="1:41" ht="15" thickBot="1" x14ac:dyDescent="0.25">
      <c r="A10" s="429">
        <f t="shared" si="14"/>
        <v>6709</v>
      </c>
      <c r="B10" s="1091">
        <f t="shared" si="15"/>
        <v>50</v>
      </c>
      <c r="D10" s="7">
        <v>50</v>
      </c>
      <c r="E10" s="377">
        <f t="shared" si="16"/>
        <v>731.13599999999997</v>
      </c>
      <c r="F10" s="56">
        <f t="shared" si="2"/>
        <v>36556.799999999996</v>
      </c>
      <c r="G10" s="17" t="str">
        <f t="shared" si="17"/>
        <v>6709 x 50</v>
      </c>
      <c r="H10" s="1269">
        <f t="shared" si="18"/>
        <v>8625.6500000000015</v>
      </c>
      <c r="I10" s="380">
        <f t="shared" si="19"/>
        <v>10.797599899334736</v>
      </c>
      <c r="K10" s="158">
        <v>9</v>
      </c>
      <c r="L10" s="158" t="s">
        <v>2987</v>
      </c>
      <c r="M10" s="159">
        <v>98.58</v>
      </c>
      <c r="N10" s="323">
        <v>2108</v>
      </c>
      <c r="P10">
        <v>16</v>
      </c>
      <c r="Q10">
        <f t="shared" si="0"/>
        <v>4220</v>
      </c>
      <c r="R10" t="str">
        <f t="shared" si="3"/>
        <v>4220 x 50</v>
      </c>
      <c r="S10" t="str">
        <f t="shared" si="4"/>
        <v>c/u</v>
      </c>
      <c r="T10" s="1">
        <f t="shared" si="5"/>
        <v>371.2</v>
      </c>
      <c r="U10">
        <f t="shared" si="6"/>
        <v>50</v>
      </c>
      <c r="V10" s="326">
        <v>1003</v>
      </c>
      <c r="W10" s="327" t="s">
        <v>18229</v>
      </c>
      <c r="X10" s="328">
        <v>1766.4</v>
      </c>
      <c r="Y10" s="1">
        <f t="shared" si="7"/>
        <v>1201.152</v>
      </c>
      <c r="AC10">
        <v>9</v>
      </c>
      <c r="AD10" t="str">
        <f t="shared" si="8"/>
        <v>2108 x 30</v>
      </c>
      <c r="AE10" s="1">
        <f t="shared" si="9"/>
        <v>54.219000000000001</v>
      </c>
      <c r="AF10" s="1">
        <f t="shared" si="10"/>
        <v>0</v>
      </c>
      <c r="AH10" s="95">
        <f t="shared" si="11"/>
        <v>0</v>
      </c>
      <c r="AK10" s="1">
        <f t="shared" si="12"/>
        <v>0</v>
      </c>
      <c r="AM10" s="2">
        <f t="shared" si="13"/>
        <v>-54.219000000000001</v>
      </c>
      <c r="AO10" s="1">
        <f t="shared" si="1"/>
        <v>0</v>
      </c>
    </row>
    <row r="11" spans="1:41" ht="15" thickBot="1" x14ac:dyDescent="0.25">
      <c r="A11" s="429">
        <f t="shared" si="14"/>
        <v>5097</v>
      </c>
      <c r="B11" s="1091">
        <f t="shared" si="15"/>
        <v>50</v>
      </c>
      <c r="D11" s="7">
        <v>62</v>
      </c>
      <c r="E11" s="377">
        <f t="shared" si="16"/>
        <v>0</v>
      </c>
      <c r="F11" s="56">
        <f t="shared" si="2"/>
        <v>0</v>
      </c>
      <c r="G11" s="17" t="str">
        <f t="shared" si="17"/>
        <v>5097/B x 50</v>
      </c>
      <c r="H11" s="1269">
        <f t="shared" si="18"/>
        <v>2658.4250000000006</v>
      </c>
      <c r="I11" s="380">
        <f t="shared" si="19"/>
        <v>0</v>
      </c>
      <c r="K11" s="156">
        <v>10</v>
      </c>
      <c r="L11" s="156" t="s">
        <v>2989</v>
      </c>
      <c r="M11" s="157">
        <v>283.79000000000002</v>
      </c>
      <c r="N11" s="324">
        <v>2150</v>
      </c>
      <c r="P11">
        <v>18</v>
      </c>
      <c r="Q11">
        <f t="shared" si="0"/>
        <v>4263</v>
      </c>
      <c r="R11" t="str">
        <f t="shared" si="3"/>
        <v>4263 x 50</v>
      </c>
      <c r="S11" t="str">
        <f t="shared" si="4"/>
        <v>c/u</v>
      </c>
      <c r="T11" s="1">
        <f t="shared" si="5"/>
        <v>1433.6</v>
      </c>
      <c r="U11">
        <f t="shared" si="6"/>
        <v>50</v>
      </c>
      <c r="V11" s="326" t="s">
        <v>18238</v>
      </c>
      <c r="W11" s="327" t="s">
        <v>18229</v>
      </c>
      <c r="X11" s="328">
        <v>1907.2</v>
      </c>
      <c r="Y11" s="1">
        <f t="shared" si="7"/>
        <v>1296.896</v>
      </c>
      <c r="AC11">
        <v>10</v>
      </c>
      <c r="AD11" t="str">
        <f t="shared" si="8"/>
        <v>2150 x 30</v>
      </c>
      <c r="AE11" s="1">
        <f t="shared" si="9"/>
        <v>156.08450000000002</v>
      </c>
      <c r="AF11" s="1">
        <f t="shared" si="10"/>
        <v>434.11199999999997</v>
      </c>
      <c r="AH11" s="95">
        <f t="shared" si="11"/>
        <v>-0.64045108174848875</v>
      </c>
      <c r="AK11" s="1">
        <f t="shared" si="12"/>
        <v>607.7568</v>
      </c>
      <c r="AM11" s="2">
        <f t="shared" si="13"/>
        <v>451.67229999999995</v>
      </c>
      <c r="AO11" s="1">
        <f t="shared" si="1"/>
        <v>1013.13</v>
      </c>
    </row>
    <row r="12" spans="1:41" ht="15" thickBot="1" x14ac:dyDescent="0.25">
      <c r="A12" s="429" t="str">
        <f t="shared" si="14"/>
        <v>-</v>
      </c>
      <c r="B12" s="1091">
        <f t="shared" si="15"/>
        <v>0</v>
      </c>
      <c r="D12" s="7"/>
      <c r="E12" s="377">
        <f t="shared" si="16"/>
        <v>0</v>
      </c>
      <c r="F12" s="56">
        <f t="shared" si="2"/>
        <v>0</v>
      </c>
      <c r="G12" s="17" t="str">
        <f t="shared" si="17"/>
        <v>-</v>
      </c>
      <c r="H12" s="1269">
        <f t="shared" si="18"/>
        <v>0</v>
      </c>
      <c r="I12" s="380">
        <f t="shared" si="19"/>
        <v>0</v>
      </c>
      <c r="K12" s="158">
        <v>11</v>
      </c>
      <c r="L12" s="158" t="s">
        <v>2991</v>
      </c>
      <c r="M12" s="159">
        <v>104.55</v>
      </c>
      <c r="N12" s="323">
        <v>6104</v>
      </c>
      <c r="P12">
        <v>20</v>
      </c>
      <c r="Q12">
        <f t="shared" si="0"/>
        <v>4267</v>
      </c>
      <c r="R12" t="str">
        <f t="shared" si="3"/>
        <v>4267 x 50</v>
      </c>
      <c r="S12" t="str">
        <f t="shared" si="4"/>
        <v>c/u</v>
      </c>
      <c r="T12" s="1">
        <f t="shared" si="5"/>
        <v>921.6</v>
      </c>
      <c r="U12">
        <f t="shared" si="6"/>
        <v>50</v>
      </c>
      <c r="V12" s="326" t="s">
        <v>18239</v>
      </c>
      <c r="W12" s="327" t="s">
        <v>18229</v>
      </c>
      <c r="X12" s="328">
        <v>2296</v>
      </c>
      <c r="Y12" s="1">
        <f t="shared" si="7"/>
        <v>1561.2799999999997</v>
      </c>
      <c r="AC12">
        <v>11</v>
      </c>
      <c r="AD12" t="str">
        <f t="shared" si="8"/>
        <v>6104 x 30</v>
      </c>
      <c r="AE12" s="1">
        <f t="shared" si="9"/>
        <v>57.502500000000005</v>
      </c>
      <c r="AF12" s="1">
        <f t="shared" si="10"/>
        <v>243.71199999999996</v>
      </c>
      <c r="AH12" s="95">
        <f t="shared" si="11"/>
        <v>-0.7640555245535714</v>
      </c>
      <c r="AK12" s="1">
        <f t="shared" si="12"/>
        <v>341.19679999999994</v>
      </c>
      <c r="AM12" s="2">
        <f t="shared" si="13"/>
        <v>283.69429999999994</v>
      </c>
      <c r="AO12" s="1">
        <f t="shared" si="1"/>
        <v>568.78</v>
      </c>
    </row>
    <row r="13" spans="1:41" ht="15" thickBot="1" x14ac:dyDescent="0.25">
      <c r="A13" s="429" t="str">
        <f t="shared" si="14"/>
        <v>-</v>
      </c>
      <c r="B13" s="1091">
        <f t="shared" si="15"/>
        <v>0</v>
      </c>
      <c r="D13" s="7"/>
      <c r="E13" s="377">
        <f t="shared" si="16"/>
        <v>0</v>
      </c>
      <c r="F13" s="56">
        <f t="shared" si="2"/>
        <v>0</v>
      </c>
      <c r="G13" s="17" t="str">
        <f t="shared" si="17"/>
        <v>-</v>
      </c>
      <c r="H13" s="1269">
        <f t="shared" si="18"/>
        <v>0</v>
      </c>
      <c r="I13" s="380">
        <f t="shared" si="19"/>
        <v>0</v>
      </c>
      <c r="K13" s="156">
        <v>12</v>
      </c>
      <c r="L13" s="156" t="s">
        <v>2993</v>
      </c>
      <c r="M13" s="157">
        <v>77.67</v>
      </c>
      <c r="N13" s="324">
        <v>3061</v>
      </c>
      <c r="P13">
        <v>21</v>
      </c>
      <c r="Q13">
        <f t="shared" si="0"/>
        <v>4269</v>
      </c>
      <c r="R13" t="str">
        <f t="shared" si="3"/>
        <v>4269 x 50</v>
      </c>
      <c r="S13" t="str">
        <f t="shared" si="4"/>
        <v>c/u</v>
      </c>
      <c r="T13" s="1">
        <f t="shared" si="5"/>
        <v>706.56</v>
      </c>
      <c r="U13">
        <f t="shared" si="6"/>
        <v>50</v>
      </c>
      <c r="V13" s="326" t="s">
        <v>18240</v>
      </c>
      <c r="W13" s="327" t="s">
        <v>18229</v>
      </c>
      <c r="X13" s="328">
        <v>1472</v>
      </c>
      <c r="Y13" s="1">
        <f t="shared" si="7"/>
        <v>1000.9599999999999</v>
      </c>
      <c r="AC13">
        <v>12</v>
      </c>
      <c r="AD13" t="str">
        <f t="shared" si="8"/>
        <v>3061 x50</v>
      </c>
      <c r="AE13" s="1">
        <f t="shared" si="9"/>
        <v>42.718500000000006</v>
      </c>
      <c r="AF13" s="1">
        <f t="shared" si="10"/>
        <v>181.04319999999998</v>
      </c>
      <c r="AH13" s="95">
        <f t="shared" si="11"/>
        <v>-0.76404250477234159</v>
      </c>
      <c r="AK13" s="1">
        <f t="shared" si="12"/>
        <v>253.46047999999996</v>
      </c>
      <c r="AM13" s="2">
        <f t="shared" si="13"/>
        <v>210.74197999999996</v>
      </c>
      <c r="AO13" s="1">
        <f t="shared" si="1"/>
        <v>422.52</v>
      </c>
    </row>
    <row r="14" spans="1:41" ht="15" thickBot="1" x14ac:dyDescent="0.25">
      <c r="A14" s="429" t="str">
        <f t="shared" si="14"/>
        <v>-</v>
      </c>
      <c r="B14" s="1091">
        <f t="shared" si="15"/>
        <v>0</v>
      </c>
      <c r="D14" s="7"/>
      <c r="E14" s="377">
        <f t="shared" si="16"/>
        <v>0</v>
      </c>
      <c r="F14" s="56">
        <f t="shared" si="2"/>
        <v>0</v>
      </c>
      <c r="G14" s="17" t="str">
        <f t="shared" si="17"/>
        <v>-</v>
      </c>
      <c r="H14" s="1269">
        <f t="shared" si="18"/>
        <v>0</v>
      </c>
      <c r="I14" s="380">
        <f t="shared" si="19"/>
        <v>0</v>
      </c>
      <c r="K14" s="158">
        <v>13</v>
      </c>
      <c r="L14" s="158" t="s">
        <v>2995</v>
      </c>
      <c r="M14" s="159">
        <v>176.41</v>
      </c>
      <c r="N14" s="323">
        <v>3235</v>
      </c>
      <c r="P14">
        <v>22</v>
      </c>
      <c r="Q14">
        <f t="shared" si="0"/>
        <v>4282</v>
      </c>
      <c r="R14" t="str">
        <f t="shared" si="3"/>
        <v>4282 x 50</v>
      </c>
      <c r="S14" t="str">
        <f t="shared" si="4"/>
        <v>c/u</v>
      </c>
      <c r="T14" s="1">
        <f t="shared" si="5"/>
        <v>808.96</v>
      </c>
      <c r="U14">
        <f t="shared" si="6"/>
        <v>50</v>
      </c>
      <c r="V14" s="329">
        <v>1004</v>
      </c>
      <c r="W14" s="330" t="s">
        <v>18229</v>
      </c>
      <c r="X14" s="328">
        <v>1913.6</v>
      </c>
      <c r="Y14" s="1">
        <f t="shared" si="7"/>
        <v>1301.2479999999998</v>
      </c>
      <c r="AC14">
        <v>13</v>
      </c>
      <c r="AD14" t="str">
        <f t="shared" si="8"/>
        <v>3235 x 50</v>
      </c>
      <c r="AE14" s="1">
        <f t="shared" si="9"/>
        <v>97.025500000000008</v>
      </c>
      <c r="AF14" s="1">
        <f t="shared" si="10"/>
        <v>389.50399999999991</v>
      </c>
      <c r="AH14" s="95">
        <f t="shared" si="11"/>
        <v>-0.75089986238908968</v>
      </c>
      <c r="AK14" s="1">
        <f t="shared" si="12"/>
        <v>545.30559999999991</v>
      </c>
      <c r="AM14" s="2">
        <f t="shared" si="13"/>
        <v>448.28009999999989</v>
      </c>
      <c r="AO14" s="1">
        <f t="shared" si="1"/>
        <v>909.02</v>
      </c>
    </row>
    <row r="15" spans="1:41" ht="15" thickBot="1" x14ac:dyDescent="0.25">
      <c r="A15" s="429" t="str">
        <f t="shared" si="14"/>
        <v>-</v>
      </c>
      <c r="B15" s="1091">
        <f t="shared" si="15"/>
        <v>0</v>
      </c>
      <c r="D15" s="7"/>
      <c r="E15" s="377">
        <f t="shared" si="16"/>
        <v>0</v>
      </c>
      <c r="F15" s="56">
        <f t="shared" si="2"/>
        <v>0</v>
      </c>
      <c r="G15" s="17" t="str">
        <f t="shared" si="17"/>
        <v>-</v>
      </c>
      <c r="H15" s="1269">
        <f t="shared" si="18"/>
        <v>0</v>
      </c>
      <c r="I15" s="380">
        <f t="shared" si="19"/>
        <v>0</v>
      </c>
      <c r="K15" s="156">
        <v>14</v>
      </c>
      <c r="L15" s="156" t="s">
        <v>2997</v>
      </c>
      <c r="M15" s="157">
        <v>146.94999999999999</v>
      </c>
      <c r="N15" s="324">
        <v>3142</v>
      </c>
      <c r="P15">
        <v>23</v>
      </c>
      <c r="Q15">
        <f t="shared" si="0"/>
        <v>4284</v>
      </c>
      <c r="R15" t="str">
        <f t="shared" si="3"/>
        <v>4284 x 30</v>
      </c>
      <c r="S15" t="str">
        <f t="shared" si="4"/>
        <v>c/u</v>
      </c>
      <c r="T15" s="1">
        <f t="shared" si="5"/>
        <v>1040</v>
      </c>
      <c r="U15">
        <f t="shared" si="6"/>
        <v>30</v>
      </c>
      <c r="V15" s="326">
        <v>1005</v>
      </c>
      <c r="W15" s="327" t="s">
        <v>18229</v>
      </c>
      <c r="X15" s="328">
        <v>627.20000000000005</v>
      </c>
      <c r="Y15" s="1">
        <f t="shared" si="7"/>
        <v>426.49599999999998</v>
      </c>
      <c r="AC15">
        <v>14</v>
      </c>
      <c r="AD15" t="str">
        <f t="shared" si="8"/>
        <v>3142 x 50</v>
      </c>
      <c r="AE15" s="1">
        <f t="shared" si="9"/>
        <v>80.822500000000005</v>
      </c>
      <c r="AF15" s="1">
        <f t="shared" si="10"/>
        <v>407.99999999999994</v>
      </c>
      <c r="AH15" s="95">
        <f t="shared" si="11"/>
        <v>-0.80190563725490194</v>
      </c>
      <c r="AK15" s="1">
        <f t="shared" si="12"/>
        <v>571.19999999999993</v>
      </c>
      <c r="AM15" s="2">
        <f t="shared" si="13"/>
        <v>490.37749999999994</v>
      </c>
      <c r="AO15" s="1">
        <f t="shared" si="1"/>
        <v>952.19</v>
      </c>
    </row>
    <row r="16" spans="1:41" ht="15" thickBot="1" x14ac:dyDescent="0.25">
      <c r="A16" s="429" t="str">
        <f t="shared" si="14"/>
        <v>-</v>
      </c>
      <c r="B16" s="1091">
        <f t="shared" si="15"/>
        <v>0</v>
      </c>
      <c r="D16" s="7"/>
      <c r="E16" s="377">
        <f t="shared" si="16"/>
        <v>0</v>
      </c>
      <c r="F16" s="56">
        <f t="shared" si="2"/>
        <v>0</v>
      </c>
      <c r="G16" s="17" t="str">
        <f t="shared" si="17"/>
        <v>-</v>
      </c>
      <c r="H16" s="1269">
        <f t="shared" si="18"/>
        <v>0</v>
      </c>
      <c r="I16" s="380">
        <f t="shared" si="19"/>
        <v>0</v>
      </c>
      <c r="K16" s="158">
        <v>15</v>
      </c>
      <c r="L16" s="158" t="s">
        <v>2999</v>
      </c>
      <c r="M16" s="159">
        <v>178.3</v>
      </c>
      <c r="N16" s="323">
        <v>4215</v>
      </c>
      <c r="P16">
        <v>24</v>
      </c>
      <c r="Q16">
        <f t="shared" si="0"/>
        <v>5122</v>
      </c>
      <c r="R16" t="str">
        <f t="shared" si="3"/>
        <v>5122 x 50</v>
      </c>
      <c r="S16" t="str">
        <f t="shared" si="4"/>
        <v>c/u</v>
      </c>
      <c r="T16" s="1">
        <f t="shared" si="5"/>
        <v>706.56</v>
      </c>
      <c r="U16">
        <f t="shared" si="6"/>
        <v>50</v>
      </c>
      <c r="V16" s="326">
        <v>1006</v>
      </c>
      <c r="W16" s="327" t="s">
        <v>18229</v>
      </c>
      <c r="X16" s="328">
        <v>1267.2</v>
      </c>
      <c r="Y16" s="1">
        <f t="shared" si="7"/>
        <v>861.69599999999991</v>
      </c>
      <c r="AC16">
        <v>15</v>
      </c>
      <c r="AD16" t="str">
        <f t="shared" si="8"/>
        <v>4215 x 50</v>
      </c>
      <c r="AE16" s="1">
        <f t="shared" si="9"/>
        <v>98.065000000000012</v>
      </c>
      <c r="AF16" s="1">
        <f t="shared" si="10"/>
        <v>415.61599999999999</v>
      </c>
      <c r="AH16" s="95">
        <f t="shared" si="11"/>
        <v>-0.76404902602402214</v>
      </c>
      <c r="AK16" s="1">
        <f t="shared" si="12"/>
        <v>581.86239999999998</v>
      </c>
      <c r="AM16" s="2">
        <f t="shared" si="13"/>
        <v>483.79739999999998</v>
      </c>
      <c r="AO16" s="1">
        <f t="shared" si="1"/>
        <v>969.96</v>
      </c>
    </row>
    <row r="17" spans="1:41" ht="15" thickBot="1" x14ac:dyDescent="0.25">
      <c r="A17" s="429" t="str">
        <f t="shared" si="14"/>
        <v>-</v>
      </c>
      <c r="B17" s="1091">
        <f t="shared" si="15"/>
        <v>0</v>
      </c>
      <c r="D17" s="7"/>
      <c r="E17" s="377">
        <f t="shared" si="16"/>
        <v>0</v>
      </c>
      <c r="F17" s="56">
        <f t="shared" si="2"/>
        <v>0</v>
      </c>
      <c r="G17" s="17" t="str">
        <f t="shared" si="17"/>
        <v>-</v>
      </c>
      <c r="H17" s="1269">
        <f t="shared" si="18"/>
        <v>0</v>
      </c>
      <c r="I17" s="380">
        <f t="shared" si="19"/>
        <v>0</v>
      </c>
      <c r="K17" s="156">
        <v>16</v>
      </c>
      <c r="L17" s="156" t="s">
        <v>3001</v>
      </c>
      <c r="M17" s="157">
        <v>111.21</v>
      </c>
      <c r="N17" s="324">
        <v>4220</v>
      </c>
      <c r="P17">
        <v>29</v>
      </c>
      <c r="Q17">
        <f t="shared" si="0"/>
        <v>5169</v>
      </c>
      <c r="R17" t="str">
        <f t="shared" si="3"/>
        <v>5169 x 50</v>
      </c>
      <c r="S17" t="str">
        <f t="shared" si="4"/>
        <v>c/u</v>
      </c>
      <c r="T17" s="1">
        <f t="shared" si="5"/>
        <v>857.6</v>
      </c>
      <c r="U17">
        <f t="shared" si="6"/>
        <v>50</v>
      </c>
      <c r="V17" s="326">
        <v>1007</v>
      </c>
      <c r="W17" s="327" t="s">
        <v>18229</v>
      </c>
      <c r="X17" s="328">
        <v>1168</v>
      </c>
      <c r="Y17" s="1">
        <f t="shared" si="7"/>
        <v>794.2399999999999</v>
      </c>
      <c r="AC17">
        <v>16</v>
      </c>
      <c r="AD17" t="str">
        <f t="shared" si="8"/>
        <v>4220 x 50</v>
      </c>
      <c r="AE17" s="1">
        <f t="shared" si="9"/>
        <v>61.165500000000002</v>
      </c>
      <c r="AF17" s="1">
        <f t="shared" si="10"/>
        <v>252.41599999999997</v>
      </c>
      <c r="AH17" s="95">
        <f t="shared" si="11"/>
        <v>-0.75767978258113589</v>
      </c>
      <c r="AK17" s="1">
        <f t="shared" si="12"/>
        <v>353.38239999999996</v>
      </c>
      <c r="AM17" s="2">
        <f t="shared" si="13"/>
        <v>292.21689999999995</v>
      </c>
      <c r="AO17" s="1">
        <f t="shared" si="1"/>
        <v>589.09</v>
      </c>
    </row>
    <row r="18" spans="1:41" ht="15" thickBot="1" x14ac:dyDescent="0.25">
      <c r="A18" s="429" t="str">
        <f t="shared" si="14"/>
        <v>-</v>
      </c>
      <c r="B18" s="1091">
        <f t="shared" si="15"/>
        <v>0</v>
      </c>
      <c r="D18" s="7"/>
      <c r="E18" s="377">
        <f t="shared" si="16"/>
        <v>0</v>
      </c>
      <c r="F18" s="56">
        <f t="shared" si="2"/>
        <v>0</v>
      </c>
      <c r="G18" s="17" t="str">
        <f t="shared" si="17"/>
        <v>-</v>
      </c>
      <c r="H18" s="1269">
        <f t="shared" si="18"/>
        <v>0</v>
      </c>
      <c r="I18" s="380">
        <f t="shared" si="19"/>
        <v>0</v>
      </c>
      <c r="K18" s="158">
        <v>17</v>
      </c>
      <c r="L18" s="158" t="s">
        <v>3003</v>
      </c>
      <c r="M18" s="159">
        <v>104.55</v>
      </c>
      <c r="N18" s="323">
        <v>4223</v>
      </c>
      <c r="P18">
        <v>35</v>
      </c>
      <c r="Q18" s="387">
        <f t="shared" si="0"/>
        <v>6109</v>
      </c>
      <c r="R18" t="str">
        <f t="shared" si="3"/>
        <v>6109 x 50</v>
      </c>
      <c r="S18" t="str">
        <f t="shared" si="4"/>
        <v>c/u</v>
      </c>
      <c r="T18" s="1">
        <f t="shared" si="5"/>
        <v>716.8</v>
      </c>
      <c r="U18">
        <f t="shared" si="6"/>
        <v>50</v>
      </c>
      <c r="V18" s="326">
        <v>1008</v>
      </c>
      <c r="W18" s="327" t="s">
        <v>18229</v>
      </c>
      <c r="X18" s="328">
        <v>1040</v>
      </c>
      <c r="Y18" s="1">
        <f t="shared" si="7"/>
        <v>707.19999999999993</v>
      </c>
      <c r="AC18">
        <v>17</v>
      </c>
      <c r="AD18" t="str">
        <f t="shared" si="8"/>
        <v>4223 x 50</v>
      </c>
      <c r="AE18" s="1">
        <f t="shared" si="9"/>
        <v>57.502500000000005</v>
      </c>
      <c r="AF18" s="1">
        <f t="shared" si="10"/>
        <v>243.71199999999996</v>
      </c>
      <c r="AH18" s="95">
        <f t="shared" si="11"/>
        <v>-0.7640555245535714</v>
      </c>
      <c r="AK18" s="1">
        <f t="shared" si="12"/>
        <v>341.19679999999994</v>
      </c>
      <c r="AM18" s="2">
        <f t="shared" si="13"/>
        <v>283.69429999999994</v>
      </c>
      <c r="AO18" s="1">
        <f t="shared" si="1"/>
        <v>568.78</v>
      </c>
    </row>
    <row r="19" spans="1:41" ht="15" thickBot="1" x14ac:dyDescent="0.25">
      <c r="A19" s="429" t="str">
        <f t="shared" si="14"/>
        <v>-</v>
      </c>
      <c r="B19" s="1091">
        <f t="shared" si="15"/>
        <v>0</v>
      </c>
      <c r="D19" s="7"/>
      <c r="E19" s="377">
        <f t="shared" si="16"/>
        <v>0</v>
      </c>
      <c r="F19" s="56">
        <f t="shared" si="2"/>
        <v>0</v>
      </c>
      <c r="G19" s="17" t="str">
        <f t="shared" si="17"/>
        <v>-</v>
      </c>
      <c r="H19" s="1269">
        <f t="shared" si="18"/>
        <v>0</v>
      </c>
      <c r="I19" s="380">
        <f t="shared" si="19"/>
        <v>0</v>
      </c>
      <c r="K19" s="156">
        <v>18</v>
      </c>
      <c r="L19" s="156" t="s">
        <v>3005</v>
      </c>
      <c r="M19" s="157">
        <v>418.22</v>
      </c>
      <c r="N19" s="324">
        <v>4263</v>
      </c>
      <c r="P19">
        <v>36</v>
      </c>
      <c r="Q19">
        <f t="shared" ref="Q19:Q27" si="20">+VLOOKUP(P19,$K$2:$N$75,4,0)</f>
        <v>6110</v>
      </c>
      <c r="R19" t="str">
        <f t="shared" si="3"/>
        <v>6110 x 50</v>
      </c>
      <c r="S19" t="str">
        <f t="shared" si="4"/>
        <v>c/u</v>
      </c>
      <c r="T19" s="1">
        <f t="shared" si="5"/>
        <v>1126.4000000000001</v>
      </c>
      <c r="U19">
        <f t="shared" si="6"/>
        <v>50</v>
      </c>
      <c r="V19" s="326">
        <v>1009</v>
      </c>
      <c r="W19" s="327" t="s">
        <v>18229</v>
      </c>
      <c r="X19" s="328">
        <v>720</v>
      </c>
      <c r="Y19" s="1">
        <f t="shared" si="7"/>
        <v>489.59999999999997</v>
      </c>
      <c r="AC19">
        <v>18</v>
      </c>
      <c r="AD19" t="str">
        <f t="shared" si="8"/>
        <v>4263 x 50</v>
      </c>
      <c r="AE19" s="1">
        <f t="shared" si="9"/>
        <v>230.02100000000004</v>
      </c>
      <c r="AF19" s="1">
        <f t="shared" si="10"/>
        <v>974.84799999999984</v>
      </c>
      <c r="AH19" s="95">
        <f t="shared" si="11"/>
        <v>-0.76404424074317223</v>
      </c>
      <c r="AK19" s="1">
        <f t="shared" si="12"/>
        <v>1364.7871999999998</v>
      </c>
      <c r="AM19" s="2">
        <f t="shared" si="13"/>
        <v>1134.7661999999998</v>
      </c>
      <c r="AO19" s="1">
        <f t="shared" si="1"/>
        <v>2275.1</v>
      </c>
    </row>
    <row r="20" spans="1:41" ht="15" thickBot="1" x14ac:dyDescent="0.25">
      <c r="A20" s="429" t="str">
        <f t="shared" si="14"/>
        <v>-</v>
      </c>
      <c r="B20" s="1091">
        <f t="shared" si="15"/>
        <v>0</v>
      </c>
      <c r="D20" s="7"/>
      <c r="E20" s="377">
        <f t="shared" si="16"/>
        <v>0</v>
      </c>
      <c r="F20" s="56">
        <f t="shared" si="2"/>
        <v>0</v>
      </c>
      <c r="G20" s="17" t="str">
        <f t="shared" si="17"/>
        <v>-</v>
      </c>
      <c r="H20" s="1269">
        <f t="shared" si="18"/>
        <v>0</v>
      </c>
      <c r="I20" s="380">
        <f t="shared" si="19"/>
        <v>0</v>
      </c>
      <c r="K20" s="158">
        <v>19</v>
      </c>
      <c r="L20" s="158" t="s">
        <v>3007</v>
      </c>
      <c r="M20" s="159">
        <v>297.23</v>
      </c>
      <c r="N20" s="323">
        <v>4264</v>
      </c>
      <c r="P20">
        <v>42</v>
      </c>
      <c r="Q20">
        <f t="shared" si="20"/>
        <v>6518</v>
      </c>
      <c r="R20" t="str">
        <f t="shared" si="3"/>
        <v>6518 x 50</v>
      </c>
      <c r="S20" t="str">
        <f t="shared" si="4"/>
        <v>c/u</v>
      </c>
      <c r="T20" s="1">
        <f t="shared" si="5"/>
        <v>409.6</v>
      </c>
      <c r="U20">
        <f t="shared" si="6"/>
        <v>50</v>
      </c>
      <c r="V20" s="326">
        <v>1010</v>
      </c>
      <c r="W20" s="327" t="s">
        <v>18229</v>
      </c>
      <c r="X20" s="328">
        <v>1584</v>
      </c>
      <c r="Y20" s="1">
        <f t="shared" si="7"/>
        <v>1077.1199999999999</v>
      </c>
      <c r="AC20">
        <v>19</v>
      </c>
      <c r="AD20" t="str">
        <f t="shared" si="8"/>
        <v>4264 x 50</v>
      </c>
      <c r="AE20" s="1">
        <f t="shared" si="9"/>
        <v>163.47650000000002</v>
      </c>
      <c r="AF20" s="1">
        <f t="shared" si="10"/>
        <v>650.62399999999991</v>
      </c>
      <c r="AH20" s="95">
        <f t="shared" si="11"/>
        <v>-0.74873890296084977</v>
      </c>
      <c r="AK20" s="1">
        <f t="shared" si="12"/>
        <v>910.8735999999999</v>
      </c>
      <c r="AM20" s="2">
        <f t="shared" si="13"/>
        <v>747.39709999999991</v>
      </c>
      <c r="AO20" s="1">
        <f t="shared" si="1"/>
        <v>1518.43</v>
      </c>
    </row>
    <row r="21" spans="1:41" ht="15" thickBot="1" x14ac:dyDescent="0.25">
      <c r="A21" s="429" t="str">
        <f t="shared" si="14"/>
        <v>-</v>
      </c>
      <c r="B21" s="1091">
        <f t="shared" si="15"/>
        <v>0</v>
      </c>
      <c r="D21" s="7"/>
      <c r="E21" s="377">
        <f t="shared" si="16"/>
        <v>0</v>
      </c>
      <c r="F21" s="56">
        <f t="shared" si="2"/>
        <v>0</v>
      </c>
      <c r="G21" s="17" t="str">
        <f t="shared" si="17"/>
        <v>-</v>
      </c>
      <c r="H21" s="1269">
        <f t="shared" si="18"/>
        <v>0</v>
      </c>
      <c r="I21" s="380">
        <f t="shared" si="19"/>
        <v>0</v>
      </c>
      <c r="K21" s="156">
        <v>20</v>
      </c>
      <c r="L21" s="156" t="s">
        <v>3009</v>
      </c>
      <c r="M21" s="157">
        <v>268.85000000000002</v>
      </c>
      <c r="N21" s="324">
        <v>4267</v>
      </c>
      <c r="P21">
        <v>45</v>
      </c>
      <c r="Q21">
        <f t="shared" si="20"/>
        <v>6538</v>
      </c>
      <c r="R21" t="str">
        <f t="shared" si="3"/>
        <v>6538 x100</v>
      </c>
      <c r="S21" t="str">
        <f t="shared" si="4"/>
        <v>c/u</v>
      </c>
      <c r="T21" s="1">
        <f t="shared" si="5"/>
        <v>163.84</v>
      </c>
      <c r="U21">
        <f t="shared" si="6"/>
        <v>100</v>
      </c>
      <c r="V21" s="326">
        <v>1011</v>
      </c>
      <c r="W21" s="327" t="s">
        <v>18229</v>
      </c>
      <c r="X21" s="328">
        <v>1968</v>
      </c>
      <c r="Y21" s="1">
        <f t="shared" si="7"/>
        <v>1338.2399999999998</v>
      </c>
      <c r="AC21">
        <v>20</v>
      </c>
      <c r="AD21" t="str">
        <f t="shared" si="8"/>
        <v>4267 x 50</v>
      </c>
      <c r="AE21" s="1">
        <f t="shared" si="9"/>
        <v>147.86750000000004</v>
      </c>
      <c r="AF21" s="1">
        <f t="shared" si="10"/>
        <v>626.68799999999999</v>
      </c>
      <c r="AH21" s="95">
        <f t="shared" si="11"/>
        <v>-0.76404925577001626</v>
      </c>
      <c r="AK21" s="1">
        <f t="shared" si="12"/>
        <v>877.36320000000001</v>
      </c>
      <c r="AM21" s="2">
        <f t="shared" si="13"/>
        <v>729.49569999999994</v>
      </c>
      <c r="AO21" s="1">
        <f t="shared" si="1"/>
        <v>1462.56</v>
      </c>
    </row>
    <row r="22" spans="1:41" ht="15" thickBot="1" x14ac:dyDescent="0.25">
      <c r="A22" s="429" t="str">
        <f t="shared" si="14"/>
        <v>-</v>
      </c>
      <c r="B22" s="1091">
        <f t="shared" si="15"/>
        <v>0</v>
      </c>
      <c r="D22" s="7"/>
      <c r="E22" s="377">
        <f t="shared" si="16"/>
        <v>0</v>
      </c>
      <c r="F22" s="56">
        <f t="shared" si="2"/>
        <v>0</v>
      </c>
      <c r="G22" s="17" t="str">
        <f t="shared" si="17"/>
        <v>-</v>
      </c>
      <c r="H22" s="1269">
        <f t="shared" si="18"/>
        <v>0</v>
      </c>
      <c r="I22" s="380">
        <f t="shared" si="19"/>
        <v>0</v>
      </c>
      <c r="K22" s="158">
        <v>21</v>
      </c>
      <c r="L22" s="158" t="s">
        <v>3011</v>
      </c>
      <c r="M22" s="159">
        <v>206.12</v>
      </c>
      <c r="N22" s="323">
        <v>4269</v>
      </c>
      <c r="P22">
        <v>49</v>
      </c>
      <c r="Q22">
        <f t="shared" si="20"/>
        <v>6705</v>
      </c>
      <c r="R22" t="str">
        <f t="shared" si="3"/>
        <v>6705 x 50</v>
      </c>
      <c r="S22" t="str">
        <f t="shared" si="4"/>
        <v>c/u</v>
      </c>
      <c r="T22" s="1">
        <f t="shared" si="5"/>
        <v>972.8</v>
      </c>
      <c r="U22">
        <f t="shared" si="6"/>
        <v>50</v>
      </c>
      <c r="V22" s="326">
        <v>1012</v>
      </c>
      <c r="W22" s="327" t="s">
        <v>18229</v>
      </c>
      <c r="X22" s="328">
        <v>1278.4000000000001</v>
      </c>
      <c r="Y22" s="1">
        <f t="shared" si="7"/>
        <v>869.31200000000001</v>
      </c>
      <c r="AC22">
        <v>21</v>
      </c>
      <c r="AD22" t="str">
        <f t="shared" si="8"/>
        <v>4269 x 50</v>
      </c>
      <c r="AE22" s="1">
        <f t="shared" si="9"/>
        <v>113.36600000000001</v>
      </c>
      <c r="AF22" s="1">
        <f t="shared" si="10"/>
        <v>480.46079999999989</v>
      </c>
      <c r="AH22" s="95">
        <f t="shared" si="11"/>
        <v>-0.76404734787936901</v>
      </c>
      <c r="AK22" s="1">
        <f t="shared" si="12"/>
        <v>672.64511999999991</v>
      </c>
      <c r="AM22" s="2">
        <f t="shared" si="13"/>
        <v>559.27911999999992</v>
      </c>
      <c r="AO22" s="1">
        <f t="shared" si="1"/>
        <v>1121.3</v>
      </c>
    </row>
    <row r="23" spans="1:41" ht="15" thickBot="1" x14ac:dyDescent="0.25">
      <c r="A23" s="429" t="str">
        <f t="shared" si="14"/>
        <v>-</v>
      </c>
      <c r="B23" s="1091">
        <f t="shared" si="15"/>
        <v>0</v>
      </c>
      <c r="D23" s="7"/>
      <c r="E23" s="377">
        <f t="shared" si="16"/>
        <v>0</v>
      </c>
      <c r="F23" s="56">
        <f t="shared" si="2"/>
        <v>0</v>
      </c>
      <c r="G23" s="17" t="str">
        <f t="shared" si="17"/>
        <v>-</v>
      </c>
      <c r="H23" s="1269">
        <f t="shared" si="18"/>
        <v>0</v>
      </c>
      <c r="I23" s="380">
        <f t="shared" si="19"/>
        <v>0</v>
      </c>
      <c r="K23" s="156">
        <v>22</v>
      </c>
      <c r="L23" s="156" t="s">
        <v>3013</v>
      </c>
      <c r="M23" s="157">
        <v>235.99</v>
      </c>
      <c r="N23" s="324">
        <v>4282</v>
      </c>
      <c r="P23">
        <v>55</v>
      </c>
      <c r="Q23">
        <f t="shared" si="20"/>
        <v>4085</v>
      </c>
      <c r="R23" t="str">
        <f t="shared" si="3"/>
        <v>4085 x 50</v>
      </c>
      <c r="S23" t="str">
        <f t="shared" si="4"/>
        <v>c/u</v>
      </c>
      <c r="T23" s="1">
        <f t="shared" si="5"/>
        <v>409.6</v>
      </c>
      <c r="U23">
        <f t="shared" si="6"/>
        <v>50</v>
      </c>
      <c r="V23" s="326" t="s">
        <v>18241</v>
      </c>
      <c r="W23" s="327" t="s">
        <v>18229</v>
      </c>
      <c r="X23" s="328">
        <v>1344</v>
      </c>
      <c r="Y23" s="1">
        <f t="shared" si="7"/>
        <v>913.92</v>
      </c>
      <c r="AC23">
        <v>22</v>
      </c>
      <c r="AD23" t="str">
        <f t="shared" si="8"/>
        <v>4282 x 50</v>
      </c>
      <c r="AE23" s="1">
        <f t="shared" si="9"/>
        <v>129.79450000000003</v>
      </c>
      <c r="AF23" s="1">
        <f t="shared" si="10"/>
        <v>550.09280000000001</v>
      </c>
      <c r="AH23" s="95">
        <f t="shared" si="11"/>
        <v>-0.76404981123185034</v>
      </c>
      <c r="AK23" s="1">
        <f t="shared" si="12"/>
        <v>770.12992000000008</v>
      </c>
      <c r="AM23" s="2">
        <f t="shared" si="13"/>
        <v>640.33542000000011</v>
      </c>
      <c r="AO23" s="1">
        <f t="shared" si="1"/>
        <v>1283.81</v>
      </c>
    </row>
    <row r="24" spans="1:41" ht="15" thickBot="1" x14ac:dyDescent="0.25">
      <c r="A24" s="429" t="str">
        <f t="shared" si="14"/>
        <v>-</v>
      </c>
      <c r="B24" s="1091">
        <f t="shared" si="15"/>
        <v>0</v>
      </c>
      <c r="D24" s="7"/>
      <c r="E24" s="377">
        <f t="shared" si="16"/>
        <v>0</v>
      </c>
      <c r="F24" s="56">
        <f t="shared" si="2"/>
        <v>0</v>
      </c>
      <c r="G24" s="17" t="str">
        <f t="shared" si="17"/>
        <v>-</v>
      </c>
      <c r="H24" s="1269">
        <f t="shared" si="18"/>
        <v>0</v>
      </c>
      <c r="I24" s="380">
        <f t="shared" si="19"/>
        <v>0</v>
      </c>
      <c r="K24" s="158">
        <v>23</v>
      </c>
      <c r="L24" s="158" t="s">
        <v>3015</v>
      </c>
      <c r="M24" s="159">
        <v>390.3</v>
      </c>
      <c r="N24" s="323">
        <v>4284</v>
      </c>
      <c r="P24">
        <v>56</v>
      </c>
      <c r="Q24">
        <f t="shared" si="20"/>
        <v>4111</v>
      </c>
      <c r="R24" t="str">
        <f t="shared" si="3"/>
        <v>4111 x 50</v>
      </c>
      <c r="S24" t="str">
        <f t="shared" si="4"/>
        <v>c/u</v>
      </c>
      <c r="T24" s="1">
        <f t="shared" si="5"/>
        <v>307.2</v>
      </c>
      <c r="U24">
        <f t="shared" si="6"/>
        <v>50</v>
      </c>
      <c r="V24" s="326">
        <v>1013</v>
      </c>
      <c r="W24" s="327" t="s">
        <v>18229</v>
      </c>
      <c r="X24" s="328">
        <v>3040</v>
      </c>
      <c r="Y24" s="1">
        <f t="shared" si="7"/>
        <v>2067.1999999999998</v>
      </c>
      <c r="AC24">
        <v>23</v>
      </c>
      <c r="AD24" t="str">
        <f t="shared" si="8"/>
        <v>4284 x 30</v>
      </c>
      <c r="AE24" s="1">
        <f t="shared" si="9"/>
        <v>214.66500000000002</v>
      </c>
      <c r="AF24" s="1">
        <f t="shared" si="10"/>
        <v>707.19999999999993</v>
      </c>
      <c r="AH24" s="95">
        <f t="shared" si="11"/>
        <v>-0.69645786199095017</v>
      </c>
      <c r="AK24" s="1">
        <f t="shared" si="12"/>
        <v>990.07999999999993</v>
      </c>
      <c r="AM24" s="2">
        <f t="shared" si="13"/>
        <v>775.41499999999996</v>
      </c>
      <c r="AO24" s="1">
        <f t="shared" si="1"/>
        <v>1650.46</v>
      </c>
    </row>
    <row r="25" spans="1:41" ht="15" thickBot="1" x14ac:dyDescent="0.25">
      <c r="A25" s="429" t="str">
        <f t="shared" si="14"/>
        <v>-</v>
      </c>
      <c r="B25" s="1091">
        <f t="shared" si="15"/>
        <v>0</v>
      </c>
      <c r="D25" s="7"/>
      <c r="E25" s="377">
        <f t="shared" si="16"/>
        <v>0</v>
      </c>
      <c r="F25" s="56">
        <f t="shared" si="2"/>
        <v>0</v>
      </c>
      <c r="G25" s="17" t="str">
        <f t="shared" si="17"/>
        <v>-</v>
      </c>
      <c r="H25" s="1269">
        <f t="shared" si="18"/>
        <v>0</v>
      </c>
      <c r="I25" s="380">
        <f t="shared" si="19"/>
        <v>0</v>
      </c>
      <c r="K25" s="156">
        <v>24</v>
      </c>
      <c r="L25" s="156" t="s">
        <v>3017</v>
      </c>
      <c r="M25" s="157">
        <v>206.12</v>
      </c>
      <c r="N25" s="324">
        <v>5122</v>
      </c>
      <c r="P25">
        <v>57</v>
      </c>
      <c r="Q25">
        <f t="shared" si="20"/>
        <v>5051</v>
      </c>
      <c r="R25" t="str">
        <f t="shared" si="3"/>
        <v>5051 x 50</v>
      </c>
      <c r="S25" t="str">
        <f t="shared" si="4"/>
        <v>c/u</v>
      </c>
      <c r="T25" s="1">
        <f t="shared" si="5"/>
        <v>0</v>
      </c>
      <c r="U25">
        <f t="shared" si="6"/>
        <v>50</v>
      </c>
      <c r="V25" s="326">
        <v>1014</v>
      </c>
      <c r="W25" s="327" t="s">
        <v>18229</v>
      </c>
      <c r="X25" s="328">
        <v>1587.2</v>
      </c>
      <c r="Y25" s="1">
        <f t="shared" si="7"/>
        <v>1079.2959999999998</v>
      </c>
      <c r="AC25">
        <v>24</v>
      </c>
      <c r="AD25" t="str">
        <f t="shared" si="8"/>
        <v>5122 x 50</v>
      </c>
      <c r="AE25" s="1">
        <f t="shared" si="9"/>
        <v>113.36600000000001</v>
      </c>
      <c r="AF25" s="1">
        <f t="shared" si="10"/>
        <v>480.46079999999989</v>
      </c>
      <c r="AH25" s="95">
        <f t="shared" si="11"/>
        <v>-0.76404734787936901</v>
      </c>
      <c r="AK25" s="1">
        <f t="shared" si="12"/>
        <v>672.64511999999991</v>
      </c>
      <c r="AM25" s="2">
        <f t="shared" si="13"/>
        <v>559.27911999999992</v>
      </c>
      <c r="AO25" s="1">
        <f t="shared" si="1"/>
        <v>1121.3</v>
      </c>
    </row>
    <row r="26" spans="1:41" ht="15" thickBot="1" x14ac:dyDescent="0.25">
      <c r="A26" s="429" t="str">
        <f t="shared" si="14"/>
        <v>-</v>
      </c>
      <c r="B26" s="1091">
        <f t="shared" si="15"/>
        <v>0</v>
      </c>
      <c r="D26" s="7"/>
      <c r="E26" s="377">
        <f t="shared" si="16"/>
        <v>0</v>
      </c>
      <c r="F26" s="56">
        <f t="shared" si="2"/>
        <v>0</v>
      </c>
      <c r="G26" s="17" t="str">
        <f t="shared" si="17"/>
        <v>-</v>
      </c>
      <c r="H26" s="1269">
        <f t="shared" si="18"/>
        <v>0</v>
      </c>
      <c r="I26" s="380">
        <f t="shared" si="19"/>
        <v>0</v>
      </c>
      <c r="K26" s="158">
        <v>25</v>
      </c>
      <c r="L26" s="158" t="s">
        <v>3017</v>
      </c>
      <c r="M26" s="159">
        <v>166.86</v>
      </c>
      <c r="N26" s="323" t="s">
        <v>3019</v>
      </c>
      <c r="P26">
        <v>60</v>
      </c>
      <c r="Q26">
        <f t="shared" si="20"/>
        <v>5061</v>
      </c>
      <c r="R26" t="str">
        <f t="shared" si="3"/>
        <v>5061 x 50</v>
      </c>
      <c r="S26" t="str">
        <f t="shared" si="4"/>
        <v>c/u</v>
      </c>
      <c r="T26" s="1">
        <f t="shared" si="5"/>
        <v>284.8</v>
      </c>
      <c r="U26">
        <f t="shared" si="6"/>
        <v>50</v>
      </c>
      <c r="V26" s="326">
        <v>1016</v>
      </c>
      <c r="W26" s="327" t="s">
        <v>18229</v>
      </c>
      <c r="X26" s="328">
        <v>3936</v>
      </c>
      <c r="Y26" s="1">
        <f t="shared" si="7"/>
        <v>2676.4799999999996</v>
      </c>
      <c r="AC26">
        <v>25</v>
      </c>
      <c r="AD26" t="str">
        <f t="shared" si="8"/>
        <v>5122/Ax 50</v>
      </c>
      <c r="AE26" s="1">
        <f t="shared" si="9"/>
        <v>91.77300000000001</v>
      </c>
      <c r="AF26" s="1">
        <f t="shared" si="10"/>
        <v>0</v>
      </c>
      <c r="AH26" s="95">
        <f t="shared" si="11"/>
        <v>0</v>
      </c>
      <c r="AK26" s="1">
        <f t="shared" si="12"/>
        <v>0</v>
      </c>
      <c r="AM26" s="2">
        <f t="shared" si="13"/>
        <v>-91.77300000000001</v>
      </c>
      <c r="AO26" s="1">
        <f t="shared" si="1"/>
        <v>0</v>
      </c>
    </row>
    <row r="27" spans="1:41" ht="15" thickBot="1" x14ac:dyDescent="0.25">
      <c r="A27" s="429" t="str">
        <f t="shared" si="14"/>
        <v>-</v>
      </c>
      <c r="B27" s="1091">
        <f t="shared" si="15"/>
        <v>0</v>
      </c>
      <c r="D27" s="7"/>
      <c r="E27" s="377">
        <f t="shared" si="16"/>
        <v>0</v>
      </c>
      <c r="F27" s="56">
        <f t="shared" si="2"/>
        <v>0</v>
      </c>
      <c r="G27" s="17" t="str">
        <f t="shared" si="17"/>
        <v>-</v>
      </c>
      <c r="H27" s="1269">
        <f t="shared" si="18"/>
        <v>0</v>
      </c>
      <c r="I27" s="380">
        <f t="shared" si="19"/>
        <v>0</v>
      </c>
      <c r="K27" s="156">
        <v>26</v>
      </c>
      <c r="L27" s="156" t="s">
        <v>3021</v>
      </c>
      <c r="M27" s="157">
        <v>166.86</v>
      </c>
      <c r="N27" s="324">
        <v>5126</v>
      </c>
      <c r="P27">
        <v>66</v>
      </c>
      <c r="Q27">
        <f t="shared" si="20"/>
        <v>6107</v>
      </c>
      <c r="R27" t="str">
        <f t="shared" si="3"/>
        <v>6107 x 50</v>
      </c>
      <c r="S27" t="str">
        <f t="shared" si="4"/>
        <v>c/u</v>
      </c>
      <c r="T27" s="1">
        <f t="shared" si="5"/>
        <v>502.4</v>
      </c>
      <c r="U27">
        <f t="shared" si="6"/>
        <v>50</v>
      </c>
      <c r="V27" s="326">
        <v>1017</v>
      </c>
      <c r="W27" s="327" t="s">
        <v>18229</v>
      </c>
      <c r="X27" s="328">
        <v>1568</v>
      </c>
      <c r="Y27" s="1">
        <f t="shared" si="7"/>
        <v>1066.24</v>
      </c>
      <c r="AC27">
        <v>26</v>
      </c>
      <c r="AD27" t="str">
        <f t="shared" si="8"/>
        <v>5126 x 50</v>
      </c>
      <c r="AE27" s="1">
        <f t="shared" si="9"/>
        <v>91.77300000000001</v>
      </c>
      <c r="AF27" s="1">
        <f t="shared" si="10"/>
        <v>242.624</v>
      </c>
      <c r="AH27" s="95">
        <f t="shared" si="11"/>
        <v>-0.62174805460300708</v>
      </c>
      <c r="AK27" s="1">
        <f t="shared" si="12"/>
        <v>339.67359999999996</v>
      </c>
      <c r="AM27" s="2">
        <f t="shared" si="13"/>
        <v>247.90059999999994</v>
      </c>
      <c r="AO27" s="1">
        <f t="shared" si="1"/>
        <v>566.24</v>
      </c>
    </row>
    <row r="28" spans="1:41" ht="15" thickBot="1" x14ac:dyDescent="0.25">
      <c r="A28" s="429" t="str">
        <f t="shared" si="14"/>
        <v>-</v>
      </c>
      <c r="B28" s="1091">
        <f t="shared" si="15"/>
        <v>0</v>
      </c>
      <c r="D28" s="8"/>
      <c r="E28" s="377">
        <f t="shared" si="16"/>
        <v>0</v>
      </c>
      <c r="F28" s="57">
        <f t="shared" si="2"/>
        <v>0</v>
      </c>
      <c r="G28" s="17" t="str">
        <f t="shared" si="17"/>
        <v>-</v>
      </c>
      <c r="H28" s="1269">
        <f t="shared" si="18"/>
        <v>0</v>
      </c>
      <c r="I28" s="382">
        <f t="shared" si="19"/>
        <v>0</v>
      </c>
      <c r="K28" s="158">
        <v>27</v>
      </c>
      <c r="L28" s="158" t="s">
        <v>3023</v>
      </c>
      <c r="M28" s="159">
        <v>169.26</v>
      </c>
      <c r="N28" s="1271">
        <v>5138</v>
      </c>
      <c r="V28" s="326">
        <v>1018</v>
      </c>
      <c r="W28" s="327" t="s">
        <v>18229</v>
      </c>
      <c r="X28" s="328">
        <v>952</v>
      </c>
      <c r="Y28" s="1">
        <f t="shared" si="7"/>
        <v>647.3599999999999</v>
      </c>
      <c r="AC28">
        <v>27</v>
      </c>
      <c r="AD28">
        <f t="shared" si="8"/>
        <v>0</v>
      </c>
      <c r="AE28" s="1">
        <f t="shared" si="9"/>
        <v>93.093000000000004</v>
      </c>
      <c r="AF28" s="1">
        <f t="shared" si="10"/>
        <v>0</v>
      </c>
      <c r="AH28" s="95">
        <f t="shared" si="11"/>
        <v>0</v>
      </c>
      <c r="AK28" s="1">
        <f t="shared" si="12"/>
        <v>0</v>
      </c>
      <c r="AM28" s="2">
        <f t="shared" si="13"/>
        <v>-93.093000000000004</v>
      </c>
      <c r="AO28" s="1">
        <f t="shared" si="1"/>
        <v>0</v>
      </c>
    </row>
    <row r="29" spans="1:41" ht="13.5" thickBot="1" x14ac:dyDescent="0.25">
      <c r="K29" s="156">
        <v>28</v>
      </c>
      <c r="L29" s="156" t="s">
        <v>3025</v>
      </c>
      <c r="M29" s="157">
        <v>191.04</v>
      </c>
      <c r="N29" s="324">
        <v>5168</v>
      </c>
      <c r="V29" s="326">
        <v>1019</v>
      </c>
      <c r="W29" s="327" t="s">
        <v>18229</v>
      </c>
      <c r="X29" s="328">
        <v>1587.2</v>
      </c>
      <c r="Y29" s="1">
        <f t="shared" si="7"/>
        <v>1079.2959999999998</v>
      </c>
      <c r="AC29">
        <v>28</v>
      </c>
      <c r="AD29" t="str">
        <f t="shared" si="8"/>
        <v>5168 x 50</v>
      </c>
      <c r="AE29" s="1">
        <f t="shared" si="9"/>
        <v>105.072</v>
      </c>
      <c r="AF29" s="1">
        <f t="shared" si="10"/>
        <v>0</v>
      </c>
      <c r="AH29" s="95">
        <f t="shared" si="11"/>
        <v>0</v>
      </c>
      <c r="AK29" s="1">
        <f t="shared" si="12"/>
        <v>0</v>
      </c>
      <c r="AM29" s="2">
        <f t="shared" si="13"/>
        <v>-105.072</v>
      </c>
      <c r="AO29" s="1">
        <f t="shared" si="1"/>
        <v>0</v>
      </c>
    </row>
    <row r="30" spans="1:41" ht="15.75" thickBot="1" x14ac:dyDescent="0.3">
      <c r="B30" s="305" t="s">
        <v>8164</v>
      </c>
      <c r="C30" s="375"/>
      <c r="D30" s="375"/>
      <c r="E30" s="375"/>
      <c r="F30" s="376">
        <f>+SUM(F3:F28)</f>
        <v>114359.67999999999</v>
      </c>
      <c r="G30" s="180"/>
      <c r="H30" s="2">
        <f>+SUM(H3:H28)</f>
        <v>35440.405000000013</v>
      </c>
      <c r="I30" s="62">
        <f>+H30/F30-1</f>
        <v>-0.6900970254551253</v>
      </c>
      <c r="K30" s="158">
        <v>29</v>
      </c>
      <c r="L30" s="158" t="s">
        <v>3027</v>
      </c>
      <c r="M30" s="159">
        <v>263.89</v>
      </c>
      <c r="N30" s="323">
        <v>5169</v>
      </c>
      <c r="V30" s="326" t="s">
        <v>18242</v>
      </c>
      <c r="W30" s="327" t="s">
        <v>18229</v>
      </c>
      <c r="X30" s="328">
        <v>1587.2</v>
      </c>
      <c r="Y30" s="1">
        <f t="shared" si="7"/>
        <v>1079.2959999999998</v>
      </c>
      <c r="AC30">
        <v>29</v>
      </c>
      <c r="AD30" t="str">
        <f t="shared" si="8"/>
        <v>5169 x 50</v>
      </c>
      <c r="AE30" s="1">
        <f t="shared" si="9"/>
        <v>145.1395</v>
      </c>
      <c r="AF30" s="1">
        <f t="shared" si="10"/>
        <v>583.16800000000001</v>
      </c>
      <c r="AH30" s="95">
        <f t="shared" si="11"/>
        <v>-0.7511188885535558</v>
      </c>
      <c r="AK30" s="1">
        <f t="shared" si="12"/>
        <v>816.43520000000001</v>
      </c>
      <c r="AM30" s="2">
        <f t="shared" si="13"/>
        <v>671.29570000000001</v>
      </c>
      <c r="AO30" s="1">
        <f t="shared" si="1"/>
        <v>1361</v>
      </c>
    </row>
    <row r="31" spans="1:41" x14ac:dyDescent="0.2">
      <c r="K31" s="399">
        <v>30</v>
      </c>
      <c r="L31" s="399" t="s">
        <v>3029</v>
      </c>
      <c r="M31" s="400">
        <v>200</v>
      </c>
      <c r="N31" s="401"/>
      <c r="V31" s="326" t="s">
        <v>18243</v>
      </c>
      <c r="W31" s="327" t="s">
        <v>18229</v>
      </c>
      <c r="X31" s="328">
        <v>2240</v>
      </c>
      <c r="Y31" s="1">
        <f t="shared" si="7"/>
        <v>1523.1999999999998</v>
      </c>
      <c r="AC31" s="405">
        <v>30</v>
      </c>
      <c r="AD31" s="405" t="str">
        <f t="shared" si="8"/>
        <v>Código</v>
      </c>
      <c r="AE31" s="406">
        <f t="shared" si="9"/>
        <v>110.00000000000001</v>
      </c>
      <c r="AF31" s="406">
        <v>0</v>
      </c>
      <c r="AG31" s="405"/>
      <c r="AH31" s="1273">
        <f t="shared" si="11"/>
        <v>0</v>
      </c>
      <c r="AK31" s="1">
        <f t="shared" si="12"/>
        <v>0</v>
      </c>
      <c r="AM31" s="2">
        <f t="shared" si="13"/>
        <v>-110.00000000000001</v>
      </c>
      <c r="AO31" s="1">
        <f t="shared" si="1"/>
        <v>0</v>
      </c>
    </row>
    <row r="32" spans="1:41" x14ac:dyDescent="0.2">
      <c r="K32" s="402">
        <v>31</v>
      </c>
      <c r="L32" s="402" t="s">
        <v>3031</v>
      </c>
      <c r="M32" s="403">
        <v>297.42</v>
      </c>
      <c r="N32" s="404"/>
      <c r="V32" s="326" t="s">
        <v>18244</v>
      </c>
      <c r="W32" s="327" t="s">
        <v>18229</v>
      </c>
      <c r="X32" s="328">
        <v>5836.8</v>
      </c>
      <c r="Y32" s="1">
        <f t="shared" si="7"/>
        <v>3969.0239999999999</v>
      </c>
      <c r="AC32" s="405">
        <v>31</v>
      </c>
      <c r="AD32" s="405" t="str">
        <f t="shared" si="8"/>
        <v>Código</v>
      </c>
      <c r="AE32" s="406">
        <f t="shared" si="9"/>
        <v>163.58100000000002</v>
      </c>
      <c r="AF32" s="406">
        <v>0</v>
      </c>
      <c r="AG32" s="405"/>
      <c r="AH32" s="1273">
        <f t="shared" si="11"/>
        <v>0</v>
      </c>
      <c r="AK32" s="1">
        <f t="shared" si="12"/>
        <v>0</v>
      </c>
      <c r="AM32" s="2">
        <f t="shared" si="13"/>
        <v>-163.58100000000002</v>
      </c>
      <c r="AO32" s="1">
        <f t="shared" si="1"/>
        <v>0</v>
      </c>
    </row>
    <row r="33" spans="1:41" ht="13.5" thickBot="1" x14ac:dyDescent="0.25">
      <c r="A33" s="31" t="s">
        <v>18245</v>
      </c>
      <c r="K33" s="399">
        <v>32</v>
      </c>
      <c r="L33" s="399" t="s">
        <v>3033</v>
      </c>
      <c r="M33" s="400">
        <v>158.69999999999999</v>
      </c>
      <c r="N33" s="401"/>
      <c r="V33" s="326" t="s">
        <v>18246</v>
      </c>
      <c r="W33" s="327" t="s">
        <v>18229</v>
      </c>
      <c r="X33" s="328">
        <v>2854.4</v>
      </c>
      <c r="Y33" s="1">
        <f t="shared" si="7"/>
        <v>1940.992</v>
      </c>
      <c r="AC33" s="405">
        <v>32</v>
      </c>
      <c r="AD33" s="405" t="str">
        <f t="shared" si="8"/>
        <v>Código</v>
      </c>
      <c r="AE33" s="406">
        <f t="shared" si="9"/>
        <v>87.284999999999997</v>
      </c>
      <c r="AF33" s="406">
        <v>0</v>
      </c>
      <c r="AG33" s="405"/>
      <c r="AH33" s="1273">
        <f t="shared" si="11"/>
        <v>0</v>
      </c>
      <c r="AK33" s="1">
        <f t="shared" si="12"/>
        <v>0</v>
      </c>
      <c r="AM33" s="2">
        <f t="shared" si="13"/>
        <v>-87.284999999999997</v>
      </c>
      <c r="AO33" s="1">
        <f t="shared" si="1"/>
        <v>0</v>
      </c>
    </row>
    <row r="34" spans="1:41" x14ac:dyDescent="0.2">
      <c r="A34" s="419" t="s">
        <v>5</v>
      </c>
      <c r="B34" s="420" t="s">
        <v>8799</v>
      </c>
      <c r="E34" s="419" t="s">
        <v>8754</v>
      </c>
      <c r="F34" s="421" t="s">
        <v>8772</v>
      </c>
      <c r="G34" s="420" t="s">
        <v>8753</v>
      </c>
      <c r="K34" s="402">
        <v>33</v>
      </c>
      <c r="L34" s="402" t="s">
        <v>3035</v>
      </c>
      <c r="M34" s="403">
        <v>207.24</v>
      </c>
      <c r="N34" s="404"/>
      <c r="V34" s="331" t="s">
        <v>18247</v>
      </c>
      <c r="W34" s="332" t="s">
        <v>18229</v>
      </c>
      <c r="X34" s="328">
        <v>8568</v>
      </c>
      <c r="Y34" s="1">
        <f t="shared" si="7"/>
        <v>5826.24</v>
      </c>
      <c r="AC34" s="405">
        <v>33</v>
      </c>
      <c r="AD34" s="405" t="str">
        <f t="shared" si="8"/>
        <v>Código</v>
      </c>
      <c r="AE34" s="406">
        <f t="shared" si="9"/>
        <v>113.98200000000001</v>
      </c>
      <c r="AF34" s="406">
        <v>0</v>
      </c>
      <c r="AG34" s="405"/>
      <c r="AH34" s="1273">
        <f t="shared" si="11"/>
        <v>0</v>
      </c>
      <c r="AK34" s="1">
        <f t="shared" si="12"/>
        <v>0</v>
      </c>
      <c r="AM34" s="2">
        <f t="shared" si="13"/>
        <v>-113.98200000000001</v>
      </c>
      <c r="AO34" s="1">
        <f t="shared" ref="AO34:AO65" si="21">+ROUND(AK34*1.667,2)</f>
        <v>0</v>
      </c>
    </row>
    <row r="35" spans="1:41" x14ac:dyDescent="0.2">
      <c r="A35" s="7">
        <v>3142</v>
      </c>
      <c r="B35" s="15">
        <v>14</v>
      </c>
      <c r="E35" s="422">
        <v>35.520000000000003</v>
      </c>
      <c r="F35" s="48">
        <f t="shared" ref="F35:F44" si="22">+G35*E35</f>
        <v>1776.0000000000002</v>
      </c>
      <c r="G35" s="15">
        <v>50</v>
      </c>
      <c r="K35" s="156">
        <v>34</v>
      </c>
      <c r="L35" s="156" t="s">
        <v>3037</v>
      </c>
      <c r="M35" s="157">
        <v>283.79000000000002</v>
      </c>
      <c r="N35" s="1272">
        <v>6108</v>
      </c>
      <c r="V35" s="331" t="s">
        <v>18248</v>
      </c>
      <c r="W35" s="332" t="s">
        <v>18229</v>
      </c>
      <c r="X35" s="328">
        <v>10416</v>
      </c>
      <c r="Y35" s="1">
        <f t="shared" si="7"/>
        <v>7082.8799999999992</v>
      </c>
      <c r="AC35">
        <v>34</v>
      </c>
      <c r="AD35" t="str">
        <f t="shared" si="8"/>
        <v>6108 x 50</v>
      </c>
      <c r="AE35" s="1">
        <f t="shared" si="9"/>
        <v>156.08450000000002</v>
      </c>
      <c r="AF35" s="1">
        <f t="shared" si="10"/>
        <v>661.50399999999991</v>
      </c>
      <c r="AH35" s="95">
        <f t="shared" si="11"/>
        <v>-0.76404602239744579</v>
      </c>
      <c r="AK35" s="1">
        <f t="shared" si="12"/>
        <v>926.10559999999987</v>
      </c>
      <c r="AM35" s="2">
        <f t="shared" si="13"/>
        <v>770.02109999999982</v>
      </c>
      <c r="AO35" s="1">
        <f t="shared" si="21"/>
        <v>1543.82</v>
      </c>
    </row>
    <row r="36" spans="1:41" x14ac:dyDescent="0.2">
      <c r="A36" s="7">
        <v>4284</v>
      </c>
      <c r="B36" s="15">
        <v>23</v>
      </c>
      <c r="E36" s="422">
        <v>78</v>
      </c>
      <c r="F36" s="48">
        <f t="shared" si="22"/>
        <v>2340</v>
      </c>
      <c r="G36" s="15">
        <v>30</v>
      </c>
      <c r="K36" s="158">
        <v>35</v>
      </c>
      <c r="L36" s="158" t="s">
        <v>3039</v>
      </c>
      <c r="M36" s="159">
        <v>209.11</v>
      </c>
      <c r="N36" s="1271">
        <v>6109</v>
      </c>
      <c r="V36" s="331" t="s">
        <v>18249</v>
      </c>
      <c r="W36" s="332" t="s">
        <v>18229</v>
      </c>
      <c r="X36" s="328">
        <v>11592</v>
      </c>
      <c r="Y36" s="1">
        <f t="shared" si="7"/>
        <v>7882.5599999999995</v>
      </c>
      <c r="AC36">
        <v>35</v>
      </c>
      <c r="AD36" t="str">
        <f t="shared" si="8"/>
        <v>6109 x 50</v>
      </c>
      <c r="AE36" s="1">
        <f t="shared" si="9"/>
        <v>115.01050000000002</v>
      </c>
      <c r="AF36" s="1">
        <f t="shared" si="10"/>
        <v>487.42399999999992</v>
      </c>
      <c r="AH36" s="95">
        <f t="shared" si="11"/>
        <v>-0.76404424074317223</v>
      </c>
      <c r="AK36" s="1">
        <f t="shared" si="12"/>
        <v>682.39359999999988</v>
      </c>
      <c r="AM36" s="2">
        <f t="shared" si="13"/>
        <v>567.3830999999999</v>
      </c>
      <c r="AO36" s="1">
        <f t="shared" si="21"/>
        <v>1137.55</v>
      </c>
    </row>
    <row r="37" spans="1:41" x14ac:dyDescent="0.2">
      <c r="A37" s="7">
        <v>6109</v>
      </c>
      <c r="B37" s="15">
        <v>35</v>
      </c>
      <c r="E37" s="422">
        <v>53.76</v>
      </c>
      <c r="F37" s="48">
        <f t="shared" si="22"/>
        <v>2688</v>
      </c>
      <c r="G37" s="15">
        <v>50</v>
      </c>
      <c r="K37" s="156">
        <v>36</v>
      </c>
      <c r="L37" s="156" t="s">
        <v>3041</v>
      </c>
      <c r="M37" s="157">
        <v>328.6</v>
      </c>
      <c r="N37" s="324">
        <v>6110</v>
      </c>
      <c r="V37" s="326">
        <v>1020</v>
      </c>
      <c r="W37" s="327" t="s">
        <v>18229</v>
      </c>
      <c r="X37" s="328">
        <v>5880</v>
      </c>
      <c r="Y37" s="1">
        <f t="shared" si="7"/>
        <v>3998.3999999999996</v>
      </c>
      <c r="AC37">
        <v>36</v>
      </c>
      <c r="AD37" t="str">
        <f t="shared" si="8"/>
        <v>6110 x 50</v>
      </c>
      <c r="AE37" s="1">
        <f t="shared" si="9"/>
        <v>180.73000000000002</v>
      </c>
      <c r="AF37" s="1">
        <f t="shared" si="10"/>
        <v>765.952</v>
      </c>
      <c r="AH37" s="95">
        <f t="shared" si="11"/>
        <v>-0.76404526654411764</v>
      </c>
      <c r="AK37" s="1">
        <f t="shared" si="12"/>
        <v>1072.3328000000001</v>
      </c>
      <c r="AM37" s="2">
        <f t="shared" si="13"/>
        <v>891.60280000000012</v>
      </c>
      <c r="AO37" s="1">
        <f t="shared" si="21"/>
        <v>1787.58</v>
      </c>
    </row>
    <row r="38" spans="1:41" x14ac:dyDescent="0.2">
      <c r="A38" s="7">
        <v>6110</v>
      </c>
      <c r="B38" s="15">
        <v>36</v>
      </c>
      <c r="E38" s="422">
        <v>84.48</v>
      </c>
      <c r="F38" s="48">
        <f t="shared" si="22"/>
        <v>4224</v>
      </c>
      <c r="G38" s="15">
        <v>50</v>
      </c>
      <c r="K38" s="158">
        <v>37</v>
      </c>
      <c r="L38" s="158" t="s">
        <v>3043</v>
      </c>
      <c r="M38" s="159">
        <v>128.44999999999999</v>
      </c>
      <c r="N38" s="323">
        <v>6111</v>
      </c>
      <c r="V38" s="326" t="s">
        <v>18250</v>
      </c>
      <c r="W38" s="327" t="s">
        <v>18229</v>
      </c>
      <c r="X38" s="328">
        <v>1680</v>
      </c>
      <c r="Y38" s="1">
        <f t="shared" si="7"/>
        <v>1142.3999999999999</v>
      </c>
      <c r="AC38">
        <v>37</v>
      </c>
      <c r="AD38" t="str">
        <f t="shared" si="8"/>
        <v>6111 x 50</v>
      </c>
      <c r="AE38" s="1">
        <f t="shared" si="9"/>
        <v>70.647499999999994</v>
      </c>
      <c r="AF38" s="1">
        <f t="shared" si="10"/>
        <v>299.41759999999999</v>
      </c>
      <c r="AH38" s="95">
        <f t="shared" si="11"/>
        <v>-0.76405027626966482</v>
      </c>
      <c r="AK38" s="1">
        <f t="shared" si="12"/>
        <v>419.18464</v>
      </c>
      <c r="AM38" s="2">
        <f t="shared" si="13"/>
        <v>348.53714000000002</v>
      </c>
      <c r="AO38" s="1">
        <f t="shared" si="21"/>
        <v>698.78</v>
      </c>
    </row>
    <row r="39" spans="1:41" x14ac:dyDescent="0.2">
      <c r="A39" s="7">
        <v>6518</v>
      </c>
      <c r="B39" s="15">
        <v>42</v>
      </c>
      <c r="E39" s="422">
        <v>30.72</v>
      </c>
      <c r="F39" s="48">
        <f t="shared" si="22"/>
        <v>1536</v>
      </c>
      <c r="G39" s="15">
        <v>50</v>
      </c>
      <c r="K39" s="156">
        <v>38</v>
      </c>
      <c r="L39" s="156" t="s">
        <v>3045</v>
      </c>
      <c r="M39" s="157">
        <v>83.64</v>
      </c>
      <c r="N39" s="324">
        <v>6112</v>
      </c>
      <c r="V39" s="326" t="s">
        <v>18251</v>
      </c>
      <c r="W39" s="327" t="s">
        <v>18229</v>
      </c>
      <c r="X39" s="328">
        <v>4368</v>
      </c>
      <c r="Y39" s="1">
        <f t="shared" si="7"/>
        <v>2970.24</v>
      </c>
      <c r="AC39">
        <v>38</v>
      </c>
      <c r="AD39" t="str">
        <f t="shared" si="8"/>
        <v>6112 x 50</v>
      </c>
      <c r="AE39" s="1">
        <f t="shared" si="9"/>
        <v>46.002000000000002</v>
      </c>
      <c r="AF39" s="1">
        <f t="shared" si="10"/>
        <v>0</v>
      </c>
      <c r="AH39" s="95">
        <f t="shared" si="11"/>
        <v>0</v>
      </c>
      <c r="AK39" s="1">
        <f t="shared" si="12"/>
        <v>0</v>
      </c>
      <c r="AM39" s="2">
        <f t="shared" si="13"/>
        <v>-46.002000000000002</v>
      </c>
      <c r="AO39" s="1">
        <f t="shared" si="21"/>
        <v>0</v>
      </c>
    </row>
    <row r="40" spans="1:41" x14ac:dyDescent="0.2">
      <c r="A40" s="7">
        <v>6538</v>
      </c>
      <c r="B40" s="15">
        <v>45</v>
      </c>
      <c r="E40" s="422">
        <v>12.288</v>
      </c>
      <c r="F40" s="48">
        <f t="shared" si="22"/>
        <v>1228.8</v>
      </c>
      <c r="G40" s="15">
        <v>100</v>
      </c>
      <c r="K40" s="158">
        <v>39</v>
      </c>
      <c r="L40" s="158" t="s">
        <v>3048</v>
      </c>
      <c r="M40" s="159">
        <v>72.510000000000005</v>
      </c>
      <c r="N40" s="323" t="s">
        <v>18252</v>
      </c>
      <c r="V40" s="326" t="s">
        <v>18253</v>
      </c>
      <c r="W40" s="327" t="s">
        <v>18229</v>
      </c>
      <c r="X40" s="328">
        <v>5618</v>
      </c>
      <c r="Y40" s="1">
        <f t="shared" si="7"/>
        <v>3820.24</v>
      </c>
      <c r="AC40">
        <v>39</v>
      </c>
      <c r="AD40" t="str">
        <f t="shared" si="8"/>
        <v>5061/1 x 50</v>
      </c>
      <c r="AE40" s="1">
        <f t="shared" si="9"/>
        <v>39.880500000000005</v>
      </c>
      <c r="AF40" s="1">
        <f t="shared" si="10"/>
        <v>0</v>
      </c>
      <c r="AH40" s="95">
        <f t="shared" si="11"/>
        <v>0</v>
      </c>
      <c r="AK40" s="1">
        <f t="shared" si="12"/>
        <v>0</v>
      </c>
      <c r="AM40" s="2">
        <f t="shared" si="13"/>
        <v>-39.880500000000005</v>
      </c>
      <c r="AO40" s="1">
        <f t="shared" si="21"/>
        <v>0</v>
      </c>
    </row>
    <row r="41" spans="1:41" x14ac:dyDescent="0.2">
      <c r="A41" s="7">
        <v>6705</v>
      </c>
      <c r="B41" s="15">
        <v>49</v>
      </c>
      <c r="E41" s="422">
        <v>72.959999999999994</v>
      </c>
      <c r="F41" s="48">
        <f t="shared" si="22"/>
        <v>3647.9999999999995</v>
      </c>
      <c r="G41" s="15">
        <v>50</v>
      </c>
      <c r="K41" s="156">
        <v>40</v>
      </c>
      <c r="L41" s="156" t="s">
        <v>3050</v>
      </c>
      <c r="M41" s="157">
        <v>62.73</v>
      </c>
      <c r="N41" s="324">
        <v>6515</v>
      </c>
      <c r="V41" s="326" t="s">
        <v>18254</v>
      </c>
      <c r="W41" s="327" t="s">
        <v>18229</v>
      </c>
      <c r="X41" s="328">
        <v>7829.7536000000009</v>
      </c>
      <c r="Y41" s="1">
        <f t="shared" si="7"/>
        <v>5324.2324479999997</v>
      </c>
      <c r="AC41">
        <v>40</v>
      </c>
      <c r="AD41" t="str">
        <f t="shared" si="8"/>
        <v>6515 x100</v>
      </c>
      <c r="AE41" s="1">
        <f t="shared" si="9"/>
        <v>34.5015</v>
      </c>
      <c r="AF41" s="1">
        <f t="shared" si="10"/>
        <v>146.22719999999998</v>
      </c>
      <c r="AH41" s="95">
        <f t="shared" si="11"/>
        <v>-0.7640555245535714</v>
      </c>
      <c r="AK41" s="1">
        <f t="shared" si="12"/>
        <v>204.71807999999999</v>
      </c>
      <c r="AM41" s="2">
        <f t="shared" si="13"/>
        <v>170.21657999999999</v>
      </c>
      <c r="AO41" s="1">
        <f t="shared" si="21"/>
        <v>341.27</v>
      </c>
    </row>
    <row r="42" spans="1:41" x14ac:dyDescent="0.2">
      <c r="A42" s="7">
        <v>4085</v>
      </c>
      <c r="B42" s="15">
        <v>55</v>
      </c>
      <c r="E42" s="422">
        <v>30.72</v>
      </c>
      <c r="F42" s="48">
        <f t="shared" si="22"/>
        <v>1536</v>
      </c>
      <c r="G42" s="15">
        <v>50</v>
      </c>
      <c r="K42" s="158">
        <v>41</v>
      </c>
      <c r="L42" s="158" t="s">
        <v>3052</v>
      </c>
      <c r="M42" s="159">
        <v>125.47</v>
      </c>
      <c r="N42" s="323">
        <v>6517</v>
      </c>
      <c r="V42" s="326" t="s">
        <v>18255</v>
      </c>
      <c r="W42" s="327" t="s">
        <v>18229</v>
      </c>
      <c r="X42" s="328">
        <v>7301.2800000000007</v>
      </c>
      <c r="Y42" s="1">
        <f t="shared" si="7"/>
        <v>4964.8703999999998</v>
      </c>
      <c r="AC42">
        <v>41</v>
      </c>
      <c r="AD42" t="str">
        <f t="shared" si="8"/>
        <v>6517 x 50</v>
      </c>
      <c r="AE42" s="1">
        <f t="shared" si="9"/>
        <v>69.008499999999998</v>
      </c>
      <c r="AF42" s="1">
        <f t="shared" si="10"/>
        <v>292.45439999999996</v>
      </c>
      <c r="AH42" s="95">
        <f t="shared" si="11"/>
        <v>-0.7640367182029062</v>
      </c>
      <c r="AK42" s="1">
        <f t="shared" si="12"/>
        <v>409.43615999999997</v>
      </c>
      <c r="AM42" s="2">
        <f t="shared" si="13"/>
        <v>340.42765999999995</v>
      </c>
      <c r="AO42" s="1">
        <f t="shared" si="21"/>
        <v>682.53</v>
      </c>
    </row>
    <row r="43" spans="1:41" x14ac:dyDescent="0.2">
      <c r="A43" s="7">
        <v>4111</v>
      </c>
      <c r="B43" s="15">
        <v>56</v>
      </c>
      <c r="E43" s="422">
        <v>23.04</v>
      </c>
      <c r="F43" s="48">
        <f t="shared" si="22"/>
        <v>1152</v>
      </c>
      <c r="G43" s="15">
        <v>50</v>
      </c>
      <c r="K43" s="156">
        <v>42</v>
      </c>
      <c r="L43" s="371" t="s">
        <v>3054</v>
      </c>
      <c r="M43" s="157">
        <v>119.49</v>
      </c>
      <c r="N43" s="324">
        <v>6518</v>
      </c>
      <c r="V43" s="326" t="s">
        <v>18256</v>
      </c>
      <c r="W43" s="327" t="s">
        <v>18229</v>
      </c>
      <c r="X43" s="328">
        <v>9513.0336000000007</v>
      </c>
      <c r="Y43" s="1">
        <f t="shared" si="7"/>
        <v>6468.8628479999998</v>
      </c>
      <c r="AC43">
        <v>42</v>
      </c>
      <c r="AD43" t="str">
        <f t="shared" si="8"/>
        <v>6518 x 50</v>
      </c>
      <c r="AE43" s="1">
        <f t="shared" si="9"/>
        <v>65.719499999999996</v>
      </c>
      <c r="AF43" s="1">
        <f t="shared" si="10"/>
        <v>278.52799999999996</v>
      </c>
      <c r="AH43" s="95">
        <f t="shared" si="11"/>
        <v>-0.76404706169577208</v>
      </c>
      <c r="AK43" s="1">
        <f t="shared" si="12"/>
        <v>389.93919999999997</v>
      </c>
      <c r="AM43" s="2">
        <f t="shared" si="13"/>
        <v>324.21969999999999</v>
      </c>
      <c r="AO43" s="1">
        <f t="shared" si="21"/>
        <v>650.03</v>
      </c>
    </row>
    <row r="44" spans="1:41" ht="13.5" thickBot="1" x14ac:dyDescent="0.25">
      <c r="A44" s="8">
        <v>6107</v>
      </c>
      <c r="B44" s="16">
        <v>66</v>
      </c>
      <c r="E44" s="423">
        <v>49.152000000000001</v>
      </c>
      <c r="F44" s="52">
        <f t="shared" si="22"/>
        <v>2457.6</v>
      </c>
      <c r="G44" s="16">
        <v>50</v>
      </c>
      <c r="K44" s="158">
        <v>43</v>
      </c>
      <c r="L44" s="158" t="s">
        <v>3056</v>
      </c>
      <c r="M44" s="159">
        <v>180.11</v>
      </c>
      <c r="N44" s="323">
        <v>6519</v>
      </c>
      <c r="V44" s="326" t="s">
        <v>18257</v>
      </c>
      <c r="W44" s="332" t="s">
        <v>18229</v>
      </c>
      <c r="X44" s="328">
        <v>6767.04</v>
      </c>
      <c r="Y44" s="1">
        <f t="shared" si="7"/>
        <v>4601.5871999999999</v>
      </c>
      <c r="AC44">
        <v>43</v>
      </c>
      <c r="AD44" t="str">
        <f t="shared" si="8"/>
        <v>6519 x 30</v>
      </c>
      <c r="AE44" s="1">
        <f t="shared" si="9"/>
        <v>99.060500000000019</v>
      </c>
      <c r="AF44" s="1">
        <f t="shared" si="10"/>
        <v>389.50399999999991</v>
      </c>
      <c r="AH44" s="95">
        <f t="shared" si="11"/>
        <v>-0.74567526906013792</v>
      </c>
      <c r="AK44" s="1">
        <f t="shared" si="12"/>
        <v>545.30559999999991</v>
      </c>
      <c r="AM44" s="2">
        <f t="shared" si="13"/>
        <v>446.24509999999987</v>
      </c>
      <c r="AO44" s="1">
        <f t="shared" si="21"/>
        <v>909.02</v>
      </c>
    </row>
    <row r="45" spans="1:41" x14ac:dyDescent="0.2">
      <c r="F45" s="102">
        <f>+SUM(F35:F44)</f>
        <v>22586.399999999998</v>
      </c>
      <c r="K45" s="156">
        <v>44</v>
      </c>
      <c r="L45" s="156" t="s">
        <v>3058</v>
      </c>
      <c r="M45" s="157">
        <v>72.510000000000005</v>
      </c>
      <c r="N45" s="324">
        <v>6520</v>
      </c>
      <c r="V45" s="326" t="s">
        <v>18258</v>
      </c>
      <c r="W45" s="332" t="s">
        <v>18229</v>
      </c>
      <c r="X45" s="328">
        <v>11693.92</v>
      </c>
      <c r="Y45" s="1">
        <f t="shared" si="7"/>
        <v>7951.8655999999992</v>
      </c>
      <c r="AC45">
        <v>44</v>
      </c>
      <c r="AD45" t="str">
        <f t="shared" si="8"/>
        <v>6520 x30</v>
      </c>
      <c r="AE45" s="1">
        <f t="shared" si="9"/>
        <v>39.880500000000005</v>
      </c>
      <c r="AF45" s="1">
        <f t="shared" si="10"/>
        <v>145.792</v>
      </c>
      <c r="AH45" s="95">
        <f t="shared" si="11"/>
        <v>-0.72645618415276547</v>
      </c>
      <c r="AK45" s="1">
        <f t="shared" si="12"/>
        <v>204.1088</v>
      </c>
      <c r="AM45" s="2">
        <f t="shared" si="13"/>
        <v>164.22829999999999</v>
      </c>
      <c r="AO45" s="1">
        <f t="shared" si="21"/>
        <v>340.25</v>
      </c>
    </row>
    <row r="46" spans="1:41" x14ac:dyDescent="0.2">
      <c r="K46" s="158">
        <v>45</v>
      </c>
      <c r="L46" s="158" t="s">
        <v>3060</v>
      </c>
      <c r="M46" s="159">
        <v>47.8</v>
      </c>
      <c r="N46" s="323">
        <v>6538</v>
      </c>
      <c r="V46" s="326" t="s">
        <v>18259</v>
      </c>
      <c r="W46" s="332" t="s">
        <v>18229</v>
      </c>
      <c r="X46" s="328">
        <v>8725.92</v>
      </c>
      <c r="Y46" s="1">
        <f t="shared" si="7"/>
        <v>5933.6255999999994</v>
      </c>
      <c r="AC46">
        <v>45</v>
      </c>
      <c r="AD46" t="str">
        <f t="shared" si="8"/>
        <v>6538 x100</v>
      </c>
      <c r="AE46" s="1">
        <f t="shared" si="9"/>
        <v>26.29</v>
      </c>
      <c r="AF46" s="1">
        <f t="shared" si="10"/>
        <v>111.41119999999999</v>
      </c>
      <c r="AH46" s="95">
        <f t="shared" si="11"/>
        <v>-0.76402731502757348</v>
      </c>
      <c r="AK46" s="1">
        <f t="shared" si="12"/>
        <v>155.97568000000001</v>
      </c>
      <c r="AM46" s="2">
        <f t="shared" si="13"/>
        <v>129.68568000000002</v>
      </c>
      <c r="AO46" s="1">
        <f t="shared" si="21"/>
        <v>260.01</v>
      </c>
    </row>
    <row r="47" spans="1:41" x14ac:dyDescent="0.2">
      <c r="K47" s="156">
        <v>46</v>
      </c>
      <c r="L47" s="156" t="s">
        <v>3062</v>
      </c>
      <c r="M47" s="157">
        <v>47.8</v>
      </c>
      <c r="N47" s="324">
        <v>6559</v>
      </c>
      <c r="V47" s="326" t="s">
        <v>18260</v>
      </c>
      <c r="W47" s="327" t="s">
        <v>18229</v>
      </c>
      <c r="X47" s="328">
        <v>5805.4080000000004</v>
      </c>
      <c r="Y47" s="1">
        <f t="shared" si="7"/>
        <v>3947.6774399999999</v>
      </c>
      <c r="AC47">
        <v>46</v>
      </c>
      <c r="AD47" t="str">
        <f t="shared" si="8"/>
        <v>6559 x100</v>
      </c>
      <c r="AE47" s="1">
        <f t="shared" si="9"/>
        <v>26.29</v>
      </c>
      <c r="AF47" s="1">
        <f t="shared" si="10"/>
        <v>111.41119999999999</v>
      </c>
      <c r="AH47" s="95">
        <f t="shared" si="11"/>
        <v>-0.76402731502757348</v>
      </c>
      <c r="AK47" s="1">
        <f t="shared" si="12"/>
        <v>155.97568000000001</v>
      </c>
      <c r="AM47" s="2">
        <f t="shared" si="13"/>
        <v>129.68568000000002</v>
      </c>
      <c r="AO47" s="1">
        <f t="shared" si="21"/>
        <v>260.01</v>
      </c>
    </row>
    <row r="48" spans="1:41" x14ac:dyDescent="0.2">
      <c r="K48" s="158">
        <v>47</v>
      </c>
      <c r="L48" s="158" t="s">
        <v>3064</v>
      </c>
      <c r="M48" s="159">
        <v>273.72000000000003</v>
      </c>
      <c r="N48" s="323">
        <v>6591</v>
      </c>
      <c r="V48" s="326" t="s">
        <v>18261</v>
      </c>
      <c r="W48" s="327" t="s">
        <v>18229</v>
      </c>
      <c r="X48" s="328">
        <v>8318.1167999999998</v>
      </c>
      <c r="Y48" s="1">
        <f t="shared" si="7"/>
        <v>5656.3194239999993</v>
      </c>
      <c r="AC48">
        <v>47</v>
      </c>
      <c r="AD48" t="str">
        <f t="shared" si="8"/>
        <v>6591 x 30</v>
      </c>
      <c r="AE48" s="1">
        <f t="shared" si="9"/>
        <v>150.54600000000002</v>
      </c>
      <c r="AF48" s="1">
        <f t="shared" si="10"/>
        <v>622.33600000000001</v>
      </c>
      <c r="AH48" s="95">
        <f t="shared" si="11"/>
        <v>-0.75809530542986425</v>
      </c>
      <c r="AK48" s="1">
        <f t="shared" si="12"/>
        <v>871.2704</v>
      </c>
      <c r="AM48" s="2">
        <f t="shared" si="13"/>
        <v>720.72439999999995</v>
      </c>
      <c r="AO48" s="1">
        <f t="shared" si="21"/>
        <v>1452.41</v>
      </c>
    </row>
    <row r="49" spans="1:41" x14ac:dyDescent="0.2">
      <c r="K49" s="156">
        <v>48</v>
      </c>
      <c r="L49" s="156" t="s">
        <v>3066</v>
      </c>
      <c r="M49" s="157">
        <v>132.96</v>
      </c>
      <c r="N49" s="324">
        <v>6700</v>
      </c>
      <c r="V49" s="326" t="s">
        <v>18262</v>
      </c>
      <c r="W49" s="327" t="s">
        <v>18229</v>
      </c>
      <c r="X49" s="328">
        <v>8583.4560000000001</v>
      </c>
      <c r="Y49" s="1">
        <f t="shared" si="7"/>
        <v>5836.7500799999998</v>
      </c>
      <c r="AC49">
        <v>48</v>
      </c>
      <c r="AD49" t="str">
        <f t="shared" si="8"/>
        <v>6700 x 30</v>
      </c>
      <c r="AE49" s="1">
        <f t="shared" si="9"/>
        <v>73.128000000000014</v>
      </c>
      <c r="AF49" s="1">
        <f t="shared" si="10"/>
        <v>200.19199999999998</v>
      </c>
      <c r="AH49" s="95">
        <f t="shared" si="11"/>
        <v>-0.63471067774936052</v>
      </c>
      <c r="AK49" s="1">
        <f t="shared" si="12"/>
        <v>280.26879999999994</v>
      </c>
      <c r="AM49" s="2">
        <f t="shared" si="13"/>
        <v>207.14079999999993</v>
      </c>
      <c r="AO49" s="1">
        <f t="shared" si="21"/>
        <v>467.21</v>
      </c>
    </row>
    <row r="50" spans="1:41" x14ac:dyDescent="0.2">
      <c r="K50" s="158">
        <v>49</v>
      </c>
      <c r="L50" s="158" t="s">
        <v>3068</v>
      </c>
      <c r="M50" s="159">
        <v>283.79000000000002</v>
      </c>
      <c r="N50" s="323">
        <v>6705</v>
      </c>
      <c r="V50" s="326" t="s">
        <v>18263</v>
      </c>
      <c r="W50" s="327" t="s">
        <v>18229</v>
      </c>
      <c r="X50" s="328">
        <v>11096.1648</v>
      </c>
      <c r="Y50" s="1">
        <f t="shared" si="7"/>
        <v>7545.3920639999997</v>
      </c>
      <c r="AC50">
        <v>49</v>
      </c>
      <c r="AD50" t="str">
        <f t="shared" si="8"/>
        <v>6705 x 50</v>
      </c>
      <c r="AE50" s="1">
        <f t="shared" si="9"/>
        <v>156.08450000000002</v>
      </c>
      <c r="AF50" s="1">
        <f t="shared" si="10"/>
        <v>661.50399999999991</v>
      </c>
      <c r="AH50" s="95">
        <f t="shared" si="11"/>
        <v>-0.76404602239744579</v>
      </c>
      <c r="AK50" s="1">
        <f t="shared" si="12"/>
        <v>926.10559999999987</v>
      </c>
      <c r="AM50" s="2">
        <f t="shared" si="13"/>
        <v>770.02109999999982</v>
      </c>
      <c r="AO50" s="1">
        <f t="shared" si="21"/>
        <v>1543.82</v>
      </c>
    </row>
    <row r="51" spans="1:41" x14ac:dyDescent="0.2">
      <c r="K51" s="156">
        <v>50</v>
      </c>
      <c r="L51" s="156" t="s">
        <v>3070</v>
      </c>
      <c r="M51" s="157">
        <v>313.66000000000003</v>
      </c>
      <c r="N51" s="324">
        <v>6709</v>
      </c>
      <c r="V51" s="326" t="s">
        <v>18264</v>
      </c>
      <c r="W51" s="327" t="s">
        <v>18229</v>
      </c>
      <c r="X51" s="328">
        <v>4808.16</v>
      </c>
      <c r="Y51" s="1">
        <f t="shared" si="7"/>
        <v>3269.5487999999996</v>
      </c>
      <c r="AC51">
        <v>50</v>
      </c>
      <c r="AD51" t="str">
        <f t="shared" si="8"/>
        <v>6709 x 50</v>
      </c>
      <c r="AE51" s="1">
        <f t="shared" si="9"/>
        <v>172.51300000000003</v>
      </c>
      <c r="AF51" s="1">
        <f t="shared" si="10"/>
        <v>731.13599999999997</v>
      </c>
      <c r="AH51" s="95">
        <f t="shared" si="11"/>
        <v>-0.76404800201330525</v>
      </c>
      <c r="AK51" s="1">
        <f t="shared" si="12"/>
        <v>1023.5904</v>
      </c>
      <c r="AM51" s="2">
        <f t="shared" si="13"/>
        <v>851.07740000000001</v>
      </c>
      <c r="AO51" s="1">
        <f t="shared" si="21"/>
        <v>1706.33</v>
      </c>
    </row>
    <row r="52" spans="1:41" x14ac:dyDescent="0.2">
      <c r="A52" t="s">
        <v>18265</v>
      </c>
      <c r="E52" s="31" t="s">
        <v>18266</v>
      </c>
      <c r="G52" s="32" t="s">
        <v>18267</v>
      </c>
      <c r="K52" s="158">
        <v>51</v>
      </c>
      <c r="L52" s="158" t="s">
        <v>3072</v>
      </c>
      <c r="M52" s="159">
        <v>119.49</v>
      </c>
      <c r="N52" s="323">
        <v>4061</v>
      </c>
      <c r="V52" s="326">
        <v>1021</v>
      </c>
      <c r="W52" s="327" t="s">
        <v>18229</v>
      </c>
      <c r="X52" s="328">
        <v>1628.16</v>
      </c>
      <c r="Y52" s="1">
        <f t="shared" si="7"/>
        <v>1107.1487999999999</v>
      </c>
      <c r="AC52">
        <v>51</v>
      </c>
      <c r="AD52" t="str">
        <f t="shared" si="8"/>
        <v>4061 x 50</v>
      </c>
      <c r="AE52" s="1">
        <f t="shared" si="9"/>
        <v>65.719499999999996</v>
      </c>
      <c r="AF52" s="1">
        <f t="shared" si="10"/>
        <v>278.52799999999996</v>
      </c>
      <c r="AH52" s="95">
        <f t="shared" si="11"/>
        <v>-0.76404706169577208</v>
      </c>
      <c r="AK52" s="1">
        <f t="shared" si="12"/>
        <v>389.93919999999997</v>
      </c>
      <c r="AM52" s="2">
        <f t="shared" si="13"/>
        <v>324.21969999999999</v>
      </c>
      <c r="AO52" s="1">
        <f t="shared" si="21"/>
        <v>650.03</v>
      </c>
    </row>
    <row r="53" spans="1:41" x14ac:dyDescent="0.2">
      <c r="A53">
        <v>2030</v>
      </c>
      <c r="E53">
        <v>2030</v>
      </c>
      <c r="G53">
        <v>3142</v>
      </c>
      <c r="H53">
        <f>+INDEX($K$1:$K$67,MATCH(G53,$N$1:$N$67,0),1)</f>
        <v>14</v>
      </c>
      <c r="K53" s="156">
        <v>52</v>
      </c>
      <c r="L53" s="156" t="s">
        <v>3072</v>
      </c>
      <c r="M53" s="157">
        <v>194.17</v>
      </c>
      <c r="N53" s="324">
        <v>4066</v>
      </c>
      <c r="V53" s="326" t="s">
        <v>18268</v>
      </c>
      <c r="W53" s="327" t="s">
        <v>18229</v>
      </c>
      <c r="X53" s="328">
        <v>1160.0640000000001</v>
      </c>
      <c r="Y53" s="1">
        <f t="shared" si="7"/>
        <v>788.84352000000001</v>
      </c>
      <c r="AC53">
        <v>52</v>
      </c>
      <c r="AD53" t="str">
        <f t="shared" si="8"/>
        <v>4066 x 50</v>
      </c>
      <c r="AE53" s="1">
        <f t="shared" si="9"/>
        <v>106.79350000000001</v>
      </c>
      <c r="AF53" s="1">
        <f t="shared" si="10"/>
        <v>0</v>
      </c>
      <c r="AH53" s="95">
        <f t="shared" si="11"/>
        <v>0</v>
      </c>
      <c r="AK53" s="1">
        <f t="shared" si="12"/>
        <v>0</v>
      </c>
      <c r="AM53" s="2">
        <f t="shared" si="13"/>
        <v>-106.79350000000001</v>
      </c>
      <c r="AO53" s="1">
        <f t="shared" si="21"/>
        <v>0</v>
      </c>
    </row>
    <row r="54" spans="1:41" x14ac:dyDescent="0.2">
      <c r="A54">
        <v>2031</v>
      </c>
      <c r="E54">
        <v>2031</v>
      </c>
      <c r="G54">
        <v>4220</v>
      </c>
      <c r="H54">
        <f t="shared" ref="H54:H65" si="23">+INDEX($K$1:$K$67,MATCH(G54,$N$1:$N$67,0),1)</f>
        <v>16</v>
      </c>
      <c r="K54" s="158">
        <v>53</v>
      </c>
      <c r="L54" s="158" t="s">
        <v>3072</v>
      </c>
      <c r="M54" s="159">
        <v>92.61</v>
      </c>
      <c r="N54" s="323">
        <v>4069</v>
      </c>
      <c r="V54" s="326" t="s">
        <v>18269</v>
      </c>
      <c r="W54" s="327" t="s">
        <v>18229</v>
      </c>
      <c r="X54" s="328">
        <v>1455.1680000000001</v>
      </c>
      <c r="Y54" s="1">
        <f t="shared" si="7"/>
        <v>989.51423999999997</v>
      </c>
      <c r="AC54">
        <v>53</v>
      </c>
      <c r="AD54" t="str">
        <f t="shared" si="8"/>
        <v>4069 x 50</v>
      </c>
      <c r="AE54" s="1">
        <f t="shared" si="9"/>
        <v>50.935500000000005</v>
      </c>
      <c r="AF54" s="1">
        <f t="shared" si="10"/>
        <v>0</v>
      </c>
      <c r="AH54" s="95">
        <f t="shared" si="11"/>
        <v>0</v>
      </c>
      <c r="AK54" s="1">
        <f t="shared" si="12"/>
        <v>0</v>
      </c>
      <c r="AM54" s="2">
        <f t="shared" si="13"/>
        <v>-50.935500000000005</v>
      </c>
      <c r="AO54" s="1">
        <f t="shared" si="21"/>
        <v>0</v>
      </c>
    </row>
    <row r="55" spans="1:41" x14ac:dyDescent="0.2">
      <c r="A55">
        <v>2150</v>
      </c>
      <c r="E55">
        <v>2058</v>
      </c>
      <c r="G55">
        <v>4284</v>
      </c>
      <c r="H55">
        <f t="shared" si="23"/>
        <v>23</v>
      </c>
      <c r="J55" t="s">
        <v>8945</v>
      </c>
      <c r="K55" s="156">
        <v>54</v>
      </c>
      <c r="L55" s="156" t="s">
        <v>3072</v>
      </c>
      <c r="M55" s="157">
        <v>108.81</v>
      </c>
      <c r="N55" s="324" t="s">
        <v>18270</v>
      </c>
      <c r="V55" s="326">
        <v>1022</v>
      </c>
      <c r="W55" s="327" t="s">
        <v>18229</v>
      </c>
      <c r="X55" s="328">
        <v>6622.88</v>
      </c>
      <c r="Y55" s="1">
        <f t="shared" si="7"/>
        <v>4503.5583999999999</v>
      </c>
      <c r="AC55">
        <v>54</v>
      </c>
      <c r="AD55" t="str">
        <f t="shared" si="8"/>
        <v>4083/1x50</v>
      </c>
      <c r="AE55" s="1">
        <f t="shared" si="9"/>
        <v>59.845500000000008</v>
      </c>
      <c r="AF55" s="1">
        <f t="shared" si="10"/>
        <v>241.53599999999997</v>
      </c>
      <c r="AH55" s="95">
        <f t="shared" si="11"/>
        <v>-0.7522294813195548</v>
      </c>
      <c r="AK55" s="1">
        <f t="shared" si="12"/>
        <v>338.15039999999999</v>
      </c>
      <c r="AM55" s="2">
        <f t="shared" si="13"/>
        <v>278.30489999999998</v>
      </c>
      <c r="AO55" s="1">
        <f t="shared" si="21"/>
        <v>563.70000000000005</v>
      </c>
    </row>
    <row r="56" spans="1:41" x14ac:dyDescent="0.2">
      <c r="A56">
        <v>6104</v>
      </c>
      <c r="E56">
        <v>2150</v>
      </c>
      <c r="G56">
        <v>6109</v>
      </c>
      <c r="H56">
        <f t="shared" si="23"/>
        <v>35</v>
      </c>
      <c r="K56" s="158">
        <v>55</v>
      </c>
      <c r="L56" s="158" t="s">
        <v>3072</v>
      </c>
      <c r="M56" s="159">
        <v>119.49</v>
      </c>
      <c r="N56" s="323">
        <v>4085</v>
      </c>
      <c r="V56" s="386" t="s">
        <v>18271</v>
      </c>
      <c r="W56" s="327">
        <v>0</v>
      </c>
      <c r="X56" s="328">
        <v>0</v>
      </c>
      <c r="Y56" s="1">
        <f t="shared" si="7"/>
        <v>0</v>
      </c>
      <c r="AC56">
        <v>55</v>
      </c>
      <c r="AD56" t="str">
        <f t="shared" si="8"/>
        <v>4085 x 50</v>
      </c>
      <c r="AE56" s="1">
        <f t="shared" si="9"/>
        <v>65.719499999999996</v>
      </c>
      <c r="AF56" s="1">
        <f t="shared" si="10"/>
        <v>278.52799999999996</v>
      </c>
      <c r="AH56" s="95">
        <f t="shared" si="11"/>
        <v>-0.76404706169577208</v>
      </c>
      <c r="AK56" s="1">
        <f t="shared" si="12"/>
        <v>389.93919999999997</v>
      </c>
      <c r="AM56" s="2">
        <f t="shared" si="13"/>
        <v>324.21969999999999</v>
      </c>
      <c r="AO56" s="1">
        <f t="shared" si="21"/>
        <v>650.03</v>
      </c>
    </row>
    <row r="57" spans="1:41" x14ac:dyDescent="0.2">
      <c r="A57">
        <v>3061</v>
      </c>
      <c r="E57">
        <v>6104</v>
      </c>
      <c r="G57">
        <v>6110</v>
      </c>
      <c r="H57">
        <f t="shared" si="23"/>
        <v>36</v>
      </c>
      <c r="K57" s="156">
        <v>56</v>
      </c>
      <c r="L57" s="156" t="s">
        <v>3072</v>
      </c>
      <c r="M57" s="157">
        <v>96.67</v>
      </c>
      <c r="N57" s="324">
        <v>4111</v>
      </c>
      <c r="V57" s="326"/>
      <c r="W57" s="327"/>
      <c r="X57" s="328">
        <v>0</v>
      </c>
      <c r="Y57" s="1">
        <f t="shared" si="7"/>
        <v>0</v>
      </c>
      <c r="AC57">
        <v>56</v>
      </c>
      <c r="AD57" t="str">
        <f t="shared" si="8"/>
        <v>4111 x 50</v>
      </c>
      <c r="AE57" s="1">
        <f t="shared" si="9"/>
        <v>53.168500000000009</v>
      </c>
      <c r="AF57" s="1">
        <f t="shared" si="10"/>
        <v>208.89599999999999</v>
      </c>
      <c r="AH57" s="95">
        <f t="shared" si="11"/>
        <v>-0.74547861136642157</v>
      </c>
      <c r="AK57" s="1">
        <f t="shared" si="12"/>
        <v>292.45439999999996</v>
      </c>
      <c r="AM57" s="2">
        <f t="shared" si="13"/>
        <v>239.28589999999997</v>
      </c>
      <c r="AO57" s="1">
        <f t="shared" si="21"/>
        <v>487.52</v>
      </c>
    </row>
    <row r="58" spans="1:41" x14ac:dyDescent="0.2">
      <c r="A58">
        <v>3235</v>
      </c>
      <c r="E58">
        <v>3061</v>
      </c>
      <c r="G58">
        <v>6518</v>
      </c>
      <c r="H58">
        <f t="shared" si="23"/>
        <v>42</v>
      </c>
      <c r="K58" s="158">
        <v>57</v>
      </c>
      <c r="L58" s="158" t="s">
        <v>3072</v>
      </c>
      <c r="M58" s="159">
        <v>96.67</v>
      </c>
      <c r="N58" s="323">
        <v>5051</v>
      </c>
      <c r="V58" s="333" t="s">
        <v>18272</v>
      </c>
      <c r="W58" s="334" t="s">
        <v>18229</v>
      </c>
      <c r="X58" s="328">
        <v>84766.080000000002</v>
      </c>
      <c r="Y58" s="1">
        <f t="shared" si="7"/>
        <v>57640.934399999998</v>
      </c>
      <c r="AC58">
        <v>57</v>
      </c>
      <c r="AD58" t="str">
        <f t="shared" si="8"/>
        <v>5051 x 50</v>
      </c>
      <c r="AE58" s="1">
        <f t="shared" si="9"/>
        <v>53.168500000000009</v>
      </c>
      <c r="AF58" s="1">
        <f t="shared" si="10"/>
        <v>0</v>
      </c>
      <c r="AH58" s="95">
        <f t="shared" si="11"/>
        <v>0</v>
      </c>
      <c r="AK58" s="1">
        <f t="shared" si="12"/>
        <v>0</v>
      </c>
      <c r="AM58" s="2">
        <f t="shared" si="13"/>
        <v>-53.168500000000009</v>
      </c>
      <c r="AO58" s="1">
        <f t="shared" si="21"/>
        <v>0</v>
      </c>
    </row>
    <row r="59" spans="1:41" x14ac:dyDescent="0.2">
      <c r="A59">
        <v>3142</v>
      </c>
      <c r="E59">
        <v>3235</v>
      </c>
      <c r="G59">
        <v>6538</v>
      </c>
      <c r="H59">
        <f t="shared" si="23"/>
        <v>45</v>
      </c>
      <c r="K59" s="156">
        <v>58</v>
      </c>
      <c r="L59" s="156" t="s">
        <v>3072</v>
      </c>
      <c r="M59" s="157">
        <v>79.83</v>
      </c>
      <c r="N59" s="324">
        <v>5055</v>
      </c>
      <c r="V59" s="326" t="s">
        <v>18273</v>
      </c>
      <c r="W59" s="327" t="s">
        <v>18229</v>
      </c>
      <c r="X59" s="328">
        <v>106135.68000000001</v>
      </c>
      <c r="Y59" s="1">
        <f t="shared" si="7"/>
        <v>72172.262399999992</v>
      </c>
      <c r="AC59">
        <v>58</v>
      </c>
      <c r="AD59" t="str">
        <f t="shared" si="8"/>
        <v>5055 x 50</v>
      </c>
      <c r="AE59" s="1">
        <f t="shared" si="9"/>
        <v>43.906500000000001</v>
      </c>
      <c r="AF59" s="1">
        <f t="shared" si="10"/>
        <v>182.78399999999999</v>
      </c>
      <c r="AH59" s="95">
        <f t="shared" si="11"/>
        <v>-0.75979024422268904</v>
      </c>
      <c r="AK59" s="1">
        <f t="shared" si="12"/>
        <v>255.89760000000001</v>
      </c>
      <c r="AM59" s="2">
        <f t="shared" si="13"/>
        <v>211.99110000000002</v>
      </c>
      <c r="AO59" s="1">
        <f t="shared" si="21"/>
        <v>426.58</v>
      </c>
    </row>
    <row r="60" spans="1:41" x14ac:dyDescent="0.2">
      <c r="A60">
        <v>6109</v>
      </c>
      <c r="E60">
        <v>3142</v>
      </c>
      <c r="G60">
        <v>6705</v>
      </c>
      <c r="H60">
        <f t="shared" si="23"/>
        <v>49</v>
      </c>
      <c r="K60" s="158">
        <v>59</v>
      </c>
      <c r="L60" s="158" t="s">
        <v>3072</v>
      </c>
      <c r="M60" s="159">
        <v>96.67</v>
      </c>
      <c r="N60" s="323">
        <v>5058</v>
      </c>
      <c r="V60" s="333">
        <v>1109</v>
      </c>
      <c r="W60" s="334" t="s">
        <v>18229</v>
      </c>
      <c r="X60" s="328">
        <v>91525.996800000008</v>
      </c>
      <c r="Y60" s="1">
        <f t="shared" si="7"/>
        <v>62237.677823999999</v>
      </c>
      <c r="AC60">
        <v>59</v>
      </c>
      <c r="AD60" t="str">
        <f t="shared" si="8"/>
        <v>5058 x 50</v>
      </c>
      <c r="AE60" s="1">
        <f t="shared" si="9"/>
        <v>53.168500000000009</v>
      </c>
      <c r="AF60" s="1">
        <f t="shared" si="10"/>
        <v>193.66399999999999</v>
      </c>
      <c r="AH60" s="95">
        <f t="shared" si="11"/>
        <v>-0.72546007518175804</v>
      </c>
      <c r="AK60" s="1">
        <f t="shared" si="12"/>
        <v>271.12959999999998</v>
      </c>
      <c r="AM60" s="2">
        <f t="shared" si="13"/>
        <v>217.96109999999999</v>
      </c>
      <c r="AO60" s="1">
        <f t="shared" si="21"/>
        <v>451.97</v>
      </c>
    </row>
    <row r="61" spans="1:41" x14ac:dyDescent="0.2">
      <c r="A61">
        <v>6112</v>
      </c>
      <c r="E61">
        <v>4220</v>
      </c>
      <c r="G61">
        <v>4085</v>
      </c>
      <c r="H61">
        <f t="shared" si="23"/>
        <v>55</v>
      </c>
      <c r="K61" s="156">
        <v>60</v>
      </c>
      <c r="L61" s="156" t="s">
        <v>3072</v>
      </c>
      <c r="M61" s="157">
        <v>96.67</v>
      </c>
      <c r="N61" s="324">
        <v>5061</v>
      </c>
      <c r="V61" s="326" t="s">
        <v>18274</v>
      </c>
      <c r="W61" s="327" t="s">
        <v>18229</v>
      </c>
      <c r="X61" s="328">
        <v>119872.77120000002</v>
      </c>
      <c r="Y61" s="1">
        <f t="shared" si="7"/>
        <v>81513.484416000007</v>
      </c>
      <c r="AC61">
        <v>60</v>
      </c>
      <c r="AD61" t="str">
        <f t="shared" si="8"/>
        <v>5061 x 50</v>
      </c>
      <c r="AE61" s="1">
        <f t="shared" si="9"/>
        <v>53.168500000000009</v>
      </c>
      <c r="AF61" s="1">
        <f t="shared" si="10"/>
        <v>193.66399999999999</v>
      </c>
      <c r="AH61" s="95">
        <f t="shared" si="11"/>
        <v>-0.72546007518175804</v>
      </c>
      <c r="AK61" s="1">
        <f t="shared" si="12"/>
        <v>271.12959999999998</v>
      </c>
      <c r="AM61" s="2">
        <f t="shared" si="13"/>
        <v>217.96109999999999</v>
      </c>
      <c r="AO61" s="1">
        <f t="shared" si="21"/>
        <v>451.97</v>
      </c>
    </row>
    <row r="62" spans="1:41" x14ac:dyDescent="0.2">
      <c r="A62">
        <v>6518</v>
      </c>
      <c r="E62">
        <v>4263</v>
      </c>
      <c r="G62">
        <v>4111</v>
      </c>
      <c r="H62">
        <f t="shared" si="23"/>
        <v>56</v>
      </c>
      <c r="K62" s="158">
        <v>61</v>
      </c>
      <c r="L62" s="158" t="s">
        <v>3072</v>
      </c>
      <c r="M62" s="159">
        <v>96.67</v>
      </c>
      <c r="N62" s="323" t="s">
        <v>18275</v>
      </c>
      <c r="V62" s="333">
        <v>1110</v>
      </c>
      <c r="W62" s="334" t="s">
        <v>18229</v>
      </c>
      <c r="X62" s="328">
        <v>122034.6624</v>
      </c>
      <c r="Y62" s="1">
        <f t="shared" si="7"/>
        <v>82983.570431999993</v>
      </c>
      <c r="AC62">
        <v>61</v>
      </c>
      <c r="AD62" t="str">
        <f t="shared" si="8"/>
        <v>5097/A x 50</v>
      </c>
      <c r="AE62" s="1">
        <f t="shared" si="9"/>
        <v>53.168500000000009</v>
      </c>
      <c r="AF62" s="1">
        <f t="shared" si="10"/>
        <v>0</v>
      </c>
      <c r="AH62" s="95">
        <f t="shared" si="11"/>
        <v>0</v>
      </c>
      <c r="AK62" s="1">
        <f t="shared" si="12"/>
        <v>0</v>
      </c>
      <c r="AM62" s="2">
        <f t="shared" si="13"/>
        <v>-53.168500000000009</v>
      </c>
      <c r="AO62" s="1">
        <f t="shared" si="21"/>
        <v>0</v>
      </c>
    </row>
    <row r="63" spans="1:41" x14ac:dyDescent="0.2">
      <c r="A63">
        <v>6538</v>
      </c>
      <c r="E63">
        <v>4267</v>
      </c>
      <c r="G63">
        <v>5051</v>
      </c>
      <c r="H63">
        <f t="shared" si="23"/>
        <v>57</v>
      </c>
      <c r="K63" s="156">
        <v>62</v>
      </c>
      <c r="L63" s="156" t="s">
        <v>3072</v>
      </c>
      <c r="M63" s="157">
        <v>96.67</v>
      </c>
      <c r="N63" s="324" t="s">
        <v>18276</v>
      </c>
      <c r="V63" s="326" t="s">
        <v>18277</v>
      </c>
      <c r="W63" s="327" t="s">
        <v>18229</v>
      </c>
      <c r="X63" s="328">
        <v>159830.3616</v>
      </c>
      <c r="Y63" s="1">
        <f t="shared" si="7"/>
        <v>108684.645888</v>
      </c>
      <c r="AC63">
        <v>62</v>
      </c>
      <c r="AD63" t="str">
        <f t="shared" si="8"/>
        <v>5097/B x 50</v>
      </c>
      <c r="AE63" s="1">
        <f t="shared" si="9"/>
        <v>53.168500000000009</v>
      </c>
      <c r="AF63" s="1">
        <f t="shared" si="10"/>
        <v>0</v>
      </c>
      <c r="AH63" s="95">
        <f t="shared" si="11"/>
        <v>0</v>
      </c>
      <c r="AK63" s="1">
        <f t="shared" si="12"/>
        <v>0</v>
      </c>
      <c r="AM63" s="2">
        <f t="shared" si="13"/>
        <v>-53.168500000000009</v>
      </c>
      <c r="AO63" s="1">
        <f t="shared" si="21"/>
        <v>0</v>
      </c>
    </row>
    <row r="64" spans="1:41" x14ac:dyDescent="0.2">
      <c r="A64">
        <v>4111</v>
      </c>
      <c r="E64">
        <v>4269</v>
      </c>
      <c r="G64">
        <v>5061</v>
      </c>
      <c r="H64">
        <f t="shared" si="23"/>
        <v>60</v>
      </c>
      <c r="K64" s="158">
        <v>63</v>
      </c>
      <c r="L64" s="158" t="s">
        <v>3072</v>
      </c>
      <c r="M64" s="159">
        <v>157.13999999999999</v>
      </c>
      <c r="N64" s="323">
        <v>5102</v>
      </c>
      <c r="V64" s="333">
        <v>1111</v>
      </c>
      <c r="W64" s="334" t="s">
        <v>18229</v>
      </c>
      <c r="X64" s="328">
        <v>59856.24960000001</v>
      </c>
      <c r="Y64" s="1">
        <f t="shared" si="7"/>
        <v>40702.249728000003</v>
      </c>
      <c r="AC64">
        <v>63</v>
      </c>
      <c r="AD64" t="str">
        <f t="shared" si="8"/>
        <v>5102 x 50</v>
      </c>
      <c r="AE64" s="1">
        <f t="shared" si="9"/>
        <v>86.426999999999992</v>
      </c>
      <c r="AF64" s="1">
        <f t="shared" si="10"/>
        <v>317.69599999999997</v>
      </c>
      <c r="AH64" s="95">
        <f t="shared" si="11"/>
        <v>-0.72795691478646252</v>
      </c>
      <c r="AK64" s="1">
        <f t="shared" si="12"/>
        <v>444.77439999999996</v>
      </c>
      <c r="AM64" s="2">
        <f t="shared" si="13"/>
        <v>358.34739999999999</v>
      </c>
      <c r="AO64" s="1">
        <f t="shared" si="21"/>
        <v>741.44</v>
      </c>
    </row>
    <row r="65" spans="1:41" x14ac:dyDescent="0.2">
      <c r="A65">
        <v>5051</v>
      </c>
      <c r="E65">
        <v>4282</v>
      </c>
      <c r="G65">
        <v>6107</v>
      </c>
      <c r="H65">
        <f t="shared" si="23"/>
        <v>66</v>
      </c>
      <c r="K65" s="156">
        <v>64</v>
      </c>
      <c r="L65" s="156" t="s">
        <v>3072</v>
      </c>
      <c r="M65" s="157">
        <v>119.49</v>
      </c>
      <c r="N65" s="324">
        <v>6005</v>
      </c>
      <c r="V65" s="326" t="s">
        <v>18278</v>
      </c>
      <c r="W65" s="327" t="s">
        <v>18229</v>
      </c>
      <c r="X65" s="328">
        <v>74932.502399999998</v>
      </c>
      <c r="Y65" s="1">
        <f t="shared" si="7"/>
        <v>50954.101631999991</v>
      </c>
      <c r="AC65">
        <v>64</v>
      </c>
      <c r="AD65" t="str">
        <f t="shared" si="8"/>
        <v>6005 x 50</v>
      </c>
      <c r="AE65" s="1">
        <f t="shared" si="9"/>
        <v>65.719499999999996</v>
      </c>
      <c r="AF65" s="1">
        <f t="shared" si="10"/>
        <v>278.52799999999996</v>
      </c>
      <c r="AH65" s="95">
        <f t="shared" si="11"/>
        <v>-0.76404706169577208</v>
      </c>
      <c r="AK65" s="1">
        <f t="shared" si="12"/>
        <v>389.93919999999997</v>
      </c>
      <c r="AM65" s="2">
        <f t="shared" si="13"/>
        <v>324.21969999999999</v>
      </c>
      <c r="AO65" s="1">
        <f t="shared" si="21"/>
        <v>650.03</v>
      </c>
    </row>
    <row r="66" spans="1:41" x14ac:dyDescent="0.2">
      <c r="A66">
        <v>5058</v>
      </c>
      <c r="E66">
        <v>4284</v>
      </c>
      <c r="K66" s="158">
        <v>65</v>
      </c>
      <c r="L66" s="158" t="s">
        <v>3072</v>
      </c>
      <c r="M66" s="159">
        <v>108.81</v>
      </c>
      <c r="N66" s="323">
        <v>6019</v>
      </c>
      <c r="V66" s="326">
        <v>1112</v>
      </c>
      <c r="W66" s="327" t="s">
        <v>18229</v>
      </c>
      <c r="X66" s="328">
        <v>79808.332800000004</v>
      </c>
      <c r="Y66" s="1">
        <f t="shared" si="7"/>
        <v>54269.666303999998</v>
      </c>
      <c r="AC66">
        <v>65</v>
      </c>
      <c r="AD66" t="str">
        <f t="shared" si="8"/>
        <v>6019 x 50</v>
      </c>
      <c r="AE66" s="1">
        <f t="shared" si="9"/>
        <v>59.845500000000008</v>
      </c>
      <c r="AF66" s="1">
        <f t="shared" si="10"/>
        <v>187.13599999999997</v>
      </c>
      <c r="AH66" s="95">
        <f t="shared" si="11"/>
        <v>-0.68020316774965783</v>
      </c>
      <c r="AK66" s="1">
        <f t="shared" si="12"/>
        <v>261.99039999999997</v>
      </c>
      <c r="AM66" s="2">
        <f t="shared" si="13"/>
        <v>202.14489999999995</v>
      </c>
      <c r="AO66" s="1">
        <f>+ROUND(AK66*1.667,2)</f>
        <v>436.74</v>
      </c>
    </row>
    <row r="67" spans="1:41" x14ac:dyDescent="0.2">
      <c r="A67">
        <v>6107</v>
      </c>
      <c r="E67">
        <v>5122</v>
      </c>
      <c r="K67" s="156">
        <v>66</v>
      </c>
      <c r="L67" s="156" t="s">
        <v>3091</v>
      </c>
      <c r="M67" s="157">
        <v>191.18</v>
      </c>
      <c r="N67" s="324">
        <v>6107</v>
      </c>
      <c r="V67" s="326" t="s">
        <v>18279</v>
      </c>
      <c r="W67" s="327" t="s">
        <v>18229</v>
      </c>
      <c r="X67" s="328">
        <v>99910</v>
      </c>
      <c r="Y67" s="1">
        <f t="shared" ref="Y67:Y130" si="24">+(1-$AA$1)*X67</f>
        <v>67938.799999999988</v>
      </c>
      <c r="AC67">
        <v>66</v>
      </c>
      <c r="AD67" t="str">
        <f t="shared" ref="AD67" si="25">IFERROR(VLOOKUP("*"&amp;VLOOKUP(AC67,$K$2:$N$75,4,0)&amp;"*",$V$1:$X$856,1,0),0)</f>
        <v>6107 x 50</v>
      </c>
      <c r="AE67" s="1">
        <f t="shared" ref="AE67" si="26">+(1-0.45)*VLOOKUP(AC67,$K$1:$M$68,3,0)</f>
        <v>105.14900000000002</v>
      </c>
      <c r="AF67" s="1">
        <f t="shared" ref="AF67" si="27">+IFERROR(VLOOKUP(AD67,$V$1:$Y$856,4,0),0)</f>
        <v>341.63199999999995</v>
      </c>
      <c r="AH67" s="95">
        <f t="shared" ref="AH67" si="28">IFERROR(+AE67/AF67-1,0)</f>
        <v>-0.69221560041213936</v>
      </c>
      <c r="AK67" s="1">
        <f>+IFERROR(IF(AH67&lt;0.4,(AF67*$AK$1)+AF67,AE67),AE67)</f>
        <v>478.2847999999999</v>
      </c>
      <c r="AM67" s="2">
        <f>+AK67-AE67</f>
        <v>373.1357999999999</v>
      </c>
      <c r="AO67" s="1">
        <f>+ROUND(AK67*1.667,2)</f>
        <v>797.3</v>
      </c>
    </row>
    <row r="68" spans="1:41" x14ac:dyDescent="0.2">
      <c r="A68">
        <v>6104</v>
      </c>
      <c r="E68">
        <v>5169</v>
      </c>
      <c r="K68" t="s">
        <v>4463</v>
      </c>
      <c r="L68" t="s">
        <v>4463</v>
      </c>
      <c r="M68" s="196">
        <v>0</v>
      </c>
      <c r="N68" t="s">
        <v>4463</v>
      </c>
      <c r="V68" s="326">
        <v>1113</v>
      </c>
      <c r="W68" s="327" t="s">
        <v>18229</v>
      </c>
      <c r="X68" s="328">
        <v>160597.63200000001</v>
      </c>
      <c r="Y68" s="1">
        <f t="shared" si="24"/>
        <v>109206.38976000001</v>
      </c>
      <c r="AE68" s="1"/>
      <c r="AH68" s="95"/>
      <c r="AK68" s="1"/>
      <c r="AM68" s="2"/>
      <c r="AO68" s="1"/>
    </row>
    <row r="69" spans="1:41" x14ac:dyDescent="0.2">
      <c r="E69">
        <v>6109</v>
      </c>
      <c r="V69" s="326" t="s">
        <v>18280</v>
      </c>
      <c r="W69" s="327" t="s">
        <v>18229</v>
      </c>
      <c r="X69" s="328">
        <v>172208.6176</v>
      </c>
      <c r="Y69" s="1">
        <f t="shared" si="24"/>
        <v>117101.85996799999</v>
      </c>
      <c r="AE69" s="1"/>
      <c r="AH69" s="95"/>
      <c r="AK69" s="1"/>
      <c r="AM69" s="2"/>
      <c r="AO69" s="1"/>
    </row>
    <row r="70" spans="1:41" x14ac:dyDescent="0.2">
      <c r="E70">
        <v>6110</v>
      </c>
      <c r="V70" s="326" t="s">
        <v>18281</v>
      </c>
      <c r="W70" s="327" t="s">
        <v>18229</v>
      </c>
      <c r="X70" s="328">
        <v>58837.631999999998</v>
      </c>
      <c r="Y70" s="1">
        <f t="shared" si="24"/>
        <v>40009.589759999995</v>
      </c>
      <c r="AE70" s="1"/>
      <c r="AH70" s="95"/>
      <c r="AK70" s="1"/>
      <c r="AM70" s="2"/>
      <c r="AO70" s="1"/>
    </row>
    <row r="71" spans="1:41" x14ac:dyDescent="0.2">
      <c r="E71">
        <v>6518</v>
      </c>
      <c r="V71" s="326" t="s">
        <v>18282</v>
      </c>
      <c r="W71" s="327" t="s">
        <v>18229</v>
      </c>
      <c r="X71" s="328">
        <v>62816.66</v>
      </c>
      <c r="Y71" s="1">
        <f t="shared" si="24"/>
        <v>42715.328799999996</v>
      </c>
      <c r="AE71" s="1"/>
      <c r="AH71" s="95"/>
      <c r="AK71" s="1"/>
      <c r="AM71" s="2"/>
      <c r="AO71" s="1"/>
    </row>
    <row r="72" spans="1:41" x14ac:dyDescent="0.2">
      <c r="E72">
        <v>6538</v>
      </c>
      <c r="V72" s="326" t="s">
        <v>18283</v>
      </c>
      <c r="W72" s="327" t="s">
        <v>18229</v>
      </c>
      <c r="X72" s="328">
        <v>101760</v>
      </c>
      <c r="Y72" s="1">
        <f t="shared" si="24"/>
        <v>69196.799999999988</v>
      </c>
      <c r="AE72" s="1"/>
      <c r="AH72" s="95"/>
      <c r="AK72" s="1"/>
      <c r="AM72" s="2"/>
      <c r="AO72" s="1"/>
    </row>
    <row r="73" spans="1:41" x14ac:dyDescent="0.2">
      <c r="E73">
        <v>6705</v>
      </c>
      <c r="V73" s="326" t="s">
        <v>18284</v>
      </c>
      <c r="W73" s="327" t="s">
        <v>18229</v>
      </c>
      <c r="X73" s="328">
        <v>109392</v>
      </c>
      <c r="Y73" s="1">
        <f t="shared" si="24"/>
        <v>74386.559999999998</v>
      </c>
      <c r="AE73" s="1"/>
      <c r="AH73" s="95"/>
      <c r="AK73" s="1"/>
      <c r="AM73" s="2"/>
      <c r="AO73" s="1"/>
    </row>
    <row r="74" spans="1:41" x14ac:dyDescent="0.2">
      <c r="E74">
        <v>4085</v>
      </c>
      <c r="V74" s="326">
        <v>1114</v>
      </c>
      <c r="W74" s="327" t="s">
        <v>18229</v>
      </c>
      <c r="X74" s="328">
        <v>140344</v>
      </c>
      <c r="Y74" s="1">
        <f t="shared" si="24"/>
        <v>95433.919999999998</v>
      </c>
      <c r="AE74" s="1"/>
      <c r="AH74" s="95"/>
      <c r="AK74" s="1"/>
      <c r="AM74" s="2"/>
      <c r="AO74" s="1"/>
    </row>
    <row r="75" spans="1:41" x14ac:dyDescent="0.2">
      <c r="E75">
        <v>4111</v>
      </c>
      <c r="V75" s="326" t="s">
        <v>18285</v>
      </c>
      <c r="W75" s="327" t="s">
        <v>18229</v>
      </c>
      <c r="X75" s="328">
        <v>152216</v>
      </c>
      <c r="Y75" s="1">
        <f t="shared" si="24"/>
        <v>103506.87999999999</v>
      </c>
      <c r="AE75" s="1"/>
      <c r="AH75" s="95"/>
      <c r="AK75" s="1"/>
      <c r="AM75" s="2"/>
      <c r="AO75" s="1"/>
    </row>
    <row r="76" spans="1:41" x14ac:dyDescent="0.2">
      <c r="E76">
        <v>5051</v>
      </c>
      <c r="V76" s="326" t="s">
        <v>18286</v>
      </c>
      <c r="W76" s="327" t="s">
        <v>18229</v>
      </c>
      <c r="X76" s="328">
        <v>38584</v>
      </c>
      <c r="Y76" s="1">
        <f t="shared" si="24"/>
        <v>26237.119999999999</v>
      </c>
    </row>
    <row r="77" spans="1:41" x14ac:dyDescent="0.2">
      <c r="E77">
        <v>5061</v>
      </c>
      <c r="V77" s="326" t="s">
        <v>18287</v>
      </c>
      <c r="W77" s="327" t="s">
        <v>18229</v>
      </c>
      <c r="X77" s="328">
        <v>42824</v>
      </c>
      <c r="Y77" s="1">
        <f t="shared" si="24"/>
        <v>29120.319999999996</v>
      </c>
    </row>
    <row r="78" spans="1:41" x14ac:dyDescent="0.2">
      <c r="E78">
        <v>6107</v>
      </c>
      <c r="V78" s="326" t="s">
        <v>18288</v>
      </c>
      <c r="W78" s="327" t="s">
        <v>18229</v>
      </c>
      <c r="X78" s="328">
        <v>101760</v>
      </c>
      <c r="Y78" s="1">
        <f t="shared" si="24"/>
        <v>69196.799999999988</v>
      </c>
    </row>
    <row r="79" spans="1:41" x14ac:dyDescent="0.2">
      <c r="V79" s="326" t="s">
        <v>18289</v>
      </c>
      <c r="W79" s="327" t="s">
        <v>18229</v>
      </c>
      <c r="X79" s="328">
        <v>109392</v>
      </c>
      <c r="Y79" s="1">
        <f t="shared" si="24"/>
        <v>74386.559999999998</v>
      </c>
    </row>
    <row r="80" spans="1:41" x14ac:dyDescent="0.2">
      <c r="V80" s="326">
        <v>1115</v>
      </c>
      <c r="W80" s="327" t="s">
        <v>18229</v>
      </c>
      <c r="X80" s="328">
        <v>58712.976000000002</v>
      </c>
      <c r="Y80" s="1">
        <f t="shared" si="24"/>
        <v>39924.823680000001</v>
      </c>
    </row>
    <row r="81" spans="1:25" x14ac:dyDescent="0.2">
      <c r="A81">
        <f>IFERROR(VLOOKUP(G81,$A$3:$A$18,1,0),0)</f>
        <v>0</v>
      </c>
      <c r="E81" s="389"/>
      <c r="L81" s="388"/>
      <c r="M81" s="1"/>
      <c r="N81" s="1"/>
      <c r="Q81">
        <v>2030</v>
      </c>
      <c r="R81">
        <f>IFERROR(VLOOKUP(Q81,$A$81:$A$95,1,0),0)</f>
        <v>0</v>
      </c>
      <c r="V81" s="326" t="s">
        <v>18290</v>
      </c>
      <c r="W81" s="327" t="s">
        <v>18229</v>
      </c>
      <c r="X81" s="328">
        <v>85018.953600000008</v>
      </c>
      <c r="Y81" s="1">
        <f t="shared" si="24"/>
        <v>57812.888447999998</v>
      </c>
    </row>
    <row r="82" spans="1:25" x14ac:dyDescent="0.2">
      <c r="A82">
        <f t="shared" ref="A82:A95" si="29">IFERROR(VLOOKUP(G82,$A$3:$A$18,1,0),0)</f>
        <v>0</v>
      </c>
      <c r="E82" s="389"/>
      <c r="L82" s="388"/>
      <c r="M82" s="1"/>
      <c r="N82" s="1"/>
      <c r="Q82">
        <v>2031</v>
      </c>
      <c r="R82">
        <f t="shared" ref="R82:R96" si="30">IFERROR(VLOOKUP(Q82,$A$81:$A$95,1,0),0)</f>
        <v>0</v>
      </c>
      <c r="V82" s="326" t="s">
        <v>18291</v>
      </c>
      <c r="W82" s="327" t="s">
        <v>18229</v>
      </c>
      <c r="X82" s="328">
        <v>10845.072000000002</v>
      </c>
      <c r="Y82" s="1">
        <f t="shared" si="24"/>
        <v>7374.6489600000004</v>
      </c>
    </row>
    <row r="83" spans="1:25" x14ac:dyDescent="0.2">
      <c r="A83">
        <f t="shared" si="29"/>
        <v>0</v>
      </c>
      <c r="E83" s="389"/>
      <c r="L83" s="388"/>
      <c r="M83" s="1"/>
      <c r="N83" s="1"/>
      <c r="Q83">
        <v>2150</v>
      </c>
      <c r="R83">
        <f t="shared" si="30"/>
        <v>0</v>
      </c>
      <c r="V83" s="326" t="s">
        <v>18292</v>
      </c>
      <c r="W83" s="327" t="s">
        <v>18229</v>
      </c>
      <c r="X83" s="328">
        <v>15268.5792</v>
      </c>
      <c r="Y83" s="1">
        <f t="shared" si="24"/>
        <v>10382.633855999999</v>
      </c>
    </row>
    <row r="84" spans="1:25" x14ac:dyDescent="0.2">
      <c r="A84">
        <f t="shared" si="29"/>
        <v>0</v>
      </c>
      <c r="E84" s="389"/>
      <c r="L84" s="388"/>
      <c r="M84" s="1"/>
      <c r="N84" s="1"/>
      <c r="Q84">
        <v>6104</v>
      </c>
      <c r="R84">
        <f t="shared" si="30"/>
        <v>0</v>
      </c>
      <c r="V84" s="326" t="s">
        <v>18293</v>
      </c>
      <c r="W84" s="327" t="s">
        <v>18229</v>
      </c>
      <c r="X84" s="328">
        <v>47867.904000000002</v>
      </c>
      <c r="Y84" s="1">
        <f t="shared" si="24"/>
        <v>32550.174719999999</v>
      </c>
    </row>
    <row r="85" spans="1:25" x14ac:dyDescent="0.2">
      <c r="A85">
        <f t="shared" si="29"/>
        <v>0</v>
      </c>
      <c r="E85" s="389"/>
      <c r="L85" s="388"/>
      <c r="M85" s="1"/>
      <c r="N85" s="1"/>
      <c r="Q85">
        <v>3061</v>
      </c>
      <c r="R85">
        <f t="shared" si="30"/>
        <v>0</v>
      </c>
      <c r="V85" s="326" t="s">
        <v>18294</v>
      </c>
      <c r="W85" s="327" t="s">
        <v>18229</v>
      </c>
      <c r="X85" s="328">
        <v>69750.374400000015</v>
      </c>
      <c r="Y85" s="1">
        <f t="shared" si="24"/>
        <v>47430.254592000005</v>
      </c>
    </row>
    <row r="86" spans="1:25" x14ac:dyDescent="0.2">
      <c r="A86">
        <f t="shared" si="29"/>
        <v>0</v>
      </c>
      <c r="E86" s="389"/>
      <c r="L86" s="388"/>
      <c r="M86" s="1"/>
      <c r="N86" s="1"/>
      <c r="Q86">
        <v>3235</v>
      </c>
      <c r="R86">
        <f t="shared" si="30"/>
        <v>0</v>
      </c>
      <c r="V86" s="326">
        <v>1116</v>
      </c>
      <c r="W86" s="327" t="s">
        <v>18229</v>
      </c>
      <c r="X86" s="328">
        <v>46852.848000000005</v>
      </c>
      <c r="Y86" s="1">
        <f t="shared" si="24"/>
        <v>31859.93664</v>
      </c>
    </row>
    <row r="87" spans="1:25" x14ac:dyDescent="0.2">
      <c r="A87">
        <f t="shared" si="29"/>
        <v>0</v>
      </c>
      <c r="E87" s="389"/>
      <c r="L87" s="388"/>
      <c r="M87" s="1"/>
      <c r="N87" s="1"/>
      <c r="Q87">
        <v>3142</v>
      </c>
      <c r="R87">
        <f t="shared" si="30"/>
        <v>0</v>
      </c>
      <c r="V87" s="326" t="s">
        <v>18295</v>
      </c>
      <c r="W87" s="327" t="s">
        <v>18229</v>
      </c>
      <c r="X87" s="328">
        <v>51276.355199999998</v>
      </c>
      <c r="Y87" s="1">
        <f t="shared" si="24"/>
        <v>34867.921535999994</v>
      </c>
    </row>
    <row r="88" spans="1:25" x14ac:dyDescent="0.2">
      <c r="A88">
        <f t="shared" si="29"/>
        <v>0</v>
      </c>
      <c r="E88" s="389"/>
      <c r="L88" s="388"/>
      <c r="M88" s="1"/>
      <c r="N88" s="1"/>
      <c r="Q88">
        <v>4220</v>
      </c>
      <c r="R88">
        <f t="shared" si="30"/>
        <v>0</v>
      </c>
      <c r="V88" s="326" t="s">
        <v>18296</v>
      </c>
      <c r="W88" s="327" t="s">
        <v>18229</v>
      </c>
      <c r="X88" s="328">
        <v>10845.072000000002</v>
      </c>
      <c r="Y88" s="1">
        <f t="shared" si="24"/>
        <v>7374.6489600000004</v>
      </c>
    </row>
    <row r="89" spans="1:25" x14ac:dyDescent="0.2">
      <c r="A89">
        <f t="shared" si="29"/>
        <v>0</v>
      </c>
      <c r="E89" s="389"/>
      <c r="L89" s="388"/>
      <c r="M89" s="1"/>
      <c r="N89" s="1"/>
      <c r="Q89">
        <v>6109</v>
      </c>
      <c r="R89">
        <f t="shared" si="30"/>
        <v>0</v>
      </c>
      <c r="V89" s="326" t="s">
        <v>18297</v>
      </c>
      <c r="W89" s="327" t="s">
        <v>18229</v>
      </c>
      <c r="X89" s="328">
        <v>15268.5792</v>
      </c>
      <c r="Y89" s="1">
        <f t="shared" si="24"/>
        <v>10382.633855999999</v>
      </c>
    </row>
    <row r="90" spans="1:25" x14ac:dyDescent="0.2">
      <c r="A90">
        <f t="shared" si="29"/>
        <v>0</v>
      </c>
      <c r="E90" s="389"/>
      <c r="L90" s="388"/>
      <c r="M90" s="1"/>
      <c r="N90" s="1"/>
      <c r="Q90">
        <v>6112</v>
      </c>
      <c r="R90">
        <f t="shared" si="30"/>
        <v>0</v>
      </c>
      <c r="V90" s="326" t="s">
        <v>18298</v>
      </c>
      <c r="W90" s="327" t="s">
        <v>18229</v>
      </c>
      <c r="X90" s="328">
        <v>36007.775999999998</v>
      </c>
      <c r="Y90" s="1">
        <f t="shared" si="24"/>
        <v>24485.287679999998</v>
      </c>
    </row>
    <row r="91" spans="1:25" x14ac:dyDescent="0.2">
      <c r="A91">
        <f t="shared" si="29"/>
        <v>0</v>
      </c>
      <c r="E91" s="389"/>
      <c r="L91" s="388"/>
      <c r="M91" s="1"/>
      <c r="N91" s="1"/>
      <c r="Q91">
        <v>6518</v>
      </c>
      <c r="R91">
        <f t="shared" si="30"/>
        <v>0</v>
      </c>
      <c r="V91" s="326" t="s">
        <v>18299</v>
      </c>
      <c r="W91" s="327" t="s">
        <v>18229</v>
      </c>
      <c r="X91" s="328">
        <v>44567.0216</v>
      </c>
      <c r="Y91" s="1">
        <f t="shared" si="24"/>
        <v>30305.574687999997</v>
      </c>
    </row>
    <row r="92" spans="1:25" x14ac:dyDescent="0.2">
      <c r="A92">
        <f t="shared" si="29"/>
        <v>0</v>
      </c>
      <c r="E92" s="389"/>
      <c r="L92" s="388"/>
      <c r="M92" s="1"/>
      <c r="N92" s="1"/>
      <c r="Q92">
        <v>6538</v>
      </c>
      <c r="R92">
        <f t="shared" si="30"/>
        <v>0</v>
      </c>
      <c r="V92" s="326">
        <v>1117</v>
      </c>
      <c r="W92" s="327" t="s">
        <v>18229</v>
      </c>
      <c r="X92" s="328">
        <v>146933.80799999999</v>
      </c>
      <c r="Y92" s="1">
        <f t="shared" si="24"/>
        <v>99914.98943999999</v>
      </c>
    </row>
    <row r="93" spans="1:25" x14ac:dyDescent="0.2">
      <c r="A93">
        <f t="shared" si="29"/>
        <v>0</v>
      </c>
      <c r="E93" s="389"/>
      <c r="L93" s="388"/>
      <c r="M93" s="1"/>
      <c r="N93" s="1"/>
      <c r="Q93">
        <v>4111</v>
      </c>
      <c r="R93">
        <f t="shared" si="30"/>
        <v>0</v>
      </c>
      <c r="V93" s="326" t="s">
        <v>18300</v>
      </c>
      <c r="W93" s="327" t="s">
        <v>18229</v>
      </c>
      <c r="X93" s="328">
        <v>173517.59040000002</v>
      </c>
      <c r="Y93" s="1">
        <f t="shared" si="24"/>
        <v>117991.961472</v>
      </c>
    </row>
    <row r="94" spans="1:25" x14ac:dyDescent="0.2">
      <c r="A94">
        <f t="shared" si="29"/>
        <v>0</v>
      </c>
      <c r="E94" s="389"/>
      <c r="L94" s="388"/>
      <c r="M94" s="1"/>
      <c r="N94" s="1"/>
      <c r="Q94">
        <v>5051</v>
      </c>
      <c r="R94">
        <f t="shared" si="30"/>
        <v>0</v>
      </c>
      <c r="V94" s="326" t="s">
        <v>18301</v>
      </c>
      <c r="W94" s="327" t="s">
        <v>18229</v>
      </c>
      <c r="X94" s="328">
        <v>24414.768</v>
      </c>
      <c r="Y94" s="1">
        <f t="shared" si="24"/>
        <v>16602.042239999999</v>
      </c>
    </row>
    <row r="95" spans="1:25" x14ac:dyDescent="0.2">
      <c r="A95">
        <f t="shared" si="29"/>
        <v>0</v>
      </c>
      <c r="E95" s="389"/>
      <c r="L95" s="388"/>
      <c r="M95" s="1"/>
      <c r="N95" s="1"/>
      <c r="Q95">
        <v>5058</v>
      </c>
      <c r="R95">
        <f t="shared" si="30"/>
        <v>0</v>
      </c>
      <c r="V95" s="326" t="s">
        <v>18302</v>
      </c>
      <c r="W95" s="327" t="s">
        <v>18229</v>
      </c>
      <c r="X95" s="328">
        <v>28838.2752</v>
      </c>
      <c r="Y95" s="1">
        <f t="shared" si="24"/>
        <v>19610.027135999997</v>
      </c>
    </row>
    <row r="96" spans="1:25" x14ac:dyDescent="0.2">
      <c r="N96" s="2"/>
      <c r="Q96">
        <v>6107</v>
      </c>
      <c r="R96">
        <f t="shared" si="30"/>
        <v>0</v>
      </c>
      <c r="V96" s="326" t="s">
        <v>18303</v>
      </c>
      <c r="W96" s="327" t="s">
        <v>18229</v>
      </c>
      <c r="X96" s="328">
        <v>134628.48000000001</v>
      </c>
      <c r="Y96" s="1">
        <f t="shared" si="24"/>
        <v>91547.366399999999</v>
      </c>
    </row>
    <row r="97" spans="22:25" x14ac:dyDescent="0.2">
      <c r="V97" s="326" t="s">
        <v>18304</v>
      </c>
      <c r="W97" s="327" t="s">
        <v>18229</v>
      </c>
      <c r="X97" s="328">
        <v>144679.31520000001</v>
      </c>
      <c r="Y97" s="1">
        <f t="shared" si="24"/>
        <v>98381.934336000006</v>
      </c>
    </row>
    <row r="98" spans="22:25" x14ac:dyDescent="0.2">
      <c r="V98" s="326">
        <v>1118</v>
      </c>
      <c r="W98" s="327" t="s">
        <v>18229</v>
      </c>
      <c r="X98" s="328">
        <v>229278</v>
      </c>
      <c r="Y98" s="1">
        <f t="shared" si="24"/>
        <v>155909.03999999998</v>
      </c>
    </row>
    <row r="99" spans="22:25" x14ac:dyDescent="0.2">
      <c r="V99" s="326" t="s">
        <v>18305</v>
      </c>
      <c r="W99" s="327" t="s">
        <v>18229</v>
      </c>
      <c r="X99" s="328">
        <v>269634.48960000003</v>
      </c>
      <c r="Y99" s="1">
        <f t="shared" si="24"/>
        <v>183351.45292800001</v>
      </c>
    </row>
    <row r="100" spans="22:25" x14ac:dyDescent="0.2">
      <c r="V100" s="326" t="s">
        <v>18306</v>
      </c>
      <c r="W100" s="327" t="s">
        <v>18229</v>
      </c>
      <c r="X100" s="328">
        <v>24414.768</v>
      </c>
      <c r="Y100" s="1">
        <f t="shared" si="24"/>
        <v>16602.042239999999</v>
      </c>
    </row>
    <row r="101" spans="22:25" x14ac:dyDescent="0.2">
      <c r="V101" s="326" t="s">
        <v>18307</v>
      </c>
      <c r="W101" s="327" t="s">
        <v>18229</v>
      </c>
      <c r="X101" s="328">
        <v>28838.2752</v>
      </c>
      <c r="Y101" s="1">
        <f t="shared" si="24"/>
        <v>19610.027135999997</v>
      </c>
    </row>
    <row r="102" spans="22:25" x14ac:dyDescent="0.2">
      <c r="V102" s="326" t="s">
        <v>18308</v>
      </c>
      <c r="W102" s="327" t="s">
        <v>18229</v>
      </c>
      <c r="X102" s="328">
        <v>220692</v>
      </c>
      <c r="Y102" s="1">
        <f t="shared" si="24"/>
        <v>150070.56</v>
      </c>
    </row>
    <row r="103" spans="22:25" x14ac:dyDescent="0.2">
      <c r="V103" s="335" t="s">
        <v>18309</v>
      </c>
      <c r="W103" s="327" t="s">
        <v>18229</v>
      </c>
      <c r="X103" s="328">
        <v>240796.2144</v>
      </c>
      <c r="Y103" s="1">
        <f t="shared" si="24"/>
        <v>163741.42579199999</v>
      </c>
    </row>
    <row r="104" spans="22:25" x14ac:dyDescent="0.2">
      <c r="V104" s="335">
        <v>1119</v>
      </c>
      <c r="W104" s="327" t="s">
        <v>18229</v>
      </c>
      <c r="X104" s="328">
        <v>126666.60800000001</v>
      </c>
      <c r="Y104" s="1">
        <f t="shared" si="24"/>
        <v>86133.293439999994</v>
      </c>
    </row>
    <row r="105" spans="22:25" x14ac:dyDescent="0.2">
      <c r="V105" s="335" t="s">
        <v>18310</v>
      </c>
      <c r="W105" s="327" t="s">
        <v>18229</v>
      </c>
      <c r="X105" s="328">
        <v>141142.6464</v>
      </c>
      <c r="Y105" s="1">
        <f t="shared" si="24"/>
        <v>95976.999551999994</v>
      </c>
    </row>
    <row r="106" spans="22:25" x14ac:dyDescent="0.2">
      <c r="V106" s="335" t="s">
        <v>18311</v>
      </c>
      <c r="W106" s="327" t="s">
        <v>18229</v>
      </c>
      <c r="X106" s="328">
        <v>24414.768</v>
      </c>
      <c r="Y106" s="1">
        <f t="shared" si="24"/>
        <v>16602.042239999999</v>
      </c>
    </row>
    <row r="107" spans="22:25" x14ac:dyDescent="0.2">
      <c r="V107" s="335" t="s">
        <v>18312</v>
      </c>
      <c r="W107" s="327" t="s">
        <v>18229</v>
      </c>
      <c r="X107" s="328">
        <v>28838.2752</v>
      </c>
      <c r="Y107" s="1">
        <f t="shared" si="24"/>
        <v>19610.027135999997</v>
      </c>
    </row>
    <row r="108" spans="22:25" x14ac:dyDescent="0.2">
      <c r="V108" s="335" t="s">
        <v>18313</v>
      </c>
      <c r="W108" s="327" t="s">
        <v>18229</v>
      </c>
      <c r="X108" s="328">
        <v>102253.53600000001</v>
      </c>
      <c r="Y108" s="1">
        <f t="shared" si="24"/>
        <v>69532.404479999997</v>
      </c>
    </row>
    <row r="109" spans="22:25" x14ac:dyDescent="0.2">
      <c r="V109" s="335" t="s">
        <v>18314</v>
      </c>
      <c r="W109" s="327" t="s">
        <v>18229</v>
      </c>
      <c r="X109" s="328">
        <v>112304.37120000001</v>
      </c>
      <c r="Y109" s="1">
        <f t="shared" si="24"/>
        <v>76366.972416000004</v>
      </c>
    </row>
    <row r="110" spans="22:25" x14ac:dyDescent="0.2">
      <c r="V110" s="335">
        <v>1120</v>
      </c>
      <c r="W110" s="327" t="s">
        <v>18229</v>
      </c>
      <c r="X110" s="328">
        <v>193982.54399999999</v>
      </c>
      <c r="Y110" s="1">
        <f t="shared" si="24"/>
        <v>131908.12991999998</v>
      </c>
    </row>
    <row r="111" spans="22:25" x14ac:dyDescent="0.2">
      <c r="V111" s="335" t="s">
        <v>18315</v>
      </c>
      <c r="W111" s="327" t="s">
        <v>18229</v>
      </c>
      <c r="X111" s="328">
        <v>213482.304</v>
      </c>
      <c r="Y111" s="1">
        <f t="shared" si="24"/>
        <v>145167.96672</v>
      </c>
    </row>
    <row r="112" spans="22:25" x14ac:dyDescent="0.2">
      <c r="V112" s="335"/>
      <c r="W112" s="327"/>
      <c r="X112" s="328">
        <v>0</v>
      </c>
      <c r="Y112" s="1">
        <f t="shared" si="24"/>
        <v>0</v>
      </c>
    </row>
    <row r="113" spans="22:25" x14ac:dyDescent="0.2">
      <c r="V113" s="335"/>
      <c r="W113" s="327"/>
      <c r="X113" s="328">
        <v>0</v>
      </c>
      <c r="Y113" s="1">
        <f t="shared" si="24"/>
        <v>0</v>
      </c>
    </row>
    <row r="114" spans="22:25" x14ac:dyDescent="0.2">
      <c r="V114" s="326" t="s">
        <v>18316</v>
      </c>
      <c r="W114" s="327" t="s">
        <v>18229</v>
      </c>
      <c r="X114" s="328">
        <v>684.8</v>
      </c>
      <c r="Y114" s="1">
        <f t="shared" si="24"/>
        <v>465.66399999999993</v>
      </c>
    </row>
    <row r="115" spans="22:25" x14ac:dyDescent="0.2">
      <c r="V115" s="326" t="s">
        <v>18317</v>
      </c>
      <c r="W115" s="327" t="s">
        <v>18229</v>
      </c>
      <c r="X115" s="328">
        <v>806.4</v>
      </c>
      <c r="Y115" s="1">
        <f t="shared" si="24"/>
        <v>548.35199999999998</v>
      </c>
    </row>
    <row r="116" spans="22:25" x14ac:dyDescent="0.2">
      <c r="V116" s="326">
        <v>4000</v>
      </c>
      <c r="W116" s="326" t="s">
        <v>18318</v>
      </c>
      <c r="X116" s="328">
        <v>3788.8</v>
      </c>
      <c r="Y116" s="1">
        <f t="shared" si="24"/>
        <v>2576.384</v>
      </c>
    </row>
    <row r="117" spans="22:25" x14ac:dyDescent="0.2">
      <c r="V117" s="326">
        <v>4001</v>
      </c>
      <c r="W117" s="326" t="s">
        <v>18318</v>
      </c>
      <c r="X117" s="328">
        <v>4300.8</v>
      </c>
      <c r="Y117" s="1">
        <f t="shared" si="24"/>
        <v>2924.5439999999999</v>
      </c>
    </row>
    <row r="118" spans="22:25" x14ac:dyDescent="0.2">
      <c r="V118" s="326">
        <v>4002</v>
      </c>
      <c r="W118" s="326" t="s">
        <v>18318</v>
      </c>
      <c r="X118" s="328">
        <v>2662.4</v>
      </c>
      <c r="Y118" s="1">
        <f t="shared" si="24"/>
        <v>1810.4319999999998</v>
      </c>
    </row>
    <row r="119" spans="22:25" x14ac:dyDescent="0.2">
      <c r="V119" s="326">
        <v>4004</v>
      </c>
      <c r="W119" s="326" t="s">
        <v>18318</v>
      </c>
      <c r="X119" s="328">
        <v>4812.8</v>
      </c>
      <c r="Y119" s="1">
        <f t="shared" si="24"/>
        <v>3272.7039999999997</v>
      </c>
    </row>
    <row r="120" spans="22:25" x14ac:dyDescent="0.2">
      <c r="V120" s="326">
        <v>4005</v>
      </c>
      <c r="W120" s="326" t="s">
        <v>18318</v>
      </c>
      <c r="X120" s="328">
        <v>3993.6</v>
      </c>
      <c r="Y120" s="1">
        <f t="shared" si="24"/>
        <v>2715.6479999999997</v>
      </c>
    </row>
    <row r="121" spans="22:25" x14ac:dyDescent="0.2">
      <c r="V121" s="326" t="s">
        <v>18319</v>
      </c>
      <c r="W121" s="327" t="s">
        <v>18229</v>
      </c>
      <c r="X121" s="328">
        <v>0</v>
      </c>
      <c r="Y121" s="1">
        <f t="shared" si="24"/>
        <v>0</v>
      </c>
    </row>
    <row r="122" spans="22:25" x14ac:dyDescent="0.2">
      <c r="V122" s="326">
        <v>4006</v>
      </c>
      <c r="W122" s="327" t="s">
        <v>18229</v>
      </c>
      <c r="X122" s="328">
        <v>15360</v>
      </c>
      <c r="Y122" s="1">
        <f t="shared" si="24"/>
        <v>10444.799999999999</v>
      </c>
    </row>
    <row r="123" spans="22:25" x14ac:dyDescent="0.2">
      <c r="V123" s="326">
        <v>4007</v>
      </c>
      <c r="W123" s="327" t="s">
        <v>18229</v>
      </c>
      <c r="X123" s="328">
        <v>2252.8000000000002</v>
      </c>
      <c r="Y123" s="1">
        <f t="shared" si="24"/>
        <v>1531.904</v>
      </c>
    </row>
    <row r="124" spans="22:25" x14ac:dyDescent="0.2">
      <c r="V124" s="326" t="s">
        <v>18320</v>
      </c>
      <c r="W124" s="327" t="s">
        <v>18229</v>
      </c>
      <c r="X124" s="328">
        <v>0</v>
      </c>
      <c r="Y124" s="1">
        <f t="shared" si="24"/>
        <v>0</v>
      </c>
    </row>
    <row r="125" spans="22:25" x14ac:dyDescent="0.2">
      <c r="V125" s="326">
        <v>4008</v>
      </c>
      <c r="W125" s="326" t="s">
        <v>18318</v>
      </c>
      <c r="X125" s="328">
        <v>3097.6</v>
      </c>
      <c r="Y125" s="1">
        <f t="shared" si="24"/>
        <v>2106.3679999999999</v>
      </c>
    </row>
    <row r="126" spans="22:25" x14ac:dyDescent="0.2">
      <c r="V126" s="326">
        <v>4009</v>
      </c>
      <c r="W126" s="326" t="s">
        <v>18318</v>
      </c>
      <c r="X126" s="328">
        <v>1960</v>
      </c>
      <c r="Y126" s="1">
        <f t="shared" si="24"/>
        <v>1332.8</v>
      </c>
    </row>
    <row r="127" spans="22:25" x14ac:dyDescent="0.2">
      <c r="V127" s="326">
        <v>4019</v>
      </c>
      <c r="W127" s="326" t="s">
        <v>18318</v>
      </c>
      <c r="X127" s="328">
        <v>2640</v>
      </c>
      <c r="Y127" s="1">
        <f t="shared" si="24"/>
        <v>1795.1999999999998</v>
      </c>
    </row>
    <row r="128" spans="22:25" x14ac:dyDescent="0.2">
      <c r="V128" s="326">
        <v>4020</v>
      </c>
      <c r="W128" s="326" t="s">
        <v>18318</v>
      </c>
      <c r="X128" s="328">
        <v>2640</v>
      </c>
      <c r="Y128" s="1">
        <f t="shared" si="24"/>
        <v>1795.1999999999998</v>
      </c>
    </row>
    <row r="129" spans="22:25" x14ac:dyDescent="0.2">
      <c r="V129" s="326">
        <v>4021</v>
      </c>
      <c r="W129" s="326" t="s">
        <v>18318</v>
      </c>
      <c r="X129" s="328">
        <v>5433.6</v>
      </c>
      <c r="Y129" s="1">
        <f t="shared" si="24"/>
        <v>3694.848</v>
      </c>
    </row>
    <row r="130" spans="22:25" x14ac:dyDescent="0.2">
      <c r="V130" s="326">
        <v>4022</v>
      </c>
      <c r="W130" s="327" t="s">
        <v>18229</v>
      </c>
      <c r="X130" s="328">
        <v>2150.4</v>
      </c>
      <c r="Y130" s="1">
        <f t="shared" si="24"/>
        <v>1462.2719999999999</v>
      </c>
    </row>
    <row r="131" spans="22:25" x14ac:dyDescent="0.2">
      <c r="V131" s="335">
        <v>4023</v>
      </c>
      <c r="W131" s="327" t="s">
        <v>18229</v>
      </c>
      <c r="X131" s="328">
        <v>7065.6</v>
      </c>
      <c r="Y131" s="1">
        <f t="shared" ref="Y131:Y194" si="31">+(1-$AA$1)*X131</f>
        <v>4804.6080000000002</v>
      </c>
    </row>
    <row r="132" spans="22:25" x14ac:dyDescent="0.2">
      <c r="V132" s="326">
        <v>4024</v>
      </c>
      <c r="W132" s="327" t="s">
        <v>18229</v>
      </c>
      <c r="X132" s="328">
        <v>2508.8000000000002</v>
      </c>
      <c r="Y132" s="1">
        <f t="shared" si="31"/>
        <v>1705.9839999999999</v>
      </c>
    </row>
    <row r="133" spans="22:25" x14ac:dyDescent="0.2">
      <c r="V133" s="326">
        <v>4025</v>
      </c>
      <c r="W133" s="326" t="s">
        <v>18318</v>
      </c>
      <c r="X133" s="328">
        <v>2355.1999999999998</v>
      </c>
      <c r="Y133" s="1">
        <f t="shared" si="31"/>
        <v>1601.5359999999998</v>
      </c>
    </row>
    <row r="134" spans="22:25" x14ac:dyDescent="0.2">
      <c r="V134" s="326">
        <v>4026</v>
      </c>
      <c r="W134" s="327" t="s">
        <v>18229</v>
      </c>
      <c r="X134" s="328">
        <v>1446.4</v>
      </c>
      <c r="Y134" s="1">
        <f t="shared" si="31"/>
        <v>983.55200000000002</v>
      </c>
    </row>
    <row r="135" spans="22:25" x14ac:dyDescent="0.2">
      <c r="V135" s="326">
        <v>4027</v>
      </c>
      <c r="W135" s="326" t="s">
        <v>18318</v>
      </c>
      <c r="X135" s="328">
        <v>5449.6</v>
      </c>
      <c r="Y135" s="1">
        <f t="shared" si="31"/>
        <v>3705.7280000000001</v>
      </c>
    </row>
    <row r="136" spans="22:25" x14ac:dyDescent="0.2">
      <c r="V136" s="326">
        <v>4028</v>
      </c>
      <c r="W136" s="326" t="s">
        <v>18318</v>
      </c>
      <c r="X136" s="328">
        <v>4915.2</v>
      </c>
      <c r="Y136" s="1">
        <f t="shared" si="31"/>
        <v>3342.3359999999998</v>
      </c>
    </row>
    <row r="137" spans="22:25" x14ac:dyDescent="0.2">
      <c r="V137" s="326">
        <v>4029</v>
      </c>
      <c r="W137" s="326" t="s">
        <v>18318</v>
      </c>
      <c r="X137" s="328">
        <v>1960</v>
      </c>
      <c r="Y137" s="1">
        <f t="shared" si="31"/>
        <v>1332.8</v>
      </c>
    </row>
    <row r="138" spans="22:25" x14ac:dyDescent="0.2">
      <c r="V138" s="326">
        <v>4030</v>
      </c>
      <c r="W138" s="326" t="s">
        <v>18318</v>
      </c>
      <c r="X138" s="328">
        <v>2760</v>
      </c>
      <c r="Y138" s="1">
        <f t="shared" si="31"/>
        <v>1876.7999999999997</v>
      </c>
    </row>
    <row r="139" spans="22:25" x14ac:dyDescent="0.2">
      <c r="V139" s="336">
        <v>4031</v>
      </c>
      <c r="W139" s="336" t="s">
        <v>18318</v>
      </c>
      <c r="X139" s="328">
        <v>2760</v>
      </c>
      <c r="Y139" s="1">
        <f t="shared" si="31"/>
        <v>1876.7999999999997</v>
      </c>
    </row>
    <row r="140" spans="22:25" x14ac:dyDescent="0.2">
      <c r="V140" s="337">
        <v>4032</v>
      </c>
      <c r="W140" s="337" t="s">
        <v>18318</v>
      </c>
      <c r="X140" s="328">
        <v>4688</v>
      </c>
      <c r="Y140" s="1">
        <f t="shared" si="31"/>
        <v>3187.8399999999997</v>
      </c>
    </row>
    <row r="141" spans="22:25" x14ac:dyDescent="0.2">
      <c r="V141" s="338" t="s">
        <v>18321</v>
      </c>
      <c r="W141" s="339" t="s">
        <v>18229</v>
      </c>
      <c r="X141" s="328">
        <v>409.6</v>
      </c>
      <c r="Y141" s="1">
        <f t="shared" si="31"/>
        <v>278.52799999999996</v>
      </c>
    </row>
    <row r="142" spans="22:25" x14ac:dyDescent="0.2">
      <c r="V142" s="331" t="s">
        <v>18322</v>
      </c>
      <c r="W142" s="327" t="s">
        <v>18229</v>
      </c>
      <c r="X142" s="328">
        <v>483.2</v>
      </c>
      <c r="Y142" s="1">
        <f t="shared" si="31"/>
        <v>328.57599999999996</v>
      </c>
    </row>
    <row r="143" spans="22:25" x14ac:dyDescent="0.2">
      <c r="V143" s="326" t="s">
        <v>18323</v>
      </c>
      <c r="W143" s="327" t="s">
        <v>18229</v>
      </c>
      <c r="X143" s="328">
        <v>0</v>
      </c>
      <c r="Y143" s="1">
        <f t="shared" si="31"/>
        <v>0</v>
      </c>
    </row>
    <row r="144" spans="22:25" x14ac:dyDescent="0.2">
      <c r="V144" s="326" t="s">
        <v>18324</v>
      </c>
      <c r="W144" s="327" t="s">
        <v>18229</v>
      </c>
      <c r="X144" s="328">
        <v>822.4</v>
      </c>
      <c r="Y144" s="1">
        <f t="shared" si="31"/>
        <v>559.23199999999997</v>
      </c>
    </row>
    <row r="145" spans="22:25" x14ac:dyDescent="0.2">
      <c r="V145" s="326" t="s">
        <v>18325</v>
      </c>
      <c r="W145" s="327" t="s">
        <v>18229</v>
      </c>
      <c r="X145" s="328">
        <v>0</v>
      </c>
      <c r="Y145" s="1">
        <f t="shared" si="31"/>
        <v>0</v>
      </c>
    </row>
    <row r="146" spans="22:25" x14ac:dyDescent="0.2">
      <c r="V146" s="326" t="s">
        <v>18326</v>
      </c>
      <c r="W146" s="327" t="s">
        <v>18229</v>
      </c>
      <c r="X146" s="328">
        <v>416</v>
      </c>
      <c r="Y146" s="1">
        <f t="shared" si="31"/>
        <v>282.88</v>
      </c>
    </row>
    <row r="147" spans="22:25" x14ac:dyDescent="0.2">
      <c r="V147" s="326" t="s">
        <v>18270</v>
      </c>
      <c r="W147" s="327" t="s">
        <v>18229</v>
      </c>
      <c r="X147" s="328">
        <v>355.2</v>
      </c>
      <c r="Y147" s="1">
        <f t="shared" si="31"/>
        <v>241.53599999999997</v>
      </c>
    </row>
    <row r="148" spans="22:25" x14ac:dyDescent="0.2">
      <c r="V148" s="326" t="s">
        <v>18327</v>
      </c>
      <c r="W148" s="327" t="s">
        <v>18229</v>
      </c>
      <c r="X148" s="328">
        <v>460.8</v>
      </c>
      <c r="Y148" s="1">
        <f t="shared" si="31"/>
        <v>313.34399999999999</v>
      </c>
    </row>
    <row r="149" spans="22:25" x14ac:dyDescent="0.2">
      <c r="V149" s="326" t="s">
        <v>18328</v>
      </c>
      <c r="W149" s="327" t="s">
        <v>18229</v>
      </c>
      <c r="X149" s="328">
        <v>409.6</v>
      </c>
      <c r="Y149" s="1">
        <f t="shared" si="31"/>
        <v>278.52799999999996</v>
      </c>
    </row>
    <row r="150" spans="22:25" x14ac:dyDescent="0.2">
      <c r="V150" s="326" t="s">
        <v>18329</v>
      </c>
      <c r="W150" s="327" t="s">
        <v>18229</v>
      </c>
      <c r="X150" s="328">
        <v>518.4</v>
      </c>
      <c r="Y150" s="1">
        <f t="shared" si="31"/>
        <v>352.51199999999994</v>
      </c>
    </row>
    <row r="151" spans="22:25" x14ac:dyDescent="0.2">
      <c r="V151" s="326">
        <v>4090</v>
      </c>
      <c r="W151" s="327" t="s">
        <v>18229</v>
      </c>
      <c r="X151" s="328">
        <v>940.8</v>
      </c>
      <c r="Y151" s="1">
        <f t="shared" si="31"/>
        <v>639.74399999999991</v>
      </c>
    </row>
    <row r="152" spans="22:25" x14ac:dyDescent="0.2">
      <c r="V152" s="326" t="s">
        <v>18330</v>
      </c>
      <c r="W152" s="327" t="s">
        <v>18229</v>
      </c>
      <c r="X152" s="328">
        <v>688</v>
      </c>
      <c r="Y152" s="1">
        <f t="shared" si="31"/>
        <v>467.84</v>
      </c>
    </row>
    <row r="153" spans="22:25" x14ac:dyDescent="0.2">
      <c r="V153" s="326" t="s">
        <v>18331</v>
      </c>
      <c r="W153" s="327" t="s">
        <v>18229</v>
      </c>
      <c r="X153" s="328">
        <v>894.4</v>
      </c>
      <c r="Y153" s="1">
        <f t="shared" si="31"/>
        <v>608.19199999999989</v>
      </c>
    </row>
    <row r="154" spans="22:25" x14ac:dyDescent="0.2">
      <c r="V154" s="326" t="s">
        <v>18332</v>
      </c>
      <c r="W154" s="327" t="s">
        <v>18229</v>
      </c>
      <c r="X154" s="328">
        <v>3030.4</v>
      </c>
      <c r="Y154" s="1">
        <f t="shared" si="31"/>
        <v>2060.672</v>
      </c>
    </row>
    <row r="155" spans="22:25" x14ac:dyDescent="0.2">
      <c r="V155" s="326" t="s">
        <v>18333</v>
      </c>
      <c r="W155" s="327" t="s">
        <v>18229</v>
      </c>
      <c r="X155" s="328">
        <v>3788.8</v>
      </c>
      <c r="Y155" s="1">
        <f t="shared" si="31"/>
        <v>2576.384</v>
      </c>
    </row>
    <row r="156" spans="22:25" x14ac:dyDescent="0.2">
      <c r="V156" s="326" t="s">
        <v>18334</v>
      </c>
      <c r="W156" s="327" t="s">
        <v>18229</v>
      </c>
      <c r="X156" s="328">
        <v>3030.4</v>
      </c>
      <c r="Y156" s="1">
        <f t="shared" si="31"/>
        <v>2060.672</v>
      </c>
    </row>
    <row r="157" spans="22:25" x14ac:dyDescent="0.2">
      <c r="V157" s="326" t="s">
        <v>18335</v>
      </c>
      <c r="W157" s="327" t="s">
        <v>18229</v>
      </c>
      <c r="X157" s="328">
        <v>3788.8</v>
      </c>
      <c r="Y157" s="1">
        <f t="shared" si="31"/>
        <v>2576.384</v>
      </c>
    </row>
    <row r="158" spans="22:25" x14ac:dyDescent="0.2">
      <c r="V158" s="326" t="s">
        <v>18336</v>
      </c>
      <c r="W158" s="327" t="s">
        <v>18229</v>
      </c>
      <c r="X158" s="328">
        <v>1510.4</v>
      </c>
      <c r="Y158" s="1">
        <f t="shared" si="31"/>
        <v>1027.0719999999999</v>
      </c>
    </row>
    <row r="159" spans="22:25" x14ac:dyDescent="0.2">
      <c r="V159" s="326" t="s">
        <v>18337</v>
      </c>
      <c r="W159" s="327" t="s">
        <v>18229</v>
      </c>
      <c r="X159" s="328">
        <v>1993.6</v>
      </c>
      <c r="Y159" s="1">
        <f t="shared" si="31"/>
        <v>1355.6479999999999</v>
      </c>
    </row>
    <row r="160" spans="22:25" x14ac:dyDescent="0.2">
      <c r="V160" s="326" t="s">
        <v>18338</v>
      </c>
      <c r="W160" s="327" t="s">
        <v>18229</v>
      </c>
      <c r="X160" s="328">
        <v>1820.8</v>
      </c>
      <c r="Y160" s="1">
        <f t="shared" si="31"/>
        <v>1238.1439999999998</v>
      </c>
    </row>
    <row r="161" spans="22:25" x14ac:dyDescent="0.2">
      <c r="V161" s="326" t="s">
        <v>18339</v>
      </c>
      <c r="W161" s="327" t="s">
        <v>18229</v>
      </c>
      <c r="X161" s="328">
        <v>2374.4</v>
      </c>
      <c r="Y161" s="1">
        <f t="shared" si="31"/>
        <v>1614.5919999999999</v>
      </c>
    </row>
    <row r="162" spans="22:25" x14ac:dyDescent="0.2">
      <c r="V162" s="326">
        <v>4096</v>
      </c>
      <c r="W162" s="327" t="s">
        <v>18229</v>
      </c>
      <c r="X162" s="328">
        <v>2022.4</v>
      </c>
      <c r="Y162" s="1">
        <f t="shared" si="31"/>
        <v>1375.232</v>
      </c>
    </row>
    <row r="163" spans="22:25" x14ac:dyDescent="0.2">
      <c r="V163" s="326">
        <v>4097</v>
      </c>
      <c r="W163" s="327" t="s">
        <v>18229</v>
      </c>
      <c r="X163" s="328">
        <v>2502.4</v>
      </c>
      <c r="Y163" s="1">
        <f t="shared" si="31"/>
        <v>1701.6319999999998</v>
      </c>
    </row>
    <row r="164" spans="22:25" x14ac:dyDescent="0.2">
      <c r="V164" s="326" t="s">
        <v>18340</v>
      </c>
      <c r="W164" s="327" t="s">
        <v>18229</v>
      </c>
      <c r="X164" s="328">
        <v>3078.4</v>
      </c>
      <c r="Y164" s="1">
        <f t="shared" si="31"/>
        <v>2093.3119999999999</v>
      </c>
    </row>
    <row r="165" spans="22:25" x14ac:dyDescent="0.2">
      <c r="V165" s="333" t="s">
        <v>18341</v>
      </c>
      <c r="W165" s="334" t="s">
        <v>18229</v>
      </c>
      <c r="X165" s="328">
        <v>840</v>
      </c>
      <c r="Y165" s="1">
        <f t="shared" si="31"/>
        <v>571.19999999999993</v>
      </c>
    </row>
    <row r="166" spans="22:25" x14ac:dyDescent="0.2">
      <c r="V166" s="326" t="s">
        <v>18342</v>
      </c>
      <c r="W166" s="327" t="s">
        <v>18229</v>
      </c>
      <c r="X166" s="328">
        <v>1080</v>
      </c>
      <c r="Y166" s="1">
        <f t="shared" si="31"/>
        <v>734.4</v>
      </c>
    </row>
    <row r="167" spans="22:25" x14ac:dyDescent="0.2">
      <c r="V167" s="340" t="s">
        <v>18343</v>
      </c>
      <c r="W167" s="334" t="s">
        <v>18229</v>
      </c>
      <c r="X167" s="328">
        <v>1286.4000000000001</v>
      </c>
      <c r="Y167" s="1">
        <f t="shared" si="31"/>
        <v>874.75199999999995</v>
      </c>
    </row>
    <row r="168" spans="22:25" x14ac:dyDescent="0.2">
      <c r="V168" s="326"/>
      <c r="W168" s="327"/>
      <c r="X168" s="328">
        <v>0</v>
      </c>
      <c r="Y168" s="1">
        <f t="shared" si="31"/>
        <v>0</v>
      </c>
    </row>
    <row r="169" spans="22:25" x14ac:dyDescent="0.2">
      <c r="V169" s="326"/>
      <c r="W169" s="327"/>
      <c r="X169" s="328">
        <v>0</v>
      </c>
      <c r="Y169" s="1">
        <f t="shared" si="31"/>
        <v>0</v>
      </c>
    </row>
    <row r="170" spans="22:25" x14ac:dyDescent="0.2">
      <c r="V170" s="326">
        <v>6004</v>
      </c>
      <c r="W170" s="326" t="s">
        <v>18318</v>
      </c>
      <c r="X170" s="328">
        <v>5240</v>
      </c>
      <c r="Y170" s="1">
        <f t="shared" si="31"/>
        <v>3563.2</v>
      </c>
    </row>
    <row r="171" spans="22:25" x14ac:dyDescent="0.2">
      <c r="V171" s="326" t="s">
        <v>18344</v>
      </c>
      <c r="W171" s="327" t="s">
        <v>18229</v>
      </c>
      <c r="X171" s="328">
        <v>409.6</v>
      </c>
      <c r="Y171" s="1">
        <f t="shared" si="31"/>
        <v>278.52799999999996</v>
      </c>
    </row>
    <row r="172" spans="22:25" x14ac:dyDescent="0.2">
      <c r="V172" s="326" t="s">
        <v>18345</v>
      </c>
      <c r="W172" s="327" t="s">
        <v>18229</v>
      </c>
      <c r="X172" s="328">
        <v>534.4</v>
      </c>
      <c r="Y172" s="1">
        <f t="shared" si="31"/>
        <v>363.39199999999994</v>
      </c>
    </row>
    <row r="173" spans="22:25" x14ac:dyDescent="0.2">
      <c r="V173" s="326">
        <v>6006</v>
      </c>
      <c r="W173" s="327" t="s">
        <v>18229</v>
      </c>
      <c r="X173" s="328">
        <v>12800</v>
      </c>
      <c r="Y173" s="1">
        <f t="shared" si="31"/>
        <v>8704</v>
      </c>
    </row>
    <row r="174" spans="22:25" x14ac:dyDescent="0.2">
      <c r="V174" s="326">
        <v>6007</v>
      </c>
      <c r="W174" s="327" t="s">
        <v>18229</v>
      </c>
      <c r="X174" s="328">
        <v>1768</v>
      </c>
      <c r="Y174" s="1">
        <f t="shared" si="31"/>
        <v>1202.2399999999998</v>
      </c>
    </row>
    <row r="175" spans="22:25" x14ac:dyDescent="0.2">
      <c r="V175" s="326">
        <v>6008</v>
      </c>
      <c r="W175" s="326" t="s">
        <v>18318</v>
      </c>
      <c r="X175" s="328">
        <v>4198.3999999999996</v>
      </c>
      <c r="Y175" s="1">
        <f t="shared" si="31"/>
        <v>2854.9119999999994</v>
      </c>
    </row>
    <row r="176" spans="22:25" x14ac:dyDescent="0.2">
      <c r="V176" s="335">
        <v>6009</v>
      </c>
      <c r="W176" s="331" t="s">
        <v>18318</v>
      </c>
      <c r="X176" s="328">
        <v>7968</v>
      </c>
      <c r="Y176" s="1">
        <f t="shared" si="31"/>
        <v>5418.24</v>
      </c>
    </row>
    <row r="177" spans="22:25" x14ac:dyDescent="0.2">
      <c r="V177" s="335">
        <v>6010</v>
      </c>
      <c r="W177" s="331" t="s">
        <v>18318</v>
      </c>
      <c r="X177" s="328">
        <v>4761.6000000000004</v>
      </c>
      <c r="Y177" s="1">
        <f t="shared" si="31"/>
        <v>3237.8879999999999</v>
      </c>
    </row>
    <row r="178" spans="22:25" x14ac:dyDescent="0.2">
      <c r="V178" s="335">
        <v>6011</v>
      </c>
      <c r="W178" s="341" t="s">
        <v>18229</v>
      </c>
      <c r="X178" s="328">
        <v>7043.2</v>
      </c>
      <c r="Y178" s="1">
        <f t="shared" si="31"/>
        <v>4789.3759999999993</v>
      </c>
    </row>
    <row r="179" spans="22:25" x14ac:dyDescent="0.2">
      <c r="V179" s="326" t="s">
        <v>18346</v>
      </c>
      <c r="W179" s="327" t="s">
        <v>18229</v>
      </c>
      <c r="X179" s="328">
        <v>275.2</v>
      </c>
      <c r="Y179" s="1">
        <f t="shared" si="31"/>
        <v>187.13599999999997</v>
      </c>
    </row>
    <row r="180" spans="22:25" x14ac:dyDescent="0.2">
      <c r="V180" s="326" t="s">
        <v>18347</v>
      </c>
      <c r="W180" s="327" t="s">
        <v>18229</v>
      </c>
      <c r="X180" s="328">
        <v>460.8</v>
      </c>
      <c r="Y180" s="1">
        <f t="shared" si="31"/>
        <v>313.34399999999999</v>
      </c>
    </row>
    <row r="181" spans="22:25" x14ac:dyDescent="0.2">
      <c r="V181" s="326">
        <v>6022</v>
      </c>
      <c r="W181" s="327" t="s">
        <v>18229</v>
      </c>
      <c r="X181" s="328">
        <v>0</v>
      </c>
      <c r="Y181" s="1">
        <f t="shared" si="31"/>
        <v>0</v>
      </c>
    </row>
    <row r="182" spans="22:25" x14ac:dyDescent="0.2">
      <c r="V182" s="326" t="s">
        <v>18348</v>
      </c>
      <c r="W182" s="327" t="s">
        <v>18229</v>
      </c>
      <c r="X182" s="328">
        <v>905.6</v>
      </c>
      <c r="Y182" s="1">
        <f t="shared" si="31"/>
        <v>615.80799999999999</v>
      </c>
    </row>
    <row r="183" spans="22:25" x14ac:dyDescent="0.2">
      <c r="V183" s="326" t="s">
        <v>18349</v>
      </c>
      <c r="W183" s="327" t="s">
        <v>18229</v>
      </c>
      <c r="X183" s="328">
        <v>0</v>
      </c>
      <c r="Y183" s="1">
        <f t="shared" si="31"/>
        <v>0</v>
      </c>
    </row>
    <row r="184" spans="22:25" x14ac:dyDescent="0.2">
      <c r="V184" s="326" t="s">
        <v>18350</v>
      </c>
      <c r="W184" s="327" t="s">
        <v>18229</v>
      </c>
      <c r="X184" s="328">
        <v>0</v>
      </c>
      <c r="Y184" s="1">
        <f t="shared" si="31"/>
        <v>0</v>
      </c>
    </row>
    <row r="185" spans="22:25" x14ac:dyDescent="0.2">
      <c r="V185" s="326" t="s">
        <v>18351</v>
      </c>
      <c r="W185" s="327" t="s">
        <v>18229</v>
      </c>
      <c r="X185" s="328">
        <v>931.2</v>
      </c>
      <c r="Y185" s="1">
        <f t="shared" si="31"/>
        <v>633.21600000000001</v>
      </c>
    </row>
    <row r="186" spans="22:25" x14ac:dyDescent="0.2">
      <c r="V186" s="326" t="s">
        <v>18352</v>
      </c>
      <c r="W186" s="327" t="s">
        <v>18229</v>
      </c>
      <c r="X186" s="328">
        <v>710.4</v>
      </c>
      <c r="Y186" s="1">
        <f t="shared" si="31"/>
        <v>483.07199999999995</v>
      </c>
    </row>
    <row r="187" spans="22:25" x14ac:dyDescent="0.2">
      <c r="V187" s="326" t="s">
        <v>18353</v>
      </c>
      <c r="W187" s="327" t="s">
        <v>18229</v>
      </c>
      <c r="X187" s="328">
        <v>931.2</v>
      </c>
      <c r="Y187" s="1">
        <f t="shared" si="31"/>
        <v>633.21600000000001</v>
      </c>
    </row>
    <row r="188" spans="22:25" x14ac:dyDescent="0.2">
      <c r="V188" s="326" t="s">
        <v>18354</v>
      </c>
      <c r="W188" s="327" t="s">
        <v>18229</v>
      </c>
      <c r="X188" s="328">
        <v>0</v>
      </c>
      <c r="Y188" s="1">
        <f t="shared" si="31"/>
        <v>0</v>
      </c>
    </row>
    <row r="189" spans="22:25" x14ac:dyDescent="0.2">
      <c r="V189" s="326" t="s">
        <v>18355</v>
      </c>
      <c r="W189" s="327" t="s">
        <v>18229</v>
      </c>
      <c r="X189" s="328">
        <v>0</v>
      </c>
      <c r="Y189" s="1">
        <f t="shared" si="31"/>
        <v>0</v>
      </c>
    </row>
    <row r="190" spans="22:25" x14ac:dyDescent="0.2">
      <c r="V190" s="326" t="s">
        <v>18356</v>
      </c>
      <c r="W190" s="327" t="s">
        <v>18229</v>
      </c>
      <c r="X190" s="328">
        <v>358.4</v>
      </c>
      <c r="Y190" s="1">
        <f t="shared" si="31"/>
        <v>243.71199999999996</v>
      </c>
    </row>
    <row r="191" spans="22:25" x14ac:dyDescent="0.2">
      <c r="V191" s="326" t="s">
        <v>18357</v>
      </c>
      <c r="W191" s="327" t="s">
        <v>18229</v>
      </c>
      <c r="X191" s="328">
        <v>502.4</v>
      </c>
      <c r="Y191" s="1">
        <f t="shared" si="31"/>
        <v>341.63199999999995</v>
      </c>
    </row>
    <row r="192" spans="22:25" x14ac:dyDescent="0.2">
      <c r="V192" s="326" t="s">
        <v>18358</v>
      </c>
      <c r="W192" s="327" t="s">
        <v>18229</v>
      </c>
      <c r="X192" s="328">
        <v>0</v>
      </c>
      <c r="Y192" s="1">
        <f t="shared" si="31"/>
        <v>0</v>
      </c>
    </row>
    <row r="193" spans="22:25" x14ac:dyDescent="0.2">
      <c r="V193" s="326" t="s">
        <v>18359</v>
      </c>
      <c r="W193" s="327" t="s">
        <v>18229</v>
      </c>
      <c r="X193" s="328">
        <v>0</v>
      </c>
      <c r="Y193" s="1">
        <f t="shared" si="31"/>
        <v>0</v>
      </c>
    </row>
    <row r="194" spans="22:25" x14ac:dyDescent="0.2">
      <c r="V194" s="326" t="s">
        <v>18360</v>
      </c>
      <c r="W194" s="327" t="s">
        <v>18229</v>
      </c>
      <c r="X194" s="328">
        <v>1331.2</v>
      </c>
      <c r="Y194" s="1">
        <f t="shared" si="31"/>
        <v>905.21599999999989</v>
      </c>
    </row>
    <row r="195" spans="22:25" x14ac:dyDescent="0.2">
      <c r="V195" s="326" t="s">
        <v>18361</v>
      </c>
      <c r="W195" s="327" t="s">
        <v>18229</v>
      </c>
      <c r="X195" s="328">
        <v>1664</v>
      </c>
      <c r="Y195" s="1">
        <f t="shared" ref="Y195:Y258" si="32">+(1-$AA$1)*X195</f>
        <v>1131.52</v>
      </c>
    </row>
    <row r="196" spans="22:25" x14ac:dyDescent="0.2">
      <c r="V196" s="326" t="s">
        <v>18362</v>
      </c>
      <c r="W196" s="327" t="s">
        <v>18229</v>
      </c>
      <c r="X196" s="328">
        <v>502.4</v>
      </c>
      <c r="Y196" s="1">
        <f t="shared" si="32"/>
        <v>341.63199999999995</v>
      </c>
    </row>
    <row r="197" spans="22:25" x14ac:dyDescent="0.2">
      <c r="V197" s="326" t="s">
        <v>18363</v>
      </c>
      <c r="W197" s="327" t="s">
        <v>18229</v>
      </c>
      <c r="X197" s="328">
        <v>660</v>
      </c>
      <c r="Y197" s="1">
        <f t="shared" si="32"/>
        <v>448.79999999999995</v>
      </c>
    </row>
    <row r="198" spans="22:25" x14ac:dyDescent="0.2">
      <c r="V198" s="326" t="s">
        <v>18364</v>
      </c>
      <c r="W198" s="327" t="s">
        <v>18229</v>
      </c>
      <c r="X198" s="328">
        <v>972.8</v>
      </c>
      <c r="Y198" s="1">
        <f t="shared" si="32"/>
        <v>661.50399999999991</v>
      </c>
    </row>
    <row r="199" spans="22:25" x14ac:dyDescent="0.2">
      <c r="V199" s="326" t="s">
        <v>18365</v>
      </c>
      <c r="W199" s="327" t="s">
        <v>18229</v>
      </c>
      <c r="X199" s="328">
        <v>1264</v>
      </c>
      <c r="Y199" s="1">
        <f t="shared" si="32"/>
        <v>859.51999999999987</v>
      </c>
    </row>
    <row r="200" spans="22:25" x14ac:dyDescent="0.2">
      <c r="V200" s="326" t="s">
        <v>18366</v>
      </c>
      <c r="W200" s="327" t="s">
        <v>18229</v>
      </c>
      <c r="X200" s="328">
        <v>716.8</v>
      </c>
      <c r="Y200" s="1">
        <f t="shared" si="32"/>
        <v>487.42399999999992</v>
      </c>
    </row>
    <row r="201" spans="22:25" x14ac:dyDescent="0.2">
      <c r="V201" s="326" t="s">
        <v>18367</v>
      </c>
      <c r="W201" s="327" t="s">
        <v>18229</v>
      </c>
      <c r="X201" s="328">
        <v>931.2</v>
      </c>
      <c r="Y201" s="1">
        <f t="shared" si="32"/>
        <v>633.21600000000001</v>
      </c>
    </row>
    <row r="202" spans="22:25" x14ac:dyDescent="0.2">
      <c r="V202" s="326" t="s">
        <v>18368</v>
      </c>
      <c r="W202" s="327" t="s">
        <v>18229</v>
      </c>
      <c r="X202" s="328">
        <v>1126.4000000000001</v>
      </c>
      <c r="Y202" s="1">
        <f t="shared" si="32"/>
        <v>765.952</v>
      </c>
    </row>
    <row r="203" spans="22:25" x14ac:dyDescent="0.2">
      <c r="V203" s="326" t="s">
        <v>18369</v>
      </c>
      <c r="W203" s="327" t="s">
        <v>18229</v>
      </c>
      <c r="X203" s="328">
        <v>1465.6</v>
      </c>
      <c r="Y203" s="1">
        <f t="shared" si="32"/>
        <v>996.60799999999983</v>
      </c>
    </row>
    <row r="204" spans="22:25" x14ac:dyDescent="0.2">
      <c r="V204" s="326" t="s">
        <v>18370</v>
      </c>
      <c r="W204" s="327" t="s">
        <v>18229</v>
      </c>
      <c r="X204" s="328">
        <v>440.32</v>
      </c>
      <c r="Y204" s="1">
        <f t="shared" si="32"/>
        <v>299.41759999999999</v>
      </c>
    </row>
    <row r="205" spans="22:25" x14ac:dyDescent="0.2">
      <c r="V205" s="326" t="s">
        <v>18371</v>
      </c>
      <c r="W205" s="327" t="s">
        <v>18229</v>
      </c>
      <c r="X205" s="328">
        <v>572.79999999999995</v>
      </c>
      <c r="Y205" s="1">
        <f t="shared" si="32"/>
        <v>389.50399999999991</v>
      </c>
    </row>
    <row r="206" spans="22:25" x14ac:dyDescent="0.2">
      <c r="V206" s="326" t="s">
        <v>18372</v>
      </c>
      <c r="W206" s="327" t="s">
        <v>18229</v>
      </c>
      <c r="X206" s="328">
        <v>0</v>
      </c>
      <c r="Y206" s="1">
        <f t="shared" si="32"/>
        <v>0</v>
      </c>
    </row>
    <row r="207" spans="22:25" x14ac:dyDescent="0.2">
      <c r="V207" s="326" t="s">
        <v>18373</v>
      </c>
      <c r="W207" s="327" t="s">
        <v>18229</v>
      </c>
      <c r="X207" s="328">
        <v>401.6</v>
      </c>
      <c r="Y207" s="1">
        <f t="shared" si="32"/>
        <v>273.08799999999997</v>
      </c>
    </row>
    <row r="208" spans="22:25" x14ac:dyDescent="0.2">
      <c r="V208" s="342" t="s">
        <v>18374</v>
      </c>
      <c r="W208" s="343" t="s">
        <v>18229</v>
      </c>
      <c r="X208" s="328">
        <v>790.4</v>
      </c>
      <c r="Y208" s="1">
        <f t="shared" si="32"/>
        <v>537.47199999999998</v>
      </c>
    </row>
    <row r="209" spans="22:25" x14ac:dyDescent="0.2">
      <c r="V209" s="344" t="s">
        <v>18375</v>
      </c>
      <c r="W209" s="345" t="s">
        <v>18229</v>
      </c>
      <c r="X209" s="328">
        <v>979.2</v>
      </c>
      <c r="Y209" s="1">
        <f t="shared" si="32"/>
        <v>665.85599999999999</v>
      </c>
    </row>
    <row r="210" spans="22:25" x14ac:dyDescent="0.2">
      <c r="V210" s="342" t="s">
        <v>18376</v>
      </c>
      <c r="W210" s="343" t="s">
        <v>18229</v>
      </c>
      <c r="X210" s="328">
        <v>1444</v>
      </c>
      <c r="Y210" s="1">
        <f t="shared" si="32"/>
        <v>981.92</v>
      </c>
    </row>
    <row r="211" spans="22:25" x14ac:dyDescent="0.2">
      <c r="V211" s="344" t="s">
        <v>18377</v>
      </c>
      <c r="W211" s="345" t="s">
        <v>18229</v>
      </c>
      <c r="X211" s="328">
        <v>1800</v>
      </c>
      <c r="Y211" s="1">
        <f t="shared" si="32"/>
        <v>1224</v>
      </c>
    </row>
    <row r="212" spans="22:25" x14ac:dyDescent="0.2">
      <c r="V212" s="331"/>
      <c r="W212" s="327"/>
      <c r="X212" s="328">
        <v>0</v>
      </c>
      <c r="Y212" s="1">
        <f t="shared" si="32"/>
        <v>0</v>
      </c>
    </row>
    <row r="213" spans="22:25" x14ac:dyDescent="0.2">
      <c r="V213" s="331"/>
      <c r="W213" s="327"/>
      <c r="X213" s="328">
        <v>0</v>
      </c>
      <c r="Y213" s="1">
        <f t="shared" si="32"/>
        <v>0</v>
      </c>
    </row>
    <row r="214" spans="22:25" x14ac:dyDescent="0.2">
      <c r="V214" s="326">
        <v>6500</v>
      </c>
      <c r="W214" s="326" t="s">
        <v>18318</v>
      </c>
      <c r="X214" s="328">
        <v>2304</v>
      </c>
      <c r="Y214" s="1">
        <f t="shared" si="32"/>
        <v>1566.7199999999998</v>
      </c>
    </row>
    <row r="215" spans="22:25" x14ac:dyDescent="0.2">
      <c r="V215" s="326">
        <v>6501</v>
      </c>
      <c r="W215" s="326" t="s">
        <v>18318</v>
      </c>
      <c r="X215" s="328">
        <v>2304</v>
      </c>
      <c r="Y215" s="1">
        <f t="shared" si="32"/>
        <v>1566.7199999999998</v>
      </c>
    </row>
    <row r="216" spans="22:25" x14ac:dyDescent="0.2">
      <c r="V216" s="326">
        <v>6502</v>
      </c>
      <c r="W216" s="326" t="s">
        <v>18318</v>
      </c>
      <c r="X216" s="328">
        <v>3379.2</v>
      </c>
      <c r="Y216" s="1">
        <f t="shared" si="32"/>
        <v>2297.8559999999998</v>
      </c>
    </row>
    <row r="217" spans="22:25" x14ac:dyDescent="0.2">
      <c r="V217" s="326">
        <v>6503</v>
      </c>
      <c r="W217" s="327" t="s">
        <v>18229</v>
      </c>
      <c r="X217" s="328">
        <v>1638.4</v>
      </c>
      <c r="Y217" s="1">
        <f t="shared" si="32"/>
        <v>1114.1119999999999</v>
      </c>
    </row>
    <row r="218" spans="22:25" x14ac:dyDescent="0.2">
      <c r="V218" s="333">
        <v>6504</v>
      </c>
      <c r="W218" s="334" t="s">
        <v>18229</v>
      </c>
      <c r="X218" s="328">
        <v>1768</v>
      </c>
      <c r="Y218" s="1">
        <f t="shared" si="32"/>
        <v>1202.2399999999998</v>
      </c>
    </row>
    <row r="219" spans="22:25" x14ac:dyDescent="0.2">
      <c r="V219" s="326">
        <v>6505</v>
      </c>
      <c r="W219" s="326" t="s">
        <v>18318</v>
      </c>
      <c r="X219" s="328">
        <v>2457.6</v>
      </c>
      <c r="Y219" s="1">
        <f t="shared" si="32"/>
        <v>1671.1679999999999</v>
      </c>
    </row>
    <row r="220" spans="22:25" x14ac:dyDescent="0.2">
      <c r="V220" s="333">
        <v>6506</v>
      </c>
      <c r="W220" s="334" t="s">
        <v>18229</v>
      </c>
      <c r="X220" s="328">
        <v>2501.1999999999998</v>
      </c>
      <c r="Y220" s="1">
        <f t="shared" si="32"/>
        <v>1700.8159999999998</v>
      </c>
    </row>
    <row r="221" spans="22:25" x14ac:dyDescent="0.2">
      <c r="V221" s="346"/>
      <c r="W221" s="346"/>
      <c r="X221" s="328">
        <v>0</v>
      </c>
      <c r="Y221" s="1">
        <f t="shared" si="32"/>
        <v>0</v>
      </c>
    </row>
    <row r="222" spans="22:25" x14ac:dyDescent="0.2">
      <c r="V222" s="346"/>
      <c r="W222" s="346"/>
      <c r="X222" s="328">
        <v>0</v>
      </c>
      <c r="Y222" s="1">
        <f t="shared" si="32"/>
        <v>0</v>
      </c>
    </row>
    <row r="223" spans="22:25" x14ac:dyDescent="0.2">
      <c r="V223" s="335" t="s">
        <v>18378</v>
      </c>
      <c r="W223" s="341" t="s">
        <v>18229</v>
      </c>
      <c r="X223" s="328">
        <v>8353.7327999999998</v>
      </c>
      <c r="Y223" s="1">
        <f t="shared" si="32"/>
        <v>5680.5383039999997</v>
      </c>
    </row>
    <row r="224" spans="22:25" x14ac:dyDescent="0.2">
      <c r="V224" s="335">
        <v>1023</v>
      </c>
      <c r="W224" s="341" t="s">
        <v>18229</v>
      </c>
      <c r="X224" s="328">
        <v>6819</v>
      </c>
      <c r="Y224" s="1">
        <f t="shared" si="32"/>
        <v>4636.9199999999992</v>
      </c>
    </row>
    <row r="225" spans="22:25" x14ac:dyDescent="0.2">
      <c r="V225" s="326" t="s">
        <v>18379</v>
      </c>
      <c r="W225" s="327" t="s">
        <v>18229</v>
      </c>
      <c r="X225" s="328">
        <v>8551.66</v>
      </c>
      <c r="Y225" s="1">
        <f t="shared" si="32"/>
        <v>5815.1287999999995</v>
      </c>
    </row>
    <row r="226" spans="22:25" x14ac:dyDescent="0.2">
      <c r="V226" s="326">
        <v>1024</v>
      </c>
      <c r="W226" s="327" t="s">
        <v>18229</v>
      </c>
      <c r="X226" s="328">
        <v>6500</v>
      </c>
      <c r="Y226" s="1">
        <f t="shared" si="32"/>
        <v>4420</v>
      </c>
    </row>
    <row r="227" spans="22:25" x14ac:dyDescent="0.2">
      <c r="V227" s="326">
        <v>1025</v>
      </c>
      <c r="W227" s="327" t="s">
        <v>18229</v>
      </c>
      <c r="X227" s="328">
        <v>3596.8</v>
      </c>
      <c r="Y227" s="1">
        <f t="shared" si="32"/>
        <v>2445.8240000000001</v>
      </c>
    </row>
    <row r="228" spans="22:25" x14ac:dyDescent="0.2">
      <c r="V228" s="335">
        <v>1026</v>
      </c>
      <c r="W228" s="327" t="s">
        <v>18229</v>
      </c>
      <c r="X228" s="328">
        <v>1792</v>
      </c>
      <c r="Y228" s="1">
        <f t="shared" si="32"/>
        <v>1218.56</v>
      </c>
    </row>
    <row r="229" spans="22:25" x14ac:dyDescent="0.2">
      <c r="V229" s="326">
        <v>1027</v>
      </c>
      <c r="W229" s="327" t="s">
        <v>18229</v>
      </c>
      <c r="X229" s="328">
        <v>3686.4</v>
      </c>
      <c r="Y229" s="1">
        <f t="shared" si="32"/>
        <v>2506.752</v>
      </c>
    </row>
    <row r="230" spans="22:25" x14ac:dyDescent="0.2">
      <c r="V230" s="326">
        <v>1028</v>
      </c>
      <c r="W230" s="327" t="s">
        <v>18229</v>
      </c>
      <c r="X230" s="328">
        <v>1894.4</v>
      </c>
      <c r="Y230" s="1">
        <f t="shared" si="32"/>
        <v>1288.192</v>
      </c>
    </row>
    <row r="231" spans="22:25" x14ac:dyDescent="0.2">
      <c r="V231" s="326">
        <v>1029</v>
      </c>
      <c r="W231" s="327" t="s">
        <v>18229</v>
      </c>
      <c r="X231" s="328">
        <v>3616</v>
      </c>
      <c r="Y231" s="1">
        <f t="shared" si="32"/>
        <v>2458.8799999999997</v>
      </c>
    </row>
    <row r="232" spans="22:25" x14ac:dyDescent="0.2">
      <c r="V232" s="326">
        <v>1030</v>
      </c>
      <c r="W232" s="327" t="s">
        <v>18229</v>
      </c>
      <c r="X232" s="328">
        <v>6802.6560000000009</v>
      </c>
      <c r="Y232" s="1">
        <f t="shared" si="32"/>
        <v>4625.8060800000003</v>
      </c>
    </row>
    <row r="233" spans="22:25" x14ac:dyDescent="0.2">
      <c r="V233" s="326" t="s">
        <v>18380</v>
      </c>
      <c r="W233" s="327" t="s">
        <v>18229</v>
      </c>
      <c r="X233" s="328">
        <v>8644.5544000000009</v>
      </c>
      <c r="Y233" s="1">
        <f t="shared" si="32"/>
        <v>5878.2969920000005</v>
      </c>
    </row>
    <row r="234" spans="22:25" x14ac:dyDescent="0.2">
      <c r="V234" s="326">
        <v>1031</v>
      </c>
      <c r="W234" s="327" t="s">
        <v>18229</v>
      </c>
      <c r="X234" s="328">
        <v>9972.4800000000014</v>
      </c>
      <c r="Y234" s="1">
        <f t="shared" si="32"/>
        <v>6781.2864</v>
      </c>
    </row>
    <row r="235" spans="22:25" x14ac:dyDescent="0.2">
      <c r="V235" s="326" t="s">
        <v>18381</v>
      </c>
      <c r="W235" s="327" t="s">
        <v>18229</v>
      </c>
      <c r="X235" s="328">
        <v>12040.328</v>
      </c>
      <c r="Y235" s="1">
        <f t="shared" si="32"/>
        <v>8187.4230399999988</v>
      </c>
    </row>
    <row r="236" spans="22:25" x14ac:dyDescent="0.2">
      <c r="V236" s="326">
        <v>1032</v>
      </c>
      <c r="W236" s="327" t="s">
        <v>18229</v>
      </c>
      <c r="X236" s="328">
        <v>10333.982400000001</v>
      </c>
      <c r="Y236" s="1">
        <f t="shared" si="32"/>
        <v>7027.1080320000001</v>
      </c>
    </row>
    <row r="237" spans="22:25" x14ac:dyDescent="0.2">
      <c r="V237" s="326" t="s">
        <v>18382</v>
      </c>
      <c r="W237" s="327" t="s">
        <v>18229</v>
      </c>
      <c r="X237" s="328">
        <v>12401.830400000001</v>
      </c>
      <c r="Y237" s="1">
        <f t="shared" si="32"/>
        <v>8433.2446719999989</v>
      </c>
    </row>
    <row r="238" spans="22:25" x14ac:dyDescent="0.2">
      <c r="V238" s="326">
        <v>1033</v>
      </c>
      <c r="W238" s="327" t="s">
        <v>18229</v>
      </c>
      <c r="X238" s="328">
        <v>10584</v>
      </c>
      <c r="Y238" s="1">
        <f t="shared" si="32"/>
        <v>7197.119999999999</v>
      </c>
    </row>
    <row r="239" spans="22:25" x14ac:dyDescent="0.2">
      <c r="V239" s="326">
        <v>1034</v>
      </c>
      <c r="W239" s="327" t="s">
        <v>18229</v>
      </c>
      <c r="X239" s="328">
        <v>16536</v>
      </c>
      <c r="Y239" s="1">
        <f t="shared" si="32"/>
        <v>11244.48</v>
      </c>
    </row>
    <row r="240" spans="22:25" x14ac:dyDescent="0.2">
      <c r="V240" s="326" t="s">
        <v>18383</v>
      </c>
      <c r="W240" s="327" t="s">
        <v>18229</v>
      </c>
      <c r="X240" s="328">
        <v>20140</v>
      </c>
      <c r="Y240" s="1">
        <f t="shared" si="32"/>
        <v>13695.199999999999</v>
      </c>
    </row>
    <row r="241" spans="22:25" x14ac:dyDescent="0.2">
      <c r="V241" s="326">
        <v>1035</v>
      </c>
      <c r="W241" s="327" t="s">
        <v>18229</v>
      </c>
      <c r="X241" s="328">
        <v>6088</v>
      </c>
      <c r="Y241" s="1">
        <f t="shared" si="32"/>
        <v>4139.8399999999992</v>
      </c>
    </row>
    <row r="242" spans="22:25" x14ac:dyDescent="0.2">
      <c r="V242" s="326">
        <v>1036</v>
      </c>
      <c r="W242" s="327" t="s">
        <v>18229</v>
      </c>
      <c r="X242" s="328">
        <v>8268</v>
      </c>
      <c r="Y242" s="1">
        <f t="shared" si="32"/>
        <v>5622.24</v>
      </c>
    </row>
    <row r="243" spans="22:25" x14ac:dyDescent="0.2">
      <c r="V243" s="326" t="s">
        <v>18384</v>
      </c>
      <c r="W243" s="327" t="s">
        <v>18229</v>
      </c>
      <c r="X243" s="328">
        <v>10109.8984</v>
      </c>
      <c r="Y243" s="1">
        <f t="shared" si="32"/>
        <v>6874.7309119999991</v>
      </c>
    </row>
    <row r="244" spans="22:25" x14ac:dyDescent="0.2">
      <c r="V244" s="326">
        <v>1037</v>
      </c>
      <c r="W244" s="327" t="s">
        <v>18229</v>
      </c>
      <c r="X244" s="328">
        <v>2279.4240000000004</v>
      </c>
      <c r="Y244" s="1">
        <f t="shared" si="32"/>
        <v>1550.0083200000001</v>
      </c>
    </row>
    <row r="245" spans="22:25" x14ac:dyDescent="0.2">
      <c r="V245" s="326">
        <v>1038</v>
      </c>
      <c r="W245" s="327" t="s">
        <v>18229</v>
      </c>
      <c r="X245" s="328">
        <v>1729.1568</v>
      </c>
      <c r="Y245" s="1">
        <f t="shared" si="32"/>
        <v>1175.8266239999998</v>
      </c>
    </row>
    <row r="246" spans="22:25" x14ac:dyDescent="0.2">
      <c r="V246" s="326" t="s">
        <v>18385</v>
      </c>
      <c r="W246" s="327" t="s">
        <v>18229</v>
      </c>
      <c r="X246" s="328">
        <v>1841.8984000000003</v>
      </c>
      <c r="Y246" s="1">
        <f t="shared" si="32"/>
        <v>1252.490912</v>
      </c>
    </row>
    <row r="247" spans="22:25" x14ac:dyDescent="0.2">
      <c r="V247" s="326" t="s">
        <v>18386</v>
      </c>
      <c r="W247" s="327" t="s">
        <v>18229</v>
      </c>
      <c r="X247" s="328">
        <v>2067.848</v>
      </c>
      <c r="Y247" s="1">
        <f t="shared" si="32"/>
        <v>1406.1366399999999</v>
      </c>
    </row>
    <row r="248" spans="22:25" x14ac:dyDescent="0.2">
      <c r="V248" s="326" t="s">
        <v>18387</v>
      </c>
      <c r="W248" s="327" t="s">
        <v>18229</v>
      </c>
      <c r="X248" s="328">
        <v>3604</v>
      </c>
      <c r="Y248" s="1">
        <f t="shared" si="32"/>
        <v>2450.7199999999998</v>
      </c>
    </row>
    <row r="249" spans="22:25" x14ac:dyDescent="0.2">
      <c r="V249" s="331" t="s">
        <v>18388</v>
      </c>
      <c r="W249" s="327" t="s">
        <v>18229</v>
      </c>
      <c r="X249" s="328">
        <v>1989.4928000000002</v>
      </c>
      <c r="Y249" s="1">
        <f t="shared" si="32"/>
        <v>1352.855104</v>
      </c>
    </row>
    <row r="250" spans="22:25" x14ac:dyDescent="0.2">
      <c r="V250" s="331" t="s">
        <v>18389</v>
      </c>
      <c r="W250" s="327" t="s">
        <v>18229</v>
      </c>
      <c r="X250" s="328">
        <v>2211.7536</v>
      </c>
      <c r="Y250" s="1">
        <f t="shared" si="32"/>
        <v>1503.992448</v>
      </c>
    </row>
    <row r="251" spans="22:25" x14ac:dyDescent="0.2">
      <c r="V251" s="331" t="s">
        <v>18390</v>
      </c>
      <c r="W251" s="327" t="s">
        <v>18229</v>
      </c>
      <c r="X251" s="328">
        <v>2512.7088000000003</v>
      </c>
      <c r="Y251" s="1">
        <f t="shared" si="32"/>
        <v>1708.6419840000001</v>
      </c>
    </row>
    <row r="252" spans="22:25" x14ac:dyDescent="0.2">
      <c r="V252" s="326" t="s">
        <v>18391</v>
      </c>
      <c r="W252" s="327" t="s">
        <v>18229</v>
      </c>
      <c r="X252" s="328">
        <v>3178.7280000000005</v>
      </c>
      <c r="Y252" s="1">
        <f t="shared" si="32"/>
        <v>2161.5350400000002</v>
      </c>
    </row>
    <row r="253" spans="22:25" x14ac:dyDescent="0.2">
      <c r="V253" s="326">
        <v>1039</v>
      </c>
      <c r="W253" s="327" t="s">
        <v>18229</v>
      </c>
      <c r="X253" s="328">
        <v>5422.536000000001</v>
      </c>
      <c r="Y253" s="1">
        <f t="shared" si="32"/>
        <v>3687.3244800000002</v>
      </c>
    </row>
    <row r="254" spans="22:25" x14ac:dyDescent="0.2">
      <c r="V254" s="326" t="s">
        <v>18392</v>
      </c>
      <c r="W254" s="327" t="s">
        <v>18229</v>
      </c>
      <c r="X254" s="328">
        <v>7634.2896000000001</v>
      </c>
      <c r="Y254" s="1">
        <f t="shared" si="32"/>
        <v>5191.3169279999993</v>
      </c>
    </row>
    <row r="255" spans="22:25" x14ac:dyDescent="0.2">
      <c r="V255" s="326">
        <v>1040</v>
      </c>
      <c r="W255" s="327" t="s">
        <v>18229</v>
      </c>
      <c r="X255" s="328">
        <v>9676.7999999999993</v>
      </c>
      <c r="Y255" s="1">
        <f t="shared" si="32"/>
        <v>6580.2239999999993</v>
      </c>
    </row>
    <row r="256" spans="22:25" x14ac:dyDescent="0.2">
      <c r="V256" s="326">
        <v>1041</v>
      </c>
      <c r="W256" s="327" t="s">
        <v>18229</v>
      </c>
      <c r="X256" s="328">
        <v>6083.2</v>
      </c>
      <c r="Y256" s="1">
        <f t="shared" si="32"/>
        <v>4136.5759999999991</v>
      </c>
    </row>
    <row r="257" spans="22:25" x14ac:dyDescent="0.2">
      <c r="V257" s="326">
        <v>1042</v>
      </c>
      <c r="W257" s="327" t="s">
        <v>18229</v>
      </c>
      <c r="X257" s="328">
        <v>9434</v>
      </c>
      <c r="Y257" s="1">
        <f t="shared" si="32"/>
        <v>6415.119999999999</v>
      </c>
    </row>
    <row r="258" spans="22:25" x14ac:dyDescent="0.2">
      <c r="V258" s="326" t="s">
        <v>18393</v>
      </c>
      <c r="W258" s="327" t="s">
        <v>18229</v>
      </c>
      <c r="X258" s="328">
        <v>12571.6</v>
      </c>
      <c r="Y258" s="1">
        <f t="shared" si="32"/>
        <v>8548.6880000000001</v>
      </c>
    </row>
    <row r="259" spans="22:25" x14ac:dyDescent="0.2">
      <c r="V259" s="326">
        <v>1043</v>
      </c>
      <c r="W259" s="327" t="s">
        <v>18229</v>
      </c>
      <c r="X259" s="328">
        <v>4588.8</v>
      </c>
      <c r="Y259" s="1">
        <f t="shared" ref="Y259:Y322" si="33">+(1-$AA$1)*X259</f>
        <v>3120.384</v>
      </c>
    </row>
    <row r="260" spans="22:25" x14ac:dyDescent="0.2">
      <c r="V260" s="326" t="s">
        <v>18394</v>
      </c>
      <c r="W260" s="327" t="s">
        <v>18229</v>
      </c>
      <c r="X260" s="328">
        <v>1120</v>
      </c>
      <c r="Y260" s="1">
        <f t="shared" si="33"/>
        <v>761.59999999999991</v>
      </c>
    </row>
    <row r="261" spans="22:25" x14ac:dyDescent="0.2">
      <c r="V261" s="326" t="s">
        <v>18395</v>
      </c>
      <c r="W261" s="327" t="s">
        <v>18229</v>
      </c>
      <c r="X261" s="328">
        <v>2592</v>
      </c>
      <c r="Y261" s="1">
        <f t="shared" si="33"/>
        <v>1762.56</v>
      </c>
    </row>
    <row r="262" spans="22:25" x14ac:dyDescent="0.2">
      <c r="V262" s="326">
        <v>1044</v>
      </c>
      <c r="W262" s="327" t="s">
        <v>18229</v>
      </c>
      <c r="X262" s="328">
        <v>4403.2</v>
      </c>
      <c r="Y262" s="1">
        <f t="shared" si="33"/>
        <v>2994.1759999999995</v>
      </c>
    </row>
    <row r="263" spans="22:25" x14ac:dyDescent="0.2">
      <c r="V263" s="326">
        <v>1045</v>
      </c>
      <c r="W263" s="327" t="s">
        <v>18229</v>
      </c>
      <c r="X263" s="328">
        <v>12041.6</v>
      </c>
      <c r="Y263" s="1">
        <f t="shared" si="33"/>
        <v>8188.2879999999996</v>
      </c>
    </row>
    <row r="264" spans="22:25" x14ac:dyDescent="0.2">
      <c r="V264" s="326">
        <v>1046</v>
      </c>
      <c r="W264" s="327" t="s">
        <v>18229</v>
      </c>
      <c r="X264" s="328">
        <v>11120</v>
      </c>
      <c r="Y264" s="1">
        <f t="shared" si="33"/>
        <v>7561.5999999999995</v>
      </c>
    </row>
    <row r="265" spans="22:25" x14ac:dyDescent="0.2">
      <c r="V265" s="326">
        <v>1047</v>
      </c>
      <c r="W265" s="327" t="s">
        <v>18396</v>
      </c>
      <c r="X265" s="328">
        <v>7372.8</v>
      </c>
      <c r="Y265" s="1">
        <f t="shared" si="33"/>
        <v>5013.5039999999999</v>
      </c>
    </row>
    <row r="266" spans="22:25" x14ac:dyDescent="0.2">
      <c r="V266" s="326">
        <v>1048</v>
      </c>
      <c r="W266" s="327" t="s">
        <v>18229</v>
      </c>
      <c r="X266" s="328">
        <v>1088</v>
      </c>
      <c r="Y266" s="1">
        <f t="shared" si="33"/>
        <v>739.83999999999992</v>
      </c>
    </row>
    <row r="267" spans="22:25" x14ac:dyDescent="0.2">
      <c r="V267" s="326">
        <v>1049</v>
      </c>
      <c r="W267" s="327" t="s">
        <v>18229</v>
      </c>
      <c r="X267" s="328">
        <v>1056</v>
      </c>
      <c r="Y267" s="1">
        <f t="shared" si="33"/>
        <v>718.07999999999993</v>
      </c>
    </row>
    <row r="268" spans="22:25" x14ac:dyDescent="0.2">
      <c r="V268" s="326">
        <v>1050</v>
      </c>
      <c r="W268" s="327" t="s">
        <v>18229</v>
      </c>
      <c r="X268" s="328">
        <v>1587.2</v>
      </c>
      <c r="Y268" s="1">
        <f t="shared" si="33"/>
        <v>1079.2959999999998</v>
      </c>
    </row>
    <row r="269" spans="22:25" x14ac:dyDescent="0.2">
      <c r="V269" s="326">
        <v>1051</v>
      </c>
      <c r="W269" s="327" t="s">
        <v>18229</v>
      </c>
      <c r="X269" s="328">
        <v>21191.52</v>
      </c>
      <c r="Y269" s="1">
        <f t="shared" si="33"/>
        <v>14410.2336</v>
      </c>
    </row>
    <row r="270" spans="22:25" x14ac:dyDescent="0.2">
      <c r="V270" s="326">
        <v>1052</v>
      </c>
      <c r="W270" s="332" t="s">
        <v>18229</v>
      </c>
      <c r="X270" s="328">
        <v>11966.976000000001</v>
      </c>
      <c r="Y270" s="1">
        <f t="shared" si="33"/>
        <v>8137.5436799999998</v>
      </c>
    </row>
    <row r="271" spans="22:25" x14ac:dyDescent="0.2">
      <c r="V271" s="326" t="s">
        <v>18397</v>
      </c>
      <c r="W271" s="332" t="s">
        <v>18229</v>
      </c>
      <c r="X271" s="328">
        <v>17437.593600000004</v>
      </c>
      <c r="Y271" s="1">
        <f t="shared" si="33"/>
        <v>11857.563648000001</v>
      </c>
    </row>
    <row r="272" spans="22:25" x14ac:dyDescent="0.2">
      <c r="V272" s="326">
        <v>1054</v>
      </c>
      <c r="W272" s="327" t="s">
        <v>18229</v>
      </c>
      <c r="X272" s="328">
        <v>9516.5951999999997</v>
      </c>
      <c r="Y272" s="1">
        <f t="shared" si="33"/>
        <v>6471.2847359999996</v>
      </c>
    </row>
    <row r="273" spans="22:25" x14ac:dyDescent="0.2">
      <c r="V273" s="326">
        <v>1055</v>
      </c>
      <c r="W273" s="327" t="s">
        <v>18229</v>
      </c>
      <c r="X273" s="328">
        <v>9976.0416000000005</v>
      </c>
      <c r="Y273" s="1">
        <f t="shared" si="33"/>
        <v>6783.7082879999998</v>
      </c>
    </row>
    <row r="274" spans="22:25" x14ac:dyDescent="0.2">
      <c r="V274" s="326" t="s">
        <v>18398</v>
      </c>
      <c r="W274" s="327" t="s">
        <v>18229</v>
      </c>
      <c r="X274" s="328">
        <v>12488.750400000001</v>
      </c>
      <c r="Y274" s="1">
        <f t="shared" si="33"/>
        <v>8492.3502719999997</v>
      </c>
    </row>
    <row r="275" spans="22:25" x14ac:dyDescent="0.2">
      <c r="V275" s="326">
        <v>1056</v>
      </c>
      <c r="W275" s="327" t="s">
        <v>18229</v>
      </c>
      <c r="X275" s="328">
        <v>937.6</v>
      </c>
      <c r="Y275" s="1">
        <f t="shared" si="33"/>
        <v>637.56799999999998</v>
      </c>
    </row>
    <row r="276" spans="22:25" x14ac:dyDescent="0.2">
      <c r="V276" s="326">
        <v>1057</v>
      </c>
      <c r="W276" s="327" t="s">
        <v>18229</v>
      </c>
      <c r="X276" s="328">
        <v>12207.384</v>
      </c>
      <c r="Y276" s="1">
        <f t="shared" si="33"/>
        <v>8301.0211199999994</v>
      </c>
    </row>
    <row r="277" spans="22:25" x14ac:dyDescent="0.2">
      <c r="V277" s="326"/>
      <c r="W277" s="327"/>
      <c r="X277" s="328">
        <v>0</v>
      </c>
      <c r="Y277" s="1">
        <f t="shared" si="33"/>
        <v>0</v>
      </c>
    </row>
    <row r="278" spans="22:25" x14ac:dyDescent="0.2">
      <c r="V278" s="326"/>
      <c r="W278" s="327"/>
      <c r="X278" s="328">
        <v>0</v>
      </c>
      <c r="Y278" s="1">
        <f t="shared" si="33"/>
        <v>0</v>
      </c>
    </row>
    <row r="279" spans="22:25" x14ac:dyDescent="0.2">
      <c r="V279" s="335" t="s">
        <v>18399</v>
      </c>
      <c r="W279" s="327" t="s">
        <v>18229</v>
      </c>
      <c r="X279" s="328">
        <v>24414.768</v>
      </c>
      <c r="Y279" s="1">
        <f t="shared" si="33"/>
        <v>16602.042239999999</v>
      </c>
    </row>
    <row r="280" spans="22:25" x14ac:dyDescent="0.2">
      <c r="V280" s="340" t="s">
        <v>18400</v>
      </c>
      <c r="W280" s="334" t="s">
        <v>18229</v>
      </c>
      <c r="X280" s="328">
        <v>28838.2752</v>
      </c>
      <c r="Y280" s="1">
        <f t="shared" si="33"/>
        <v>19610.027135999997</v>
      </c>
    </row>
    <row r="281" spans="22:25" x14ac:dyDescent="0.2">
      <c r="V281" s="335" t="s">
        <v>18401</v>
      </c>
      <c r="W281" s="327" t="s">
        <v>18229</v>
      </c>
      <c r="X281" s="328">
        <v>156995.32800000001</v>
      </c>
      <c r="Y281" s="1">
        <f t="shared" si="33"/>
        <v>106756.82304</v>
      </c>
    </row>
    <row r="282" spans="22:25" x14ac:dyDescent="0.2">
      <c r="V282" s="340" t="s">
        <v>18402</v>
      </c>
      <c r="W282" s="334" t="s">
        <v>18229</v>
      </c>
      <c r="X282" s="328">
        <v>184644.02880000003</v>
      </c>
      <c r="Y282" s="1">
        <f t="shared" si="33"/>
        <v>125557.93958400001</v>
      </c>
    </row>
    <row r="283" spans="22:25" x14ac:dyDescent="0.2">
      <c r="V283" s="335">
        <v>1121</v>
      </c>
      <c r="W283" s="327" t="s">
        <v>18229</v>
      </c>
      <c r="X283" s="328">
        <v>142107.84</v>
      </c>
      <c r="Y283" s="1">
        <f t="shared" si="33"/>
        <v>96633.331199999986</v>
      </c>
    </row>
    <row r="284" spans="22:25" x14ac:dyDescent="0.2">
      <c r="V284" s="340" t="s">
        <v>18403</v>
      </c>
      <c r="W284" s="334" t="s">
        <v>18229</v>
      </c>
      <c r="X284" s="328">
        <v>154201.59200000003</v>
      </c>
      <c r="Y284" s="1">
        <f t="shared" si="33"/>
        <v>104857.08256000001</v>
      </c>
    </row>
    <row r="285" spans="22:25" x14ac:dyDescent="0.2">
      <c r="V285" s="331" t="s">
        <v>18404</v>
      </c>
      <c r="W285" s="327" t="s">
        <v>18229</v>
      </c>
      <c r="X285" s="328">
        <v>45944.639999999999</v>
      </c>
      <c r="Y285" s="1">
        <f t="shared" si="33"/>
        <v>31242.355199999998</v>
      </c>
    </row>
    <row r="286" spans="22:25" x14ac:dyDescent="0.2">
      <c r="V286" s="347" t="s">
        <v>18405</v>
      </c>
      <c r="W286" s="334" t="s">
        <v>18229</v>
      </c>
      <c r="X286" s="328">
        <v>49923.668000000005</v>
      </c>
      <c r="Y286" s="1">
        <f t="shared" si="33"/>
        <v>33948.094239999999</v>
      </c>
    </row>
    <row r="287" spans="22:25" x14ac:dyDescent="0.2">
      <c r="V287" s="331" t="s">
        <v>18406</v>
      </c>
      <c r="W287" s="327" t="s">
        <v>18229</v>
      </c>
      <c r="X287" s="328">
        <v>96163.200000000012</v>
      </c>
      <c r="Y287" s="1">
        <f t="shared" si="33"/>
        <v>65390.976000000002</v>
      </c>
    </row>
    <row r="288" spans="22:25" x14ac:dyDescent="0.2">
      <c r="V288" s="331" t="s">
        <v>18407</v>
      </c>
      <c r="W288" s="327" t="s">
        <v>18229</v>
      </c>
      <c r="X288" s="328">
        <v>104277.9664</v>
      </c>
      <c r="Y288" s="1">
        <f t="shared" si="33"/>
        <v>70909.017152</v>
      </c>
    </row>
    <row r="289" spans="22:25" x14ac:dyDescent="0.2">
      <c r="V289" s="335">
        <v>1122</v>
      </c>
      <c r="W289" s="327" t="s">
        <v>18229</v>
      </c>
      <c r="X289" s="328">
        <v>188052.48000000001</v>
      </c>
      <c r="Y289" s="1">
        <f t="shared" si="33"/>
        <v>127875.68639999999</v>
      </c>
    </row>
    <row r="290" spans="22:25" x14ac:dyDescent="0.2">
      <c r="V290" s="335" t="s">
        <v>18408</v>
      </c>
      <c r="W290" s="327" t="s">
        <v>18229</v>
      </c>
      <c r="X290" s="328">
        <v>204125.26</v>
      </c>
      <c r="Y290" s="1">
        <f t="shared" si="33"/>
        <v>138805.17679999999</v>
      </c>
    </row>
    <row r="291" spans="22:25" x14ac:dyDescent="0.2">
      <c r="V291" s="331" t="s">
        <v>18409</v>
      </c>
      <c r="W291" s="327" t="s">
        <v>18229</v>
      </c>
      <c r="X291" s="328">
        <v>91889.279999999999</v>
      </c>
      <c r="Y291" s="1">
        <f t="shared" si="33"/>
        <v>62484.710399999996</v>
      </c>
    </row>
    <row r="292" spans="22:25" x14ac:dyDescent="0.2">
      <c r="V292" s="331" t="s">
        <v>18410</v>
      </c>
      <c r="W292" s="327" t="s">
        <v>18229</v>
      </c>
      <c r="X292" s="328">
        <v>99847.33600000001</v>
      </c>
      <c r="Y292" s="1">
        <f t="shared" si="33"/>
        <v>67896.188479999997</v>
      </c>
    </row>
    <row r="293" spans="22:25" x14ac:dyDescent="0.2">
      <c r="V293" s="331" t="s">
        <v>18411</v>
      </c>
      <c r="W293" s="327" t="s">
        <v>18229</v>
      </c>
      <c r="X293" s="328">
        <v>96163.200000000012</v>
      </c>
      <c r="Y293" s="1">
        <f t="shared" si="33"/>
        <v>65390.976000000002</v>
      </c>
    </row>
    <row r="294" spans="22:25" x14ac:dyDescent="0.2">
      <c r="V294" s="331" t="s">
        <v>18412</v>
      </c>
      <c r="W294" s="327" t="s">
        <v>18229</v>
      </c>
      <c r="X294" s="328">
        <v>104277.9664</v>
      </c>
      <c r="Y294" s="1">
        <f t="shared" si="33"/>
        <v>70909.017152</v>
      </c>
    </row>
    <row r="295" spans="22:25" x14ac:dyDescent="0.2">
      <c r="V295" s="335">
        <v>1123</v>
      </c>
      <c r="W295" s="327" t="s">
        <v>18229</v>
      </c>
      <c r="X295" s="328">
        <v>54228.921600000001</v>
      </c>
      <c r="Y295" s="1">
        <f t="shared" si="33"/>
        <v>36875.666687999998</v>
      </c>
    </row>
    <row r="296" spans="22:25" x14ac:dyDescent="0.2">
      <c r="V296" s="335" t="s">
        <v>18413</v>
      </c>
      <c r="W296" s="327" t="s">
        <v>18229</v>
      </c>
      <c r="X296" s="328">
        <v>67738.070399999997</v>
      </c>
      <c r="Y296" s="1">
        <f t="shared" si="33"/>
        <v>46061.887871999992</v>
      </c>
    </row>
    <row r="297" spans="22:25" x14ac:dyDescent="0.2">
      <c r="V297" s="335" t="s">
        <v>18414</v>
      </c>
      <c r="W297" s="327" t="s">
        <v>18229</v>
      </c>
      <c r="X297" s="328">
        <v>13249.152000000002</v>
      </c>
      <c r="Y297" s="1">
        <f t="shared" si="33"/>
        <v>9009.4233600000007</v>
      </c>
    </row>
    <row r="298" spans="22:25" x14ac:dyDescent="0.2">
      <c r="V298" s="335" t="s">
        <v>18415</v>
      </c>
      <c r="W298" s="327" t="s">
        <v>18229</v>
      </c>
      <c r="X298" s="328">
        <v>16707.4656</v>
      </c>
      <c r="Y298" s="1">
        <f t="shared" si="33"/>
        <v>11361.076607999999</v>
      </c>
    </row>
    <row r="299" spans="22:25" x14ac:dyDescent="0.2">
      <c r="V299" s="335" t="s">
        <v>18416</v>
      </c>
      <c r="W299" s="327" t="s">
        <v>18229</v>
      </c>
      <c r="X299" s="328">
        <v>40979.769600000007</v>
      </c>
      <c r="Y299" s="1">
        <f t="shared" si="33"/>
        <v>27866.243328</v>
      </c>
    </row>
    <row r="300" spans="22:25" x14ac:dyDescent="0.2">
      <c r="V300" s="335" t="s">
        <v>18417</v>
      </c>
      <c r="W300" s="327" t="s">
        <v>18229</v>
      </c>
      <c r="X300" s="328">
        <v>51030.604800000001</v>
      </c>
      <c r="Y300" s="1">
        <f t="shared" si="33"/>
        <v>34700.811263999996</v>
      </c>
    </row>
    <row r="301" spans="22:25" x14ac:dyDescent="0.2">
      <c r="V301" s="335">
        <v>1124</v>
      </c>
      <c r="W301" s="327" t="s">
        <v>18229</v>
      </c>
      <c r="X301" s="328">
        <v>126305.0208</v>
      </c>
      <c r="Y301" s="1">
        <f t="shared" si="33"/>
        <v>85887.414143999995</v>
      </c>
    </row>
    <row r="302" spans="22:25" x14ac:dyDescent="0.2">
      <c r="V302" s="335" t="s">
        <v>18418</v>
      </c>
      <c r="W302" s="327" t="s">
        <v>18229</v>
      </c>
      <c r="X302" s="328">
        <v>141602.09280000001</v>
      </c>
      <c r="Y302" s="1">
        <f t="shared" si="33"/>
        <v>96289.423104000001</v>
      </c>
    </row>
    <row r="303" spans="22:25" x14ac:dyDescent="0.2">
      <c r="V303" s="335">
        <v>1125</v>
      </c>
      <c r="W303" s="327" t="s">
        <v>18229</v>
      </c>
      <c r="X303" s="328">
        <v>191482.3008</v>
      </c>
      <c r="Y303" s="1">
        <f t="shared" si="33"/>
        <v>130207.96454399999</v>
      </c>
    </row>
    <row r="304" spans="22:25" x14ac:dyDescent="0.2">
      <c r="V304" s="335" t="s">
        <v>18419</v>
      </c>
      <c r="W304" s="327" t="s">
        <v>18229</v>
      </c>
      <c r="X304" s="328">
        <v>207491.69280000002</v>
      </c>
      <c r="Y304" s="1">
        <f t="shared" si="33"/>
        <v>141094.351104</v>
      </c>
    </row>
    <row r="305" spans="22:25" x14ac:dyDescent="0.2">
      <c r="V305" s="335">
        <v>1126</v>
      </c>
      <c r="W305" s="327" t="s">
        <v>18229</v>
      </c>
      <c r="X305" s="328">
        <v>138190.08000000002</v>
      </c>
      <c r="Y305" s="1">
        <f t="shared" si="33"/>
        <v>93969.254400000005</v>
      </c>
    </row>
    <row r="306" spans="22:25" x14ac:dyDescent="0.2">
      <c r="V306" s="335" t="s">
        <v>18420</v>
      </c>
      <c r="W306" s="327" t="s">
        <v>18229</v>
      </c>
      <c r="X306" s="328">
        <v>158483.356</v>
      </c>
      <c r="Y306" s="1">
        <f t="shared" si="33"/>
        <v>107768.68207999998</v>
      </c>
    </row>
    <row r="307" spans="22:25" x14ac:dyDescent="0.2">
      <c r="V307" s="335" t="s">
        <v>18421</v>
      </c>
      <c r="W307" s="327" t="s">
        <v>18229</v>
      </c>
      <c r="X307" s="328">
        <v>62328</v>
      </c>
      <c r="Y307" s="1">
        <f t="shared" si="33"/>
        <v>42383.039999999994</v>
      </c>
    </row>
    <row r="308" spans="22:25" x14ac:dyDescent="0.2">
      <c r="V308" s="331" t="s">
        <v>18422</v>
      </c>
      <c r="W308" s="327" t="s">
        <v>18229</v>
      </c>
      <c r="X308" s="328">
        <v>18164.16</v>
      </c>
      <c r="Y308" s="1">
        <f t="shared" si="33"/>
        <v>12351.628799999999</v>
      </c>
    </row>
    <row r="309" spans="22:25" x14ac:dyDescent="0.2">
      <c r="V309" s="331" t="s">
        <v>18423</v>
      </c>
      <c r="W309" s="327" t="s">
        <v>18229</v>
      </c>
      <c r="X309" s="328">
        <v>44163.840000000004</v>
      </c>
      <c r="Y309" s="1">
        <f t="shared" si="33"/>
        <v>30031.411199999999</v>
      </c>
    </row>
    <row r="310" spans="22:25" x14ac:dyDescent="0.2">
      <c r="V310" s="335">
        <v>1128</v>
      </c>
      <c r="W310" s="327" t="s">
        <v>18229</v>
      </c>
      <c r="X310" s="328">
        <v>33051.648000000001</v>
      </c>
      <c r="Y310" s="1">
        <f t="shared" si="33"/>
        <v>22475.120639999997</v>
      </c>
    </row>
    <row r="311" spans="22:25" x14ac:dyDescent="0.2">
      <c r="V311" s="335" t="s">
        <v>18424</v>
      </c>
      <c r="W311" s="327" t="s">
        <v>18229</v>
      </c>
      <c r="X311" s="328">
        <v>23933.952000000001</v>
      </c>
      <c r="Y311" s="1">
        <f t="shared" si="33"/>
        <v>16275.08736</v>
      </c>
    </row>
    <row r="312" spans="22:25" x14ac:dyDescent="0.2">
      <c r="V312" s="335" t="s">
        <v>18425</v>
      </c>
      <c r="W312" s="327" t="s">
        <v>18229</v>
      </c>
      <c r="X312" s="328">
        <v>9117.6960000000017</v>
      </c>
      <c r="Y312" s="1">
        <f t="shared" si="33"/>
        <v>6200.0332800000006</v>
      </c>
    </row>
    <row r="313" spans="22:25" x14ac:dyDescent="0.2">
      <c r="V313" s="335" t="s">
        <v>18426</v>
      </c>
      <c r="W313" s="327" t="s">
        <v>18229</v>
      </c>
      <c r="X313" s="328">
        <v>71944.320000000007</v>
      </c>
      <c r="Y313" s="1">
        <f t="shared" si="33"/>
        <v>48922.137600000002</v>
      </c>
    </row>
    <row r="314" spans="22:25" x14ac:dyDescent="0.2">
      <c r="V314" s="335" t="s">
        <v>18427</v>
      </c>
      <c r="W314" s="327" t="s">
        <v>18229</v>
      </c>
      <c r="X314" s="328">
        <v>24083.200000000001</v>
      </c>
      <c r="Y314" s="1">
        <f t="shared" si="33"/>
        <v>16376.575999999999</v>
      </c>
    </row>
    <row r="315" spans="22:25" x14ac:dyDescent="0.2">
      <c r="V315" s="335" t="s">
        <v>18428</v>
      </c>
      <c r="W315" s="327" t="s">
        <v>18229</v>
      </c>
      <c r="X315" s="328">
        <v>46656.959999999999</v>
      </c>
      <c r="Y315" s="1">
        <f t="shared" si="33"/>
        <v>31726.732799999998</v>
      </c>
    </row>
    <row r="316" spans="22:25" x14ac:dyDescent="0.2">
      <c r="V316" s="335">
        <v>1129</v>
      </c>
      <c r="W316" s="327" t="s">
        <v>18229</v>
      </c>
      <c r="X316" s="328">
        <v>42010.768000000004</v>
      </c>
      <c r="Y316" s="1">
        <f t="shared" si="33"/>
        <v>28567.322240000001</v>
      </c>
    </row>
    <row r="317" spans="22:25" x14ac:dyDescent="0.2">
      <c r="V317" s="335">
        <v>1130</v>
      </c>
      <c r="W317" s="327" t="s">
        <v>18229</v>
      </c>
      <c r="X317" s="328">
        <v>41485.516799999998</v>
      </c>
      <c r="Y317" s="1">
        <f t="shared" si="33"/>
        <v>28210.151423999996</v>
      </c>
    </row>
    <row r="318" spans="22:25" x14ac:dyDescent="0.2">
      <c r="V318" s="335">
        <v>1131</v>
      </c>
      <c r="W318" s="327" t="s">
        <v>18229</v>
      </c>
      <c r="X318" s="328">
        <v>46507.372799999997</v>
      </c>
      <c r="Y318" s="1">
        <f t="shared" si="33"/>
        <v>31625.013503999995</v>
      </c>
    </row>
    <row r="319" spans="22:25" x14ac:dyDescent="0.2">
      <c r="V319" s="335">
        <v>1132</v>
      </c>
      <c r="W319" s="327" t="s">
        <v>18229</v>
      </c>
      <c r="X319" s="328">
        <v>148162.56</v>
      </c>
      <c r="Y319" s="1">
        <f t="shared" si="33"/>
        <v>100750.54079999999</v>
      </c>
    </row>
    <row r="320" spans="22:25" x14ac:dyDescent="0.2">
      <c r="V320" s="335" t="s">
        <v>18429</v>
      </c>
      <c r="W320" s="327" t="s">
        <v>18229</v>
      </c>
      <c r="X320" s="328">
        <v>164082.91200000001</v>
      </c>
      <c r="Y320" s="1">
        <f t="shared" si="33"/>
        <v>111576.38016</v>
      </c>
    </row>
    <row r="321" spans="22:25" x14ac:dyDescent="0.2">
      <c r="V321" s="335" t="s">
        <v>18430</v>
      </c>
      <c r="W321" s="327" t="s">
        <v>18229</v>
      </c>
      <c r="X321" s="328">
        <v>29917.440000000002</v>
      </c>
      <c r="Y321" s="1">
        <f t="shared" si="33"/>
        <v>20343.859199999999</v>
      </c>
    </row>
    <row r="322" spans="22:25" x14ac:dyDescent="0.2">
      <c r="V322" s="335" t="s">
        <v>18431</v>
      </c>
      <c r="W322" s="327" t="s">
        <v>18229</v>
      </c>
      <c r="X322" s="328">
        <v>36987.216</v>
      </c>
      <c r="Y322" s="1">
        <f t="shared" si="33"/>
        <v>25151.306879999996</v>
      </c>
    </row>
    <row r="323" spans="22:25" x14ac:dyDescent="0.2">
      <c r="V323" s="326" t="s">
        <v>18432</v>
      </c>
      <c r="W323" s="327" t="s">
        <v>18229</v>
      </c>
      <c r="X323" s="328">
        <v>118245.12000000001</v>
      </c>
      <c r="Y323" s="1">
        <f t="shared" ref="Y323:Y386" si="34">+(1-$AA$1)*X323</f>
        <v>80406.681599999996</v>
      </c>
    </row>
    <row r="324" spans="22:25" x14ac:dyDescent="0.2">
      <c r="V324" s="326" t="s">
        <v>18433</v>
      </c>
      <c r="W324" s="327" t="s">
        <v>18229</v>
      </c>
      <c r="X324" s="328">
        <v>127095.69600000001</v>
      </c>
      <c r="Y324" s="1">
        <f t="shared" si="34"/>
        <v>86425.073279999997</v>
      </c>
    </row>
    <row r="325" spans="22:25" x14ac:dyDescent="0.2">
      <c r="V325" s="335">
        <v>1140</v>
      </c>
      <c r="W325" s="327" t="s">
        <v>18229</v>
      </c>
      <c r="X325" s="328">
        <v>33122.880000000005</v>
      </c>
      <c r="Y325" s="1">
        <f t="shared" si="34"/>
        <v>22523.558400000002</v>
      </c>
    </row>
    <row r="326" spans="22:25" x14ac:dyDescent="0.2">
      <c r="V326" s="335">
        <v>1141</v>
      </c>
      <c r="W326" s="327" t="s">
        <v>18229</v>
      </c>
      <c r="X326" s="328">
        <v>84766.080000000002</v>
      </c>
      <c r="Y326" s="1">
        <f t="shared" si="34"/>
        <v>57640.934399999998</v>
      </c>
    </row>
    <row r="327" spans="22:25" x14ac:dyDescent="0.2">
      <c r="V327" s="335">
        <v>1142</v>
      </c>
      <c r="W327" s="327" t="s">
        <v>18229</v>
      </c>
      <c r="X327" s="328">
        <v>84766.080000000002</v>
      </c>
      <c r="Y327" s="1">
        <f t="shared" si="34"/>
        <v>57640.934399999998</v>
      </c>
    </row>
    <row r="328" spans="22:25" x14ac:dyDescent="0.2">
      <c r="V328" s="326">
        <v>1200</v>
      </c>
      <c r="W328" s="327" t="s">
        <v>18229</v>
      </c>
      <c r="X328" s="328">
        <v>0</v>
      </c>
      <c r="Y328" s="1">
        <f t="shared" si="34"/>
        <v>0</v>
      </c>
    </row>
    <row r="329" spans="22:25" x14ac:dyDescent="0.2">
      <c r="V329" s="326">
        <v>1210</v>
      </c>
      <c r="W329" s="327" t="s">
        <v>18229</v>
      </c>
      <c r="X329" s="328">
        <v>0</v>
      </c>
      <c r="Y329" s="1">
        <f t="shared" si="34"/>
        <v>0</v>
      </c>
    </row>
    <row r="330" spans="22:25" x14ac:dyDescent="0.2">
      <c r="V330" s="326">
        <v>1211</v>
      </c>
      <c r="W330" s="327" t="s">
        <v>18229</v>
      </c>
      <c r="X330" s="328">
        <v>0</v>
      </c>
      <c r="Y330" s="1">
        <f t="shared" si="34"/>
        <v>0</v>
      </c>
    </row>
    <row r="331" spans="22:25" x14ac:dyDescent="0.2">
      <c r="V331" s="326">
        <v>1220</v>
      </c>
      <c r="W331" s="327" t="s">
        <v>18229</v>
      </c>
      <c r="X331" s="328">
        <v>0</v>
      </c>
      <c r="Y331" s="1">
        <f t="shared" si="34"/>
        <v>0</v>
      </c>
    </row>
    <row r="332" spans="22:25" x14ac:dyDescent="0.2">
      <c r="V332" s="326">
        <v>1221</v>
      </c>
      <c r="W332" s="327" t="s">
        <v>18229</v>
      </c>
      <c r="X332" s="328">
        <v>0</v>
      </c>
      <c r="Y332" s="1">
        <f t="shared" si="34"/>
        <v>0</v>
      </c>
    </row>
    <row r="333" spans="22:25" x14ac:dyDescent="0.2">
      <c r="V333" s="326"/>
      <c r="W333" s="327"/>
      <c r="X333" s="328">
        <v>0</v>
      </c>
      <c r="Y333" s="1">
        <f t="shared" si="34"/>
        <v>0</v>
      </c>
    </row>
    <row r="334" spans="22:25" x14ac:dyDescent="0.2">
      <c r="V334" s="326"/>
      <c r="W334" s="327"/>
      <c r="X334" s="328">
        <v>0</v>
      </c>
      <c r="Y334" s="1">
        <f t="shared" si="34"/>
        <v>0</v>
      </c>
    </row>
    <row r="335" spans="22:25" x14ac:dyDescent="0.2">
      <c r="V335" s="335" t="s">
        <v>18434</v>
      </c>
      <c r="W335" s="327" t="s">
        <v>18229</v>
      </c>
      <c r="X335" s="328">
        <v>1862.4</v>
      </c>
      <c r="Y335" s="1">
        <f t="shared" si="34"/>
        <v>1266.432</v>
      </c>
    </row>
    <row r="336" spans="22:25" x14ac:dyDescent="0.2">
      <c r="V336" s="326" t="s">
        <v>18435</v>
      </c>
      <c r="W336" s="327" t="s">
        <v>18229</v>
      </c>
      <c r="X336" s="328">
        <v>646.4</v>
      </c>
      <c r="Y336" s="1">
        <f t="shared" si="34"/>
        <v>439.55199999999996</v>
      </c>
    </row>
    <row r="337" spans="22:25" x14ac:dyDescent="0.2">
      <c r="V337" s="326" t="s">
        <v>18436</v>
      </c>
      <c r="W337" s="327" t="s">
        <v>18229</v>
      </c>
      <c r="X337" s="328">
        <v>835.2</v>
      </c>
      <c r="Y337" s="1">
        <f t="shared" si="34"/>
        <v>567.93600000000004</v>
      </c>
    </row>
    <row r="338" spans="22:25" x14ac:dyDescent="0.2">
      <c r="V338" s="326" t="s">
        <v>18437</v>
      </c>
      <c r="W338" s="327" t="s">
        <v>18229</v>
      </c>
      <c r="X338" s="328">
        <v>937.6</v>
      </c>
      <c r="Y338" s="1">
        <f t="shared" si="34"/>
        <v>637.56799999999998</v>
      </c>
    </row>
    <row r="339" spans="22:25" x14ac:dyDescent="0.2">
      <c r="V339" s="326" t="s">
        <v>18438</v>
      </c>
      <c r="W339" s="327" t="s">
        <v>18229</v>
      </c>
      <c r="X339" s="328">
        <v>1280</v>
      </c>
      <c r="Y339" s="1">
        <f t="shared" si="34"/>
        <v>870.39999999999986</v>
      </c>
    </row>
    <row r="340" spans="22:25" x14ac:dyDescent="0.2">
      <c r="V340" s="326" t="s">
        <v>18439</v>
      </c>
      <c r="W340" s="327" t="s">
        <v>18229</v>
      </c>
      <c r="X340" s="328">
        <v>678.4</v>
      </c>
      <c r="Y340" s="1">
        <f t="shared" si="34"/>
        <v>461.31199999999995</v>
      </c>
    </row>
    <row r="341" spans="22:25" x14ac:dyDescent="0.2">
      <c r="V341" s="326" t="s">
        <v>18440</v>
      </c>
      <c r="W341" s="327" t="s">
        <v>18229</v>
      </c>
      <c r="X341" s="328">
        <v>972.8</v>
      </c>
      <c r="Y341" s="1">
        <f t="shared" si="34"/>
        <v>661.50399999999991</v>
      </c>
    </row>
    <row r="342" spans="22:25" x14ac:dyDescent="0.2">
      <c r="V342" s="326">
        <v>4103</v>
      </c>
      <c r="W342" s="327" t="s">
        <v>18229</v>
      </c>
      <c r="X342" s="328">
        <v>841.6</v>
      </c>
      <c r="Y342" s="1">
        <f t="shared" si="34"/>
        <v>572.28800000000001</v>
      </c>
    </row>
    <row r="343" spans="22:25" x14ac:dyDescent="0.2">
      <c r="V343" s="326">
        <v>4104</v>
      </c>
      <c r="W343" s="326" t="s">
        <v>18441</v>
      </c>
      <c r="X343" s="328">
        <v>8400</v>
      </c>
      <c r="Y343" s="1">
        <f t="shared" si="34"/>
        <v>5711.9999999999991</v>
      </c>
    </row>
    <row r="344" spans="22:25" x14ac:dyDescent="0.2">
      <c r="V344" s="326">
        <v>4107</v>
      </c>
      <c r="W344" s="327" t="s">
        <v>18229</v>
      </c>
      <c r="X344" s="328">
        <v>0</v>
      </c>
      <c r="Y344" s="1">
        <f t="shared" si="34"/>
        <v>0</v>
      </c>
    </row>
    <row r="345" spans="22:25" x14ac:dyDescent="0.2">
      <c r="V345" s="326">
        <v>4108</v>
      </c>
      <c r="W345" s="327" t="s">
        <v>18229</v>
      </c>
      <c r="X345" s="328">
        <v>0</v>
      </c>
      <c r="Y345" s="1">
        <f t="shared" si="34"/>
        <v>0</v>
      </c>
    </row>
    <row r="346" spans="22:25" x14ac:dyDescent="0.2">
      <c r="V346" s="326" t="s">
        <v>18442</v>
      </c>
      <c r="W346" s="327" t="s">
        <v>18229</v>
      </c>
      <c r="X346" s="328">
        <v>720</v>
      </c>
      <c r="Y346" s="1">
        <f t="shared" si="34"/>
        <v>489.59999999999997</v>
      </c>
    </row>
    <row r="347" spans="22:25" x14ac:dyDescent="0.2">
      <c r="V347" s="326" t="s">
        <v>18443</v>
      </c>
      <c r="W347" s="327" t="s">
        <v>18229</v>
      </c>
      <c r="X347" s="328">
        <v>936</v>
      </c>
      <c r="Y347" s="1">
        <f t="shared" si="34"/>
        <v>636.4799999999999</v>
      </c>
    </row>
    <row r="348" spans="22:25" x14ac:dyDescent="0.2">
      <c r="V348" s="326" t="s">
        <v>18444</v>
      </c>
      <c r="W348" s="327" t="s">
        <v>18229</v>
      </c>
      <c r="X348" s="328">
        <v>819.2</v>
      </c>
      <c r="Y348" s="1">
        <f t="shared" si="34"/>
        <v>557.05599999999993</v>
      </c>
    </row>
    <row r="349" spans="22:25" x14ac:dyDescent="0.2">
      <c r="V349" s="326" t="s">
        <v>18445</v>
      </c>
      <c r="W349" s="327" t="s">
        <v>18229</v>
      </c>
      <c r="X349" s="328">
        <v>1024</v>
      </c>
      <c r="Y349" s="1">
        <f t="shared" si="34"/>
        <v>696.31999999999994</v>
      </c>
    </row>
    <row r="350" spans="22:25" x14ac:dyDescent="0.2">
      <c r="V350" s="326" t="s">
        <v>18446</v>
      </c>
      <c r="W350" s="327" t="s">
        <v>18229</v>
      </c>
      <c r="X350" s="328">
        <v>307.2</v>
      </c>
      <c r="Y350" s="1">
        <f t="shared" si="34"/>
        <v>208.89599999999999</v>
      </c>
    </row>
    <row r="351" spans="22:25" x14ac:dyDescent="0.2">
      <c r="V351" s="326" t="s">
        <v>18447</v>
      </c>
      <c r="W351" s="327" t="s">
        <v>18229</v>
      </c>
      <c r="X351" s="328">
        <v>409.6</v>
      </c>
      <c r="Y351" s="1">
        <f t="shared" si="34"/>
        <v>278.52799999999996</v>
      </c>
    </row>
    <row r="352" spans="22:25" x14ac:dyDescent="0.2">
      <c r="V352" s="326" t="s">
        <v>18448</v>
      </c>
      <c r="W352" s="327" t="s">
        <v>18229</v>
      </c>
      <c r="X352" s="328">
        <v>1398</v>
      </c>
      <c r="Y352" s="1">
        <f t="shared" si="34"/>
        <v>950.63999999999987</v>
      </c>
    </row>
    <row r="353" spans="22:25" x14ac:dyDescent="0.2">
      <c r="V353" s="326" t="s">
        <v>18449</v>
      </c>
      <c r="W353" s="327" t="s">
        <v>18229</v>
      </c>
      <c r="X353" s="328">
        <v>1611.2</v>
      </c>
      <c r="Y353" s="1">
        <f t="shared" si="34"/>
        <v>1095.616</v>
      </c>
    </row>
    <row r="354" spans="22:25" x14ac:dyDescent="0.2">
      <c r="V354" s="326">
        <v>4113</v>
      </c>
      <c r="W354" s="327" t="s">
        <v>18229</v>
      </c>
      <c r="X354" s="328">
        <v>1856</v>
      </c>
      <c r="Y354" s="1">
        <f t="shared" si="34"/>
        <v>1262.08</v>
      </c>
    </row>
    <row r="355" spans="22:25" x14ac:dyDescent="0.2">
      <c r="V355" s="326" t="s">
        <v>18450</v>
      </c>
      <c r="W355" s="327" t="s">
        <v>18229</v>
      </c>
      <c r="X355" s="328">
        <v>854.4</v>
      </c>
      <c r="Y355" s="1">
        <f t="shared" si="34"/>
        <v>580.99199999999996</v>
      </c>
    </row>
    <row r="356" spans="22:25" x14ac:dyDescent="0.2">
      <c r="V356" s="326" t="s">
        <v>18451</v>
      </c>
      <c r="W356" s="327" t="s">
        <v>18229</v>
      </c>
      <c r="X356" s="328">
        <v>1152</v>
      </c>
      <c r="Y356" s="1">
        <f t="shared" si="34"/>
        <v>783.3599999999999</v>
      </c>
    </row>
    <row r="357" spans="22:25" x14ac:dyDescent="0.2">
      <c r="V357" s="326" t="s">
        <v>18452</v>
      </c>
      <c r="W357" s="327" t="s">
        <v>18229</v>
      </c>
      <c r="X357" s="328">
        <v>798.4</v>
      </c>
      <c r="Y357" s="1">
        <f t="shared" si="34"/>
        <v>542.91199999999992</v>
      </c>
    </row>
    <row r="358" spans="22:25" x14ac:dyDescent="0.2">
      <c r="V358" s="326" t="s">
        <v>18453</v>
      </c>
      <c r="W358" s="327" t="s">
        <v>18229</v>
      </c>
      <c r="X358" s="328">
        <v>1139.2</v>
      </c>
      <c r="Y358" s="1">
        <f t="shared" si="34"/>
        <v>774.65599999999995</v>
      </c>
    </row>
    <row r="359" spans="22:25" x14ac:dyDescent="0.2">
      <c r="V359" s="326" t="s">
        <v>18454</v>
      </c>
      <c r="W359" s="327" t="s">
        <v>18229</v>
      </c>
      <c r="X359" s="328">
        <v>796.8</v>
      </c>
      <c r="Y359" s="1">
        <f t="shared" si="34"/>
        <v>541.82399999999996</v>
      </c>
    </row>
    <row r="360" spans="22:25" x14ac:dyDescent="0.2">
      <c r="V360" s="326" t="s">
        <v>18455</v>
      </c>
      <c r="W360" s="327" t="s">
        <v>18229</v>
      </c>
      <c r="X360" s="328">
        <v>1248</v>
      </c>
      <c r="Y360" s="1">
        <f t="shared" si="34"/>
        <v>848.63999999999987</v>
      </c>
    </row>
    <row r="361" spans="22:25" x14ac:dyDescent="0.2">
      <c r="V361" s="326" t="s">
        <v>18456</v>
      </c>
      <c r="W361" s="327" t="s">
        <v>18229</v>
      </c>
      <c r="X361" s="328">
        <v>924</v>
      </c>
      <c r="Y361" s="1">
        <f t="shared" si="34"/>
        <v>628.31999999999994</v>
      </c>
    </row>
    <row r="362" spans="22:25" x14ac:dyDescent="0.2">
      <c r="V362" s="326" t="s">
        <v>18457</v>
      </c>
      <c r="W362" s="327" t="s">
        <v>18229</v>
      </c>
      <c r="X362" s="328">
        <v>1408</v>
      </c>
      <c r="Y362" s="1">
        <f t="shared" si="34"/>
        <v>957.43999999999994</v>
      </c>
    </row>
    <row r="363" spans="22:25" x14ac:dyDescent="0.2">
      <c r="V363" s="326" t="s">
        <v>18458</v>
      </c>
      <c r="W363" s="327" t="s">
        <v>18229</v>
      </c>
      <c r="X363" s="328">
        <v>1360</v>
      </c>
      <c r="Y363" s="1">
        <f t="shared" si="34"/>
        <v>924.8</v>
      </c>
    </row>
    <row r="364" spans="22:25" x14ac:dyDescent="0.2">
      <c r="V364" s="326" t="s">
        <v>18459</v>
      </c>
      <c r="W364" s="327" t="s">
        <v>18229</v>
      </c>
      <c r="X364" s="328">
        <v>1856</v>
      </c>
      <c r="Y364" s="1">
        <f t="shared" si="34"/>
        <v>1262.08</v>
      </c>
    </row>
    <row r="365" spans="22:25" x14ac:dyDescent="0.2">
      <c r="V365" s="326" t="s">
        <v>18460</v>
      </c>
      <c r="W365" s="327" t="s">
        <v>18229</v>
      </c>
      <c r="X365" s="328">
        <v>1152</v>
      </c>
      <c r="Y365" s="1">
        <f t="shared" si="34"/>
        <v>783.3599999999999</v>
      </c>
    </row>
    <row r="366" spans="22:25" x14ac:dyDescent="0.2">
      <c r="V366" s="326" t="s">
        <v>18461</v>
      </c>
      <c r="W366" s="327" t="s">
        <v>18229</v>
      </c>
      <c r="X366" s="328">
        <v>1536</v>
      </c>
      <c r="Y366" s="1">
        <f t="shared" si="34"/>
        <v>1044.48</v>
      </c>
    </row>
    <row r="367" spans="22:25" x14ac:dyDescent="0.2">
      <c r="V367" s="326" t="s">
        <v>18462</v>
      </c>
      <c r="W367" s="327" t="s">
        <v>18229</v>
      </c>
      <c r="X367" s="328">
        <v>0</v>
      </c>
      <c r="Y367" s="1">
        <f t="shared" si="34"/>
        <v>0</v>
      </c>
    </row>
    <row r="368" spans="22:25" x14ac:dyDescent="0.2">
      <c r="V368" s="326" t="s">
        <v>18463</v>
      </c>
      <c r="W368" s="327" t="s">
        <v>18229</v>
      </c>
      <c r="X368" s="328">
        <v>0</v>
      </c>
      <c r="Y368" s="1">
        <f t="shared" si="34"/>
        <v>0</v>
      </c>
    </row>
    <row r="369" spans="22:25" x14ac:dyDescent="0.2">
      <c r="V369" s="348" t="s">
        <v>18464</v>
      </c>
      <c r="W369" s="348" t="s">
        <v>18229</v>
      </c>
      <c r="X369" s="328">
        <v>960</v>
      </c>
      <c r="Y369" s="1">
        <f t="shared" si="34"/>
        <v>652.79999999999995</v>
      </c>
    </row>
    <row r="370" spans="22:25" x14ac:dyDescent="0.2">
      <c r="V370" s="342" t="s">
        <v>18465</v>
      </c>
      <c r="W370" s="342" t="s">
        <v>18229</v>
      </c>
      <c r="X370" s="328">
        <v>1168</v>
      </c>
      <c r="Y370" s="1">
        <f t="shared" si="34"/>
        <v>794.2399999999999</v>
      </c>
    </row>
    <row r="371" spans="22:25" x14ac:dyDescent="0.2">
      <c r="V371" s="326" t="s">
        <v>18466</v>
      </c>
      <c r="W371" s="327" t="s">
        <v>18229</v>
      </c>
      <c r="X371" s="328">
        <v>1273.5999999999999</v>
      </c>
      <c r="Y371" s="1">
        <f t="shared" si="34"/>
        <v>866.04799999999989</v>
      </c>
    </row>
    <row r="372" spans="22:25" x14ac:dyDescent="0.2">
      <c r="V372" s="326" t="s">
        <v>18467</v>
      </c>
      <c r="W372" s="327" t="s">
        <v>18229</v>
      </c>
      <c r="X372" s="328">
        <v>1843.2</v>
      </c>
      <c r="Y372" s="1">
        <f t="shared" si="34"/>
        <v>1253.376</v>
      </c>
    </row>
    <row r="373" spans="22:25" x14ac:dyDescent="0.2">
      <c r="V373" s="326" t="s">
        <v>18468</v>
      </c>
      <c r="W373" s="327" t="s">
        <v>18229</v>
      </c>
      <c r="X373" s="328">
        <v>611.20000000000005</v>
      </c>
      <c r="Y373" s="1">
        <f t="shared" si="34"/>
        <v>415.61599999999999</v>
      </c>
    </row>
    <row r="374" spans="22:25" x14ac:dyDescent="0.2">
      <c r="V374" s="326" t="s">
        <v>18469</v>
      </c>
      <c r="W374" s="327" t="s">
        <v>18229</v>
      </c>
      <c r="X374" s="328">
        <v>716.8</v>
      </c>
      <c r="Y374" s="1">
        <f t="shared" si="34"/>
        <v>487.42399999999992</v>
      </c>
    </row>
    <row r="375" spans="22:25" x14ac:dyDescent="0.2">
      <c r="V375" s="326" t="s">
        <v>18470</v>
      </c>
      <c r="W375" s="327" t="s">
        <v>18229</v>
      </c>
      <c r="X375" s="328">
        <v>371.2</v>
      </c>
      <c r="Y375" s="1">
        <f t="shared" si="34"/>
        <v>252.41599999999997</v>
      </c>
    </row>
    <row r="376" spans="22:25" x14ac:dyDescent="0.2">
      <c r="V376" s="326" t="s">
        <v>18471</v>
      </c>
      <c r="W376" s="327" t="s">
        <v>18229</v>
      </c>
      <c r="X376" s="328">
        <v>471.04</v>
      </c>
      <c r="Y376" s="1">
        <f t="shared" si="34"/>
        <v>320.30719999999997</v>
      </c>
    </row>
    <row r="377" spans="22:25" x14ac:dyDescent="0.2">
      <c r="V377" s="326" t="s">
        <v>18472</v>
      </c>
      <c r="W377" s="327" t="s">
        <v>18229</v>
      </c>
      <c r="X377" s="328">
        <v>358.4</v>
      </c>
      <c r="Y377" s="1">
        <f t="shared" si="34"/>
        <v>243.71199999999996</v>
      </c>
    </row>
    <row r="378" spans="22:25" x14ac:dyDescent="0.2">
      <c r="V378" s="326" t="s">
        <v>18473</v>
      </c>
      <c r="W378" s="327" t="s">
        <v>18229</v>
      </c>
      <c r="X378" s="328">
        <v>457.6</v>
      </c>
      <c r="Y378" s="1">
        <f t="shared" si="34"/>
        <v>311.16800000000001</v>
      </c>
    </row>
    <row r="379" spans="22:25" x14ac:dyDescent="0.2">
      <c r="V379" s="326" t="s">
        <v>18474</v>
      </c>
      <c r="W379" s="327" t="s">
        <v>18229</v>
      </c>
      <c r="X379" s="328">
        <v>1433.6</v>
      </c>
      <c r="Y379" s="1">
        <f t="shared" si="34"/>
        <v>974.84799999999984</v>
      </c>
    </row>
    <row r="380" spans="22:25" x14ac:dyDescent="0.2">
      <c r="V380" s="326" t="s">
        <v>18475</v>
      </c>
      <c r="W380" s="327" t="s">
        <v>18229</v>
      </c>
      <c r="X380" s="328">
        <v>1875.2</v>
      </c>
      <c r="Y380" s="1">
        <f t="shared" si="34"/>
        <v>1275.136</v>
      </c>
    </row>
    <row r="381" spans="22:25" x14ac:dyDescent="0.2">
      <c r="V381" s="326" t="s">
        <v>18476</v>
      </c>
      <c r="W381" s="327" t="s">
        <v>18229</v>
      </c>
      <c r="X381" s="328">
        <v>956.8</v>
      </c>
      <c r="Y381" s="1">
        <f t="shared" si="34"/>
        <v>650.62399999999991</v>
      </c>
    </row>
    <row r="382" spans="22:25" x14ac:dyDescent="0.2">
      <c r="V382" s="331" t="s">
        <v>18477</v>
      </c>
      <c r="W382" s="327" t="s">
        <v>18229</v>
      </c>
      <c r="X382" s="328">
        <v>1382.4</v>
      </c>
      <c r="Y382" s="1">
        <f t="shared" si="34"/>
        <v>940.03199999999993</v>
      </c>
    </row>
    <row r="383" spans="22:25" x14ac:dyDescent="0.2">
      <c r="V383" s="326" t="s">
        <v>18478</v>
      </c>
      <c r="W383" s="327" t="s">
        <v>18229</v>
      </c>
      <c r="X383" s="328">
        <v>1001.6</v>
      </c>
      <c r="Y383" s="1">
        <f t="shared" si="34"/>
        <v>681.08799999999997</v>
      </c>
    </row>
    <row r="384" spans="22:25" x14ac:dyDescent="0.2">
      <c r="V384" s="326" t="s">
        <v>18479</v>
      </c>
      <c r="W384" s="327" t="s">
        <v>18229</v>
      </c>
      <c r="X384" s="328">
        <v>1433.6</v>
      </c>
      <c r="Y384" s="1">
        <f t="shared" si="34"/>
        <v>974.84799999999984</v>
      </c>
    </row>
    <row r="385" spans="22:25" x14ac:dyDescent="0.2">
      <c r="V385" s="326" t="s">
        <v>18480</v>
      </c>
      <c r="W385" s="327" t="s">
        <v>18229</v>
      </c>
      <c r="X385" s="328">
        <v>1760.8</v>
      </c>
      <c r="Y385" s="1">
        <f t="shared" si="34"/>
        <v>1197.3439999999998</v>
      </c>
    </row>
    <row r="386" spans="22:25" x14ac:dyDescent="0.2">
      <c r="V386" s="326" t="s">
        <v>18481</v>
      </c>
      <c r="W386" s="327" t="s">
        <v>18229</v>
      </c>
      <c r="X386" s="328">
        <v>2244</v>
      </c>
      <c r="Y386" s="1">
        <f t="shared" si="34"/>
        <v>1525.9199999999998</v>
      </c>
    </row>
    <row r="387" spans="22:25" x14ac:dyDescent="0.2">
      <c r="V387" s="326"/>
      <c r="W387" s="327"/>
      <c r="X387" s="328">
        <v>0</v>
      </c>
      <c r="Y387" s="1">
        <f t="shared" ref="Y387:Y450" si="35">+(1-$AA$1)*X387</f>
        <v>0</v>
      </c>
    </row>
    <row r="388" spans="22:25" x14ac:dyDescent="0.2">
      <c r="V388" s="326"/>
      <c r="W388" s="327"/>
      <c r="X388" s="328">
        <v>0</v>
      </c>
      <c r="Y388" s="1">
        <f t="shared" si="35"/>
        <v>0</v>
      </c>
    </row>
    <row r="389" spans="22:25" x14ac:dyDescent="0.2">
      <c r="V389" s="326"/>
      <c r="W389" s="327"/>
      <c r="X389" s="328">
        <v>0</v>
      </c>
      <c r="Y389" s="1">
        <f t="shared" si="35"/>
        <v>0</v>
      </c>
    </row>
    <row r="390" spans="22:25" x14ac:dyDescent="0.2">
      <c r="V390" s="326"/>
      <c r="W390" s="327"/>
      <c r="X390" s="328">
        <v>0</v>
      </c>
      <c r="Y390" s="1">
        <f t="shared" si="35"/>
        <v>0</v>
      </c>
    </row>
    <row r="391" spans="22:25" x14ac:dyDescent="0.2">
      <c r="V391" s="326" t="s">
        <v>18482</v>
      </c>
      <c r="W391" s="327" t="s">
        <v>18229</v>
      </c>
      <c r="X391" s="328">
        <v>215.04</v>
      </c>
      <c r="Y391" s="1">
        <f t="shared" si="35"/>
        <v>146.22719999999998</v>
      </c>
    </row>
    <row r="392" spans="22:25" x14ac:dyDescent="0.2">
      <c r="V392" s="326" t="s">
        <v>18483</v>
      </c>
      <c r="W392" s="327" t="s">
        <v>18229</v>
      </c>
      <c r="X392" s="328">
        <v>252.8</v>
      </c>
      <c r="Y392" s="1">
        <f t="shared" si="35"/>
        <v>171.904</v>
      </c>
    </row>
    <row r="393" spans="22:25" x14ac:dyDescent="0.2">
      <c r="V393" s="326" t="s">
        <v>18484</v>
      </c>
      <c r="W393" s="327" t="s">
        <v>18229</v>
      </c>
      <c r="X393" s="328">
        <v>1350.4</v>
      </c>
      <c r="Y393" s="1">
        <f t="shared" si="35"/>
        <v>918.27199999999993</v>
      </c>
    </row>
    <row r="394" spans="22:25" x14ac:dyDescent="0.2">
      <c r="V394" s="326" t="s">
        <v>18485</v>
      </c>
      <c r="W394" s="327" t="s">
        <v>18229</v>
      </c>
      <c r="X394" s="328">
        <v>1945.6</v>
      </c>
      <c r="Y394" s="1">
        <f t="shared" si="35"/>
        <v>1323.0079999999998</v>
      </c>
    </row>
    <row r="395" spans="22:25" x14ac:dyDescent="0.2">
      <c r="V395" s="326" t="s">
        <v>18486</v>
      </c>
      <c r="W395" s="327" t="s">
        <v>18229</v>
      </c>
      <c r="X395" s="328">
        <v>430.08</v>
      </c>
      <c r="Y395" s="1">
        <f t="shared" si="35"/>
        <v>292.45439999999996</v>
      </c>
    </row>
    <row r="396" spans="22:25" x14ac:dyDescent="0.2">
      <c r="V396" s="326" t="s">
        <v>18487</v>
      </c>
      <c r="W396" s="327" t="s">
        <v>18229</v>
      </c>
      <c r="X396" s="328">
        <v>537.6</v>
      </c>
      <c r="Y396" s="1">
        <f t="shared" si="35"/>
        <v>365.56799999999998</v>
      </c>
    </row>
    <row r="397" spans="22:25" x14ac:dyDescent="0.2">
      <c r="V397" s="326" t="s">
        <v>18488</v>
      </c>
      <c r="W397" s="327" t="s">
        <v>18229</v>
      </c>
      <c r="X397" s="328">
        <v>409.6</v>
      </c>
      <c r="Y397" s="1">
        <f t="shared" si="35"/>
        <v>278.52799999999996</v>
      </c>
    </row>
    <row r="398" spans="22:25" x14ac:dyDescent="0.2">
      <c r="V398" s="326" t="s">
        <v>18489</v>
      </c>
      <c r="W398" s="327" t="s">
        <v>18229</v>
      </c>
      <c r="X398" s="328">
        <v>534.4</v>
      </c>
      <c r="Y398" s="1">
        <f t="shared" si="35"/>
        <v>363.39199999999994</v>
      </c>
    </row>
    <row r="399" spans="22:25" x14ac:dyDescent="0.2">
      <c r="V399" s="326" t="s">
        <v>18490</v>
      </c>
      <c r="W399" s="327" t="s">
        <v>18229</v>
      </c>
      <c r="X399" s="328">
        <v>572.79999999999995</v>
      </c>
      <c r="Y399" s="1">
        <f t="shared" si="35"/>
        <v>389.50399999999991</v>
      </c>
    </row>
    <row r="400" spans="22:25" x14ac:dyDescent="0.2">
      <c r="V400" s="326" t="s">
        <v>18491</v>
      </c>
      <c r="W400" s="327" t="s">
        <v>18229</v>
      </c>
      <c r="X400" s="328">
        <v>819.2</v>
      </c>
      <c r="Y400" s="1">
        <f t="shared" si="35"/>
        <v>557.05599999999993</v>
      </c>
    </row>
    <row r="401" spans="22:25" x14ac:dyDescent="0.2">
      <c r="V401" s="326" t="s">
        <v>18492</v>
      </c>
      <c r="W401" s="327" t="s">
        <v>18229</v>
      </c>
      <c r="X401" s="328">
        <v>214.4</v>
      </c>
      <c r="Y401" s="1">
        <f t="shared" si="35"/>
        <v>145.792</v>
      </c>
    </row>
    <row r="402" spans="22:25" x14ac:dyDescent="0.2">
      <c r="V402" s="326" t="s">
        <v>18493</v>
      </c>
      <c r="W402" s="327" t="s">
        <v>18229</v>
      </c>
      <c r="X402" s="328">
        <v>307.2</v>
      </c>
      <c r="Y402" s="1">
        <f t="shared" si="35"/>
        <v>208.89599999999999</v>
      </c>
    </row>
    <row r="403" spans="22:25" x14ac:dyDescent="0.2">
      <c r="V403" s="331" t="s">
        <v>18494</v>
      </c>
      <c r="W403" s="327" t="s">
        <v>18229</v>
      </c>
      <c r="X403" s="328">
        <v>809.6</v>
      </c>
      <c r="Y403" s="1">
        <f t="shared" si="35"/>
        <v>550.52800000000002</v>
      </c>
    </row>
    <row r="404" spans="22:25" x14ac:dyDescent="0.2">
      <c r="V404" s="331" t="s">
        <v>18495</v>
      </c>
      <c r="W404" s="327" t="s">
        <v>18229</v>
      </c>
      <c r="X404" s="328">
        <v>971.52</v>
      </c>
      <c r="Y404" s="1">
        <f t="shared" si="35"/>
        <v>660.63359999999989</v>
      </c>
    </row>
    <row r="405" spans="22:25" x14ac:dyDescent="0.2">
      <c r="V405" s="349" t="s">
        <v>18496</v>
      </c>
      <c r="W405" s="350" t="s">
        <v>18229</v>
      </c>
      <c r="X405" s="328">
        <v>716.8</v>
      </c>
      <c r="Y405" s="1">
        <f t="shared" si="35"/>
        <v>487.42399999999992</v>
      </c>
    </row>
    <row r="406" spans="22:25" x14ac:dyDescent="0.2">
      <c r="V406" s="326" t="s">
        <v>18497</v>
      </c>
      <c r="W406" s="327" t="s">
        <v>18229</v>
      </c>
      <c r="X406" s="328">
        <v>860.8</v>
      </c>
      <c r="Y406" s="1">
        <f t="shared" si="35"/>
        <v>585.34399999999994</v>
      </c>
    </row>
    <row r="407" spans="22:25" x14ac:dyDescent="0.2">
      <c r="V407" s="349" t="s">
        <v>18498</v>
      </c>
      <c r="W407" s="350" t="s">
        <v>18229</v>
      </c>
      <c r="X407" s="328">
        <v>163.84</v>
      </c>
      <c r="Y407" s="1">
        <f t="shared" si="35"/>
        <v>111.41119999999999</v>
      </c>
    </row>
    <row r="408" spans="22:25" x14ac:dyDescent="0.2">
      <c r="V408" s="326" t="s">
        <v>18499</v>
      </c>
      <c r="W408" s="327" t="s">
        <v>18229</v>
      </c>
      <c r="X408" s="328">
        <v>233.6</v>
      </c>
      <c r="Y408" s="1">
        <f t="shared" si="35"/>
        <v>158.84799999999998</v>
      </c>
    </row>
    <row r="409" spans="22:25" x14ac:dyDescent="0.2">
      <c r="V409" s="326" t="s">
        <v>18500</v>
      </c>
      <c r="W409" s="327" t="s">
        <v>18229</v>
      </c>
      <c r="X409" s="328">
        <v>163.84</v>
      </c>
      <c r="Y409" s="1">
        <f t="shared" si="35"/>
        <v>111.41119999999999</v>
      </c>
    </row>
    <row r="410" spans="22:25" x14ac:dyDescent="0.2">
      <c r="V410" s="326" t="s">
        <v>18501</v>
      </c>
      <c r="W410" s="327" t="s">
        <v>18229</v>
      </c>
      <c r="X410" s="328">
        <v>233.6</v>
      </c>
      <c r="Y410" s="1">
        <f t="shared" si="35"/>
        <v>158.84799999999998</v>
      </c>
    </row>
    <row r="411" spans="22:25" x14ac:dyDescent="0.2">
      <c r="V411" s="326" t="s">
        <v>18502</v>
      </c>
      <c r="W411" s="327" t="s">
        <v>18229</v>
      </c>
      <c r="X411" s="328">
        <v>915.2</v>
      </c>
      <c r="Y411" s="1">
        <f t="shared" si="35"/>
        <v>622.33600000000001</v>
      </c>
    </row>
    <row r="412" spans="22:25" x14ac:dyDescent="0.2">
      <c r="V412" s="326" t="s">
        <v>18503</v>
      </c>
      <c r="W412" s="327" t="s">
        <v>18229</v>
      </c>
      <c r="X412" s="328">
        <v>1228.8</v>
      </c>
      <c r="Y412" s="1">
        <f t="shared" si="35"/>
        <v>835.58399999999995</v>
      </c>
    </row>
    <row r="413" spans="22:25" x14ac:dyDescent="0.2">
      <c r="V413" s="326" t="s">
        <v>18504</v>
      </c>
      <c r="W413" s="327" t="s">
        <v>18229</v>
      </c>
      <c r="X413" s="328">
        <v>188.8</v>
      </c>
      <c r="Y413" s="1">
        <f t="shared" si="35"/>
        <v>128.38399999999999</v>
      </c>
    </row>
    <row r="414" spans="22:25" x14ac:dyDescent="0.2">
      <c r="V414" s="326" t="s">
        <v>18505</v>
      </c>
      <c r="W414" s="327" t="s">
        <v>18229</v>
      </c>
      <c r="X414" s="328">
        <v>256</v>
      </c>
      <c r="Y414" s="1">
        <f t="shared" si="35"/>
        <v>174.07999999999998</v>
      </c>
    </row>
    <row r="415" spans="22:25" x14ac:dyDescent="0.2">
      <c r="V415" s="326" t="s">
        <v>18506</v>
      </c>
      <c r="W415" s="327" t="s">
        <v>18229</v>
      </c>
      <c r="X415" s="328">
        <v>227.2</v>
      </c>
      <c r="Y415" s="1">
        <f t="shared" si="35"/>
        <v>154.49599999999998</v>
      </c>
    </row>
    <row r="416" spans="22:25" x14ac:dyDescent="0.2">
      <c r="V416" s="326" t="s">
        <v>18507</v>
      </c>
      <c r="W416" s="327" t="s">
        <v>18229</v>
      </c>
      <c r="X416" s="328">
        <v>307.2</v>
      </c>
      <c r="Y416" s="1">
        <f t="shared" si="35"/>
        <v>208.89599999999999</v>
      </c>
    </row>
    <row r="417" spans="22:25" x14ac:dyDescent="0.2">
      <c r="V417" s="326" t="s">
        <v>18508</v>
      </c>
      <c r="W417" s="327" t="s">
        <v>18229</v>
      </c>
      <c r="X417" s="328">
        <v>1766.4</v>
      </c>
      <c r="Y417" s="1">
        <f t="shared" si="35"/>
        <v>1201.152</v>
      </c>
    </row>
    <row r="418" spans="22:25" x14ac:dyDescent="0.2">
      <c r="V418" s="326" t="s">
        <v>18509</v>
      </c>
      <c r="W418" s="327" t="s">
        <v>18229</v>
      </c>
      <c r="X418" s="328">
        <v>2636.8</v>
      </c>
      <c r="Y418" s="1">
        <f t="shared" si="35"/>
        <v>1793.0239999999999</v>
      </c>
    </row>
    <row r="419" spans="22:25" x14ac:dyDescent="0.2">
      <c r="V419" s="335" t="s">
        <v>18510</v>
      </c>
      <c r="W419" s="327" t="s">
        <v>18229</v>
      </c>
      <c r="X419" s="328">
        <v>665.6</v>
      </c>
      <c r="Y419" s="1">
        <f t="shared" si="35"/>
        <v>452.60799999999995</v>
      </c>
    </row>
    <row r="420" spans="22:25" x14ac:dyDescent="0.2">
      <c r="V420" s="335" t="s">
        <v>18511</v>
      </c>
      <c r="W420" s="327" t="s">
        <v>18229</v>
      </c>
      <c r="X420" s="328">
        <v>841.6</v>
      </c>
      <c r="Y420" s="1">
        <f t="shared" si="35"/>
        <v>572.28800000000001</v>
      </c>
    </row>
    <row r="421" spans="22:25" x14ac:dyDescent="0.2">
      <c r="V421" s="326" t="s">
        <v>18512</v>
      </c>
      <c r="W421" s="327" t="s">
        <v>18229</v>
      </c>
      <c r="X421" s="328">
        <v>291.2</v>
      </c>
      <c r="Y421" s="1">
        <f t="shared" si="35"/>
        <v>198.01599999999996</v>
      </c>
    </row>
    <row r="422" spans="22:25" x14ac:dyDescent="0.2">
      <c r="V422" s="326" t="s">
        <v>18513</v>
      </c>
      <c r="W422" s="327" t="s">
        <v>18229</v>
      </c>
      <c r="X422" s="328">
        <v>399.36</v>
      </c>
      <c r="Y422" s="1">
        <f t="shared" si="35"/>
        <v>271.56479999999999</v>
      </c>
    </row>
    <row r="423" spans="22:25" x14ac:dyDescent="0.2">
      <c r="V423" s="326" t="s">
        <v>18514</v>
      </c>
      <c r="W423" s="327" t="s">
        <v>18229</v>
      </c>
      <c r="X423" s="328">
        <v>409.6</v>
      </c>
      <c r="Y423" s="1">
        <f t="shared" si="35"/>
        <v>278.52799999999996</v>
      </c>
    </row>
    <row r="424" spans="22:25" x14ac:dyDescent="0.2">
      <c r="V424" s="326" t="s">
        <v>18515</v>
      </c>
      <c r="W424" s="327" t="s">
        <v>18229</v>
      </c>
      <c r="X424" s="328">
        <v>563.20000000000005</v>
      </c>
      <c r="Y424" s="1">
        <f t="shared" si="35"/>
        <v>382.976</v>
      </c>
    </row>
    <row r="425" spans="22:25" x14ac:dyDescent="0.2">
      <c r="V425" s="326" t="s">
        <v>18516</v>
      </c>
      <c r="W425" s="327" t="s">
        <v>18229</v>
      </c>
      <c r="X425" s="328">
        <v>294.39999999999998</v>
      </c>
      <c r="Y425" s="1">
        <f t="shared" si="35"/>
        <v>200.19199999999998</v>
      </c>
    </row>
    <row r="426" spans="22:25" x14ac:dyDescent="0.2">
      <c r="V426" s="331" t="s">
        <v>18517</v>
      </c>
      <c r="W426" s="327" t="s">
        <v>18229</v>
      </c>
      <c r="X426" s="328">
        <v>409.6</v>
      </c>
      <c r="Y426" s="1">
        <f t="shared" si="35"/>
        <v>278.52799999999996</v>
      </c>
    </row>
    <row r="427" spans="22:25" x14ac:dyDescent="0.2">
      <c r="V427" s="326" t="s">
        <v>18518</v>
      </c>
      <c r="W427" s="327" t="s">
        <v>18229</v>
      </c>
      <c r="X427" s="328">
        <v>655.36</v>
      </c>
      <c r="Y427" s="1">
        <f t="shared" si="35"/>
        <v>445.64479999999998</v>
      </c>
    </row>
    <row r="428" spans="22:25" x14ac:dyDescent="0.2">
      <c r="V428" s="326" t="s">
        <v>18519</v>
      </c>
      <c r="W428" s="327" t="s">
        <v>18229</v>
      </c>
      <c r="X428" s="328">
        <v>819.2</v>
      </c>
      <c r="Y428" s="1">
        <f t="shared" si="35"/>
        <v>557.05599999999993</v>
      </c>
    </row>
    <row r="429" spans="22:25" x14ac:dyDescent="0.2">
      <c r="V429" s="326" t="s">
        <v>18520</v>
      </c>
      <c r="W429" s="327" t="s">
        <v>18229</v>
      </c>
      <c r="X429" s="328">
        <v>972.8</v>
      </c>
      <c r="Y429" s="1">
        <f t="shared" si="35"/>
        <v>661.50399999999991</v>
      </c>
    </row>
    <row r="430" spans="22:25" x14ac:dyDescent="0.2">
      <c r="V430" s="326" t="s">
        <v>18521</v>
      </c>
      <c r="W430" s="327" t="s">
        <v>18229</v>
      </c>
      <c r="X430" s="328">
        <v>1232</v>
      </c>
      <c r="Y430" s="1">
        <f t="shared" si="35"/>
        <v>837.75999999999988</v>
      </c>
    </row>
    <row r="431" spans="22:25" x14ac:dyDescent="0.2">
      <c r="V431" s="326" t="s">
        <v>18522</v>
      </c>
      <c r="W431" s="327" t="s">
        <v>18229</v>
      </c>
      <c r="X431" s="328">
        <v>1075.2</v>
      </c>
      <c r="Y431" s="1">
        <f t="shared" si="35"/>
        <v>731.13599999999997</v>
      </c>
    </row>
    <row r="432" spans="22:25" x14ac:dyDescent="0.2">
      <c r="V432" s="326" t="s">
        <v>18523</v>
      </c>
      <c r="W432" s="327" t="s">
        <v>18229</v>
      </c>
      <c r="X432" s="328">
        <v>1344</v>
      </c>
      <c r="Y432" s="1">
        <f t="shared" si="35"/>
        <v>913.92</v>
      </c>
    </row>
    <row r="433" spans="22:25" x14ac:dyDescent="0.2">
      <c r="V433" s="326" t="s">
        <v>18524</v>
      </c>
      <c r="W433" s="327" t="s">
        <v>18229</v>
      </c>
      <c r="X433" s="328">
        <v>716.8</v>
      </c>
      <c r="Y433" s="1">
        <f t="shared" si="35"/>
        <v>487.42399999999992</v>
      </c>
    </row>
    <row r="434" spans="22:25" x14ac:dyDescent="0.2">
      <c r="V434" s="326" t="s">
        <v>18525</v>
      </c>
      <c r="W434" s="327" t="s">
        <v>18229</v>
      </c>
      <c r="X434" s="328">
        <v>937.6</v>
      </c>
      <c r="Y434" s="1">
        <f t="shared" si="35"/>
        <v>637.56799999999998</v>
      </c>
    </row>
    <row r="435" spans="22:25" x14ac:dyDescent="0.2">
      <c r="V435" s="326">
        <v>6900</v>
      </c>
      <c r="W435" s="326" t="s">
        <v>18318</v>
      </c>
      <c r="X435" s="328">
        <v>2192</v>
      </c>
      <c r="Y435" s="1">
        <f t="shared" si="35"/>
        <v>1490.56</v>
      </c>
    </row>
    <row r="436" spans="22:25" x14ac:dyDescent="0.2">
      <c r="V436" s="326">
        <v>6901</v>
      </c>
      <c r="W436" s="327" t="s">
        <v>18229</v>
      </c>
      <c r="X436" s="328">
        <v>4710.3999999999996</v>
      </c>
      <c r="Y436" s="1">
        <f t="shared" si="35"/>
        <v>3203.0719999999997</v>
      </c>
    </row>
    <row r="437" spans="22:25" x14ac:dyDescent="0.2">
      <c r="V437" s="326">
        <v>6902</v>
      </c>
      <c r="W437" s="326" t="s">
        <v>18318</v>
      </c>
      <c r="X437" s="328">
        <v>4915.2</v>
      </c>
      <c r="Y437" s="1">
        <f t="shared" si="35"/>
        <v>3342.3359999999998</v>
      </c>
    </row>
    <row r="438" spans="22:25" x14ac:dyDescent="0.2">
      <c r="V438" s="326">
        <v>6903</v>
      </c>
      <c r="W438" s="326" t="s">
        <v>18318</v>
      </c>
      <c r="X438" s="328">
        <v>3801.6</v>
      </c>
      <c r="Y438" s="1">
        <f t="shared" si="35"/>
        <v>2585.0879999999997</v>
      </c>
    </row>
    <row r="439" spans="22:25" x14ac:dyDescent="0.2">
      <c r="V439" s="326">
        <v>6904</v>
      </c>
      <c r="W439" s="341" t="s">
        <v>18229</v>
      </c>
      <c r="X439" s="328">
        <v>3808</v>
      </c>
      <c r="Y439" s="1">
        <f t="shared" si="35"/>
        <v>2589.4399999999996</v>
      </c>
    </row>
    <row r="440" spans="22:25" x14ac:dyDescent="0.2">
      <c r="V440" s="333">
        <v>7002</v>
      </c>
      <c r="W440" s="334" t="s">
        <v>18229</v>
      </c>
      <c r="X440" s="328">
        <v>0</v>
      </c>
      <c r="Y440" s="1">
        <f t="shared" si="35"/>
        <v>0</v>
      </c>
    </row>
    <row r="441" spans="22:25" x14ac:dyDescent="0.2">
      <c r="V441" s="346"/>
      <c r="W441" s="346"/>
      <c r="X441" s="328">
        <v>0</v>
      </c>
      <c r="Y441" s="1">
        <f t="shared" si="35"/>
        <v>0</v>
      </c>
    </row>
    <row r="442" spans="22:25" x14ac:dyDescent="0.2">
      <c r="V442" s="335" t="s">
        <v>18526</v>
      </c>
      <c r="W442" s="341" t="s">
        <v>18229</v>
      </c>
      <c r="X442" s="328">
        <v>14419.1376</v>
      </c>
      <c r="Y442" s="1">
        <f t="shared" si="35"/>
        <v>9805.0135679999985</v>
      </c>
    </row>
    <row r="443" spans="22:25" x14ac:dyDescent="0.2">
      <c r="V443" s="335">
        <v>1058</v>
      </c>
      <c r="W443" s="341" t="s">
        <v>18229</v>
      </c>
      <c r="X443" s="328">
        <v>15679.944</v>
      </c>
      <c r="Y443" s="1">
        <f t="shared" si="35"/>
        <v>10662.361919999999</v>
      </c>
    </row>
    <row r="444" spans="22:25" x14ac:dyDescent="0.2">
      <c r="V444" s="335" t="s">
        <v>18527</v>
      </c>
      <c r="W444" s="341" t="s">
        <v>18229</v>
      </c>
      <c r="X444" s="328">
        <v>18400.6672</v>
      </c>
      <c r="Y444" s="1">
        <f t="shared" si="35"/>
        <v>12512.453695999999</v>
      </c>
    </row>
    <row r="445" spans="22:25" x14ac:dyDescent="0.2">
      <c r="V445" s="326">
        <v>1059</v>
      </c>
      <c r="W445" s="327" t="s">
        <v>18229</v>
      </c>
      <c r="X445" s="328">
        <v>23328.48</v>
      </c>
      <c r="Y445" s="1">
        <f t="shared" si="35"/>
        <v>15863.366399999999</v>
      </c>
    </row>
    <row r="446" spans="22:25" x14ac:dyDescent="0.2">
      <c r="V446" s="326" t="s">
        <v>18528</v>
      </c>
      <c r="W446" s="327" t="s">
        <v>18229</v>
      </c>
      <c r="X446" s="328">
        <v>26533.920000000002</v>
      </c>
      <c r="Y446" s="1">
        <f t="shared" si="35"/>
        <v>18043.065599999998</v>
      </c>
    </row>
    <row r="447" spans="22:25" x14ac:dyDescent="0.2">
      <c r="V447" s="326">
        <v>1060</v>
      </c>
      <c r="W447" s="327" t="s">
        <v>18229</v>
      </c>
      <c r="X447" s="328">
        <v>10328.640000000001</v>
      </c>
      <c r="Y447" s="1">
        <f t="shared" si="35"/>
        <v>7023.4751999999999</v>
      </c>
    </row>
    <row r="448" spans="22:25" x14ac:dyDescent="0.2">
      <c r="V448" s="326" t="s">
        <v>18529</v>
      </c>
      <c r="W448" s="327" t="s">
        <v>18229</v>
      </c>
      <c r="X448" s="328">
        <v>12841.3488</v>
      </c>
      <c r="Y448" s="1">
        <f t="shared" si="35"/>
        <v>8732.1171839999988</v>
      </c>
    </row>
    <row r="449" spans="22:25" x14ac:dyDescent="0.2">
      <c r="V449" s="326">
        <v>1061</v>
      </c>
      <c r="W449" s="327" t="s">
        <v>18229</v>
      </c>
      <c r="X449" s="328">
        <v>4925.6928000000007</v>
      </c>
      <c r="Y449" s="1">
        <f t="shared" si="35"/>
        <v>3349.4711040000002</v>
      </c>
    </row>
    <row r="450" spans="22:25" x14ac:dyDescent="0.2">
      <c r="V450" s="326" t="s">
        <v>18530</v>
      </c>
      <c r="W450" s="327" t="s">
        <v>18229</v>
      </c>
      <c r="X450" s="328">
        <v>7137.4463999999998</v>
      </c>
      <c r="Y450" s="1">
        <f t="shared" si="35"/>
        <v>4853.4635519999993</v>
      </c>
    </row>
    <row r="451" spans="22:25" x14ac:dyDescent="0.2">
      <c r="V451" s="326">
        <v>1062</v>
      </c>
      <c r="W451" s="327" t="s">
        <v>18229</v>
      </c>
      <c r="X451" s="328">
        <v>29418.815999999999</v>
      </c>
      <c r="Y451" s="1">
        <f t="shared" ref="Y451:Y514" si="36">+(1-$AA$1)*X451</f>
        <v>20004.794879999998</v>
      </c>
    </row>
    <row r="452" spans="22:25" x14ac:dyDescent="0.2">
      <c r="V452" s="326" t="s">
        <v>18531</v>
      </c>
      <c r="W452" s="327" t="s">
        <v>18229</v>
      </c>
      <c r="X452" s="328">
        <v>31408.308800000003</v>
      </c>
      <c r="Y452" s="1">
        <f t="shared" si="36"/>
        <v>21357.649984</v>
      </c>
    </row>
    <row r="453" spans="22:25" x14ac:dyDescent="0.2">
      <c r="V453" s="326">
        <v>1063</v>
      </c>
      <c r="W453" s="327" t="s">
        <v>18229</v>
      </c>
      <c r="X453" s="328">
        <v>19292</v>
      </c>
      <c r="Y453" s="1">
        <f t="shared" si="36"/>
        <v>13118.56</v>
      </c>
    </row>
    <row r="454" spans="22:25" x14ac:dyDescent="0.2">
      <c r="V454" s="326" t="s">
        <v>18532</v>
      </c>
      <c r="W454" s="327" t="s">
        <v>18229</v>
      </c>
      <c r="X454" s="328">
        <v>21412</v>
      </c>
      <c r="Y454" s="1">
        <f t="shared" si="36"/>
        <v>14560.159999999998</v>
      </c>
    </row>
    <row r="455" spans="22:25" x14ac:dyDescent="0.2">
      <c r="V455" s="326">
        <v>1064</v>
      </c>
      <c r="W455" s="327" t="s">
        <v>18229</v>
      </c>
      <c r="X455" s="328">
        <v>25440</v>
      </c>
      <c r="Y455" s="1">
        <f t="shared" si="36"/>
        <v>17299.199999999997</v>
      </c>
    </row>
    <row r="456" spans="22:25" x14ac:dyDescent="0.2">
      <c r="V456" s="326" t="s">
        <v>18533</v>
      </c>
      <c r="W456" s="327" t="s">
        <v>18229</v>
      </c>
      <c r="X456" s="328">
        <v>27348</v>
      </c>
      <c r="Y456" s="1">
        <f t="shared" si="36"/>
        <v>18596.64</v>
      </c>
    </row>
    <row r="457" spans="22:25" x14ac:dyDescent="0.2">
      <c r="V457" s="326">
        <v>1065</v>
      </c>
      <c r="W457" s="327" t="s">
        <v>18229</v>
      </c>
      <c r="X457" s="328">
        <v>23933.952000000001</v>
      </c>
      <c r="Y457" s="1">
        <f t="shared" si="36"/>
        <v>16275.08736</v>
      </c>
    </row>
    <row r="458" spans="22:25" x14ac:dyDescent="0.2">
      <c r="V458" s="326">
        <v>1066</v>
      </c>
      <c r="W458" s="327" t="s">
        <v>18229</v>
      </c>
      <c r="X458" s="328">
        <v>25563.384000000002</v>
      </c>
      <c r="Y458" s="1">
        <f t="shared" si="36"/>
        <v>17383.101119999999</v>
      </c>
    </row>
    <row r="459" spans="22:25" x14ac:dyDescent="0.2">
      <c r="V459" s="326" t="s">
        <v>18534</v>
      </c>
      <c r="W459" s="327" t="s">
        <v>18229</v>
      </c>
      <c r="X459" s="328">
        <v>28076.092800000002</v>
      </c>
      <c r="Y459" s="1">
        <f t="shared" si="36"/>
        <v>19091.743104000001</v>
      </c>
    </row>
    <row r="460" spans="22:25" x14ac:dyDescent="0.2">
      <c r="V460" s="326">
        <v>1067</v>
      </c>
      <c r="W460" s="327" t="s">
        <v>18229</v>
      </c>
      <c r="X460" s="328">
        <v>30629.760000000002</v>
      </c>
      <c r="Y460" s="1">
        <f t="shared" si="36"/>
        <v>20828.236799999999</v>
      </c>
    </row>
    <row r="461" spans="22:25" x14ac:dyDescent="0.2">
      <c r="V461" s="326">
        <v>1068</v>
      </c>
      <c r="W461" s="327" t="s">
        <v>18229</v>
      </c>
      <c r="X461" s="328">
        <v>33657.120000000003</v>
      </c>
      <c r="Y461" s="1">
        <f t="shared" si="36"/>
        <v>22886.8416</v>
      </c>
    </row>
    <row r="462" spans="22:25" x14ac:dyDescent="0.2">
      <c r="V462" s="326" t="s">
        <v>18535</v>
      </c>
      <c r="W462" s="327" t="s">
        <v>18229</v>
      </c>
      <c r="X462" s="328">
        <v>36169.828800000003</v>
      </c>
      <c r="Y462" s="1">
        <f t="shared" si="36"/>
        <v>24595.483584000001</v>
      </c>
    </row>
    <row r="463" spans="22:25" x14ac:dyDescent="0.2">
      <c r="V463" s="326">
        <v>1069</v>
      </c>
      <c r="W463" s="327" t="s">
        <v>18229</v>
      </c>
      <c r="X463" s="328">
        <v>12643.68</v>
      </c>
      <c r="Y463" s="1">
        <f t="shared" si="36"/>
        <v>8597.7024000000001</v>
      </c>
    </row>
    <row r="464" spans="22:25" x14ac:dyDescent="0.2">
      <c r="V464" s="326" t="s">
        <v>18536</v>
      </c>
      <c r="W464" s="327" t="s">
        <v>18229</v>
      </c>
      <c r="X464" s="328">
        <v>15156.388800000001</v>
      </c>
      <c r="Y464" s="1">
        <f t="shared" si="36"/>
        <v>10306.344384</v>
      </c>
    </row>
    <row r="465" spans="22:25" x14ac:dyDescent="0.2">
      <c r="V465" s="326">
        <v>1070</v>
      </c>
      <c r="W465" s="327" t="s">
        <v>18229</v>
      </c>
      <c r="X465" s="328">
        <v>22972.32</v>
      </c>
      <c r="Y465" s="1">
        <f t="shared" si="36"/>
        <v>15621.177599999999</v>
      </c>
    </row>
    <row r="466" spans="22:25" x14ac:dyDescent="0.2">
      <c r="V466" s="326" t="s">
        <v>18537</v>
      </c>
      <c r="W466" s="327" t="s">
        <v>18229</v>
      </c>
      <c r="X466" s="328">
        <v>24961.812800000003</v>
      </c>
      <c r="Y466" s="1">
        <f t="shared" si="36"/>
        <v>16974.032704000001</v>
      </c>
    </row>
    <row r="467" spans="22:25" x14ac:dyDescent="0.2">
      <c r="V467" s="326">
        <v>1071</v>
      </c>
      <c r="W467" s="327" t="s">
        <v>18229</v>
      </c>
      <c r="X467" s="328">
        <v>24040.800000000003</v>
      </c>
      <c r="Y467" s="1">
        <f t="shared" si="36"/>
        <v>16347.744000000001</v>
      </c>
    </row>
    <row r="468" spans="22:25" x14ac:dyDescent="0.2">
      <c r="V468" s="326" t="s">
        <v>18538</v>
      </c>
      <c r="W468" s="327" t="s">
        <v>18229</v>
      </c>
      <c r="X468" s="328">
        <v>26030.292800000003</v>
      </c>
      <c r="Y468" s="1">
        <f t="shared" si="36"/>
        <v>17700.599104000001</v>
      </c>
    </row>
    <row r="469" spans="22:25" x14ac:dyDescent="0.2">
      <c r="V469" s="326">
        <v>1072</v>
      </c>
      <c r="W469" s="327" t="s">
        <v>18229</v>
      </c>
      <c r="X469" s="328">
        <v>24040.800000000003</v>
      </c>
      <c r="Y469" s="1">
        <f t="shared" si="36"/>
        <v>16347.744000000001</v>
      </c>
    </row>
    <row r="470" spans="22:25" x14ac:dyDescent="0.2">
      <c r="V470" s="326" t="s">
        <v>18539</v>
      </c>
      <c r="W470" s="327" t="s">
        <v>18229</v>
      </c>
      <c r="X470" s="328">
        <v>26108.648000000001</v>
      </c>
      <c r="Y470" s="1">
        <f t="shared" si="36"/>
        <v>17753.880639999999</v>
      </c>
    </row>
    <row r="471" spans="22:25" x14ac:dyDescent="0.2">
      <c r="V471" s="326">
        <v>1073</v>
      </c>
      <c r="W471" s="327" t="s">
        <v>18229</v>
      </c>
      <c r="X471" s="328">
        <v>13468.190400000001</v>
      </c>
      <c r="Y471" s="1">
        <f t="shared" si="36"/>
        <v>9158.3694720000003</v>
      </c>
    </row>
    <row r="472" spans="22:25" x14ac:dyDescent="0.2">
      <c r="V472" s="326" t="s">
        <v>18540</v>
      </c>
      <c r="W472" s="327" t="s">
        <v>18229</v>
      </c>
      <c r="X472" s="328">
        <v>17047.598399999999</v>
      </c>
      <c r="Y472" s="1">
        <f t="shared" si="36"/>
        <v>11592.366911999998</v>
      </c>
    </row>
    <row r="473" spans="22:25" x14ac:dyDescent="0.2">
      <c r="V473" s="326">
        <v>1074</v>
      </c>
      <c r="W473" s="327" t="s">
        <v>18229</v>
      </c>
      <c r="X473" s="328">
        <v>17095.68</v>
      </c>
      <c r="Y473" s="1">
        <f t="shared" si="36"/>
        <v>11625.062399999999</v>
      </c>
    </row>
    <row r="474" spans="22:25" x14ac:dyDescent="0.2">
      <c r="V474" s="326" t="s">
        <v>18541</v>
      </c>
      <c r="W474" s="327" t="s">
        <v>18229</v>
      </c>
      <c r="X474" s="328">
        <v>20808.648000000001</v>
      </c>
      <c r="Y474" s="1">
        <f t="shared" si="36"/>
        <v>14149.880639999999</v>
      </c>
    </row>
    <row r="475" spans="22:25" x14ac:dyDescent="0.2">
      <c r="V475" s="326">
        <v>1075</v>
      </c>
      <c r="W475" s="327" t="s">
        <v>18229</v>
      </c>
      <c r="X475" s="328">
        <v>32588.640000000003</v>
      </c>
      <c r="Y475" s="1">
        <f t="shared" si="36"/>
        <v>22160.2752</v>
      </c>
    </row>
    <row r="476" spans="22:25" x14ac:dyDescent="0.2">
      <c r="V476" s="326" t="s">
        <v>18542</v>
      </c>
      <c r="W476" s="327" t="s">
        <v>18229</v>
      </c>
      <c r="X476" s="328">
        <v>32944.800000000003</v>
      </c>
      <c r="Y476" s="1">
        <f t="shared" si="36"/>
        <v>22402.464</v>
      </c>
    </row>
    <row r="477" spans="22:25" x14ac:dyDescent="0.2">
      <c r="V477" s="326">
        <v>1076</v>
      </c>
      <c r="W477" s="327" t="s">
        <v>18229</v>
      </c>
      <c r="X477" s="328">
        <v>14958.720000000001</v>
      </c>
      <c r="Y477" s="1">
        <f t="shared" si="36"/>
        <v>10171.929599999999</v>
      </c>
    </row>
    <row r="478" spans="22:25" x14ac:dyDescent="0.2">
      <c r="V478" s="326" t="s">
        <v>18543</v>
      </c>
      <c r="W478" s="327" t="s">
        <v>18229</v>
      </c>
      <c r="X478" s="328">
        <v>18493.608</v>
      </c>
      <c r="Y478" s="1">
        <f t="shared" si="36"/>
        <v>12575.653439999998</v>
      </c>
    </row>
    <row r="479" spans="22:25" x14ac:dyDescent="0.2">
      <c r="V479" s="326">
        <v>1077</v>
      </c>
      <c r="W479" s="327" t="s">
        <v>18229</v>
      </c>
      <c r="X479" s="328">
        <v>37040.639999999999</v>
      </c>
      <c r="Y479" s="1">
        <f t="shared" si="36"/>
        <v>25187.635199999997</v>
      </c>
    </row>
    <row r="480" spans="22:25" x14ac:dyDescent="0.2">
      <c r="V480" s="326" t="s">
        <v>18544</v>
      </c>
      <c r="W480" s="327" t="s">
        <v>18229</v>
      </c>
      <c r="X480" s="328">
        <v>40117.523200000003</v>
      </c>
      <c r="Y480" s="1">
        <f t="shared" si="36"/>
        <v>27279.915775999998</v>
      </c>
    </row>
    <row r="481" spans="22:25" x14ac:dyDescent="0.2">
      <c r="V481" s="326">
        <v>1078</v>
      </c>
      <c r="W481" s="327" t="s">
        <v>18229</v>
      </c>
      <c r="X481" s="328">
        <v>17095.68</v>
      </c>
      <c r="Y481" s="1">
        <f t="shared" si="36"/>
        <v>11625.062399999999</v>
      </c>
    </row>
    <row r="482" spans="22:25" x14ac:dyDescent="0.2">
      <c r="V482" s="326" t="s">
        <v>18545</v>
      </c>
      <c r="W482" s="327" t="s">
        <v>18229</v>
      </c>
      <c r="X482" s="328">
        <v>20630.567999999999</v>
      </c>
      <c r="Y482" s="1">
        <f t="shared" si="36"/>
        <v>14028.786239999998</v>
      </c>
    </row>
    <row r="483" spans="22:25" x14ac:dyDescent="0.2">
      <c r="V483" s="335">
        <v>1079</v>
      </c>
      <c r="W483" s="327" t="s">
        <v>18229</v>
      </c>
      <c r="X483" s="328">
        <v>14958.720000000001</v>
      </c>
      <c r="Y483" s="1">
        <f t="shared" si="36"/>
        <v>10171.929599999999</v>
      </c>
    </row>
    <row r="484" spans="22:25" x14ac:dyDescent="0.2">
      <c r="V484" s="335" t="s">
        <v>18546</v>
      </c>
      <c r="W484" s="327" t="s">
        <v>18229</v>
      </c>
      <c r="X484" s="328">
        <v>18493.608</v>
      </c>
      <c r="Y484" s="1">
        <f t="shared" si="36"/>
        <v>12575.653439999998</v>
      </c>
    </row>
    <row r="485" spans="22:25" x14ac:dyDescent="0.2">
      <c r="V485" s="335">
        <v>1080</v>
      </c>
      <c r="W485" s="327" t="s">
        <v>18229</v>
      </c>
      <c r="X485" s="328">
        <v>17095.68</v>
      </c>
      <c r="Y485" s="1">
        <f t="shared" si="36"/>
        <v>11625.062399999999</v>
      </c>
    </row>
    <row r="486" spans="22:25" x14ac:dyDescent="0.2">
      <c r="V486" s="335" t="s">
        <v>18547</v>
      </c>
      <c r="W486" s="327" t="s">
        <v>18229</v>
      </c>
      <c r="X486" s="328">
        <v>20630.567999999999</v>
      </c>
      <c r="Y486" s="1">
        <f t="shared" si="36"/>
        <v>14028.786239999998</v>
      </c>
    </row>
    <row r="487" spans="22:25" x14ac:dyDescent="0.2">
      <c r="V487" s="326">
        <v>1081</v>
      </c>
      <c r="W487" s="327" t="s">
        <v>18229</v>
      </c>
      <c r="X487" s="328">
        <v>42026.880000000005</v>
      </c>
      <c r="Y487" s="1">
        <f t="shared" si="36"/>
        <v>28578.278399999999</v>
      </c>
    </row>
    <row r="488" spans="22:25" x14ac:dyDescent="0.2">
      <c r="V488" s="326" t="s">
        <v>18548</v>
      </c>
      <c r="W488" s="327" t="s">
        <v>18229</v>
      </c>
      <c r="X488" s="328">
        <v>42917.279999999999</v>
      </c>
      <c r="Y488" s="1">
        <f t="shared" si="36"/>
        <v>29183.750399999997</v>
      </c>
    </row>
    <row r="489" spans="22:25" x14ac:dyDescent="0.2">
      <c r="V489" s="335">
        <v>1083</v>
      </c>
      <c r="W489" s="327" t="s">
        <v>18229</v>
      </c>
      <c r="X489" s="328">
        <v>34191.360000000001</v>
      </c>
      <c r="Y489" s="1">
        <f t="shared" si="36"/>
        <v>23250.124799999998</v>
      </c>
    </row>
    <row r="490" spans="22:25" x14ac:dyDescent="0.2">
      <c r="V490" s="335" t="s">
        <v>18549</v>
      </c>
      <c r="W490" s="327" t="s">
        <v>18229</v>
      </c>
      <c r="X490" s="328">
        <v>36912.083200000001</v>
      </c>
      <c r="Y490" s="1">
        <f t="shared" si="36"/>
        <v>25100.216575999999</v>
      </c>
    </row>
    <row r="491" spans="22:25" x14ac:dyDescent="0.2">
      <c r="V491" s="335">
        <v>1084</v>
      </c>
      <c r="W491" s="327" t="s">
        <v>18229</v>
      </c>
      <c r="X491" s="328">
        <v>20657.280000000002</v>
      </c>
      <c r="Y491" s="1">
        <f t="shared" si="36"/>
        <v>14046.9504</v>
      </c>
    </row>
    <row r="492" spans="22:25" x14ac:dyDescent="0.2">
      <c r="V492" s="335">
        <v>1085</v>
      </c>
      <c r="W492" s="327" t="s">
        <v>18229</v>
      </c>
      <c r="X492" s="328">
        <v>10862.880000000001</v>
      </c>
      <c r="Y492" s="1">
        <f t="shared" si="36"/>
        <v>7386.7583999999997</v>
      </c>
    </row>
    <row r="493" spans="22:25" x14ac:dyDescent="0.2">
      <c r="V493" s="335"/>
      <c r="W493" s="327"/>
      <c r="X493" s="328">
        <v>0</v>
      </c>
      <c r="Y493" s="1">
        <f t="shared" si="36"/>
        <v>0</v>
      </c>
    </row>
    <row r="494" spans="22:25" x14ac:dyDescent="0.2">
      <c r="V494" s="335"/>
      <c r="W494" s="327"/>
      <c r="X494" s="328">
        <v>0</v>
      </c>
      <c r="Y494" s="1">
        <f t="shared" si="36"/>
        <v>0</v>
      </c>
    </row>
    <row r="495" spans="22:25" x14ac:dyDescent="0.2">
      <c r="V495" s="326"/>
      <c r="W495" s="327"/>
      <c r="X495" s="328">
        <v>0</v>
      </c>
      <c r="Y495" s="1">
        <f t="shared" si="36"/>
        <v>0</v>
      </c>
    </row>
    <row r="496" spans="22:25" x14ac:dyDescent="0.2">
      <c r="V496" s="326"/>
      <c r="W496" s="327"/>
      <c r="X496" s="328">
        <v>0</v>
      </c>
      <c r="Y496" s="1">
        <f t="shared" si="36"/>
        <v>0</v>
      </c>
    </row>
    <row r="497" spans="22:25" x14ac:dyDescent="0.2">
      <c r="V497" s="326"/>
      <c r="W497" s="327"/>
      <c r="X497" s="328">
        <v>0</v>
      </c>
      <c r="Y497" s="1">
        <f t="shared" si="36"/>
        <v>0</v>
      </c>
    </row>
    <row r="498" spans="22:25" x14ac:dyDescent="0.2">
      <c r="V498" s="326">
        <v>1222</v>
      </c>
      <c r="W498" s="327" t="s">
        <v>18229</v>
      </c>
      <c r="X498" s="328">
        <v>0</v>
      </c>
      <c r="Y498" s="1">
        <f t="shared" si="36"/>
        <v>0</v>
      </c>
    </row>
    <row r="499" spans="22:25" x14ac:dyDescent="0.2">
      <c r="V499" s="326">
        <v>1223</v>
      </c>
      <c r="W499" s="327" t="s">
        <v>18229</v>
      </c>
      <c r="X499" s="328">
        <v>0</v>
      </c>
      <c r="Y499" s="1">
        <f t="shared" si="36"/>
        <v>0</v>
      </c>
    </row>
    <row r="500" spans="22:25" x14ac:dyDescent="0.2">
      <c r="V500" s="326">
        <v>1230</v>
      </c>
      <c r="W500" s="327" t="s">
        <v>18229</v>
      </c>
      <c r="X500" s="328">
        <v>0</v>
      </c>
      <c r="Y500" s="1">
        <f t="shared" si="36"/>
        <v>0</v>
      </c>
    </row>
    <row r="501" spans="22:25" x14ac:dyDescent="0.2">
      <c r="V501" s="326">
        <v>1240</v>
      </c>
      <c r="W501" s="327" t="s">
        <v>18229</v>
      </c>
      <c r="X501" s="328">
        <v>0</v>
      </c>
      <c r="Y501" s="1">
        <f t="shared" si="36"/>
        <v>0</v>
      </c>
    </row>
    <row r="502" spans="22:25" x14ac:dyDescent="0.2">
      <c r="V502" s="326">
        <v>1241</v>
      </c>
      <c r="W502" s="327" t="s">
        <v>18229</v>
      </c>
      <c r="X502" s="328">
        <v>0</v>
      </c>
      <c r="Y502" s="1">
        <f t="shared" si="36"/>
        <v>0</v>
      </c>
    </row>
    <row r="503" spans="22:25" x14ac:dyDescent="0.2">
      <c r="V503" s="326">
        <v>1270</v>
      </c>
      <c r="W503" s="327" t="s">
        <v>18229</v>
      </c>
      <c r="X503" s="328">
        <v>0</v>
      </c>
      <c r="Y503" s="1">
        <f t="shared" si="36"/>
        <v>0</v>
      </c>
    </row>
    <row r="504" spans="22:25" x14ac:dyDescent="0.2">
      <c r="V504" s="326">
        <v>1271</v>
      </c>
      <c r="W504" s="327" t="s">
        <v>18229</v>
      </c>
      <c r="X504" s="328">
        <v>0</v>
      </c>
      <c r="Y504" s="1">
        <f t="shared" si="36"/>
        <v>0</v>
      </c>
    </row>
    <row r="505" spans="22:25" x14ac:dyDescent="0.2">
      <c r="V505" s="326">
        <v>1272</v>
      </c>
      <c r="W505" s="326" t="s">
        <v>18229</v>
      </c>
      <c r="X505" s="328">
        <v>0</v>
      </c>
      <c r="Y505" s="1">
        <f t="shared" si="36"/>
        <v>0</v>
      </c>
    </row>
    <row r="506" spans="22:25" x14ac:dyDescent="0.2">
      <c r="V506" s="326">
        <v>2000</v>
      </c>
      <c r="W506" s="326" t="s">
        <v>18318</v>
      </c>
      <c r="X506" s="328">
        <v>3072</v>
      </c>
      <c r="Y506" s="1">
        <f t="shared" si="36"/>
        <v>2088.96</v>
      </c>
    </row>
    <row r="507" spans="22:25" x14ac:dyDescent="0.2">
      <c r="V507" s="326">
        <v>2001</v>
      </c>
      <c r="W507" s="326" t="s">
        <v>18318</v>
      </c>
      <c r="X507" s="328">
        <v>2713.6</v>
      </c>
      <c r="Y507" s="1">
        <f t="shared" si="36"/>
        <v>1845.2479999999998</v>
      </c>
    </row>
    <row r="508" spans="22:25" x14ac:dyDescent="0.2">
      <c r="V508" s="326">
        <v>2002</v>
      </c>
      <c r="W508" s="326" t="s">
        <v>18318</v>
      </c>
      <c r="X508" s="328">
        <v>3072</v>
      </c>
      <c r="Y508" s="1">
        <f t="shared" si="36"/>
        <v>2088.96</v>
      </c>
    </row>
    <row r="509" spans="22:25" x14ac:dyDescent="0.2">
      <c r="V509" s="326">
        <v>2004</v>
      </c>
      <c r="W509" s="326" t="s">
        <v>18318</v>
      </c>
      <c r="X509" s="328">
        <v>3520</v>
      </c>
      <c r="Y509" s="1">
        <f t="shared" si="36"/>
        <v>2393.6</v>
      </c>
    </row>
    <row r="510" spans="22:25" x14ac:dyDescent="0.2">
      <c r="V510" s="326">
        <v>2005</v>
      </c>
      <c r="W510" s="327" t="s">
        <v>18318</v>
      </c>
      <c r="X510" s="328">
        <v>2355.1999999999998</v>
      </c>
      <c r="Y510" s="1">
        <f t="shared" si="36"/>
        <v>1601.5359999999998</v>
      </c>
    </row>
    <row r="511" spans="22:25" x14ac:dyDescent="0.2">
      <c r="V511" s="326">
        <v>2006</v>
      </c>
      <c r="W511" s="327" t="s">
        <v>18229</v>
      </c>
      <c r="X511" s="328">
        <v>2252.8000000000002</v>
      </c>
      <c r="Y511" s="1">
        <f t="shared" si="36"/>
        <v>1531.904</v>
      </c>
    </row>
    <row r="512" spans="22:25" x14ac:dyDescent="0.2">
      <c r="V512" s="326">
        <v>2007</v>
      </c>
      <c r="W512" s="327" t="s">
        <v>18229</v>
      </c>
      <c r="X512" s="328">
        <v>1996.8</v>
      </c>
      <c r="Y512" s="1">
        <f t="shared" si="36"/>
        <v>1357.8239999999998</v>
      </c>
    </row>
    <row r="513" spans="22:25" x14ac:dyDescent="0.2">
      <c r="V513" s="326">
        <v>2008</v>
      </c>
      <c r="W513" s="326" t="s">
        <v>18318</v>
      </c>
      <c r="X513" s="328">
        <v>3072</v>
      </c>
      <c r="Y513" s="1">
        <f t="shared" si="36"/>
        <v>2088.96</v>
      </c>
    </row>
    <row r="514" spans="22:25" x14ac:dyDescent="0.2">
      <c r="V514" s="326">
        <v>2009</v>
      </c>
      <c r="W514" s="326" t="s">
        <v>18318</v>
      </c>
      <c r="X514" s="328">
        <v>3072</v>
      </c>
      <c r="Y514" s="1">
        <f t="shared" si="36"/>
        <v>2088.96</v>
      </c>
    </row>
    <row r="515" spans="22:25" x14ac:dyDescent="0.2">
      <c r="V515" s="326">
        <v>2010</v>
      </c>
      <c r="W515" s="327" t="s">
        <v>18229</v>
      </c>
      <c r="X515" s="328">
        <v>5888</v>
      </c>
      <c r="Y515" s="1">
        <f t="shared" ref="Y515:Y578" si="37">+(1-$AA$1)*X515</f>
        <v>4003.8399999999997</v>
      </c>
    </row>
    <row r="516" spans="22:25" x14ac:dyDescent="0.2">
      <c r="V516" s="326">
        <v>2013</v>
      </c>
      <c r="W516" s="326" t="s">
        <v>18396</v>
      </c>
      <c r="X516" s="328">
        <v>74752</v>
      </c>
      <c r="Y516" s="1">
        <f t="shared" si="37"/>
        <v>50831.359999999993</v>
      </c>
    </row>
    <row r="517" spans="22:25" x14ac:dyDescent="0.2">
      <c r="V517" s="326">
        <v>2014</v>
      </c>
      <c r="W517" s="326" t="s">
        <v>18396</v>
      </c>
      <c r="X517" s="328">
        <v>74752</v>
      </c>
      <c r="Y517" s="1">
        <f t="shared" si="37"/>
        <v>50831.359999999993</v>
      </c>
    </row>
    <row r="518" spans="22:25" x14ac:dyDescent="0.2">
      <c r="V518" s="326">
        <v>2020</v>
      </c>
      <c r="W518" s="326" t="s">
        <v>18318</v>
      </c>
      <c r="X518" s="328">
        <v>2355.1999999999998</v>
      </c>
      <c r="Y518" s="1">
        <f t="shared" si="37"/>
        <v>1601.5359999999998</v>
      </c>
    </row>
    <row r="519" spans="22:25" x14ac:dyDescent="0.2">
      <c r="V519" s="326">
        <v>2021</v>
      </c>
      <c r="W519" s="327" t="s">
        <v>18229</v>
      </c>
      <c r="X519" s="328">
        <v>1638.4</v>
      </c>
      <c r="Y519" s="1">
        <f t="shared" si="37"/>
        <v>1114.1119999999999</v>
      </c>
    </row>
    <row r="520" spans="22:25" x14ac:dyDescent="0.2">
      <c r="V520" s="326">
        <v>2022</v>
      </c>
      <c r="W520" s="327" t="s">
        <v>18229</v>
      </c>
      <c r="X520" s="328">
        <v>1824</v>
      </c>
      <c r="Y520" s="1">
        <f t="shared" si="37"/>
        <v>1240.32</v>
      </c>
    </row>
    <row r="521" spans="22:25" x14ac:dyDescent="0.2">
      <c r="V521" s="335">
        <v>2023</v>
      </c>
      <c r="W521" s="341" t="s">
        <v>18229</v>
      </c>
      <c r="X521" s="328">
        <v>3560</v>
      </c>
      <c r="Y521" s="1">
        <f t="shared" si="37"/>
        <v>2420.7999999999997</v>
      </c>
    </row>
    <row r="522" spans="22:25" x14ac:dyDescent="0.2">
      <c r="V522" s="331" t="s">
        <v>18550</v>
      </c>
      <c r="W522" s="327" t="s">
        <v>18229</v>
      </c>
      <c r="X522" s="328">
        <v>286.72000000000003</v>
      </c>
      <c r="Y522" s="1">
        <f t="shared" si="37"/>
        <v>194.96960000000001</v>
      </c>
    </row>
    <row r="523" spans="22:25" x14ac:dyDescent="0.2">
      <c r="V523" s="326" t="s">
        <v>18551</v>
      </c>
      <c r="W523" s="327" t="s">
        <v>18229</v>
      </c>
      <c r="X523" s="328">
        <v>371.2</v>
      </c>
      <c r="Y523" s="1">
        <f t="shared" si="37"/>
        <v>252.41599999999997</v>
      </c>
    </row>
    <row r="524" spans="22:25" x14ac:dyDescent="0.2">
      <c r="V524" s="326" t="s">
        <v>18552</v>
      </c>
      <c r="W524" s="327" t="s">
        <v>18229</v>
      </c>
      <c r="X524" s="328">
        <v>286.72000000000003</v>
      </c>
      <c r="Y524" s="1">
        <f t="shared" si="37"/>
        <v>194.96960000000001</v>
      </c>
    </row>
    <row r="525" spans="22:25" x14ac:dyDescent="0.2">
      <c r="V525" s="326" t="s">
        <v>18553</v>
      </c>
      <c r="W525" s="327" t="s">
        <v>18229</v>
      </c>
      <c r="X525" s="328">
        <v>371.2</v>
      </c>
      <c r="Y525" s="1">
        <f t="shared" si="37"/>
        <v>252.41599999999997</v>
      </c>
    </row>
    <row r="526" spans="22:25" x14ac:dyDescent="0.2">
      <c r="V526" s="326" t="s">
        <v>18554</v>
      </c>
      <c r="W526" s="327" t="s">
        <v>18229</v>
      </c>
      <c r="X526" s="328">
        <v>540.79999999999995</v>
      </c>
      <c r="Y526" s="1">
        <f t="shared" si="37"/>
        <v>367.74399999999991</v>
      </c>
    </row>
    <row r="527" spans="22:25" x14ac:dyDescent="0.2">
      <c r="V527" s="326" t="s">
        <v>18555</v>
      </c>
      <c r="W527" s="327" t="s">
        <v>18229</v>
      </c>
      <c r="X527" s="328">
        <v>716.8</v>
      </c>
      <c r="Y527" s="1">
        <f t="shared" si="37"/>
        <v>487.42399999999992</v>
      </c>
    </row>
    <row r="528" spans="22:25" x14ac:dyDescent="0.2">
      <c r="V528" s="326" t="s">
        <v>18556</v>
      </c>
      <c r="W528" s="327" t="s">
        <v>18229</v>
      </c>
      <c r="X528" s="328">
        <v>368.64</v>
      </c>
      <c r="Y528" s="1">
        <f t="shared" si="37"/>
        <v>250.67519999999996</v>
      </c>
    </row>
    <row r="529" spans="22:25" x14ac:dyDescent="0.2">
      <c r="V529" s="326" t="s">
        <v>18557</v>
      </c>
      <c r="W529" s="327" t="s">
        <v>18229</v>
      </c>
      <c r="X529" s="328">
        <v>515.20000000000005</v>
      </c>
      <c r="Y529" s="1">
        <f t="shared" si="37"/>
        <v>350.33600000000001</v>
      </c>
    </row>
    <row r="530" spans="22:25" x14ac:dyDescent="0.2">
      <c r="V530" s="326" t="s">
        <v>18558</v>
      </c>
      <c r="W530" s="327" t="s">
        <v>18229</v>
      </c>
      <c r="X530" s="328">
        <v>337.92</v>
      </c>
      <c r="Y530" s="1">
        <f t="shared" si="37"/>
        <v>229.78559999999999</v>
      </c>
    </row>
    <row r="531" spans="22:25" x14ac:dyDescent="0.2">
      <c r="V531" s="326" t="s">
        <v>18559</v>
      </c>
      <c r="W531" s="327" t="s">
        <v>18229</v>
      </c>
      <c r="X531" s="328">
        <v>473.6</v>
      </c>
      <c r="Y531" s="1">
        <f t="shared" si="37"/>
        <v>322.048</v>
      </c>
    </row>
    <row r="532" spans="22:25" x14ac:dyDescent="0.2">
      <c r="V532" s="326" t="s">
        <v>18560</v>
      </c>
      <c r="W532" s="327" t="s">
        <v>18229</v>
      </c>
      <c r="X532" s="328">
        <v>337.92</v>
      </c>
      <c r="Y532" s="1">
        <f t="shared" si="37"/>
        <v>229.78559999999999</v>
      </c>
    </row>
    <row r="533" spans="22:25" x14ac:dyDescent="0.2">
      <c r="V533" s="326" t="s">
        <v>18561</v>
      </c>
      <c r="W533" s="327" t="s">
        <v>18229</v>
      </c>
      <c r="X533" s="328">
        <v>464</v>
      </c>
      <c r="Y533" s="1">
        <f t="shared" si="37"/>
        <v>315.52</v>
      </c>
    </row>
    <row r="534" spans="22:25" x14ac:dyDescent="0.2">
      <c r="V534" s="326" t="s">
        <v>18562</v>
      </c>
      <c r="W534" s="327" t="s">
        <v>18229</v>
      </c>
      <c r="X534" s="328">
        <v>409.6</v>
      </c>
      <c r="Y534" s="1">
        <f t="shared" si="37"/>
        <v>278.52799999999996</v>
      </c>
    </row>
    <row r="535" spans="22:25" x14ac:dyDescent="0.2">
      <c r="V535" s="326" t="s">
        <v>18563</v>
      </c>
      <c r="W535" s="327" t="s">
        <v>18229</v>
      </c>
      <c r="X535" s="328">
        <v>547.20000000000005</v>
      </c>
      <c r="Y535" s="1">
        <f t="shared" si="37"/>
        <v>372.096</v>
      </c>
    </row>
    <row r="536" spans="22:25" x14ac:dyDescent="0.2">
      <c r="V536" s="326" t="s">
        <v>18564</v>
      </c>
      <c r="W536" s="327" t="s">
        <v>18229</v>
      </c>
      <c r="X536" s="328">
        <v>337.92</v>
      </c>
      <c r="Y536" s="1">
        <f t="shared" si="37"/>
        <v>229.78559999999999</v>
      </c>
    </row>
    <row r="537" spans="22:25" x14ac:dyDescent="0.2">
      <c r="V537" s="326" t="s">
        <v>18565</v>
      </c>
      <c r="W537" s="327" t="s">
        <v>18229</v>
      </c>
      <c r="X537" s="328">
        <v>422.4</v>
      </c>
      <c r="Y537" s="1">
        <f t="shared" si="37"/>
        <v>287.23199999999997</v>
      </c>
    </row>
    <row r="538" spans="22:25" x14ac:dyDescent="0.2">
      <c r="V538" s="326" t="s">
        <v>18566</v>
      </c>
      <c r="W538" s="327" t="s">
        <v>18229</v>
      </c>
      <c r="X538" s="328">
        <v>329.6</v>
      </c>
      <c r="Y538" s="1">
        <f t="shared" si="37"/>
        <v>224.12799999999999</v>
      </c>
    </row>
    <row r="539" spans="22:25" x14ac:dyDescent="0.2">
      <c r="V539" s="326" t="s">
        <v>18567</v>
      </c>
      <c r="W539" s="327" t="s">
        <v>18229</v>
      </c>
      <c r="X539" s="328">
        <v>481.28</v>
      </c>
      <c r="Y539" s="1">
        <f t="shared" si="37"/>
        <v>327.27039999999994</v>
      </c>
    </row>
    <row r="540" spans="22:25" x14ac:dyDescent="0.2">
      <c r="V540" s="326" t="s">
        <v>18568</v>
      </c>
      <c r="W540" s="327" t="s">
        <v>18229</v>
      </c>
      <c r="X540" s="328">
        <v>0</v>
      </c>
      <c r="Y540" s="1">
        <f t="shared" si="37"/>
        <v>0</v>
      </c>
    </row>
    <row r="541" spans="22:25" x14ac:dyDescent="0.2">
      <c r="V541" s="326" t="s">
        <v>18569</v>
      </c>
      <c r="W541" s="327" t="s">
        <v>18229</v>
      </c>
      <c r="X541" s="328">
        <v>0</v>
      </c>
      <c r="Y541" s="1">
        <f t="shared" si="37"/>
        <v>0</v>
      </c>
    </row>
    <row r="542" spans="22:25" x14ac:dyDescent="0.2">
      <c r="V542" s="326" t="s">
        <v>18570</v>
      </c>
      <c r="W542" s="327" t="s">
        <v>18229</v>
      </c>
      <c r="X542" s="328">
        <v>0</v>
      </c>
      <c r="Y542" s="1">
        <f t="shared" si="37"/>
        <v>0</v>
      </c>
    </row>
    <row r="543" spans="22:25" x14ac:dyDescent="0.2">
      <c r="V543" s="349" t="s">
        <v>18571</v>
      </c>
      <c r="W543" s="350" t="s">
        <v>18229</v>
      </c>
      <c r="X543" s="328">
        <v>0</v>
      </c>
      <c r="Y543" s="1">
        <f t="shared" si="37"/>
        <v>0</v>
      </c>
    </row>
    <row r="544" spans="22:25" x14ac:dyDescent="0.2">
      <c r="V544" s="351" t="s">
        <v>18572</v>
      </c>
      <c r="W544" s="327" t="s">
        <v>18229</v>
      </c>
      <c r="X544" s="328">
        <v>835.2</v>
      </c>
      <c r="Y544" s="1">
        <f t="shared" si="37"/>
        <v>567.93600000000004</v>
      </c>
    </row>
    <row r="545" spans="22:25" x14ac:dyDescent="0.2">
      <c r="V545" s="351" t="s">
        <v>18573</v>
      </c>
      <c r="W545" s="327" t="s">
        <v>18229</v>
      </c>
      <c r="X545" s="328">
        <v>1027.52</v>
      </c>
      <c r="Y545" s="1">
        <f t="shared" si="37"/>
        <v>698.71359999999993</v>
      </c>
    </row>
    <row r="546" spans="22:25" x14ac:dyDescent="0.2">
      <c r="V546" s="351" t="s">
        <v>18574</v>
      </c>
      <c r="W546" s="327" t="s">
        <v>18229</v>
      </c>
      <c r="X546" s="328">
        <v>1160</v>
      </c>
      <c r="Y546" s="1">
        <f t="shared" si="37"/>
        <v>788.8</v>
      </c>
    </row>
    <row r="547" spans="22:25" x14ac:dyDescent="0.2">
      <c r="V547" s="351" t="s">
        <v>18575</v>
      </c>
      <c r="W547" s="327" t="s">
        <v>18229</v>
      </c>
      <c r="X547" s="328">
        <v>1521.6</v>
      </c>
      <c r="Y547" s="1">
        <f t="shared" si="37"/>
        <v>1034.6879999999999</v>
      </c>
    </row>
    <row r="548" spans="22:25" x14ac:dyDescent="0.2">
      <c r="V548" s="338" t="s">
        <v>18576</v>
      </c>
      <c r="W548" s="339" t="s">
        <v>18229</v>
      </c>
      <c r="X548" s="328">
        <v>638.4</v>
      </c>
      <c r="Y548" s="1">
        <f t="shared" si="37"/>
        <v>434.11199999999997</v>
      </c>
    </row>
    <row r="549" spans="22:25" x14ac:dyDescent="0.2">
      <c r="V549" s="326" t="s">
        <v>18577</v>
      </c>
      <c r="W549" s="327" t="s">
        <v>18229</v>
      </c>
      <c r="X549" s="328">
        <v>972.8</v>
      </c>
      <c r="Y549" s="1">
        <f t="shared" si="37"/>
        <v>661.50399999999991</v>
      </c>
    </row>
    <row r="550" spans="22:25" x14ac:dyDescent="0.2">
      <c r="V550" s="352" t="s">
        <v>18578</v>
      </c>
      <c r="W550" s="353" t="s">
        <v>18229</v>
      </c>
      <c r="X550" s="328">
        <v>706.56</v>
      </c>
      <c r="Y550" s="1">
        <f t="shared" si="37"/>
        <v>480.46079999999989</v>
      </c>
    </row>
    <row r="551" spans="22:25" x14ac:dyDescent="0.2">
      <c r="V551" s="354" t="s">
        <v>18579</v>
      </c>
      <c r="W551" s="345" t="s">
        <v>18229</v>
      </c>
      <c r="X551" s="328">
        <v>918.4</v>
      </c>
      <c r="Y551" s="1">
        <f t="shared" si="37"/>
        <v>624.51199999999994</v>
      </c>
    </row>
    <row r="552" spans="22:25" x14ac:dyDescent="0.2">
      <c r="V552" s="351"/>
      <c r="W552" s="327"/>
      <c r="X552" s="328">
        <v>0</v>
      </c>
      <c r="Y552" s="1">
        <f t="shared" si="37"/>
        <v>0</v>
      </c>
    </row>
    <row r="553" spans="22:25" x14ac:dyDescent="0.2">
      <c r="V553" s="351"/>
      <c r="W553" s="327"/>
      <c r="X553" s="328">
        <v>0</v>
      </c>
      <c r="Y553" s="1">
        <f t="shared" si="37"/>
        <v>0</v>
      </c>
    </row>
    <row r="554" spans="22:25" x14ac:dyDescent="0.2">
      <c r="V554" s="326" t="s">
        <v>18580</v>
      </c>
      <c r="W554" s="327" t="s">
        <v>18229</v>
      </c>
      <c r="X554" s="328">
        <v>921.6</v>
      </c>
      <c r="Y554" s="1">
        <f t="shared" si="37"/>
        <v>626.68799999999999</v>
      </c>
    </row>
    <row r="555" spans="22:25" x14ac:dyDescent="0.2">
      <c r="V555" s="326" t="s">
        <v>18581</v>
      </c>
      <c r="W555" s="327" t="s">
        <v>18229</v>
      </c>
      <c r="X555" s="328">
        <v>1200</v>
      </c>
      <c r="Y555" s="1">
        <f t="shared" si="37"/>
        <v>815.99999999999989</v>
      </c>
    </row>
    <row r="556" spans="22:25" x14ac:dyDescent="0.2">
      <c r="V556" s="326" t="s">
        <v>18582</v>
      </c>
      <c r="W556" s="327" t="s">
        <v>18229</v>
      </c>
      <c r="X556" s="328">
        <v>921.6</v>
      </c>
      <c r="Y556" s="1">
        <f t="shared" si="37"/>
        <v>626.68799999999999</v>
      </c>
    </row>
    <row r="557" spans="22:25" x14ac:dyDescent="0.2">
      <c r="V557" s="326" t="s">
        <v>18583</v>
      </c>
      <c r="W557" s="327" t="s">
        <v>18229</v>
      </c>
      <c r="X557" s="328">
        <v>1027.2</v>
      </c>
      <c r="Y557" s="1">
        <f t="shared" si="37"/>
        <v>698.49599999999998</v>
      </c>
    </row>
    <row r="558" spans="22:25" x14ac:dyDescent="0.2">
      <c r="V558" s="326" t="s">
        <v>18584</v>
      </c>
      <c r="W558" s="327" t="s">
        <v>18229</v>
      </c>
      <c r="X558" s="328">
        <v>0</v>
      </c>
      <c r="Y558" s="1">
        <f t="shared" si="37"/>
        <v>0</v>
      </c>
    </row>
    <row r="559" spans="22:25" x14ac:dyDescent="0.2">
      <c r="V559" s="326" t="s">
        <v>18585</v>
      </c>
      <c r="W559" s="327" t="s">
        <v>18229</v>
      </c>
      <c r="X559" s="328">
        <v>1484.8</v>
      </c>
      <c r="Y559" s="1">
        <f t="shared" si="37"/>
        <v>1009.6639999999999</v>
      </c>
    </row>
    <row r="560" spans="22:25" x14ac:dyDescent="0.2">
      <c r="V560" s="326" t="s">
        <v>18586</v>
      </c>
      <c r="W560" s="327" t="s">
        <v>18229</v>
      </c>
      <c r="X560" s="328">
        <v>706.56</v>
      </c>
      <c r="Y560" s="1">
        <f t="shared" si="37"/>
        <v>480.46079999999989</v>
      </c>
    </row>
    <row r="561" spans="22:25" x14ac:dyDescent="0.2">
      <c r="V561" s="326" t="s">
        <v>18587</v>
      </c>
      <c r="W561" s="327" t="s">
        <v>18229</v>
      </c>
      <c r="X561" s="328">
        <v>918.4</v>
      </c>
      <c r="Y561" s="1">
        <f t="shared" si="37"/>
        <v>624.51199999999994</v>
      </c>
    </row>
    <row r="562" spans="22:25" x14ac:dyDescent="0.2">
      <c r="V562" s="326" t="s">
        <v>18588</v>
      </c>
      <c r="W562" s="327" t="s">
        <v>18229</v>
      </c>
      <c r="X562" s="328">
        <v>1241.5999999999999</v>
      </c>
      <c r="Y562" s="1">
        <f t="shared" si="37"/>
        <v>844.2879999999999</v>
      </c>
    </row>
    <row r="563" spans="22:25" x14ac:dyDescent="0.2">
      <c r="V563" s="326" t="s">
        <v>18589</v>
      </c>
      <c r="W563" s="327" t="s">
        <v>18229</v>
      </c>
      <c r="X563" s="328">
        <v>1440</v>
      </c>
      <c r="Y563" s="1">
        <f t="shared" si="37"/>
        <v>979.19999999999993</v>
      </c>
    </row>
    <row r="564" spans="22:25" x14ac:dyDescent="0.2">
      <c r="V564" s="326" t="s">
        <v>18590</v>
      </c>
      <c r="W564" s="327" t="s">
        <v>18229</v>
      </c>
      <c r="X564" s="328">
        <v>1040</v>
      </c>
      <c r="Y564" s="1">
        <f t="shared" si="37"/>
        <v>707.19999999999993</v>
      </c>
    </row>
    <row r="565" spans="22:25" x14ac:dyDescent="0.2">
      <c r="V565" s="326" t="s">
        <v>18591</v>
      </c>
      <c r="W565" s="327" t="s">
        <v>18229</v>
      </c>
      <c r="X565" s="328">
        <v>1200</v>
      </c>
      <c r="Y565" s="1">
        <f t="shared" si="37"/>
        <v>815.99999999999989</v>
      </c>
    </row>
    <row r="566" spans="22:25" x14ac:dyDescent="0.2">
      <c r="V566" s="326" t="s">
        <v>18592</v>
      </c>
      <c r="W566" s="327" t="s">
        <v>18229</v>
      </c>
      <c r="X566" s="328">
        <v>784</v>
      </c>
      <c r="Y566" s="1">
        <f t="shared" si="37"/>
        <v>533.12</v>
      </c>
    </row>
    <row r="567" spans="22:25" x14ac:dyDescent="0.2">
      <c r="V567" s="326" t="s">
        <v>18593</v>
      </c>
      <c r="W567" s="327" t="s">
        <v>18229</v>
      </c>
      <c r="X567" s="328">
        <v>1040</v>
      </c>
      <c r="Y567" s="1">
        <f t="shared" si="37"/>
        <v>707.19999999999993</v>
      </c>
    </row>
    <row r="568" spans="22:25" x14ac:dyDescent="0.2">
      <c r="V568" s="326" t="s">
        <v>18594</v>
      </c>
      <c r="W568" s="327" t="s">
        <v>18229</v>
      </c>
      <c r="X568" s="328">
        <v>1036.8</v>
      </c>
      <c r="Y568" s="1">
        <f t="shared" si="37"/>
        <v>705.02399999999989</v>
      </c>
    </row>
    <row r="569" spans="22:25" x14ac:dyDescent="0.2">
      <c r="V569" s="326" t="s">
        <v>18595</v>
      </c>
      <c r="W569" s="327" t="s">
        <v>18229</v>
      </c>
      <c r="X569" s="328">
        <v>1382.4</v>
      </c>
      <c r="Y569" s="1">
        <f t="shared" si="37"/>
        <v>940.03199999999993</v>
      </c>
    </row>
    <row r="570" spans="22:25" x14ac:dyDescent="0.2">
      <c r="V570" s="326" t="s">
        <v>18596</v>
      </c>
      <c r="W570" s="327" t="s">
        <v>18229</v>
      </c>
      <c r="X570" s="328">
        <v>1926.4</v>
      </c>
      <c r="Y570" s="1">
        <f t="shared" si="37"/>
        <v>1309.952</v>
      </c>
    </row>
    <row r="571" spans="22:25" x14ac:dyDescent="0.2">
      <c r="V571" s="326" t="s">
        <v>18597</v>
      </c>
      <c r="W571" s="327" t="s">
        <v>18229</v>
      </c>
      <c r="X571" s="328">
        <v>2320.8000000000002</v>
      </c>
      <c r="Y571" s="1">
        <f t="shared" si="37"/>
        <v>1578.144</v>
      </c>
    </row>
    <row r="572" spans="22:25" x14ac:dyDescent="0.2">
      <c r="V572" s="326" t="s">
        <v>18598</v>
      </c>
      <c r="W572" s="327" t="s">
        <v>18229</v>
      </c>
      <c r="X572" s="328">
        <v>300.8</v>
      </c>
      <c r="Y572" s="1">
        <f t="shared" si="37"/>
        <v>204.54399999999998</v>
      </c>
    </row>
    <row r="573" spans="22:25" x14ac:dyDescent="0.2">
      <c r="V573" s="326" t="s">
        <v>18599</v>
      </c>
      <c r="W573" s="327" t="s">
        <v>18229</v>
      </c>
      <c r="X573" s="328">
        <v>390.4</v>
      </c>
      <c r="Y573" s="1">
        <f t="shared" si="37"/>
        <v>265.47199999999998</v>
      </c>
    </row>
    <row r="574" spans="22:25" x14ac:dyDescent="0.2">
      <c r="V574" s="326" t="s">
        <v>18600</v>
      </c>
      <c r="W574" s="327" t="s">
        <v>18229</v>
      </c>
      <c r="X574" s="328">
        <v>964</v>
      </c>
      <c r="Y574" s="1">
        <f t="shared" si="37"/>
        <v>655.52</v>
      </c>
    </row>
    <row r="575" spans="22:25" x14ac:dyDescent="0.2">
      <c r="V575" s="326" t="s">
        <v>18601</v>
      </c>
      <c r="W575" s="327" t="s">
        <v>18229</v>
      </c>
      <c r="X575" s="328">
        <v>1281.5999999999999</v>
      </c>
      <c r="Y575" s="1">
        <f t="shared" si="37"/>
        <v>871.48799999999983</v>
      </c>
    </row>
    <row r="576" spans="22:25" x14ac:dyDescent="0.2">
      <c r="V576" s="326" t="s">
        <v>18602</v>
      </c>
      <c r="W576" s="327" t="s">
        <v>18229</v>
      </c>
      <c r="X576" s="328">
        <v>806.4</v>
      </c>
      <c r="Y576" s="1">
        <f t="shared" si="37"/>
        <v>548.35199999999998</v>
      </c>
    </row>
    <row r="577" spans="22:25" x14ac:dyDescent="0.2">
      <c r="V577" s="326" t="s">
        <v>18603</v>
      </c>
      <c r="W577" s="327" t="s">
        <v>18229</v>
      </c>
      <c r="X577" s="328">
        <v>1075.2</v>
      </c>
      <c r="Y577" s="1">
        <f t="shared" si="37"/>
        <v>731.13599999999997</v>
      </c>
    </row>
    <row r="578" spans="22:25" x14ac:dyDescent="0.2">
      <c r="V578" s="326" t="s">
        <v>18604</v>
      </c>
      <c r="W578" s="327" t="s">
        <v>18229</v>
      </c>
      <c r="X578" s="328">
        <v>1044.8</v>
      </c>
      <c r="Y578" s="1">
        <f t="shared" si="37"/>
        <v>710.46399999999994</v>
      </c>
    </row>
    <row r="579" spans="22:25" x14ac:dyDescent="0.2">
      <c r="V579" s="326" t="s">
        <v>18605</v>
      </c>
      <c r="W579" s="327" t="s">
        <v>18229</v>
      </c>
      <c r="X579" s="328">
        <v>1382.4</v>
      </c>
      <c r="Y579" s="1">
        <f t="shared" ref="Y579:Y642" si="38">+(1-$AA$1)*X579</f>
        <v>940.03199999999993</v>
      </c>
    </row>
    <row r="580" spans="22:25" x14ac:dyDescent="0.2">
      <c r="V580" s="326" t="s">
        <v>18606</v>
      </c>
      <c r="W580" s="327" t="s">
        <v>18229</v>
      </c>
      <c r="X580" s="328">
        <v>905.6</v>
      </c>
      <c r="Y580" s="1">
        <f t="shared" si="38"/>
        <v>615.80799999999999</v>
      </c>
    </row>
    <row r="581" spans="22:25" x14ac:dyDescent="0.2">
      <c r="V581" s="326" t="s">
        <v>18607</v>
      </c>
      <c r="W581" s="327" t="s">
        <v>18229</v>
      </c>
      <c r="X581" s="328">
        <v>1152</v>
      </c>
      <c r="Y581" s="1">
        <f t="shared" si="38"/>
        <v>783.3599999999999</v>
      </c>
    </row>
    <row r="582" spans="22:25" x14ac:dyDescent="0.2">
      <c r="V582" s="326" t="s">
        <v>18608</v>
      </c>
      <c r="W582" s="327" t="s">
        <v>18229</v>
      </c>
      <c r="X582" s="328">
        <v>2240</v>
      </c>
      <c r="Y582" s="1">
        <f t="shared" si="38"/>
        <v>1523.1999999999998</v>
      </c>
    </row>
    <row r="583" spans="22:25" x14ac:dyDescent="0.2">
      <c r="V583" s="326" t="s">
        <v>18609</v>
      </c>
      <c r="W583" s="327" t="s">
        <v>18229</v>
      </c>
      <c r="X583" s="328">
        <v>2688</v>
      </c>
      <c r="Y583" s="1">
        <f t="shared" si="38"/>
        <v>1827.84</v>
      </c>
    </row>
    <row r="584" spans="22:25" x14ac:dyDescent="0.2">
      <c r="V584" s="326" t="s">
        <v>18610</v>
      </c>
      <c r="W584" s="327" t="s">
        <v>18229</v>
      </c>
      <c r="X584" s="328">
        <v>808.96</v>
      </c>
      <c r="Y584" s="1">
        <f t="shared" si="38"/>
        <v>550.09280000000001</v>
      </c>
    </row>
    <row r="585" spans="22:25" x14ac:dyDescent="0.2">
      <c r="V585" s="326" t="s">
        <v>18611</v>
      </c>
      <c r="W585" s="327" t="s">
        <v>18229</v>
      </c>
      <c r="X585" s="328">
        <v>1011.2</v>
      </c>
      <c r="Y585" s="1">
        <f t="shared" si="38"/>
        <v>687.61599999999999</v>
      </c>
    </row>
    <row r="586" spans="22:25" x14ac:dyDescent="0.2">
      <c r="V586" s="335" t="s">
        <v>18612</v>
      </c>
      <c r="W586" s="327" t="s">
        <v>18229</v>
      </c>
      <c r="X586" s="328">
        <v>1160</v>
      </c>
      <c r="Y586" s="1">
        <f t="shared" si="38"/>
        <v>788.8</v>
      </c>
    </row>
    <row r="587" spans="22:25" x14ac:dyDescent="0.2">
      <c r="V587" s="335" t="s">
        <v>18613</v>
      </c>
      <c r="W587" s="327" t="s">
        <v>18229</v>
      </c>
      <c r="X587" s="328">
        <v>1520</v>
      </c>
      <c r="Y587" s="1">
        <f t="shared" si="38"/>
        <v>1033.5999999999999</v>
      </c>
    </row>
    <row r="588" spans="22:25" x14ac:dyDescent="0.2">
      <c r="V588" s="326" t="s">
        <v>18614</v>
      </c>
      <c r="W588" s="327" t="s">
        <v>18229</v>
      </c>
      <c r="X588" s="328">
        <v>1040</v>
      </c>
      <c r="Y588" s="1">
        <f t="shared" si="38"/>
        <v>707.19999999999993</v>
      </c>
    </row>
    <row r="589" spans="22:25" x14ac:dyDescent="0.2">
      <c r="V589" s="326" t="s">
        <v>18615</v>
      </c>
      <c r="W589" s="327" t="s">
        <v>18229</v>
      </c>
      <c r="X589" s="328">
        <v>1331.2</v>
      </c>
      <c r="Y589" s="1">
        <f t="shared" si="38"/>
        <v>905.21599999999989</v>
      </c>
    </row>
    <row r="590" spans="22:25" x14ac:dyDescent="0.2">
      <c r="V590" s="326" t="s">
        <v>18616</v>
      </c>
      <c r="W590" s="327" t="s">
        <v>18229</v>
      </c>
      <c r="X590" s="328">
        <v>2016</v>
      </c>
      <c r="Y590" s="1">
        <f t="shared" si="38"/>
        <v>1370.8799999999999</v>
      </c>
    </row>
    <row r="591" spans="22:25" x14ac:dyDescent="0.2">
      <c r="V591" s="326" t="s">
        <v>18617</v>
      </c>
      <c r="W591" s="327" t="s">
        <v>18229</v>
      </c>
      <c r="X591" s="328">
        <v>2620.8000000000002</v>
      </c>
      <c r="Y591" s="1">
        <f t="shared" si="38"/>
        <v>1782.144</v>
      </c>
    </row>
    <row r="592" spans="22:25" x14ac:dyDescent="0.2">
      <c r="V592" s="326" t="s">
        <v>18618</v>
      </c>
      <c r="W592" s="327" t="s">
        <v>18229</v>
      </c>
      <c r="X592" s="328">
        <v>2105.6</v>
      </c>
      <c r="Y592" s="1">
        <f t="shared" si="38"/>
        <v>1431.8079999999998</v>
      </c>
    </row>
    <row r="593" spans="22:25" x14ac:dyDescent="0.2">
      <c r="V593" s="326" t="s">
        <v>18619</v>
      </c>
      <c r="W593" s="327" t="s">
        <v>18229</v>
      </c>
      <c r="X593" s="328">
        <v>2726.4</v>
      </c>
      <c r="Y593" s="1">
        <f t="shared" si="38"/>
        <v>1853.952</v>
      </c>
    </row>
    <row r="594" spans="22:25" x14ac:dyDescent="0.2">
      <c r="V594" s="326" t="s">
        <v>18620</v>
      </c>
      <c r="W594" s="327" t="s">
        <v>18229</v>
      </c>
      <c r="X594" s="328">
        <v>1273.5999999999999</v>
      </c>
      <c r="Y594" s="1">
        <f t="shared" si="38"/>
        <v>866.04799999999989</v>
      </c>
    </row>
    <row r="595" spans="22:25" x14ac:dyDescent="0.2">
      <c r="V595" s="326" t="s">
        <v>18621</v>
      </c>
      <c r="W595" s="327" t="s">
        <v>18229</v>
      </c>
      <c r="X595" s="328">
        <v>1548.8</v>
      </c>
      <c r="Y595" s="1">
        <f t="shared" si="38"/>
        <v>1053.184</v>
      </c>
    </row>
    <row r="596" spans="22:25" x14ac:dyDescent="0.2">
      <c r="V596" s="331" t="s">
        <v>18622</v>
      </c>
      <c r="W596" s="341" t="s">
        <v>18229</v>
      </c>
      <c r="X596" s="328">
        <v>1817.6</v>
      </c>
      <c r="Y596" s="1">
        <f t="shared" si="38"/>
        <v>1235.9679999999998</v>
      </c>
    </row>
    <row r="597" spans="22:25" x14ac:dyDescent="0.2">
      <c r="V597" s="331" t="s">
        <v>18623</v>
      </c>
      <c r="W597" s="341" t="s">
        <v>18229</v>
      </c>
      <c r="X597" s="328">
        <v>2438.4</v>
      </c>
      <c r="Y597" s="1">
        <f t="shared" si="38"/>
        <v>1658.1119999999999</v>
      </c>
    </row>
    <row r="598" spans="22:25" x14ac:dyDescent="0.2">
      <c r="V598" s="326">
        <v>5001</v>
      </c>
      <c r="W598" s="326" t="s">
        <v>18318</v>
      </c>
      <c r="X598" s="328">
        <v>3635.2</v>
      </c>
      <c r="Y598" s="1">
        <f t="shared" si="38"/>
        <v>2471.9359999999997</v>
      </c>
    </row>
    <row r="599" spans="22:25" x14ac:dyDescent="0.2">
      <c r="V599" s="326">
        <v>5002</v>
      </c>
      <c r="W599" s="326" t="s">
        <v>18318</v>
      </c>
      <c r="X599" s="328">
        <v>3788.8</v>
      </c>
      <c r="Y599" s="1">
        <f t="shared" si="38"/>
        <v>2576.384</v>
      </c>
    </row>
    <row r="600" spans="22:25" x14ac:dyDescent="0.2">
      <c r="V600" s="326">
        <v>5003</v>
      </c>
      <c r="W600" s="327" t="s">
        <v>18229</v>
      </c>
      <c r="X600" s="328">
        <v>13312</v>
      </c>
      <c r="Y600" s="1">
        <f t="shared" si="38"/>
        <v>9052.16</v>
      </c>
    </row>
    <row r="601" spans="22:25" x14ac:dyDescent="0.2">
      <c r="V601" s="326">
        <v>5004</v>
      </c>
      <c r="W601" s="326" t="s">
        <v>18318</v>
      </c>
      <c r="X601" s="328">
        <v>3635.2</v>
      </c>
      <c r="Y601" s="1">
        <f t="shared" si="38"/>
        <v>2471.9359999999997</v>
      </c>
    </row>
    <row r="602" spans="22:25" x14ac:dyDescent="0.2">
      <c r="V602" s="326">
        <v>5005</v>
      </c>
      <c r="W602" s="326" t="s">
        <v>18318</v>
      </c>
      <c r="X602" s="328">
        <v>2800</v>
      </c>
      <c r="Y602" s="1">
        <f t="shared" si="38"/>
        <v>1903.9999999999998</v>
      </c>
    </row>
    <row r="603" spans="22:25" x14ac:dyDescent="0.2">
      <c r="V603" s="326">
        <v>5006</v>
      </c>
      <c r="W603" s="326" t="s">
        <v>18318</v>
      </c>
      <c r="X603" s="328">
        <v>2867.2</v>
      </c>
      <c r="Y603" s="1">
        <f t="shared" si="38"/>
        <v>1949.6959999999997</v>
      </c>
    </row>
    <row r="604" spans="22:25" x14ac:dyDescent="0.2">
      <c r="V604" s="333">
        <v>5007</v>
      </c>
      <c r="W604" s="333" t="s">
        <v>18318</v>
      </c>
      <c r="X604" s="328">
        <v>3560</v>
      </c>
      <c r="Y604" s="1">
        <f t="shared" si="38"/>
        <v>2420.7999999999997</v>
      </c>
    </row>
    <row r="605" spans="22:25" x14ac:dyDescent="0.2">
      <c r="V605" s="326">
        <v>5008</v>
      </c>
      <c r="W605" s="326" t="s">
        <v>18318</v>
      </c>
      <c r="X605" s="328">
        <v>4300.8</v>
      </c>
      <c r="Y605" s="1">
        <f t="shared" si="38"/>
        <v>2924.5439999999999</v>
      </c>
    </row>
    <row r="606" spans="22:25" x14ac:dyDescent="0.2">
      <c r="V606" s="333">
        <v>5009</v>
      </c>
      <c r="W606" s="333" t="s">
        <v>18318</v>
      </c>
      <c r="X606" s="328">
        <v>3635.2</v>
      </c>
      <c r="Y606" s="1">
        <f t="shared" si="38"/>
        <v>2471.9359999999997</v>
      </c>
    </row>
    <row r="607" spans="22:25" x14ac:dyDescent="0.2">
      <c r="V607" s="326"/>
      <c r="W607" s="326"/>
      <c r="X607" s="328">
        <v>0</v>
      </c>
      <c r="Y607" s="1">
        <f t="shared" si="38"/>
        <v>0</v>
      </c>
    </row>
    <row r="608" spans="22:25" x14ac:dyDescent="0.2">
      <c r="V608" s="326"/>
      <c r="W608" s="326"/>
      <c r="X608" s="328">
        <v>0</v>
      </c>
      <c r="Y608" s="1">
        <f t="shared" si="38"/>
        <v>0</v>
      </c>
    </row>
    <row r="609" spans="22:25" x14ac:dyDescent="0.2">
      <c r="V609" s="326"/>
      <c r="W609" s="326"/>
      <c r="X609" s="328">
        <v>0</v>
      </c>
      <c r="Y609" s="1">
        <f t="shared" si="38"/>
        <v>0</v>
      </c>
    </row>
    <row r="610" spans="22:25" x14ac:dyDescent="0.2">
      <c r="V610" s="355">
        <v>7201</v>
      </c>
      <c r="W610" s="353" t="s">
        <v>18229</v>
      </c>
      <c r="X610" s="328">
        <v>0</v>
      </c>
      <c r="Y610" s="1">
        <f t="shared" si="38"/>
        <v>0</v>
      </c>
    </row>
    <row r="611" spans="22:25" x14ac:dyDescent="0.2">
      <c r="V611" s="348">
        <v>7202</v>
      </c>
      <c r="W611" s="345" t="s">
        <v>18229</v>
      </c>
      <c r="X611" s="328">
        <v>0</v>
      </c>
      <c r="Y611" s="1">
        <f t="shared" si="38"/>
        <v>0</v>
      </c>
    </row>
    <row r="612" spans="22:25" x14ac:dyDescent="0.2">
      <c r="V612" s="333">
        <v>7203</v>
      </c>
      <c r="W612" s="334" t="s">
        <v>18229</v>
      </c>
      <c r="X612" s="328">
        <v>0</v>
      </c>
      <c r="Y612" s="1">
        <f t="shared" si="38"/>
        <v>0</v>
      </c>
    </row>
    <row r="613" spans="22:25" x14ac:dyDescent="0.2">
      <c r="V613" s="326">
        <v>7204</v>
      </c>
      <c r="W613" s="327" t="s">
        <v>18229</v>
      </c>
      <c r="X613" s="328">
        <v>0</v>
      </c>
      <c r="Y613" s="1">
        <f t="shared" si="38"/>
        <v>0</v>
      </c>
    </row>
    <row r="614" spans="22:25" x14ac:dyDescent="0.2">
      <c r="V614" s="326">
        <v>7205</v>
      </c>
      <c r="W614" s="327" t="s">
        <v>18229</v>
      </c>
      <c r="X614" s="328">
        <v>0</v>
      </c>
      <c r="Y614" s="1">
        <f t="shared" si="38"/>
        <v>0</v>
      </c>
    </row>
    <row r="615" spans="22:25" x14ac:dyDescent="0.2">
      <c r="V615" s="326">
        <v>7209</v>
      </c>
      <c r="W615" s="327" t="s">
        <v>18229</v>
      </c>
      <c r="X615" s="328">
        <v>0</v>
      </c>
      <c r="Y615" s="1">
        <f t="shared" si="38"/>
        <v>0</v>
      </c>
    </row>
    <row r="616" spans="22:25" x14ac:dyDescent="0.2">
      <c r="V616" s="326">
        <v>7210</v>
      </c>
      <c r="W616" s="327" t="s">
        <v>18229</v>
      </c>
      <c r="X616" s="328">
        <v>0</v>
      </c>
      <c r="Y616" s="1">
        <f t="shared" si="38"/>
        <v>0</v>
      </c>
    </row>
    <row r="617" spans="22:25" x14ac:dyDescent="0.2">
      <c r="V617" s="326">
        <v>7214</v>
      </c>
      <c r="W617" s="327" t="s">
        <v>18229</v>
      </c>
      <c r="X617" s="328">
        <v>0</v>
      </c>
      <c r="Y617" s="1">
        <f t="shared" si="38"/>
        <v>0</v>
      </c>
    </row>
    <row r="618" spans="22:25" x14ac:dyDescent="0.2">
      <c r="V618" s="356">
        <v>7215</v>
      </c>
      <c r="W618" s="342" t="s">
        <v>18229</v>
      </c>
      <c r="X618" s="328">
        <v>0</v>
      </c>
      <c r="Y618" s="1">
        <f t="shared" si="38"/>
        <v>0</v>
      </c>
    </row>
    <row r="619" spans="22:25" x14ac:dyDescent="0.2">
      <c r="V619" s="326">
        <v>7216</v>
      </c>
      <c r="W619" s="327" t="s">
        <v>18229</v>
      </c>
      <c r="X619" s="328">
        <v>0</v>
      </c>
      <c r="Y619" s="1">
        <f t="shared" si="38"/>
        <v>0</v>
      </c>
    </row>
    <row r="620" spans="22:25" x14ac:dyDescent="0.2">
      <c r="V620" s="326">
        <v>7218</v>
      </c>
      <c r="W620" s="327" t="s">
        <v>18229</v>
      </c>
      <c r="X620" s="328">
        <v>0</v>
      </c>
      <c r="Y620" s="1">
        <f t="shared" si="38"/>
        <v>0</v>
      </c>
    </row>
    <row r="621" spans="22:25" x14ac:dyDescent="0.2">
      <c r="V621" s="326">
        <v>7220</v>
      </c>
      <c r="W621" s="327" t="s">
        <v>18229</v>
      </c>
      <c r="X621" s="328">
        <v>0</v>
      </c>
      <c r="Y621" s="1">
        <f t="shared" si="38"/>
        <v>0</v>
      </c>
    </row>
    <row r="622" spans="22:25" x14ac:dyDescent="0.2">
      <c r="V622" s="335">
        <v>7222</v>
      </c>
      <c r="W622" s="327" t="s">
        <v>18229</v>
      </c>
      <c r="X622" s="328">
        <v>0</v>
      </c>
      <c r="Y622" s="1">
        <f t="shared" si="38"/>
        <v>0</v>
      </c>
    </row>
    <row r="623" spans="22:25" x14ac:dyDescent="0.2">
      <c r="V623" s="326">
        <v>7250</v>
      </c>
      <c r="W623" s="327" t="s">
        <v>18229</v>
      </c>
      <c r="X623" s="328">
        <v>0</v>
      </c>
      <c r="Y623" s="1">
        <f t="shared" si="38"/>
        <v>0</v>
      </c>
    </row>
    <row r="624" spans="22:25" x14ac:dyDescent="0.2">
      <c r="V624" s="326">
        <v>7251</v>
      </c>
      <c r="W624" s="327" t="s">
        <v>18229</v>
      </c>
      <c r="X624" s="328">
        <v>0</v>
      </c>
      <c r="Y624" s="1">
        <f t="shared" si="38"/>
        <v>0</v>
      </c>
    </row>
    <row r="625" spans="22:25" x14ac:dyDescent="0.2">
      <c r="V625" s="326">
        <v>7257</v>
      </c>
      <c r="W625" s="327" t="s">
        <v>18229</v>
      </c>
      <c r="X625" s="328">
        <v>0</v>
      </c>
      <c r="Y625" s="1">
        <f t="shared" si="38"/>
        <v>0</v>
      </c>
    </row>
    <row r="626" spans="22:25" x14ac:dyDescent="0.2">
      <c r="V626" s="326">
        <v>7258</v>
      </c>
      <c r="W626" s="327" t="s">
        <v>18229</v>
      </c>
      <c r="X626" s="328">
        <v>0</v>
      </c>
      <c r="Y626" s="1">
        <f t="shared" si="38"/>
        <v>0</v>
      </c>
    </row>
    <row r="627" spans="22:25" x14ac:dyDescent="0.2">
      <c r="V627" s="326">
        <v>7264</v>
      </c>
      <c r="W627" s="327" t="s">
        <v>18229</v>
      </c>
      <c r="X627" s="328">
        <v>0</v>
      </c>
      <c r="Y627" s="1">
        <f t="shared" si="38"/>
        <v>0</v>
      </c>
    </row>
    <row r="628" spans="22:25" x14ac:dyDescent="0.2">
      <c r="V628" s="326">
        <v>7265</v>
      </c>
      <c r="W628" s="327" t="s">
        <v>18229</v>
      </c>
      <c r="X628" s="328">
        <v>0</v>
      </c>
      <c r="Y628" s="1">
        <f t="shared" si="38"/>
        <v>0</v>
      </c>
    </row>
    <row r="629" spans="22:25" x14ac:dyDescent="0.2">
      <c r="V629" s="326">
        <v>7266</v>
      </c>
      <c r="W629" s="327" t="s">
        <v>18229</v>
      </c>
      <c r="X629" s="328">
        <v>0</v>
      </c>
      <c r="Y629" s="1">
        <f t="shared" si="38"/>
        <v>0</v>
      </c>
    </row>
    <row r="630" spans="22:25" x14ac:dyDescent="0.2">
      <c r="V630" s="326">
        <v>7267</v>
      </c>
      <c r="W630" s="327" t="s">
        <v>18229</v>
      </c>
      <c r="X630" s="328">
        <v>0</v>
      </c>
      <c r="Y630" s="1">
        <f t="shared" si="38"/>
        <v>0</v>
      </c>
    </row>
    <row r="631" spans="22:25" x14ac:dyDescent="0.2">
      <c r="V631" s="326">
        <v>7268</v>
      </c>
      <c r="W631" s="327" t="s">
        <v>18229</v>
      </c>
      <c r="X631" s="328">
        <v>0</v>
      </c>
      <c r="Y631" s="1">
        <f t="shared" si="38"/>
        <v>0</v>
      </c>
    </row>
    <row r="632" spans="22:25" x14ac:dyDescent="0.2">
      <c r="V632" s="335">
        <v>7269</v>
      </c>
      <c r="W632" s="327" t="s">
        <v>18229</v>
      </c>
      <c r="X632" s="328">
        <v>0</v>
      </c>
      <c r="Y632" s="1">
        <f t="shared" si="38"/>
        <v>0</v>
      </c>
    </row>
    <row r="633" spans="22:25" x14ac:dyDescent="0.2">
      <c r="V633" s="335">
        <v>7270</v>
      </c>
      <c r="W633" s="327" t="s">
        <v>18229</v>
      </c>
      <c r="X633" s="328">
        <v>0</v>
      </c>
      <c r="Y633" s="1">
        <f t="shared" si="38"/>
        <v>0</v>
      </c>
    </row>
    <row r="634" spans="22:25" x14ac:dyDescent="0.2">
      <c r="V634" s="335">
        <v>7271</v>
      </c>
      <c r="W634" s="327" t="s">
        <v>18229</v>
      </c>
      <c r="X634" s="328">
        <v>0</v>
      </c>
      <c r="Y634" s="1">
        <f t="shared" si="38"/>
        <v>0</v>
      </c>
    </row>
    <row r="635" spans="22:25" x14ac:dyDescent="0.2">
      <c r="V635" s="326">
        <v>7300</v>
      </c>
      <c r="W635" s="327" t="s">
        <v>18229</v>
      </c>
      <c r="X635" s="328">
        <v>0</v>
      </c>
      <c r="Y635" s="1">
        <f t="shared" si="38"/>
        <v>0</v>
      </c>
    </row>
    <row r="636" spans="22:25" x14ac:dyDescent="0.2">
      <c r="V636" s="326">
        <v>7301</v>
      </c>
      <c r="W636" s="327" t="s">
        <v>18229</v>
      </c>
      <c r="X636" s="328">
        <v>0</v>
      </c>
      <c r="Y636" s="1">
        <f t="shared" si="38"/>
        <v>0</v>
      </c>
    </row>
    <row r="637" spans="22:25" x14ac:dyDescent="0.2">
      <c r="V637" s="326">
        <v>7302</v>
      </c>
      <c r="W637" s="327" t="s">
        <v>18229</v>
      </c>
      <c r="X637" s="328">
        <v>0</v>
      </c>
      <c r="Y637" s="1">
        <f t="shared" si="38"/>
        <v>0</v>
      </c>
    </row>
    <row r="638" spans="22:25" x14ac:dyDescent="0.2">
      <c r="V638" s="326">
        <v>7304</v>
      </c>
      <c r="W638" s="327" t="s">
        <v>18229</v>
      </c>
      <c r="X638" s="328">
        <v>0</v>
      </c>
      <c r="Y638" s="1">
        <f t="shared" si="38"/>
        <v>0</v>
      </c>
    </row>
    <row r="639" spans="22:25" x14ac:dyDescent="0.2">
      <c r="V639" s="326">
        <v>7307</v>
      </c>
      <c r="W639" s="327" t="s">
        <v>18229</v>
      </c>
      <c r="X639" s="328">
        <v>0</v>
      </c>
      <c r="Y639" s="1">
        <f t="shared" si="38"/>
        <v>0</v>
      </c>
    </row>
    <row r="640" spans="22:25" x14ac:dyDescent="0.2">
      <c r="V640" s="326">
        <v>7309</v>
      </c>
      <c r="W640" s="327" t="s">
        <v>18229</v>
      </c>
      <c r="X640" s="328">
        <v>0</v>
      </c>
      <c r="Y640" s="1">
        <f t="shared" si="38"/>
        <v>0</v>
      </c>
    </row>
    <row r="641" spans="22:25" x14ac:dyDescent="0.2">
      <c r="V641" s="326">
        <v>7311</v>
      </c>
      <c r="W641" s="327" t="s">
        <v>18229</v>
      </c>
      <c r="X641" s="328">
        <v>0</v>
      </c>
      <c r="Y641" s="1">
        <f t="shared" si="38"/>
        <v>0</v>
      </c>
    </row>
    <row r="642" spans="22:25" x14ac:dyDescent="0.2">
      <c r="V642" s="326">
        <v>7312</v>
      </c>
      <c r="W642" s="327" t="s">
        <v>18229</v>
      </c>
      <c r="X642" s="328">
        <v>0</v>
      </c>
      <c r="Y642" s="1">
        <f t="shared" si="38"/>
        <v>0</v>
      </c>
    </row>
    <row r="643" spans="22:25" x14ac:dyDescent="0.2">
      <c r="V643" s="356">
        <v>7313</v>
      </c>
      <c r="W643" s="357" t="s">
        <v>18229</v>
      </c>
      <c r="X643" s="328">
        <v>0</v>
      </c>
      <c r="Y643" s="1">
        <f t="shared" ref="Y643:Y706" si="39">+(1-$AA$1)*X643</f>
        <v>0</v>
      </c>
    </row>
    <row r="644" spans="22:25" x14ac:dyDescent="0.2">
      <c r="V644" s="358">
        <v>7350</v>
      </c>
      <c r="W644" s="359" t="s">
        <v>18229</v>
      </c>
      <c r="X644" s="328">
        <v>0</v>
      </c>
      <c r="Y644" s="1">
        <f t="shared" si="39"/>
        <v>0</v>
      </c>
    </row>
    <row r="645" spans="22:25" x14ac:dyDescent="0.2">
      <c r="V645" s="326">
        <v>7351</v>
      </c>
      <c r="W645" s="327" t="s">
        <v>18229</v>
      </c>
      <c r="X645" s="328">
        <v>0</v>
      </c>
      <c r="Y645" s="1">
        <f t="shared" si="39"/>
        <v>0</v>
      </c>
    </row>
    <row r="646" spans="22:25" x14ac:dyDescent="0.2">
      <c r="V646" s="326">
        <v>7352</v>
      </c>
      <c r="W646" s="327" t="s">
        <v>18229</v>
      </c>
      <c r="X646" s="328">
        <v>0</v>
      </c>
      <c r="Y646" s="1">
        <f t="shared" si="39"/>
        <v>0</v>
      </c>
    </row>
    <row r="647" spans="22:25" x14ac:dyDescent="0.2">
      <c r="V647" s="326">
        <v>7353</v>
      </c>
      <c r="W647" s="327" t="s">
        <v>18229</v>
      </c>
      <c r="X647" s="328">
        <v>0</v>
      </c>
      <c r="Y647" s="1">
        <f t="shared" si="39"/>
        <v>0</v>
      </c>
    </row>
    <row r="648" spans="22:25" x14ac:dyDescent="0.2">
      <c r="V648" s="326">
        <v>7354</v>
      </c>
      <c r="W648" s="327" t="s">
        <v>18229</v>
      </c>
      <c r="X648" s="328">
        <v>0</v>
      </c>
      <c r="Y648" s="1">
        <f t="shared" si="39"/>
        <v>0</v>
      </c>
    </row>
    <row r="649" spans="22:25" x14ac:dyDescent="0.2">
      <c r="V649" s="326">
        <v>7355</v>
      </c>
      <c r="W649" s="327" t="s">
        <v>18229</v>
      </c>
      <c r="X649" s="328">
        <v>0</v>
      </c>
      <c r="Y649" s="1">
        <f t="shared" si="39"/>
        <v>0</v>
      </c>
    </row>
    <row r="650" spans="22:25" x14ac:dyDescent="0.2">
      <c r="V650" s="326">
        <v>7358</v>
      </c>
      <c r="W650" s="327" t="s">
        <v>18229</v>
      </c>
      <c r="X650" s="328">
        <v>0</v>
      </c>
      <c r="Y650" s="1">
        <f t="shared" si="39"/>
        <v>0</v>
      </c>
    </row>
    <row r="651" spans="22:25" x14ac:dyDescent="0.2">
      <c r="V651" s="326">
        <v>7359</v>
      </c>
      <c r="W651" s="327" t="s">
        <v>18229</v>
      </c>
      <c r="X651" s="328">
        <v>0</v>
      </c>
      <c r="Y651" s="1">
        <f t="shared" si="39"/>
        <v>0</v>
      </c>
    </row>
    <row r="652" spans="22:25" x14ac:dyDescent="0.2">
      <c r="V652" s="326">
        <v>7360</v>
      </c>
      <c r="W652" s="327" t="s">
        <v>18229</v>
      </c>
      <c r="X652" s="328">
        <v>0</v>
      </c>
      <c r="Y652" s="1">
        <f t="shared" si="39"/>
        <v>0</v>
      </c>
    </row>
    <row r="653" spans="22:25" x14ac:dyDescent="0.2">
      <c r="V653" s="326">
        <v>7361</v>
      </c>
      <c r="W653" s="327" t="s">
        <v>18229</v>
      </c>
      <c r="X653" s="328">
        <v>0</v>
      </c>
      <c r="Y653" s="1">
        <f t="shared" si="39"/>
        <v>0</v>
      </c>
    </row>
    <row r="654" spans="22:25" x14ac:dyDescent="0.2">
      <c r="V654" s="356">
        <v>7362</v>
      </c>
      <c r="W654" s="357" t="s">
        <v>18229</v>
      </c>
      <c r="X654" s="328">
        <v>0</v>
      </c>
      <c r="Y654" s="1">
        <f t="shared" si="39"/>
        <v>0</v>
      </c>
    </row>
    <row r="655" spans="22:25" x14ac:dyDescent="0.2">
      <c r="V655" s="326">
        <v>7363</v>
      </c>
      <c r="W655" s="327" t="s">
        <v>18229</v>
      </c>
      <c r="X655" s="328">
        <v>0</v>
      </c>
      <c r="Y655" s="1">
        <f t="shared" si="39"/>
        <v>0</v>
      </c>
    </row>
    <row r="656" spans="22:25" x14ac:dyDescent="0.2">
      <c r="V656" s="326">
        <v>7364</v>
      </c>
      <c r="W656" s="327" t="s">
        <v>18229</v>
      </c>
      <c r="X656" s="328">
        <v>0</v>
      </c>
      <c r="Y656" s="1">
        <f t="shared" si="39"/>
        <v>0</v>
      </c>
    </row>
    <row r="657" spans="22:25" x14ac:dyDescent="0.2">
      <c r="V657" s="326">
        <v>7394</v>
      </c>
      <c r="W657" s="327" t="s">
        <v>18229</v>
      </c>
      <c r="X657" s="328">
        <v>0</v>
      </c>
      <c r="Y657" s="1">
        <f t="shared" si="39"/>
        <v>0</v>
      </c>
    </row>
    <row r="658" spans="22:25" x14ac:dyDescent="0.2">
      <c r="V658" s="326">
        <v>7395</v>
      </c>
      <c r="W658" s="327" t="s">
        <v>18229</v>
      </c>
      <c r="X658" s="328">
        <v>0</v>
      </c>
      <c r="Y658" s="1">
        <f t="shared" si="39"/>
        <v>0</v>
      </c>
    </row>
    <row r="659" spans="22:25" x14ac:dyDescent="0.2">
      <c r="V659" s="326">
        <v>7396</v>
      </c>
      <c r="W659" s="327" t="s">
        <v>18229</v>
      </c>
      <c r="X659" s="328">
        <v>0</v>
      </c>
      <c r="Y659" s="1">
        <f t="shared" si="39"/>
        <v>0</v>
      </c>
    </row>
    <row r="660" spans="22:25" x14ac:dyDescent="0.2">
      <c r="V660" s="326">
        <v>7397</v>
      </c>
      <c r="W660" s="327" t="s">
        <v>18229</v>
      </c>
      <c r="X660" s="328">
        <v>0</v>
      </c>
      <c r="Y660" s="1">
        <f t="shared" si="39"/>
        <v>0</v>
      </c>
    </row>
    <row r="661" spans="22:25" x14ac:dyDescent="0.2">
      <c r="V661" s="346"/>
      <c r="W661" s="346"/>
      <c r="X661" s="328">
        <v>0</v>
      </c>
      <c r="Y661" s="1">
        <f t="shared" si="39"/>
        <v>0</v>
      </c>
    </row>
    <row r="662" spans="22:25" x14ac:dyDescent="0.2">
      <c r="V662" s="346"/>
      <c r="W662" s="346"/>
      <c r="X662" s="328">
        <v>0</v>
      </c>
      <c r="Y662" s="1">
        <f t="shared" si="39"/>
        <v>0</v>
      </c>
    </row>
    <row r="663" spans="22:25" x14ac:dyDescent="0.2">
      <c r="V663" s="346"/>
      <c r="W663" s="346"/>
      <c r="X663" s="328">
        <v>0</v>
      </c>
      <c r="Y663" s="1">
        <f t="shared" si="39"/>
        <v>0</v>
      </c>
    </row>
    <row r="664" spans="22:25" x14ac:dyDescent="0.2">
      <c r="V664" s="326">
        <v>1086</v>
      </c>
      <c r="W664" s="327" t="s">
        <v>18229</v>
      </c>
      <c r="X664" s="328">
        <v>20657.280000000002</v>
      </c>
      <c r="Y664" s="1">
        <f t="shared" si="39"/>
        <v>14046.9504</v>
      </c>
    </row>
    <row r="665" spans="22:25" x14ac:dyDescent="0.2">
      <c r="V665" s="333">
        <v>1087</v>
      </c>
      <c r="W665" s="334" t="s">
        <v>18229</v>
      </c>
      <c r="X665" s="328">
        <v>10862.880000000001</v>
      </c>
      <c r="Y665" s="1">
        <f t="shared" si="39"/>
        <v>7386.7583999999997</v>
      </c>
    </row>
    <row r="666" spans="22:25" x14ac:dyDescent="0.2">
      <c r="V666" s="326">
        <v>1100</v>
      </c>
      <c r="W666" s="327" t="s">
        <v>18229</v>
      </c>
      <c r="X666" s="328">
        <v>40525.309440000005</v>
      </c>
      <c r="Y666" s="1">
        <f t="shared" si="39"/>
        <v>27557.210419200001</v>
      </c>
    </row>
    <row r="667" spans="22:25" x14ac:dyDescent="0.2">
      <c r="V667" s="333" t="s">
        <v>18624</v>
      </c>
      <c r="W667" s="334" t="s">
        <v>18229</v>
      </c>
      <c r="X667" s="328">
        <v>50914.089600000007</v>
      </c>
      <c r="Y667" s="1">
        <f t="shared" si="39"/>
        <v>34621.580928000003</v>
      </c>
    </row>
    <row r="668" spans="22:25" x14ac:dyDescent="0.2">
      <c r="V668" s="326" t="s">
        <v>18625</v>
      </c>
      <c r="W668" s="327" t="s">
        <v>18229</v>
      </c>
      <c r="X668" s="328">
        <v>13249.152000000002</v>
      </c>
      <c r="Y668" s="1">
        <f t="shared" si="39"/>
        <v>9009.4233600000007</v>
      </c>
    </row>
    <row r="669" spans="22:25" x14ac:dyDescent="0.2">
      <c r="V669" s="333" t="s">
        <v>18626</v>
      </c>
      <c r="W669" s="334" t="s">
        <v>18229</v>
      </c>
      <c r="X669" s="328">
        <v>16707.4656</v>
      </c>
      <c r="Y669" s="1">
        <f t="shared" si="39"/>
        <v>11361.076607999999</v>
      </c>
    </row>
    <row r="670" spans="22:25" x14ac:dyDescent="0.2">
      <c r="V670" s="326" t="s">
        <v>18627</v>
      </c>
      <c r="W670" s="327" t="s">
        <v>18229</v>
      </c>
      <c r="X670" s="328">
        <v>27276.157439999999</v>
      </c>
      <c r="Y670" s="1">
        <f t="shared" si="39"/>
        <v>18547.787059199996</v>
      </c>
    </row>
    <row r="671" spans="22:25" x14ac:dyDescent="0.2">
      <c r="V671" s="333" t="s">
        <v>18628</v>
      </c>
      <c r="W671" s="334" t="s">
        <v>18229</v>
      </c>
      <c r="X671" s="328">
        <v>34206.624000000003</v>
      </c>
      <c r="Y671" s="1">
        <f t="shared" si="39"/>
        <v>23260.50432</v>
      </c>
    </row>
    <row r="672" spans="22:25" x14ac:dyDescent="0.2">
      <c r="V672" s="326">
        <v>1101</v>
      </c>
      <c r="W672" s="327" t="s">
        <v>18229</v>
      </c>
      <c r="X672" s="328">
        <v>54218.236799999999</v>
      </c>
      <c r="Y672" s="1">
        <f t="shared" si="39"/>
        <v>36868.401023999999</v>
      </c>
    </row>
    <row r="673" spans="22:25" x14ac:dyDescent="0.2">
      <c r="V673" s="333" t="s">
        <v>18629</v>
      </c>
      <c r="W673" s="334" t="s">
        <v>18229</v>
      </c>
      <c r="X673" s="328">
        <v>66173.459520000004</v>
      </c>
      <c r="Y673" s="1">
        <f t="shared" si="39"/>
        <v>44997.952473600002</v>
      </c>
    </row>
    <row r="674" spans="22:25" x14ac:dyDescent="0.2">
      <c r="V674" s="326" t="s">
        <v>18630</v>
      </c>
      <c r="W674" s="327" t="s">
        <v>18229</v>
      </c>
      <c r="X674" s="328">
        <v>13605.312000000002</v>
      </c>
      <c r="Y674" s="1">
        <f t="shared" si="39"/>
        <v>9251.6121600000006</v>
      </c>
    </row>
    <row r="675" spans="22:25" x14ac:dyDescent="0.2">
      <c r="V675" s="333" t="s">
        <v>18631</v>
      </c>
      <c r="W675" s="334" t="s">
        <v>18229</v>
      </c>
      <c r="X675" s="328">
        <v>17289.07488</v>
      </c>
      <c r="Y675" s="1">
        <f t="shared" si="39"/>
        <v>11756.570918399999</v>
      </c>
    </row>
    <row r="676" spans="22:25" x14ac:dyDescent="0.2">
      <c r="V676" s="326" t="s">
        <v>18632</v>
      </c>
      <c r="W676" s="327" t="s">
        <v>18229</v>
      </c>
      <c r="X676" s="328">
        <v>40612.924800000001</v>
      </c>
      <c r="Y676" s="1">
        <f t="shared" si="39"/>
        <v>27616.788863999998</v>
      </c>
    </row>
    <row r="677" spans="22:25" x14ac:dyDescent="0.2">
      <c r="V677" s="333" t="s">
        <v>18633</v>
      </c>
      <c r="W677" s="334" t="s">
        <v>18229</v>
      </c>
      <c r="X677" s="328">
        <v>48884.384639999997</v>
      </c>
      <c r="Y677" s="1">
        <f t="shared" si="39"/>
        <v>33241.381555199994</v>
      </c>
    </row>
    <row r="678" spans="22:25" x14ac:dyDescent="0.2">
      <c r="V678" s="326">
        <v>1102</v>
      </c>
      <c r="W678" s="327" t="s">
        <v>18229</v>
      </c>
      <c r="X678" s="328">
        <v>69552.960000000006</v>
      </c>
      <c r="Y678" s="1">
        <f t="shared" si="39"/>
        <v>47296.012799999997</v>
      </c>
    </row>
    <row r="679" spans="22:25" x14ac:dyDescent="0.2">
      <c r="V679" s="333" t="s">
        <v>18634</v>
      </c>
      <c r="W679" s="334" t="s">
        <v>18229</v>
      </c>
      <c r="X679" s="328">
        <v>84580.452800000014</v>
      </c>
      <c r="Y679" s="1">
        <f t="shared" si="39"/>
        <v>57514.707904000003</v>
      </c>
    </row>
    <row r="680" spans="22:25" x14ac:dyDescent="0.2">
      <c r="V680" s="326" t="s">
        <v>18635</v>
      </c>
      <c r="W680" s="327" t="s">
        <v>18229</v>
      </c>
      <c r="X680" s="328">
        <v>16536</v>
      </c>
      <c r="Y680" s="1">
        <f t="shared" si="39"/>
        <v>11244.48</v>
      </c>
    </row>
    <row r="681" spans="22:25" x14ac:dyDescent="0.2">
      <c r="V681" s="333" t="s">
        <v>18636</v>
      </c>
      <c r="W681" s="334" t="s">
        <v>18229</v>
      </c>
      <c r="X681" s="328">
        <v>20216.32</v>
      </c>
      <c r="Y681" s="1">
        <f t="shared" si="39"/>
        <v>13747.097599999999</v>
      </c>
    </row>
    <row r="682" spans="22:25" x14ac:dyDescent="0.2">
      <c r="V682" s="326" t="s">
        <v>18637</v>
      </c>
      <c r="W682" s="327" t="s">
        <v>18229</v>
      </c>
      <c r="X682" s="328">
        <v>53016.959999999999</v>
      </c>
      <c r="Y682" s="1">
        <f t="shared" si="39"/>
        <v>36051.532799999994</v>
      </c>
    </row>
    <row r="683" spans="22:25" x14ac:dyDescent="0.2">
      <c r="V683" s="333" t="s">
        <v>18638</v>
      </c>
      <c r="W683" s="334" t="s">
        <v>18229</v>
      </c>
      <c r="X683" s="328">
        <v>64360.656000000003</v>
      </c>
      <c r="Y683" s="1">
        <f t="shared" si="39"/>
        <v>43765.246079999997</v>
      </c>
    </row>
    <row r="684" spans="22:25" x14ac:dyDescent="0.2">
      <c r="V684" s="326">
        <v>1103</v>
      </c>
      <c r="W684" s="327" t="s">
        <v>18229</v>
      </c>
      <c r="X684" s="328">
        <v>48972</v>
      </c>
      <c r="Y684" s="1">
        <f t="shared" si="39"/>
        <v>33300.959999999999</v>
      </c>
    </row>
    <row r="685" spans="22:25" x14ac:dyDescent="0.2">
      <c r="V685" s="333" t="s">
        <v>18639</v>
      </c>
      <c r="W685" s="334" t="s">
        <v>18229</v>
      </c>
      <c r="X685" s="328">
        <v>65945.907200000001</v>
      </c>
      <c r="Y685" s="1">
        <f t="shared" si="39"/>
        <v>44843.216895999998</v>
      </c>
    </row>
    <row r="686" spans="22:25" x14ac:dyDescent="0.2">
      <c r="V686" s="326" t="s">
        <v>18640</v>
      </c>
      <c r="W686" s="327" t="s">
        <v>18229</v>
      </c>
      <c r="X686" s="328">
        <v>11236</v>
      </c>
      <c r="Y686" s="1">
        <f t="shared" si="39"/>
        <v>7640.48</v>
      </c>
    </row>
    <row r="687" spans="22:25" x14ac:dyDescent="0.2">
      <c r="V687" s="333" t="s">
        <v>18641</v>
      </c>
      <c r="W687" s="334" t="s">
        <v>18229</v>
      </c>
      <c r="X687" s="328">
        <v>15659.507200000002</v>
      </c>
      <c r="Y687" s="1">
        <f t="shared" si="39"/>
        <v>10648.464895999999</v>
      </c>
    </row>
    <row r="688" spans="22:25" x14ac:dyDescent="0.2">
      <c r="V688" s="326" t="s">
        <v>18642</v>
      </c>
      <c r="W688" s="327" t="s">
        <v>18229</v>
      </c>
      <c r="X688" s="328">
        <v>37736</v>
      </c>
      <c r="Y688" s="1">
        <f t="shared" si="39"/>
        <v>25660.479999999996</v>
      </c>
    </row>
    <row r="689" spans="22:25" x14ac:dyDescent="0.2">
      <c r="V689" s="333" t="s">
        <v>18643</v>
      </c>
      <c r="W689" s="334" t="s">
        <v>18229</v>
      </c>
      <c r="X689" s="328">
        <v>50286.400000000001</v>
      </c>
      <c r="Y689" s="1">
        <f t="shared" si="39"/>
        <v>34194.752</v>
      </c>
    </row>
    <row r="690" spans="22:25" x14ac:dyDescent="0.2">
      <c r="V690" s="326">
        <v>1104</v>
      </c>
      <c r="W690" s="327" t="s">
        <v>18229</v>
      </c>
      <c r="X690" s="328">
        <v>49506.240000000005</v>
      </c>
      <c r="Y690" s="1">
        <f t="shared" si="39"/>
        <v>33664.243199999997</v>
      </c>
    </row>
    <row r="691" spans="22:25" x14ac:dyDescent="0.2">
      <c r="V691" s="333" t="s">
        <v>18644</v>
      </c>
      <c r="W691" s="334" t="s">
        <v>18229</v>
      </c>
      <c r="X691" s="328">
        <v>65801.62000000001</v>
      </c>
      <c r="Y691" s="1">
        <f t="shared" si="39"/>
        <v>44745.101600000002</v>
      </c>
    </row>
    <row r="692" spans="22:25" x14ac:dyDescent="0.2">
      <c r="V692" s="326" t="s">
        <v>18645</v>
      </c>
      <c r="W692" s="327" t="s">
        <v>18229</v>
      </c>
      <c r="X692" s="328">
        <v>14602.560000000001</v>
      </c>
      <c r="Y692" s="1">
        <f t="shared" si="39"/>
        <v>9929.7407999999996</v>
      </c>
    </row>
    <row r="693" spans="22:25" x14ac:dyDescent="0.2">
      <c r="V693" s="333" t="s">
        <v>18646</v>
      </c>
      <c r="W693" s="334" t="s">
        <v>18229</v>
      </c>
      <c r="X693" s="328">
        <v>19026.067200000001</v>
      </c>
      <c r="Y693" s="1">
        <f t="shared" si="39"/>
        <v>12937.725696</v>
      </c>
    </row>
    <row r="694" spans="22:25" x14ac:dyDescent="0.2">
      <c r="V694" s="326" t="s">
        <v>18647</v>
      </c>
      <c r="W694" s="327" t="s">
        <v>18229</v>
      </c>
      <c r="X694" s="328">
        <v>34903.68</v>
      </c>
      <c r="Y694" s="1">
        <f t="shared" si="39"/>
        <v>23734.502399999998</v>
      </c>
    </row>
    <row r="695" spans="22:25" x14ac:dyDescent="0.2">
      <c r="V695" s="333" t="s">
        <v>18648</v>
      </c>
      <c r="W695" s="334" t="s">
        <v>18229</v>
      </c>
      <c r="X695" s="328">
        <v>46775.68</v>
      </c>
      <c r="Y695" s="1">
        <f t="shared" si="39"/>
        <v>31807.462399999997</v>
      </c>
    </row>
    <row r="696" spans="22:25" x14ac:dyDescent="0.2">
      <c r="V696" s="326">
        <v>1105</v>
      </c>
      <c r="W696" s="327" t="s">
        <v>18229</v>
      </c>
      <c r="X696" s="328">
        <v>37931.040000000001</v>
      </c>
      <c r="Y696" s="1">
        <f t="shared" si="39"/>
        <v>25793.107199999999</v>
      </c>
    </row>
    <row r="697" spans="22:25" x14ac:dyDescent="0.2">
      <c r="V697" s="333">
        <v>1106</v>
      </c>
      <c r="W697" s="334" t="s">
        <v>18229</v>
      </c>
      <c r="X697" s="328">
        <v>67840.848000000013</v>
      </c>
      <c r="Y697" s="1">
        <f t="shared" si="39"/>
        <v>46131.776640000004</v>
      </c>
    </row>
    <row r="698" spans="22:25" x14ac:dyDescent="0.2">
      <c r="V698" s="326" t="s">
        <v>18649</v>
      </c>
      <c r="W698" s="327" t="s">
        <v>18229</v>
      </c>
      <c r="X698" s="328">
        <v>81101.789999999994</v>
      </c>
      <c r="Y698" s="1">
        <f t="shared" si="39"/>
        <v>55149.217199999992</v>
      </c>
    </row>
    <row r="699" spans="22:25" x14ac:dyDescent="0.2">
      <c r="V699" s="333" t="s">
        <v>18650</v>
      </c>
      <c r="W699" s="334" t="s">
        <v>18229</v>
      </c>
      <c r="X699" s="328">
        <v>16536</v>
      </c>
      <c r="Y699" s="1">
        <f t="shared" si="39"/>
        <v>11244.48</v>
      </c>
    </row>
    <row r="700" spans="22:25" x14ac:dyDescent="0.2">
      <c r="V700" s="326" t="s">
        <v>18651</v>
      </c>
      <c r="W700" s="327" t="s">
        <v>18229</v>
      </c>
      <c r="X700" s="328">
        <v>20219.7968</v>
      </c>
      <c r="Y700" s="1">
        <f t="shared" si="39"/>
        <v>13749.461823999998</v>
      </c>
    </row>
    <row r="701" spans="22:25" x14ac:dyDescent="0.2">
      <c r="V701" s="333" t="s">
        <v>18652</v>
      </c>
      <c r="W701" s="334" t="s">
        <v>18229</v>
      </c>
      <c r="X701" s="328">
        <v>51304.848000000005</v>
      </c>
      <c r="Y701" s="1">
        <f t="shared" si="39"/>
        <v>34887.29664</v>
      </c>
    </row>
    <row r="702" spans="22:25" x14ac:dyDescent="0.2">
      <c r="V702" s="326" t="s">
        <v>18653</v>
      </c>
      <c r="W702" s="327" t="s">
        <v>18229</v>
      </c>
      <c r="X702" s="328">
        <v>60881.990400000002</v>
      </c>
      <c r="Y702" s="1">
        <f t="shared" si="39"/>
        <v>41399.753471999997</v>
      </c>
    </row>
    <row r="703" spans="22:25" x14ac:dyDescent="0.2">
      <c r="V703" s="333">
        <v>1107</v>
      </c>
      <c r="W703" s="334" t="s">
        <v>18229</v>
      </c>
      <c r="X703" s="328">
        <v>109180.84800000001</v>
      </c>
      <c r="Y703" s="1">
        <f t="shared" si="39"/>
        <v>74242.976640000008</v>
      </c>
    </row>
    <row r="704" spans="22:25" x14ac:dyDescent="0.2">
      <c r="V704" s="326" t="s">
        <v>18654</v>
      </c>
      <c r="W704" s="327" t="s">
        <v>18229</v>
      </c>
      <c r="X704" s="328">
        <v>134973.9552</v>
      </c>
      <c r="Y704" s="1">
        <f t="shared" si="39"/>
        <v>91782.289535999997</v>
      </c>
    </row>
    <row r="705" spans="22:25" x14ac:dyDescent="0.2">
      <c r="V705" s="333" t="s">
        <v>18655</v>
      </c>
      <c r="W705" s="334" t="s">
        <v>18229</v>
      </c>
      <c r="X705" s="328">
        <v>24414.768</v>
      </c>
      <c r="Y705" s="1">
        <f t="shared" si="39"/>
        <v>16602.042239999999</v>
      </c>
    </row>
    <row r="706" spans="22:25" x14ac:dyDescent="0.2">
      <c r="V706" s="326" t="s">
        <v>18656</v>
      </c>
      <c r="W706" s="327" t="s">
        <v>18229</v>
      </c>
      <c r="X706" s="328">
        <v>28838.2752</v>
      </c>
      <c r="Y706" s="1">
        <f t="shared" si="39"/>
        <v>19610.027135999997</v>
      </c>
    </row>
    <row r="707" spans="22:25" x14ac:dyDescent="0.2">
      <c r="V707" s="333" t="s">
        <v>18657</v>
      </c>
      <c r="W707" s="334" t="s">
        <v>18229</v>
      </c>
      <c r="X707" s="328">
        <v>84766.080000000002</v>
      </c>
      <c r="Y707" s="1">
        <f t="shared" ref="Y707:Y770" si="40">+(1-$AA$1)*X707</f>
        <v>57640.934399999998</v>
      </c>
    </row>
    <row r="708" spans="22:25" x14ac:dyDescent="0.2">
      <c r="V708" s="326" t="s">
        <v>18658</v>
      </c>
      <c r="W708" s="327" t="s">
        <v>18229</v>
      </c>
      <c r="X708" s="328">
        <v>106135.68000000001</v>
      </c>
      <c r="Y708" s="1">
        <f t="shared" si="40"/>
        <v>72172.262399999992</v>
      </c>
    </row>
    <row r="709" spans="22:25" x14ac:dyDescent="0.2">
      <c r="V709" s="333">
        <v>1108</v>
      </c>
      <c r="W709" s="334" t="s">
        <v>18229</v>
      </c>
      <c r="X709" s="328">
        <v>103799.27040000001</v>
      </c>
      <c r="Y709" s="1">
        <f t="shared" si="40"/>
        <v>70583.503872000001</v>
      </c>
    </row>
    <row r="710" spans="22:25" x14ac:dyDescent="0.2">
      <c r="V710" s="326" t="s">
        <v>18659</v>
      </c>
      <c r="W710" s="327" t="s">
        <v>18229</v>
      </c>
      <c r="X710" s="328">
        <v>136448.45760000002</v>
      </c>
      <c r="Y710" s="1">
        <f t="shared" si="40"/>
        <v>92784.951168000014</v>
      </c>
    </row>
    <row r="711" spans="22:25" x14ac:dyDescent="0.2">
      <c r="V711" s="333" t="s">
        <v>18660</v>
      </c>
      <c r="W711" s="334" t="s">
        <v>18229</v>
      </c>
      <c r="X711" s="328">
        <v>19033.190399999999</v>
      </c>
      <c r="Y711" s="1">
        <f t="shared" si="40"/>
        <v>12942.569471999999</v>
      </c>
    </row>
    <row r="712" spans="22:25" x14ac:dyDescent="0.2">
      <c r="V712" s="326" t="s">
        <v>18661</v>
      </c>
      <c r="W712" s="327" t="s">
        <v>18229</v>
      </c>
      <c r="X712" s="328">
        <v>30312.78</v>
      </c>
      <c r="Y712" s="1">
        <f t="shared" si="40"/>
        <v>20612.690399999996</v>
      </c>
    </row>
    <row r="713" spans="22:25" x14ac:dyDescent="0.2">
      <c r="V713" s="333"/>
      <c r="W713" s="334"/>
      <c r="X713" s="328">
        <v>0</v>
      </c>
      <c r="Y713" s="1">
        <f t="shared" si="40"/>
        <v>0</v>
      </c>
    </row>
    <row r="714" spans="22:25" x14ac:dyDescent="0.2">
      <c r="V714" s="326"/>
      <c r="W714" s="327"/>
      <c r="X714" s="328">
        <v>0</v>
      </c>
      <c r="Y714" s="1">
        <f t="shared" si="40"/>
        <v>0</v>
      </c>
    </row>
    <row r="715" spans="22:25" x14ac:dyDescent="0.2">
      <c r="V715" s="333"/>
      <c r="W715" s="334"/>
      <c r="X715" s="328">
        <v>0</v>
      </c>
      <c r="Y715" s="1">
        <f t="shared" si="40"/>
        <v>0</v>
      </c>
    </row>
    <row r="716" spans="22:25" x14ac:dyDescent="0.2">
      <c r="V716" s="326"/>
      <c r="W716" s="327"/>
      <c r="X716" s="328">
        <v>0</v>
      </c>
      <c r="Y716" s="1">
        <f t="shared" si="40"/>
        <v>0</v>
      </c>
    </row>
    <row r="717" spans="22:25" x14ac:dyDescent="0.2">
      <c r="V717" s="333"/>
      <c r="W717" s="334"/>
      <c r="X717" s="328">
        <v>0</v>
      </c>
      <c r="Y717" s="1">
        <f t="shared" si="40"/>
        <v>0</v>
      </c>
    </row>
    <row r="718" spans="22:25" x14ac:dyDescent="0.2">
      <c r="V718" s="326"/>
      <c r="W718" s="327"/>
      <c r="X718" s="328">
        <v>0</v>
      </c>
      <c r="Y718" s="1">
        <f t="shared" si="40"/>
        <v>0</v>
      </c>
    </row>
    <row r="719" spans="22:25" x14ac:dyDescent="0.2">
      <c r="V719" s="333"/>
      <c r="W719" s="334"/>
      <c r="X719" s="328">
        <v>0</v>
      </c>
      <c r="Y719" s="1">
        <f t="shared" si="40"/>
        <v>0</v>
      </c>
    </row>
    <row r="720" spans="22:25" x14ac:dyDescent="0.2">
      <c r="V720" s="360" t="s">
        <v>18662</v>
      </c>
      <c r="W720" s="361" t="s">
        <v>18229</v>
      </c>
      <c r="X720" s="328">
        <v>419.52</v>
      </c>
      <c r="Y720" s="1">
        <f t="shared" si="40"/>
        <v>285.27359999999999</v>
      </c>
    </row>
    <row r="721" spans="22:25" x14ac:dyDescent="0.2">
      <c r="V721" s="360" t="s">
        <v>18663</v>
      </c>
      <c r="W721" s="361" t="s">
        <v>18229</v>
      </c>
      <c r="X721" s="328">
        <v>611.52</v>
      </c>
      <c r="Y721" s="1">
        <f t="shared" si="40"/>
        <v>415.83359999999993</v>
      </c>
    </row>
    <row r="722" spans="22:25" x14ac:dyDescent="0.2">
      <c r="V722" s="326">
        <v>3001</v>
      </c>
      <c r="W722" s="326" t="s">
        <v>18318</v>
      </c>
      <c r="X722" s="328">
        <v>3360</v>
      </c>
      <c r="Y722" s="1">
        <f t="shared" si="40"/>
        <v>2284.7999999999997</v>
      </c>
    </row>
    <row r="723" spans="22:25" x14ac:dyDescent="0.2">
      <c r="V723" s="326">
        <v>3002</v>
      </c>
      <c r="W723" s="326" t="s">
        <v>18318</v>
      </c>
      <c r="X723" s="328">
        <v>6656</v>
      </c>
      <c r="Y723" s="1">
        <f t="shared" si="40"/>
        <v>4526.08</v>
      </c>
    </row>
    <row r="724" spans="22:25" x14ac:dyDescent="0.2">
      <c r="V724" s="326">
        <v>3003</v>
      </c>
      <c r="W724" s="326" t="s">
        <v>18318</v>
      </c>
      <c r="X724" s="328">
        <v>2355.1999999999998</v>
      </c>
      <c r="Y724" s="1">
        <f t="shared" si="40"/>
        <v>1601.5359999999998</v>
      </c>
    </row>
    <row r="725" spans="22:25" x14ac:dyDescent="0.2">
      <c r="V725" s="333">
        <v>3004</v>
      </c>
      <c r="W725" s="333" t="s">
        <v>18318</v>
      </c>
      <c r="X725" s="328">
        <v>2304</v>
      </c>
      <c r="Y725" s="1">
        <f t="shared" si="40"/>
        <v>1566.7199999999998</v>
      </c>
    </row>
    <row r="726" spans="22:25" x14ac:dyDescent="0.2">
      <c r="V726" s="326">
        <v>3005</v>
      </c>
      <c r="W726" s="326" t="s">
        <v>18318</v>
      </c>
      <c r="X726" s="328">
        <v>4096</v>
      </c>
      <c r="Y726" s="1">
        <f t="shared" si="40"/>
        <v>2785.2799999999997</v>
      </c>
    </row>
    <row r="727" spans="22:25" x14ac:dyDescent="0.2">
      <c r="V727" s="326">
        <v>3006</v>
      </c>
      <c r="W727" s="326" t="s">
        <v>18318</v>
      </c>
      <c r="X727" s="328">
        <v>3960</v>
      </c>
      <c r="Y727" s="1">
        <f t="shared" si="40"/>
        <v>2692.7999999999997</v>
      </c>
    </row>
    <row r="728" spans="22:25" x14ac:dyDescent="0.2">
      <c r="V728" s="326">
        <v>3007</v>
      </c>
      <c r="W728" s="326" t="s">
        <v>18318</v>
      </c>
      <c r="X728" s="328">
        <v>2080</v>
      </c>
      <c r="Y728" s="1">
        <f t="shared" si="40"/>
        <v>1414.3999999999999</v>
      </c>
    </row>
    <row r="729" spans="22:25" x14ac:dyDescent="0.2">
      <c r="V729" s="326">
        <v>3008</v>
      </c>
      <c r="W729" s="327" t="s">
        <v>18229</v>
      </c>
      <c r="X729" s="328">
        <v>4710.3999999999996</v>
      </c>
      <c r="Y729" s="1">
        <f t="shared" si="40"/>
        <v>3203.0719999999997</v>
      </c>
    </row>
    <row r="730" spans="22:25" x14ac:dyDescent="0.2">
      <c r="V730" s="326">
        <v>3009</v>
      </c>
      <c r="W730" s="327" t="s">
        <v>18229</v>
      </c>
      <c r="X730" s="328">
        <v>4044.8</v>
      </c>
      <c r="Y730" s="1">
        <f t="shared" si="40"/>
        <v>2750.4639999999999</v>
      </c>
    </row>
    <row r="731" spans="22:25" x14ac:dyDescent="0.2">
      <c r="V731" s="326">
        <v>3012</v>
      </c>
      <c r="W731" s="326" t="s">
        <v>18318</v>
      </c>
      <c r="X731" s="328">
        <v>2864</v>
      </c>
      <c r="Y731" s="1">
        <f t="shared" si="40"/>
        <v>1947.5199999999998</v>
      </c>
    </row>
    <row r="732" spans="22:25" x14ac:dyDescent="0.2">
      <c r="V732" s="326">
        <v>3013</v>
      </c>
      <c r="W732" s="326" t="s">
        <v>18318</v>
      </c>
      <c r="X732" s="328">
        <v>4112</v>
      </c>
      <c r="Y732" s="1">
        <f t="shared" si="40"/>
        <v>2796.16</v>
      </c>
    </row>
    <row r="733" spans="22:25" x14ac:dyDescent="0.2">
      <c r="V733" s="326">
        <v>3014</v>
      </c>
      <c r="W733" s="326" t="s">
        <v>18318</v>
      </c>
      <c r="X733" s="328">
        <v>3904</v>
      </c>
      <c r="Y733" s="1">
        <f t="shared" si="40"/>
        <v>2654.72</v>
      </c>
    </row>
    <row r="734" spans="22:25" x14ac:dyDescent="0.2">
      <c r="V734" s="326" t="s">
        <v>18664</v>
      </c>
      <c r="W734" s="327" t="s">
        <v>18229</v>
      </c>
      <c r="X734" s="328">
        <v>266.24</v>
      </c>
      <c r="Y734" s="1">
        <f t="shared" si="40"/>
        <v>181.04319999999998</v>
      </c>
    </row>
    <row r="735" spans="22:25" x14ac:dyDescent="0.2">
      <c r="V735" s="326" t="s">
        <v>18665</v>
      </c>
      <c r="W735" s="327" t="s">
        <v>18229</v>
      </c>
      <c r="X735" s="328">
        <v>345.6</v>
      </c>
      <c r="Y735" s="1">
        <f t="shared" si="40"/>
        <v>235.00799999999998</v>
      </c>
    </row>
    <row r="736" spans="22:25" x14ac:dyDescent="0.2">
      <c r="V736" s="326" t="s">
        <v>18666</v>
      </c>
      <c r="W736" s="327" t="s">
        <v>18229</v>
      </c>
      <c r="X736" s="328">
        <v>1292.8</v>
      </c>
      <c r="Y736" s="1">
        <f t="shared" si="40"/>
        <v>879.10399999999993</v>
      </c>
    </row>
    <row r="737" spans="22:25" x14ac:dyDescent="0.2">
      <c r="V737" s="326" t="s">
        <v>18667</v>
      </c>
      <c r="W737" s="327" t="s">
        <v>18229</v>
      </c>
      <c r="X737" s="328">
        <v>1728</v>
      </c>
      <c r="Y737" s="1">
        <f t="shared" si="40"/>
        <v>1175.04</v>
      </c>
    </row>
    <row r="738" spans="22:25" x14ac:dyDescent="0.2">
      <c r="V738" s="326" t="s">
        <v>18668</v>
      </c>
      <c r="W738" s="327" t="s">
        <v>18229</v>
      </c>
      <c r="X738" s="328">
        <v>1152</v>
      </c>
      <c r="Y738" s="1">
        <f t="shared" si="40"/>
        <v>783.3599999999999</v>
      </c>
    </row>
    <row r="739" spans="22:25" x14ac:dyDescent="0.2">
      <c r="V739" s="326" t="s">
        <v>18669</v>
      </c>
      <c r="W739" s="327" t="s">
        <v>18229</v>
      </c>
      <c r="X739" s="328">
        <v>1670.4</v>
      </c>
      <c r="Y739" s="1">
        <f t="shared" si="40"/>
        <v>1135.8720000000001</v>
      </c>
    </row>
    <row r="740" spans="22:25" x14ac:dyDescent="0.2">
      <c r="V740" s="335">
        <v>3104</v>
      </c>
      <c r="W740" s="327" t="s">
        <v>18229</v>
      </c>
      <c r="X740" s="328">
        <v>10880</v>
      </c>
      <c r="Y740" s="1">
        <f t="shared" si="40"/>
        <v>7398.4</v>
      </c>
    </row>
    <row r="741" spans="22:25" x14ac:dyDescent="0.2">
      <c r="V741" s="335">
        <v>3100</v>
      </c>
      <c r="W741" s="327" t="s">
        <v>18229</v>
      </c>
      <c r="X741" s="328">
        <v>0</v>
      </c>
      <c r="Y741" s="1">
        <f t="shared" si="40"/>
        <v>0</v>
      </c>
    </row>
    <row r="742" spans="22:25" x14ac:dyDescent="0.2">
      <c r="V742" s="326" t="s">
        <v>18670</v>
      </c>
      <c r="W742" s="327" t="s">
        <v>18229</v>
      </c>
      <c r="X742" s="328">
        <v>600</v>
      </c>
      <c r="Y742" s="1">
        <f t="shared" si="40"/>
        <v>407.99999999999994</v>
      </c>
    </row>
    <row r="743" spans="22:25" x14ac:dyDescent="0.2">
      <c r="V743" s="326" t="s">
        <v>18671</v>
      </c>
      <c r="W743" s="327" t="s">
        <v>18229</v>
      </c>
      <c r="X743" s="328">
        <v>614.4</v>
      </c>
      <c r="Y743" s="1">
        <f t="shared" si="40"/>
        <v>417.79199999999997</v>
      </c>
    </row>
    <row r="744" spans="22:25" x14ac:dyDescent="0.2">
      <c r="V744" s="326" t="s">
        <v>18672</v>
      </c>
      <c r="W744" s="327" t="s">
        <v>18229</v>
      </c>
      <c r="X744" s="328">
        <v>0</v>
      </c>
      <c r="Y744" s="1">
        <f t="shared" si="40"/>
        <v>0</v>
      </c>
    </row>
    <row r="745" spans="22:25" x14ac:dyDescent="0.2">
      <c r="V745" s="326" t="s">
        <v>18673</v>
      </c>
      <c r="W745" s="327" t="s">
        <v>18229</v>
      </c>
      <c r="X745" s="328">
        <v>542.72</v>
      </c>
      <c r="Y745" s="1">
        <f t="shared" si="40"/>
        <v>369.0496</v>
      </c>
    </row>
    <row r="746" spans="22:25" x14ac:dyDescent="0.2">
      <c r="V746" s="326" t="s">
        <v>18674</v>
      </c>
      <c r="W746" s="327" t="s">
        <v>18229</v>
      </c>
      <c r="X746" s="328">
        <v>483.2</v>
      </c>
      <c r="Y746" s="1">
        <f t="shared" si="40"/>
        <v>328.57599999999996</v>
      </c>
    </row>
    <row r="747" spans="22:25" x14ac:dyDescent="0.2">
      <c r="V747" s="326" t="s">
        <v>18675</v>
      </c>
      <c r="W747" s="327" t="s">
        <v>18229</v>
      </c>
      <c r="X747" s="328">
        <v>716.8</v>
      </c>
      <c r="Y747" s="1">
        <f t="shared" si="40"/>
        <v>487.42399999999992</v>
      </c>
    </row>
    <row r="748" spans="22:25" x14ac:dyDescent="0.2">
      <c r="V748" s="326" t="s">
        <v>18676</v>
      </c>
      <c r="W748" s="327" t="s">
        <v>18229</v>
      </c>
      <c r="X748" s="328">
        <v>499.2</v>
      </c>
      <c r="Y748" s="1">
        <f t="shared" si="40"/>
        <v>339.45599999999996</v>
      </c>
    </row>
    <row r="749" spans="22:25" x14ac:dyDescent="0.2">
      <c r="V749" s="326" t="s">
        <v>18677</v>
      </c>
      <c r="W749" s="327" t="s">
        <v>18229</v>
      </c>
      <c r="X749" s="328">
        <v>819.2</v>
      </c>
      <c r="Y749" s="1">
        <f t="shared" si="40"/>
        <v>557.05599999999993</v>
      </c>
    </row>
    <row r="750" spans="22:25" x14ac:dyDescent="0.2">
      <c r="V750" s="326" t="s">
        <v>18678</v>
      </c>
      <c r="W750" s="327" t="s">
        <v>18229</v>
      </c>
      <c r="X750" s="328">
        <v>569.6</v>
      </c>
      <c r="Y750" s="1">
        <f t="shared" si="40"/>
        <v>387.32799999999997</v>
      </c>
    </row>
    <row r="751" spans="22:25" x14ac:dyDescent="0.2">
      <c r="V751" s="326" t="s">
        <v>18679</v>
      </c>
      <c r="W751" s="327" t="s">
        <v>18229</v>
      </c>
      <c r="X751" s="328">
        <v>716.8</v>
      </c>
      <c r="Y751" s="1">
        <f t="shared" si="40"/>
        <v>487.42399999999992</v>
      </c>
    </row>
    <row r="752" spans="22:25" x14ac:dyDescent="0.2">
      <c r="V752" s="326" t="s">
        <v>18680</v>
      </c>
      <c r="W752" s="327" t="s">
        <v>18229</v>
      </c>
      <c r="X752" s="328">
        <v>572.79999999999995</v>
      </c>
      <c r="Y752" s="1">
        <f t="shared" si="40"/>
        <v>389.50399999999991</v>
      </c>
    </row>
    <row r="753" spans="22:25" x14ac:dyDescent="0.2">
      <c r="V753" s="326" t="s">
        <v>18681</v>
      </c>
      <c r="W753" s="327" t="s">
        <v>18229</v>
      </c>
      <c r="X753" s="328">
        <v>752</v>
      </c>
      <c r="Y753" s="1">
        <f t="shared" si="40"/>
        <v>511.35999999999996</v>
      </c>
    </row>
    <row r="754" spans="22:25" x14ac:dyDescent="0.2">
      <c r="V754" s="326" t="s">
        <v>18682</v>
      </c>
      <c r="W754" s="327" t="s">
        <v>18229</v>
      </c>
      <c r="X754" s="328">
        <v>1088</v>
      </c>
      <c r="Y754" s="1">
        <f t="shared" si="40"/>
        <v>739.83999999999992</v>
      </c>
    </row>
    <row r="755" spans="22:25" x14ac:dyDescent="0.2">
      <c r="V755" s="326" t="s">
        <v>18683</v>
      </c>
      <c r="W755" s="327" t="s">
        <v>18229</v>
      </c>
      <c r="X755" s="328">
        <v>1440</v>
      </c>
      <c r="Y755" s="1">
        <f t="shared" si="40"/>
        <v>979.19999999999993</v>
      </c>
    </row>
    <row r="756" spans="22:25" x14ac:dyDescent="0.2">
      <c r="V756" s="326" t="s">
        <v>18684</v>
      </c>
      <c r="W756" s="327" t="s">
        <v>18229</v>
      </c>
      <c r="X756" s="328">
        <v>572.79999999999995</v>
      </c>
      <c r="Y756" s="1">
        <f t="shared" si="40"/>
        <v>389.50399999999991</v>
      </c>
    </row>
    <row r="757" spans="22:25" x14ac:dyDescent="0.2">
      <c r="V757" s="326" t="s">
        <v>18685</v>
      </c>
      <c r="W757" s="327" t="s">
        <v>18229</v>
      </c>
      <c r="X757" s="328">
        <v>819.2</v>
      </c>
      <c r="Y757" s="1">
        <f t="shared" si="40"/>
        <v>557.05599999999993</v>
      </c>
    </row>
    <row r="758" spans="22:25" x14ac:dyDescent="0.2">
      <c r="V758" s="326" t="s">
        <v>18686</v>
      </c>
      <c r="W758" s="327" t="s">
        <v>18229</v>
      </c>
      <c r="X758" s="328">
        <v>960</v>
      </c>
      <c r="Y758" s="1">
        <f t="shared" si="40"/>
        <v>652.79999999999995</v>
      </c>
    </row>
    <row r="759" spans="22:25" x14ac:dyDescent="0.2">
      <c r="V759" s="326" t="s">
        <v>18687</v>
      </c>
      <c r="W759" s="327" t="s">
        <v>18229</v>
      </c>
      <c r="X759" s="328">
        <v>1160</v>
      </c>
      <c r="Y759" s="1">
        <f t="shared" si="40"/>
        <v>788.8</v>
      </c>
    </row>
    <row r="760" spans="22:25" x14ac:dyDescent="0.2">
      <c r="V760" s="326" t="s">
        <v>18688</v>
      </c>
      <c r="W760" s="327" t="s">
        <v>18229</v>
      </c>
      <c r="X760" s="328">
        <v>960</v>
      </c>
      <c r="Y760" s="1">
        <f t="shared" si="40"/>
        <v>652.79999999999995</v>
      </c>
    </row>
    <row r="761" spans="22:25" x14ac:dyDescent="0.2">
      <c r="V761" s="326" t="s">
        <v>18689</v>
      </c>
      <c r="W761" s="327" t="s">
        <v>18229</v>
      </c>
      <c r="X761" s="328">
        <v>1180</v>
      </c>
      <c r="Y761" s="1">
        <f t="shared" si="40"/>
        <v>802.4</v>
      </c>
    </row>
    <row r="762" spans="22:25" x14ac:dyDescent="0.2">
      <c r="V762" s="351" t="s">
        <v>18690</v>
      </c>
      <c r="W762" s="327" t="s">
        <v>18229</v>
      </c>
      <c r="X762" s="328">
        <v>840</v>
      </c>
      <c r="Y762" s="1">
        <f t="shared" si="40"/>
        <v>571.19999999999993</v>
      </c>
    </row>
    <row r="763" spans="22:25" x14ac:dyDescent="0.2">
      <c r="V763" s="351" t="s">
        <v>18691</v>
      </c>
      <c r="W763" s="327" t="s">
        <v>18229</v>
      </c>
      <c r="X763" s="328">
        <v>1040</v>
      </c>
      <c r="Y763" s="1">
        <f t="shared" si="40"/>
        <v>707.19999999999993</v>
      </c>
    </row>
    <row r="764" spans="22:25" x14ac:dyDescent="0.2">
      <c r="V764" s="351" t="s">
        <v>18692</v>
      </c>
      <c r="W764" s="327" t="s">
        <v>18229</v>
      </c>
      <c r="X764" s="328">
        <v>840</v>
      </c>
      <c r="Y764" s="1">
        <f t="shared" si="40"/>
        <v>571.19999999999993</v>
      </c>
    </row>
    <row r="765" spans="22:25" x14ac:dyDescent="0.2">
      <c r="V765" s="351" t="s">
        <v>18693</v>
      </c>
      <c r="W765" s="327" t="s">
        <v>18229</v>
      </c>
      <c r="X765" s="328">
        <v>1040</v>
      </c>
      <c r="Y765" s="1">
        <f t="shared" si="40"/>
        <v>707.19999999999993</v>
      </c>
    </row>
    <row r="766" spans="22:25" x14ac:dyDescent="0.2">
      <c r="V766" s="351" t="s">
        <v>18694</v>
      </c>
      <c r="W766" s="327" t="s">
        <v>18229</v>
      </c>
      <c r="X766" s="328">
        <v>706.56</v>
      </c>
      <c r="Y766" s="1">
        <f t="shared" si="40"/>
        <v>480.46079999999989</v>
      </c>
    </row>
    <row r="767" spans="22:25" x14ac:dyDescent="0.2">
      <c r="V767" s="351" t="s">
        <v>18695</v>
      </c>
      <c r="W767" s="327" t="s">
        <v>18229</v>
      </c>
      <c r="X767" s="328">
        <v>937.6</v>
      </c>
      <c r="Y767" s="1">
        <f t="shared" si="40"/>
        <v>637.56799999999998</v>
      </c>
    </row>
    <row r="768" spans="22:25" x14ac:dyDescent="0.2">
      <c r="V768" s="326" t="s">
        <v>18696</v>
      </c>
      <c r="W768" s="327" t="s">
        <v>18229</v>
      </c>
      <c r="X768" s="328">
        <v>518.4</v>
      </c>
      <c r="Y768" s="1">
        <f t="shared" si="40"/>
        <v>352.51199999999994</v>
      </c>
    </row>
    <row r="769" spans="22:25" x14ac:dyDescent="0.2">
      <c r="V769" s="326" t="s">
        <v>18697</v>
      </c>
      <c r="W769" s="327" t="s">
        <v>18229</v>
      </c>
      <c r="X769" s="328">
        <v>598.4</v>
      </c>
      <c r="Y769" s="1">
        <f t="shared" si="40"/>
        <v>406.91199999999992</v>
      </c>
    </row>
    <row r="770" spans="22:25" x14ac:dyDescent="0.2">
      <c r="V770" s="326"/>
      <c r="W770" s="326"/>
      <c r="X770" s="328">
        <v>0</v>
      </c>
      <c r="Y770" s="1">
        <f t="shared" si="40"/>
        <v>0</v>
      </c>
    </row>
    <row r="771" spans="22:25" x14ac:dyDescent="0.2">
      <c r="V771" s="326"/>
      <c r="W771" s="326"/>
      <c r="X771" s="328">
        <v>0</v>
      </c>
      <c r="Y771" s="1">
        <f t="shared" ref="Y771:Y834" si="41">+(1-$AA$1)*X771</f>
        <v>0</v>
      </c>
    </row>
    <row r="772" spans="22:25" x14ac:dyDescent="0.2">
      <c r="V772" s="341"/>
      <c r="W772" s="341"/>
      <c r="X772" s="328">
        <v>0</v>
      </c>
      <c r="Y772" s="1">
        <f t="shared" si="41"/>
        <v>0</v>
      </c>
    </row>
    <row r="773" spans="22:25" x14ac:dyDescent="0.2">
      <c r="V773" s="341"/>
      <c r="W773" s="341"/>
      <c r="X773" s="328">
        <v>0</v>
      </c>
      <c r="Y773" s="1">
        <f t="shared" si="41"/>
        <v>0</v>
      </c>
    </row>
    <row r="774" spans="22:25" x14ac:dyDescent="0.2">
      <c r="V774" s="341"/>
      <c r="W774" s="341"/>
      <c r="X774" s="328">
        <v>0</v>
      </c>
      <c r="Y774" s="1">
        <f t="shared" si="41"/>
        <v>0</v>
      </c>
    </row>
    <row r="775" spans="22:25" x14ac:dyDescent="0.2">
      <c r="V775" s="341"/>
      <c r="W775" s="341"/>
      <c r="X775" s="328">
        <v>0</v>
      </c>
      <c r="Y775" s="1">
        <f t="shared" si="41"/>
        <v>0</v>
      </c>
    </row>
    <row r="776" spans="22:25" x14ac:dyDescent="0.2">
      <c r="V776" s="326" t="s">
        <v>18698</v>
      </c>
      <c r="W776" s="327" t="s">
        <v>18229</v>
      </c>
      <c r="X776" s="328">
        <v>0</v>
      </c>
      <c r="Y776" s="1">
        <f t="shared" si="41"/>
        <v>0</v>
      </c>
    </row>
    <row r="777" spans="22:25" x14ac:dyDescent="0.2">
      <c r="V777" s="326" t="s">
        <v>18699</v>
      </c>
      <c r="W777" s="327" t="s">
        <v>18229</v>
      </c>
      <c r="X777" s="328">
        <v>409.6</v>
      </c>
      <c r="Y777" s="1">
        <f t="shared" si="41"/>
        <v>278.52799999999996</v>
      </c>
    </row>
    <row r="778" spans="22:25" x14ac:dyDescent="0.2">
      <c r="V778" s="326" t="s">
        <v>18700</v>
      </c>
      <c r="W778" s="327" t="s">
        <v>18229</v>
      </c>
      <c r="X778" s="328">
        <v>268.8</v>
      </c>
      <c r="Y778" s="1">
        <f t="shared" si="41"/>
        <v>182.78399999999999</v>
      </c>
    </row>
    <row r="779" spans="22:25" x14ac:dyDescent="0.2">
      <c r="V779" s="326" t="s">
        <v>18701</v>
      </c>
      <c r="W779" s="327" t="s">
        <v>18229</v>
      </c>
      <c r="X779" s="328">
        <v>337.92</v>
      </c>
      <c r="Y779" s="1">
        <f t="shared" si="41"/>
        <v>229.78559999999999</v>
      </c>
    </row>
    <row r="780" spans="22:25" x14ac:dyDescent="0.2">
      <c r="V780" s="326" t="s">
        <v>18702</v>
      </c>
      <c r="W780" s="327" t="s">
        <v>18229</v>
      </c>
      <c r="X780" s="328">
        <v>284.8</v>
      </c>
      <c r="Y780" s="1">
        <f t="shared" si="41"/>
        <v>193.66399999999999</v>
      </c>
    </row>
    <row r="781" spans="22:25" x14ac:dyDescent="0.2">
      <c r="V781" s="326" t="s">
        <v>18703</v>
      </c>
      <c r="W781" s="327" t="s">
        <v>18229</v>
      </c>
      <c r="X781" s="328">
        <v>409.6</v>
      </c>
      <c r="Y781" s="1">
        <f t="shared" si="41"/>
        <v>278.52799999999996</v>
      </c>
    </row>
    <row r="782" spans="22:25" x14ac:dyDescent="0.2">
      <c r="V782" s="326" t="s">
        <v>18704</v>
      </c>
      <c r="W782" s="327" t="s">
        <v>18229</v>
      </c>
      <c r="X782" s="328">
        <v>284.8</v>
      </c>
      <c r="Y782" s="1">
        <f t="shared" si="41"/>
        <v>193.66399999999999</v>
      </c>
    </row>
    <row r="783" spans="22:25" x14ac:dyDescent="0.2">
      <c r="V783" s="326" t="s">
        <v>18705</v>
      </c>
      <c r="W783" s="327" t="s">
        <v>18229</v>
      </c>
      <c r="X783" s="328">
        <v>409.6</v>
      </c>
      <c r="Y783" s="1">
        <f t="shared" si="41"/>
        <v>278.52799999999996</v>
      </c>
    </row>
    <row r="784" spans="22:25" x14ac:dyDescent="0.2">
      <c r="V784" s="326" t="s">
        <v>18706</v>
      </c>
      <c r="W784" s="327" t="s">
        <v>18229</v>
      </c>
      <c r="X784" s="328">
        <v>0</v>
      </c>
      <c r="Y784" s="1">
        <f t="shared" si="41"/>
        <v>0</v>
      </c>
    </row>
    <row r="785" spans="22:25" x14ac:dyDescent="0.2">
      <c r="V785" s="326" t="s">
        <v>18707</v>
      </c>
      <c r="W785" s="327" t="s">
        <v>18229</v>
      </c>
      <c r="X785" s="328">
        <v>307.2</v>
      </c>
      <c r="Y785" s="1">
        <f t="shared" si="41"/>
        <v>208.89599999999999</v>
      </c>
    </row>
    <row r="786" spans="22:25" x14ac:dyDescent="0.2">
      <c r="V786" s="326" t="s">
        <v>18708</v>
      </c>
      <c r="W786" s="327" t="s">
        <v>18229</v>
      </c>
      <c r="X786" s="328">
        <v>0</v>
      </c>
      <c r="Y786" s="1">
        <f t="shared" si="41"/>
        <v>0</v>
      </c>
    </row>
    <row r="787" spans="22:25" x14ac:dyDescent="0.2">
      <c r="V787" s="326" t="s">
        <v>18709</v>
      </c>
      <c r="W787" s="327" t="s">
        <v>18229</v>
      </c>
      <c r="X787" s="328">
        <v>409.6</v>
      </c>
      <c r="Y787" s="1">
        <f t="shared" si="41"/>
        <v>278.52799999999996</v>
      </c>
    </row>
    <row r="788" spans="22:25" x14ac:dyDescent="0.2">
      <c r="V788" s="326" t="s">
        <v>18710</v>
      </c>
      <c r="W788" s="327" t="s">
        <v>18229</v>
      </c>
      <c r="X788" s="328">
        <v>0</v>
      </c>
      <c r="Y788" s="1">
        <f t="shared" si="41"/>
        <v>0</v>
      </c>
    </row>
    <row r="789" spans="22:25" x14ac:dyDescent="0.2">
      <c r="V789" s="326" t="s">
        <v>18711</v>
      </c>
      <c r="W789" s="327" t="s">
        <v>18229</v>
      </c>
      <c r="X789" s="328">
        <v>409.6</v>
      </c>
      <c r="Y789" s="1">
        <f t="shared" si="41"/>
        <v>278.52799999999996</v>
      </c>
    </row>
    <row r="790" spans="22:25" x14ac:dyDescent="0.2">
      <c r="V790" s="326" t="s">
        <v>18712</v>
      </c>
      <c r="W790" s="327" t="s">
        <v>18229</v>
      </c>
      <c r="X790" s="328">
        <v>467.2</v>
      </c>
      <c r="Y790" s="1">
        <f t="shared" si="41"/>
        <v>317.69599999999997</v>
      </c>
    </row>
    <row r="791" spans="22:25" x14ac:dyDescent="0.2">
      <c r="V791" s="326" t="s">
        <v>18713</v>
      </c>
      <c r="W791" s="327" t="s">
        <v>18229</v>
      </c>
      <c r="X791" s="328">
        <v>665.6</v>
      </c>
      <c r="Y791" s="1">
        <f t="shared" si="41"/>
        <v>452.60799999999995</v>
      </c>
    </row>
    <row r="792" spans="22:25" x14ac:dyDescent="0.2">
      <c r="V792" s="326" t="s">
        <v>18714</v>
      </c>
      <c r="W792" s="327" t="s">
        <v>18229</v>
      </c>
      <c r="X792" s="328">
        <v>706.56</v>
      </c>
      <c r="Y792" s="1">
        <f t="shared" si="41"/>
        <v>480.46079999999989</v>
      </c>
    </row>
    <row r="793" spans="22:25" x14ac:dyDescent="0.2">
      <c r="V793" s="326" t="s">
        <v>18715</v>
      </c>
      <c r="W793" s="327" t="s">
        <v>18229</v>
      </c>
      <c r="X793" s="328">
        <v>960</v>
      </c>
      <c r="Y793" s="1">
        <f t="shared" si="41"/>
        <v>652.79999999999995</v>
      </c>
    </row>
    <row r="794" spans="22:25" x14ac:dyDescent="0.2">
      <c r="V794" s="326" t="s">
        <v>18716</v>
      </c>
      <c r="W794" s="327" t="s">
        <v>18229</v>
      </c>
      <c r="X794" s="328">
        <v>0</v>
      </c>
      <c r="Y794" s="1">
        <f t="shared" si="41"/>
        <v>0</v>
      </c>
    </row>
    <row r="795" spans="22:25" x14ac:dyDescent="0.2">
      <c r="V795" s="326" t="s">
        <v>18717</v>
      </c>
      <c r="W795" s="327" t="s">
        <v>18229</v>
      </c>
      <c r="X795" s="328">
        <v>960</v>
      </c>
      <c r="Y795" s="1">
        <f t="shared" si="41"/>
        <v>652.79999999999995</v>
      </c>
    </row>
    <row r="796" spans="22:25" x14ac:dyDescent="0.2">
      <c r="V796" s="326" t="s">
        <v>18718</v>
      </c>
      <c r="W796" s="327" t="s">
        <v>18229</v>
      </c>
      <c r="X796" s="328">
        <v>356.8</v>
      </c>
      <c r="Y796" s="1">
        <f t="shared" si="41"/>
        <v>242.624</v>
      </c>
    </row>
    <row r="797" spans="22:25" x14ac:dyDescent="0.2">
      <c r="V797" s="326" t="s">
        <v>18719</v>
      </c>
      <c r="W797" s="327" t="s">
        <v>18229</v>
      </c>
      <c r="X797" s="328">
        <v>420.8</v>
      </c>
      <c r="Y797" s="1">
        <f t="shared" si="41"/>
        <v>286.14400000000001</v>
      </c>
    </row>
    <row r="798" spans="22:25" x14ac:dyDescent="0.2">
      <c r="V798" s="326" t="s">
        <v>18720</v>
      </c>
      <c r="W798" s="327" t="s">
        <v>18229</v>
      </c>
      <c r="X798" s="328">
        <v>540.79999999999995</v>
      </c>
      <c r="Y798" s="1">
        <f t="shared" si="41"/>
        <v>367.74399999999991</v>
      </c>
    </row>
    <row r="799" spans="22:25" x14ac:dyDescent="0.2">
      <c r="V799" s="326" t="s">
        <v>18721</v>
      </c>
      <c r="W799" s="327" t="s">
        <v>18229</v>
      </c>
      <c r="X799" s="328">
        <v>716.8</v>
      </c>
      <c r="Y799" s="1">
        <f t="shared" si="41"/>
        <v>487.42399999999992</v>
      </c>
    </row>
    <row r="800" spans="22:25" x14ac:dyDescent="0.2">
      <c r="V800" s="326" t="s">
        <v>18722</v>
      </c>
      <c r="W800" s="327" t="s">
        <v>18229</v>
      </c>
      <c r="X800" s="328">
        <v>0</v>
      </c>
      <c r="Y800" s="1">
        <f t="shared" si="41"/>
        <v>0</v>
      </c>
    </row>
    <row r="801" spans="22:25" x14ac:dyDescent="0.2">
      <c r="V801" s="326" t="s">
        <v>18723</v>
      </c>
      <c r="W801" s="327" t="s">
        <v>18229</v>
      </c>
      <c r="X801" s="328">
        <v>0</v>
      </c>
      <c r="Y801" s="1">
        <f t="shared" si="41"/>
        <v>0</v>
      </c>
    </row>
    <row r="802" spans="22:25" x14ac:dyDescent="0.2">
      <c r="V802" s="326" t="s">
        <v>18724</v>
      </c>
      <c r="W802" s="327" t="s">
        <v>18229</v>
      </c>
      <c r="X802" s="328">
        <v>857.6</v>
      </c>
      <c r="Y802" s="1">
        <f t="shared" si="41"/>
        <v>583.16800000000001</v>
      </c>
    </row>
    <row r="803" spans="22:25" x14ac:dyDescent="0.2">
      <c r="V803" s="326" t="s">
        <v>18725</v>
      </c>
      <c r="W803" s="327" t="s">
        <v>18229</v>
      </c>
      <c r="X803" s="328">
        <v>1228.8</v>
      </c>
      <c r="Y803" s="1">
        <f t="shared" si="41"/>
        <v>835.58399999999995</v>
      </c>
    </row>
    <row r="804" spans="22:25" x14ac:dyDescent="0.2">
      <c r="V804" s="326" t="s">
        <v>18726</v>
      </c>
      <c r="W804" s="327" t="s">
        <v>18229</v>
      </c>
      <c r="X804" s="328">
        <v>659.2</v>
      </c>
      <c r="Y804" s="1">
        <f t="shared" si="41"/>
        <v>448.25599999999997</v>
      </c>
    </row>
    <row r="805" spans="22:25" x14ac:dyDescent="0.2">
      <c r="V805" s="326" t="s">
        <v>18727</v>
      </c>
      <c r="W805" s="327" t="s">
        <v>18229</v>
      </c>
      <c r="X805" s="328">
        <v>921.6</v>
      </c>
      <c r="Y805" s="1">
        <f t="shared" si="41"/>
        <v>626.68799999999999</v>
      </c>
    </row>
    <row r="806" spans="22:25" x14ac:dyDescent="0.2">
      <c r="V806" s="326" t="s">
        <v>18728</v>
      </c>
      <c r="W806" s="327" t="s">
        <v>18229</v>
      </c>
      <c r="X806" s="328">
        <v>873.6</v>
      </c>
      <c r="Y806" s="1">
        <f t="shared" si="41"/>
        <v>594.048</v>
      </c>
    </row>
    <row r="807" spans="22:25" x14ac:dyDescent="0.2">
      <c r="V807" s="326" t="s">
        <v>18729</v>
      </c>
      <c r="W807" s="327" t="s">
        <v>18229</v>
      </c>
      <c r="X807" s="328">
        <v>1177.5999999999999</v>
      </c>
      <c r="Y807" s="1">
        <f t="shared" si="41"/>
        <v>800.76799999999992</v>
      </c>
    </row>
    <row r="808" spans="22:25" x14ac:dyDescent="0.2">
      <c r="V808" s="326" t="s">
        <v>18730</v>
      </c>
      <c r="W808" s="327" t="s">
        <v>18229</v>
      </c>
      <c r="X808" s="328">
        <v>403.2</v>
      </c>
      <c r="Y808" s="1">
        <f t="shared" si="41"/>
        <v>274.17599999999999</v>
      </c>
    </row>
    <row r="809" spans="22:25" x14ac:dyDescent="0.2">
      <c r="V809" s="331" t="s">
        <v>18731</v>
      </c>
      <c r="W809" s="327" t="s">
        <v>18229</v>
      </c>
      <c r="X809" s="328">
        <v>563.20000000000005</v>
      </c>
      <c r="Y809" s="1">
        <f t="shared" si="41"/>
        <v>382.976</v>
      </c>
    </row>
    <row r="810" spans="22:25" x14ac:dyDescent="0.2">
      <c r="V810" s="326" t="s">
        <v>18732</v>
      </c>
      <c r="W810" s="327" t="s">
        <v>18229</v>
      </c>
      <c r="X810" s="328">
        <v>995.2</v>
      </c>
      <c r="Y810" s="1">
        <f t="shared" si="41"/>
        <v>676.73599999999999</v>
      </c>
    </row>
    <row r="811" spans="22:25" x14ac:dyDescent="0.2">
      <c r="V811" s="326" t="s">
        <v>18733</v>
      </c>
      <c r="W811" s="327" t="s">
        <v>18229</v>
      </c>
      <c r="X811" s="328">
        <v>1331.2</v>
      </c>
      <c r="Y811" s="1">
        <f t="shared" si="41"/>
        <v>905.21599999999989</v>
      </c>
    </row>
    <row r="812" spans="22:25" x14ac:dyDescent="0.2">
      <c r="V812" s="326" t="s">
        <v>18734</v>
      </c>
      <c r="W812" s="327" t="s">
        <v>18229</v>
      </c>
      <c r="X812" s="328">
        <v>2438.4</v>
      </c>
      <c r="Y812" s="1">
        <f t="shared" si="41"/>
        <v>1658.1119999999999</v>
      </c>
    </row>
    <row r="813" spans="22:25" x14ac:dyDescent="0.2">
      <c r="V813" s="326" t="s">
        <v>18735</v>
      </c>
      <c r="W813" s="327" t="s">
        <v>18229</v>
      </c>
      <c r="X813" s="328">
        <v>3788.8</v>
      </c>
      <c r="Y813" s="1">
        <f t="shared" si="41"/>
        <v>2576.384</v>
      </c>
    </row>
    <row r="814" spans="22:25" x14ac:dyDescent="0.2">
      <c r="V814" s="326" t="s">
        <v>18736</v>
      </c>
      <c r="W814" s="327" t="s">
        <v>18229</v>
      </c>
      <c r="X814" s="328">
        <v>1638.4</v>
      </c>
      <c r="Y814" s="1">
        <f t="shared" si="41"/>
        <v>1114.1119999999999</v>
      </c>
    </row>
    <row r="815" spans="22:25" x14ac:dyDescent="0.2">
      <c r="V815" s="326" t="s">
        <v>18737</v>
      </c>
      <c r="W815" s="327" t="s">
        <v>18229</v>
      </c>
      <c r="X815" s="328">
        <v>2000</v>
      </c>
      <c r="Y815" s="1">
        <f t="shared" si="41"/>
        <v>1359.9999999999998</v>
      </c>
    </row>
    <row r="816" spans="22:25" x14ac:dyDescent="0.2">
      <c r="V816" s="331" t="s">
        <v>18738</v>
      </c>
      <c r="W816" s="327" t="s">
        <v>18229</v>
      </c>
      <c r="X816" s="328">
        <v>1190.4000000000001</v>
      </c>
      <c r="Y816" s="1">
        <f t="shared" si="41"/>
        <v>809.47199999999998</v>
      </c>
    </row>
    <row r="817" spans="22:25" x14ac:dyDescent="0.2">
      <c r="V817" s="362" t="s">
        <v>18739</v>
      </c>
      <c r="W817" s="350" t="s">
        <v>18229</v>
      </c>
      <c r="X817" s="328">
        <v>1440</v>
      </c>
      <c r="Y817" s="1">
        <f t="shared" si="41"/>
        <v>979.19999999999993</v>
      </c>
    </row>
    <row r="818" spans="22:25" x14ac:dyDescent="0.2">
      <c r="V818" s="363" t="s">
        <v>18740</v>
      </c>
      <c r="W818" s="364" t="s">
        <v>18229</v>
      </c>
      <c r="X818" s="328">
        <v>1219.2</v>
      </c>
      <c r="Y818" s="1">
        <f t="shared" si="41"/>
        <v>829.05599999999993</v>
      </c>
    </row>
    <row r="819" spans="22:25" x14ac:dyDescent="0.2">
      <c r="V819" s="365" t="s">
        <v>18741</v>
      </c>
      <c r="W819" s="365" t="s">
        <v>18229</v>
      </c>
      <c r="X819" s="328">
        <v>1523.2</v>
      </c>
      <c r="Y819" s="1">
        <f t="shared" si="41"/>
        <v>1035.7759999999998</v>
      </c>
    </row>
    <row r="820" spans="22:25" x14ac:dyDescent="0.2">
      <c r="V820" s="338" t="s">
        <v>18742</v>
      </c>
      <c r="W820" s="339" t="s">
        <v>18229</v>
      </c>
      <c r="X820" s="328">
        <v>980</v>
      </c>
      <c r="Y820" s="1">
        <f t="shared" si="41"/>
        <v>666.4</v>
      </c>
    </row>
    <row r="821" spans="22:25" x14ac:dyDescent="0.2">
      <c r="V821" s="326" t="s">
        <v>18743</v>
      </c>
      <c r="W821" s="327" t="s">
        <v>18229</v>
      </c>
      <c r="X821" s="328">
        <v>0</v>
      </c>
      <c r="Y821" s="1">
        <f t="shared" si="41"/>
        <v>0</v>
      </c>
    </row>
    <row r="822" spans="22:25" x14ac:dyDescent="0.2">
      <c r="V822" s="326">
        <v>6000</v>
      </c>
      <c r="W822" s="326" t="s">
        <v>18318</v>
      </c>
      <c r="X822" s="328">
        <v>3456</v>
      </c>
      <c r="Y822" s="1">
        <f t="shared" si="41"/>
        <v>2350.08</v>
      </c>
    </row>
    <row r="823" spans="22:25" x14ac:dyDescent="0.2">
      <c r="V823" s="326">
        <v>6001</v>
      </c>
      <c r="W823" s="326" t="s">
        <v>18318</v>
      </c>
      <c r="X823" s="328">
        <v>3225.6</v>
      </c>
      <c r="Y823" s="1">
        <f t="shared" si="41"/>
        <v>2193.4079999999999</v>
      </c>
    </row>
    <row r="824" spans="22:25" x14ac:dyDescent="0.2">
      <c r="V824" s="326">
        <v>6002</v>
      </c>
      <c r="W824" s="326" t="s">
        <v>18318</v>
      </c>
      <c r="X824" s="328">
        <v>3840</v>
      </c>
      <c r="Y824" s="1">
        <f t="shared" si="41"/>
        <v>2611.1999999999998</v>
      </c>
    </row>
    <row r="825" spans="22:25" x14ac:dyDescent="0.2">
      <c r="V825" s="326">
        <v>6003</v>
      </c>
      <c r="W825" s="327" t="s">
        <v>18229</v>
      </c>
      <c r="X825" s="328">
        <v>2457.6</v>
      </c>
      <c r="Y825" s="1">
        <f t="shared" si="41"/>
        <v>1671.1679999999999</v>
      </c>
    </row>
    <row r="826" spans="22:25" x14ac:dyDescent="0.2">
      <c r="V826" s="326"/>
      <c r="W826" s="327"/>
      <c r="X826" s="328">
        <v>0</v>
      </c>
      <c r="Y826" s="1">
        <f t="shared" si="41"/>
        <v>0</v>
      </c>
    </row>
    <row r="827" spans="22:25" x14ac:dyDescent="0.2">
      <c r="V827" s="326"/>
      <c r="W827" s="327"/>
      <c r="X827" s="328">
        <v>0</v>
      </c>
      <c r="Y827" s="1">
        <f t="shared" si="41"/>
        <v>0</v>
      </c>
    </row>
    <row r="828" spans="22:25" x14ac:dyDescent="0.2">
      <c r="V828" s="326"/>
      <c r="W828" s="327"/>
      <c r="X828" s="328">
        <v>0</v>
      </c>
      <c r="Y828" s="1">
        <f t="shared" si="41"/>
        <v>0</v>
      </c>
    </row>
    <row r="829" spans="22:25" x14ac:dyDescent="0.2">
      <c r="V829" s="335"/>
      <c r="W829" s="331"/>
      <c r="X829" s="328">
        <v>0</v>
      </c>
      <c r="Y829" s="1">
        <f t="shared" si="41"/>
        <v>0</v>
      </c>
    </row>
    <row r="830" spans="22:25" x14ac:dyDescent="0.2">
      <c r="V830" s="335"/>
      <c r="W830" s="331"/>
      <c r="X830" s="328">
        <v>0</v>
      </c>
      <c r="Y830" s="1">
        <f t="shared" si="41"/>
        <v>0</v>
      </c>
    </row>
    <row r="831" spans="22:25" x14ac:dyDescent="0.2">
      <c r="V831" s="335"/>
      <c r="W831" s="331"/>
      <c r="X831" s="328">
        <v>0</v>
      </c>
      <c r="Y831" s="1">
        <f t="shared" si="41"/>
        <v>0</v>
      </c>
    </row>
    <row r="832" spans="22:25" x14ac:dyDescent="0.2">
      <c r="V832" s="326">
        <v>7398</v>
      </c>
      <c r="W832" s="327" t="s">
        <v>18229</v>
      </c>
      <c r="X832" s="328">
        <v>0</v>
      </c>
      <c r="Y832" s="1">
        <f t="shared" si="41"/>
        <v>0</v>
      </c>
    </row>
    <row r="833" spans="22:25" x14ac:dyDescent="0.2">
      <c r="V833" s="340">
        <v>7399</v>
      </c>
      <c r="W833" s="334" t="s">
        <v>18229</v>
      </c>
      <c r="X833" s="328">
        <v>0</v>
      </c>
      <c r="Y833" s="1">
        <f t="shared" si="41"/>
        <v>0</v>
      </c>
    </row>
    <row r="834" spans="22:25" x14ac:dyDescent="0.2">
      <c r="V834" s="348">
        <v>7400</v>
      </c>
      <c r="W834" s="345" t="s">
        <v>18229</v>
      </c>
      <c r="X834" s="328">
        <v>0</v>
      </c>
      <c r="Y834" s="1">
        <f t="shared" si="41"/>
        <v>0</v>
      </c>
    </row>
    <row r="835" spans="22:25" x14ac:dyDescent="0.2">
      <c r="V835" s="326">
        <v>7402</v>
      </c>
      <c r="W835" s="327" t="s">
        <v>18229</v>
      </c>
      <c r="X835" s="328">
        <v>0</v>
      </c>
      <c r="Y835" s="1">
        <f t="shared" ref="Y835:Y856" si="42">+(1-$AA$1)*X835</f>
        <v>0</v>
      </c>
    </row>
    <row r="836" spans="22:25" x14ac:dyDescent="0.2">
      <c r="V836" s="366">
        <v>7403</v>
      </c>
      <c r="W836" s="367" t="s">
        <v>18229</v>
      </c>
      <c r="X836" s="328">
        <v>0</v>
      </c>
      <c r="Y836" s="1">
        <f t="shared" si="42"/>
        <v>0</v>
      </c>
    </row>
    <row r="837" spans="22:25" x14ac:dyDescent="0.2">
      <c r="V837" s="326">
        <v>7406</v>
      </c>
      <c r="W837" s="327" t="s">
        <v>18229</v>
      </c>
      <c r="X837" s="328">
        <v>0</v>
      </c>
      <c r="Y837" s="1">
        <f t="shared" si="42"/>
        <v>0</v>
      </c>
    </row>
    <row r="838" spans="22:25" x14ac:dyDescent="0.2">
      <c r="V838" s="326">
        <v>7407</v>
      </c>
      <c r="W838" s="327" t="s">
        <v>18229</v>
      </c>
      <c r="X838" s="328">
        <v>0</v>
      </c>
      <c r="Y838" s="1">
        <f t="shared" si="42"/>
        <v>0</v>
      </c>
    </row>
    <row r="839" spans="22:25" x14ac:dyDescent="0.2">
      <c r="V839" s="326">
        <v>7408</v>
      </c>
      <c r="W839" s="327" t="s">
        <v>18229</v>
      </c>
      <c r="X839" s="328">
        <v>0</v>
      </c>
      <c r="Y839" s="1">
        <f t="shared" si="42"/>
        <v>0</v>
      </c>
    </row>
    <row r="840" spans="22:25" x14ac:dyDescent="0.2">
      <c r="V840" s="326">
        <v>7409</v>
      </c>
      <c r="W840" s="327" t="s">
        <v>18229</v>
      </c>
      <c r="X840" s="328">
        <v>0</v>
      </c>
      <c r="Y840" s="1">
        <f t="shared" si="42"/>
        <v>0</v>
      </c>
    </row>
    <row r="841" spans="22:25" x14ac:dyDescent="0.2">
      <c r="V841" s="326">
        <v>7410</v>
      </c>
      <c r="W841" s="327" t="s">
        <v>18229</v>
      </c>
      <c r="X841" s="328">
        <v>0</v>
      </c>
      <c r="Y841" s="1">
        <f t="shared" si="42"/>
        <v>0</v>
      </c>
    </row>
    <row r="842" spans="22:25" x14ac:dyDescent="0.2">
      <c r="V842" s="326">
        <v>7487</v>
      </c>
      <c r="W842" s="327" t="s">
        <v>18229</v>
      </c>
      <c r="X842" s="328">
        <v>0</v>
      </c>
      <c r="Y842" s="1">
        <f t="shared" si="42"/>
        <v>0</v>
      </c>
    </row>
    <row r="843" spans="22:25" x14ac:dyDescent="0.2">
      <c r="V843" s="326">
        <v>7500</v>
      </c>
      <c r="W843" s="327" t="s">
        <v>18229</v>
      </c>
      <c r="X843" s="328">
        <v>0</v>
      </c>
      <c r="Y843" s="1">
        <f t="shared" si="42"/>
        <v>0</v>
      </c>
    </row>
    <row r="844" spans="22:25" x14ac:dyDescent="0.2">
      <c r="V844" s="326">
        <v>7508</v>
      </c>
      <c r="W844" s="327" t="s">
        <v>18229</v>
      </c>
      <c r="X844" s="328">
        <v>0</v>
      </c>
      <c r="Y844" s="1">
        <f t="shared" si="42"/>
        <v>0</v>
      </c>
    </row>
    <row r="845" spans="22:25" x14ac:dyDescent="0.2">
      <c r="V845" s="326">
        <v>7510</v>
      </c>
      <c r="W845" s="368" t="s">
        <v>18229</v>
      </c>
      <c r="X845" s="328">
        <v>0</v>
      </c>
      <c r="Y845" s="1">
        <f t="shared" si="42"/>
        <v>0</v>
      </c>
    </row>
    <row r="846" spans="22:25" x14ac:dyDescent="0.2">
      <c r="V846" s="355">
        <v>7511</v>
      </c>
      <c r="W846" s="345" t="s">
        <v>18229</v>
      </c>
      <c r="X846" s="328">
        <v>0</v>
      </c>
      <c r="Y846" s="1">
        <f t="shared" si="42"/>
        <v>0</v>
      </c>
    </row>
    <row r="847" spans="22:25" x14ac:dyDescent="0.2">
      <c r="V847" s="355">
        <v>7512</v>
      </c>
      <c r="W847" s="345" t="s">
        <v>18229</v>
      </c>
      <c r="X847" s="328">
        <v>0</v>
      </c>
      <c r="Y847" s="1">
        <f t="shared" si="42"/>
        <v>0</v>
      </c>
    </row>
    <row r="848" spans="22:25" x14ac:dyDescent="0.2">
      <c r="V848" s="355">
        <v>7513</v>
      </c>
      <c r="W848" s="345" t="s">
        <v>18229</v>
      </c>
      <c r="X848" s="328">
        <v>0</v>
      </c>
      <c r="Y848" s="1">
        <f t="shared" si="42"/>
        <v>0</v>
      </c>
    </row>
    <row r="849" spans="22:25" x14ac:dyDescent="0.2">
      <c r="V849" s="355">
        <v>7514</v>
      </c>
      <c r="W849" s="345" t="s">
        <v>18229</v>
      </c>
      <c r="X849" s="328">
        <v>0</v>
      </c>
      <c r="Y849" s="1">
        <f t="shared" si="42"/>
        <v>0</v>
      </c>
    </row>
    <row r="850" spans="22:25" x14ac:dyDescent="0.2">
      <c r="V850" s="326">
        <v>7530</v>
      </c>
      <c r="W850" s="327" t="s">
        <v>18229</v>
      </c>
      <c r="X850" s="328">
        <v>0</v>
      </c>
      <c r="Y850" s="1">
        <f t="shared" si="42"/>
        <v>0</v>
      </c>
    </row>
    <row r="851" spans="22:25" x14ac:dyDescent="0.2">
      <c r="V851" s="326">
        <v>8000</v>
      </c>
      <c r="W851" s="369" t="s">
        <v>18318</v>
      </c>
      <c r="X851" s="328">
        <v>3686.4</v>
      </c>
      <c r="Y851" s="1">
        <f t="shared" si="42"/>
        <v>2506.752</v>
      </c>
    </row>
    <row r="852" spans="22:25" x14ac:dyDescent="0.2">
      <c r="V852" s="326">
        <v>8001</v>
      </c>
      <c r="W852" s="326" t="s">
        <v>18318</v>
      </c>
      <c r="X852" s="328">
        <v>8908.7999999999993</v>
      </c>
      <c r="Y852" s="1">
        <f t="shared" si="42"/>
        <v>6057.9839999999986</v>
      </c>
    </row>
    <row r="853" spans="22:25" x14ac:dyDescent="0.2">
      <c r="V853" s="326">
        <v>8002</v>
      </c>
      <c r="W853" s="326" t="s">
        <v>18318</v>
      </c>
      <c r="X853" s="328">
        <v>3692.8</v>
      </c>
      <c r="Y853" s="1">
        <f t="shared" si="42"/>
        <v>2511.1039999999998</v>
      </c>
    </row>
    <row r="854" spans="22:25" x14ac:dyDescent="0.2">
      <c r="V854" s="335">
        <v>8003</v>
      </c>
      <c r="W854" s="326" t="s">
        <v>18318</v>
      </c>
      <c r="X854" s="328">
        <v>6118.4</v>
      </c>
      <c r="Y854" s="1">
        <f t="shared" si="42"/>
        <v>4160.5119999999997</v>
      </c>
    </row>
    <row r="855" spans="22:25" x14ac:dyDescent="0.2">
      <c r="V855" s="335">
        <v>8004</v>
      </c>
      <c r="W855" s="326" t="s">
        <v>18318</v>
      </c>
      <c r="X855" s="328">
        <v>4224</v>
      </c>
      <c r="Y855" s="1">
        <f t="shared" si="42"/>
        <v>2872.3199999999997</v>
      </c>
    </row>
    <row r="856" spans="22:25" x14ac:dyDescent="0.2">
      <c r="V856" s="335">
        <v>8020</v>
      </c>
      <c r="W856" s="326" t="s">
        <v>18318</v>
      </c>
      <c r="X856" s="328">
        <v>3718.4</v>
      </c>
      <c r="Y856" s="1">
        <f t="shared" si="42"/>
        <v>2528.5119999999997</v>
      </c>
    </row>
  </sheetData>
  <sortState xmlns:xlrd2="http://schemas.microsoft.com/office/spreadsheetml/2017/richdata2" ref="A3:D10">
    <sortCondition ref="A3:A10"/>
  </sortState>
  <mergeCells count="1">
    <mergeCell ref="A1:B1"/>
  </mergeCells>
  <conditionalFormatting sqref="B3:B28">
    <cfRule type="expression" dxfId="129" priority="1">
      <formula>IF(_xlfn.ISFORMULA(B3)=TRUE,FALSE,TRUE)</formula>
    </cfRule>
  </conditionalFormatting>
  <conditionalFormatting sqref="V114:W114">
    <cfRule type="expression" dxfId="128" priority="130" stopIfTrue="1">
      <formula>ISODD(ROW(XEV55))</formula>
    </cfRule>
  </conditionalFormatting>
  <conditionalFormatting sqref="V115:W119">
    <cfRule type="expression" dxfId="127" priority="47" stopIfTrue="1">
      <formula>ISODD(ROW(#REF!))</formula>
    </cfRule>
  </conditionalFormatting>
  <conditionalFormatting sqref="V117:W118">
    <cfRule type="expression" dxfId="126" priority="48" stopIfTrue="1">
      <formula>ISODD(ROW(V2))</formula>
    </cfRule>
  </conditionalFormatting>
  <conditionalFormatting sqref="V120:W139 W141:W143 V141:V144">
    <cfRule type="expression" dxfId="125" priority="26" stopIfTrue="1">
      <formula>ISODD(ROW(V5))</formula>
    </cfRule>
  </conditionalFormatting>
  <conditionalFormatting sqref="V127:W139 V141:W142">
    <cfRule type="expression" dxfId="124" priority="17" stopIfTrue="1">
      <formula>ISODD(ROW(V6))</formula>
    </cfRule>
  </conditionalFormatting>
  <conditionalFormatting sqref="V131:W132">
    <cfRule type="expression" dxfId="123" priority="131" stopIfTrue="1">
      <formula>ISODD(ROW(V12))</formula>
    </cfRule>
  </conditionalFormatting>
  <conditionalFormatting sqref="V135:W136">
    <cfRule type="expression" dxfId="122" priority="6" stopIfTrue="1">
      <formula>ISODD(ROW(V16))</formula>
    </cfRule>
  </conditionalFormatting>
  <conditionalFormatting sqref="V136:W139 V141:W163 V169:W169">
    <cfRule type="expression" dxfId="121" priority="37" stopIfTrue="1">
      <formula>ISODD(ROW(V19))</formula>
    </cfRule>
  </conditionalFormatting>
  <conditionalFormatting sqref="V137:W138">
    <cfRule type="expression" dxfId="120" priority="132" stopIfTrue="1">
      <formula>ISODD(ROW(V18))</formula>
    </cfRule>
  </conditionalFormatting>
  <conditionalFormatting sqref="V141:W142">
    <cfRule type="expression" dxfId="119" priority="45" stopIfTrue="1">
      <formula>ISODD(ROW(V22))</formula>
    </cfRule>
  </conditionalFormatting>
  <conditionalFormatting sqref="V328:W328 V326:X326 V332:W332 V334:W334">
    <cfRule type="expression" dxfId="118" priority="71" stopIfTrue="1">
      <formula>ISODD(ROW(XEZ46))</formula>
    </cfRule>
  </conditionalFormatting>
  <conditionalFormatting sqref="V328:W328">
    <cfRule type="expression" dxfId="117" priority="67" stopIfTrue="1">
      <formula>ISODD(ROW(#REF!))</formula>
    </cfRule>
  </conditionalFormatting>
  <conditionalFormatting sqref="V330:W330">
    <cfRule type="expression" dxfId="116" priority="90" stopIfTrue="1">
      <formula>ISODD(ROW(#REF!))</formula>
    </cfRule>
    <cfRule type="expression" dxfId="115" priority="94" stopIfTrue="1">
      <formula>ISODD(ROW(XEZ50))</formula>
    </cfRule>
  </conditionalFormatting>
  <conditionalFormatting sqref="V332:W332 V334:W334">
    <cfRule type="expression" dxfId="114" priority="89" stopIfTrue="1">
      <formula>ISODD(ROW(#REF!))</formula>
    </cfRule>
  </conditionalFormatting>
  <conditionalFormatting sqref="V336:W336">
    <cfRule type="expression" dxfId="113" priority="137" stopIfTrue="1">
      <formula>ISODD(ROW(V1048573))</formula>
    </cfRule>
  </conditionalFormatting>
  <conditionalFormatting sqref="V338:W338">
    <cfRule type="expression" dxfId="112" priority="146" stopIfTrue="1">
      <formula>ISODD(ROW(#REF!))</formula>
    </cfRule>
  </conditionalFormatting>
  <conditionalFormatting sqref="V338:W345 V336:W336">
    <cfRule type="expression" dxfId="111" priority="20" stopIfTrue="1">
      <formula>ISODD(ROW(V47))</formula>
    </cfRule>
  </conditionalFormatting>
  <conditionalFormatting sqref="V339:W342">
    <cfRule type="expression" dxfId="110" priority="139" stopIfTrue="1">
      <formula>ISODD(ROW(V1048576))</formula>
    </cfRule>
  </conditionalFormatting>
  <conditionalFormatting sqref="V339:W368 V371:W390">
    <cfRule type="expression" dxfId="109" priority="27" stopIfTrue="1">
      <formula>ISODD(ROW(V2))</formula>
    </cfRule>
  </conditionalFormatting>
  <conditionalFormatting sqref="V340:W340 V342:W346 V338:W338">
    <cfRule type="expression" dxfId="108" priority="36" stopIfTrue="1">
      <formula>ISODD(ROW(V1048575))</formula>
    </cfRule>
  </conditionalFormatting>
  <conditionalFormatting sqref="V342:W342">
    <cfRule type="expression" dxfId="107" priority="136" stopIfTrue="1">
      <formula>ISODD(ROW(V1))</formula>
    </cfRule>
    <cfRule type="expression" dxfId="106" priority="143" stopIfTrue="1">
      <formula>ISODD(ROW(#REF!))</formula>
    </cfRule>
  </conditionalFormatting>
  <conditionalFormatting sqref="V344:W344 V346:W346 V348:W348">
    <cfRule type="expression" dxfId="105" priority="9" stopIfTrue="1">
      <formula>ISODD(ROW(V3))</formula>
    </cfRule>
  </conditionalFormatting>
  <conditionalFormatting sqref="V345:W369 V371:W390">
    <cfRule type="expression" dxfId="104" priority="22" stopIfTrue="1">
      <formula>MOD(ROW(),2)=1</formula>
    </cfRule>
  </conditionalFormatting>
  <conditionalFormatting sqref="V347:W349">
    <cfRule type="expression" dxfId="103" priority="138" stopIfTrue="1">
      <formula>ISODD(ROW(V6))</formula>
    </cfRule>
  </conditionalFormatting>
  <conditionalFormatting sqref="V351:W353">
    <cfRule type="expression" dxfId="102" priority="43" stopIfTrue="1">
      <formula>ISODD(ROW(V10))</formula>
    </cfRule>
  </conditionalFormatting>
  <conditionalFormatting sqref="V369:W369">
    <cfRule type="expression" dxfId="101" priority="2" stopIfTrue="1">
      <formula>ISODD(ROW(V38))</formula>
    </cfRule>
  </conditionalFormatting>
  <conditionalFormatting sqref="V722:W775 X773:X775">
    <cfRule type="expression" dxfId="100" priority="60">
      <formula>ISODD(ROW(V1048576))+$A$724</formula>
    </cfRule>
  </conditionalFormatting>
  <conditionalFormatting sqref="V832:W835">
    <cfRule type="expression" dxfId="99" priority="141">
      <formula>ISODD(ROW(#REF!))</formula>
    </cfRule>
  </conditionalFormatting>
  <conditionalFormatting sqref="V2:X15 X2:X856 V19:X33 V34:W36 V37:X44 V45:W46 V47:X57">
    <cfRule type="expression" dxfId="98" priority="3" stopIfTrue="1">
      <formula>ISODD(ROW(V1048575))</formula>
    </cfRule>
  </conditionalFormatting>
  <conditionalFormatting sqref="V16:X18">
    <cfRule type="expression" dxfId="97" priority="15" stopIfTrue="1">
      <formula>ISODD(ROW(V11))</formula>
    </cfRule>
  </conditionalFormatting>
  <conditionalFormatting sqref="V62:X63">
    <cfRule type="expression" dxfId="96" priority="41" stopIfTrue="1">
      <formula>ISODD(ROW(#REF!))</formula>
    </cfRule>
  </conditionalFormatting>
  <conditionalFormatting sqref="V62:X86">
    <cfRule type="expression" dxfId="95" priority="16" stopIfTrue="1">
      <formula>ISODD(ROW(V1))</formula>
    </cfRule>
  </conditionalFormatting>
  <conditionalFormatting sqref="V62:X113">
    <cfRule type="expression" dxfId="94" priority="28" stopIfTrue="1">
      <formula>ISODD(ROW(V3))</formula>
    </cfRule>
  </conditionalFormatting>
  <conditionalFormatting sqref="V66:X67">
    <cfRule type="expression" dxfId="93" priority="57" stopIfTrue="1">
      <formula>ISODD(ROW(#REF!))</formula>
    </cfRule>
  </conditionalFormatting>
  <conditionalFormatting sqref="V70:X71">
    <cfRule type="expression" dxfId="92" priority="106" stopIfTrue="1">
      <formula>ISODD(ROW(#REF!))</formula>
    </cfRule>
  </conditionalFormatting>
  <conditionalFormatting sqref="V71:X113">
    <cfRule type="expression" dxfId="91" priority="5" stopIfTrue="1">
      <formula>ISODD(ROW(V12))</formula>
    </cfRule>
  </conditionalFormatting>
  <conditionalFormatting sqref="V170:X207 V209:X209 V211:X216">
    <cfRule type="expression" dxfId="90" priority="123">
      <formula>ISODD(ROW(V1048575))</formula>
    </cfRule>
  </conditionalFormatting>
  <conditionalFormatting sqref="V218:X218 V220:X220">
    <cfRule type="expression" dxfId="89" priority="134">
      <formula>ISODD(ROW(XFB2))</formula>
    </cfRule>
    <cfRule type="expression" dxfId="88" priority="133">
      <formula>ISODD(ROW(XFB2))</formula>
    </cfRule>
  </conditionalFormatting>
  <conditionalFormatting sqref="V224:X269 V272:X278 V270:W271">
    <cfRule type="expression" dxfId="87" priority="4" stopIfTrue="1">
      <formula>ISODD(ROW(V1048575))</formula>
    </cfRule>
  </conditionalFormatting>
  <conditionalFormatting sqref="V276:X278 V328:W328 W329:W331">
    <cfRule type="expression" dxfId="86" priority="10" stopIfTrue="1">
      <formula>ISODD(ROW(V1048575))</formula>
    </cfRule>
  </conditionalFormatting>
  <conditionalFormatting sqref="V283:X310 X311">
    <cfRule type="expression" dxfId="85" priority="11" stopIfTrue="1">
      <formula>ISODD(ROW(V1048576))</formula>
    </cfRule>
  </conditionalFormatting>
  <conditionalFormatting sqref="V283:X320">
    <cfRule type="expression" dxfId="84" priority="30" stopIfTrue="1">
      <formula>ISODD(ROW(V2))</formula>
    </cfRule>
    <cfRule type="expression" dxfId="83" priority="29" stopIfTrue="1">
      <formula>ISODD(ROW(V2))</formula>
    </cfRule>
  </conditionalFormatting>
  <conditionalFormatting sqref="V284:X284">
    <cfRule type="expression" dxfId="82" priority="75" stopIfTrue="1">
      <formula>ISODD(ROW(V4))</formula>
    </cfRule>
  </conditionalFormatting>
  <conditionalFormatting sqref="V288:X288">
    <cfRule type="expression" dxfId="81" priority="52" stopIfTrue="1">
      <formula>ISODD(ROW(V8))</formula>
    </cfRule>
  </conditionalFormatting>
  <conditionalFormatting sqref="V292:X292">
    <cfRule type="expression" dxfId="80" priority="85" stopIfTrue="1">
      <formula>ISODD(ROW(V12))</formula>
    </cfRule>
  </conditionalFormatting>
  <conditionalFormatting sqref="V295:X320 V328:W332 V334:W334">
    <cfRule type="expression" dxfId="79" priority="21" stopIfTrue="1">
      <formula>ISODD(ROW(V16))</formula>
    </cfRule>
  </conditionalFormatting>
  <conditionalFormatting sqref="V305:X327 V328:W332 V334:W334">
    <cfRule type="expression" dxfId="78" priority="35" stopIfTrue="1">
      <formula>ISODD(ROW(V26))</formula>
    </cfRule>
  </conditionalFormatting>
  <conditionalFormatting sqref="V305:X327">
    <cfRule type="expression" dxfId="77" priority="34" stopIfTrue="1">
      <formula>ISODD(ROW(V26))</formula>
    </cfRule>
    <cfRule type="expression" dxfId="76" priority="33" stopIfTrue="1">
      <formula>ISODD(ROW(V28))</formula>
    </cfRule>
  </conditionalFormatting>
  <conditionalFormatting sqref="V326:X326">
    <cfRule type="expression" dxfId="75" priority="62" stopIfTrue="1">
      <formula>ISODD(ROW(#REF!))</formula>
    </cfRule>
  </conditionalFormatting>
  <conditionalFormatting sqref="V391:X438">
    <cfRule type="expression" dxfId="74" priority="149">
      <formula>ISODD(ROW(#REF!))</formula>
    </cfRule>
    <cfRule type="expression" dxfId="73" priority="148">
      <formula>ISODD(ROW(#REF!))</formula>
    </cfRule>
  </conditionalFormatting>
  <conditionalFormatting sqref="V440:X440">
    <cfRule type="expression" dxfId="72" priority="145">
      <formula>ISODD(ROW(XFD48))</formula>
    </cfRule>
  </conditionalFormatting>
  <conditionalFormatting sqref="V442:X442">
    <cfRule type="expression" dxfId="71" priority="24" stopIfTrue="1">
      <formula>ISODD(ROW(V1048575))</formula>
    </cfRule>
  </conditionalFormatting>
  <conditionalFormatting sqref="V444:X444">
    <cfRule type="expression" dxfId="70" priority="12" stopIfTrue="1">
      <formula>ISODD(ROW(#REF!))</formula>
    </cfRule>
  </conditionalFormatting>
  <conditionalFormatting sqref="V445:X445">
    <cfRule type="expression" dxfId="69" priority="31" stopIfTrue="1">
      <formula>ISODD(ROW(#REF!))</formula>
    </cfRule>
  </conditionalFormatting>
  <conditionalFormatting sqref="V445:X446 V443:W444 W488:W494">
    <cfRule type="expression" dxfId="68" priority="7" stopIfTrue="1">
      <formula>ISODD(ROW(V1048576))</formula>
    </cfRule>
  </conditionalFormatting>
  <conditionalFormatting sqref="V445:X488">
    <cfRule type="expression" dxfId="67" priority="13" stopIfTrue="1">
      <formula>ISODD(ROW(V1048576))</formula>
    </cfRule>
    <cfRule type="expression" dxfId="66" priority="14" stopIfTrue="1">
      <formula>ISODD(ROW(V1048576))</formula>
    </cfRule>
  </conditionalFormatting>
  <conditionalFormatting sqref="V488:X494">
    <cfRule type="expression" dxfId="65" priority="25" stopIfTrue="1">
      <formula>ISODD(ROW(V1048575))</formula>
    </cfRule>
  </conditionalFormatting>
  <conditionalFormatting sqref="V494:X497">
    <cfRule type="expression" dxfId="64" priority="18" stopIfTrue="1">
      <formula>ISODD(ROW(V45))</formula>
    </cfRule>
    <cfRule type="expression" dxfId="63" priority="19" stopIfTrue="1">
      <formula>ISODD(ROW(V45))</formula>
    </cfRule>
  </conditionalFormatting>
  <conditionalFormatting sqref="V554:X609">
    <cfRule type="expression" dxfId="62" priority="121">
      <formula>ISODD(ROW(V1048575))</formula>
    </cfRule>
  </conditionalFormatting>
  <conditionalFormatting sqref="V611:X617 V619:X642 V644:X653 V655:X660">
    <cfRule type="expression" dxfId="61" priority="135">
      <formula>ISODD(ROW(V2))</formula>
    </cfRule>
  </conditionalFormatting>
  <conditionalFormatting sqref="V777:X818 V820:X831">
    <cfRule type="expression" dxfId="60" priority="127">
      <formula>"ES.IMPAR(FILA(B3))"</formula>
    </cfRule>
    <cfRule type="expression" dxfId="59" priority="126">
      <formula>ISODD(ROW(V1048575))</formula>
    </cfRule>
  </conditionalFormatting>
  <conditionalFormatting sqref="V851:X856">
    <cfRule type="expression" dxfId="58" priority="142" stopIfTrue="1">
      <formula>ISODD(ROW(V17))</formula>
    </cfRule>
  </conditionalFormatting>
  <conditionalFormatting sqref="W488:W494">
    <cfRule type="expression" dxfId="57" priority="8" stopIfTrue="1">
      <formula>ISODD(ROW(W45))</formula>
    </cfRule>
  </conditionalFormatting>
  <conditionalFormatting sqref="X76">
    <cfRule type="expression" dxfId="56" priority="61" stopIfTrue="1">
      <formula>ISODD(ROW(X15))</formula>
    </cfRule>
  </conditionalFormatting>
  <conditionalFormatting sqref="X80">
    <cfRule type="expression" dxfId="55" priority="32" stopIfTrue="1">
      <formula>ISODD(ROW(X19))</formula>
    </cfRule>
  </conditionalFormatting>
  <conditionalFormatting sqref="X84">
    <cfRule type="expression" dxfId="54" priority="42" stopIfTrue="1">
      <formula>ISODD(ROW(X23))</formula>
    </cfRule>
  </conditionalFormatting>
  <conditionalFormatting sqref="X88">
    <cfRule type="expression" dxfId="53" priority="58" stopIfTrue="1">
      <formula>ISODD(ROW(X27))</formula>
    </cfRule>
  </conditionalFormatting>
  <conditionalFormatting sqref="X92">
    <cfRule type="expression" dxfId="52" priority="107" stopIfTrue="1">
      <formula>ISODD(ROW(X31))</formula>
    </cfRule>
  </conditionalFormatting>
  <conditionalFormatting sqref="X114">
    <cfRule type="expression" dxfId="51" priority="118" stopIfTrue="1">
      <formula>ISODD(ROW(XEX54))</formula>
    </cfRule>
  </conditionalFormatting>
  <conditionalFormatting sqref="X286">
    <cfRule type="expression" dxfId="50" priority="70" stopIfTrue="1">
      <formula>ISODD(ROW(X5))</formula>
    </cfRule>
    <cfRule type="expression" dxfId="49" priority="73" stopIfTrue="1">
      <formula>ISODD(ROW(X5))</formula>
    </cfRule>
    <cfRule type="expression" dxfId="48" priority="68" stopIfTrue="1">
      <formula>ISODD(ROW(X6))</formula>
    </cfRule>
    <cfRule type="expression" dxfId="47" priority="74" stopIfTrue="1">
      <formula>ISODD(ROW(X5))</formula>
    </cfRule>
    <cfRule type="expression" dxfId="46" priority="72" stopIfTrue="1">
      <formula>ISODD(ROW(X6))</formula>
    </cfRule>
    <cfRule type="expression" dxfId="45" priority="69" stopIfTrue="1">
      <formula>ISODD(ROW(X5))</formula>
    </cfRule>
  </conditionalFormatting>
  <conditionalFormatting sqref="X290">
    <cfRule type="expression" dxfId="44" priority="76" stopIfTrue="1">
      <formula>ISODD(ROW(X10))</formula>
    </cfRule>
    <cfRule type="expression" dxfId="43" priority="77" stopIfTrue="1">
      <formula>ISODD(ROW(X9))</formula>
    </cfRule>
    <cfRule type="expression" dxfId="42" priority="78" stopIfTrue="1">
      <formula>ISODD(ROW(X9))</formula>
    </cfRule>
    <cfRule type="expression" dxfId="41" priority="50" stopIfTrue="1">
      <formula>ISODD(ROW(X9))</formula>
    </cfRule>
    <cfRule type="expression" dxfId="40" priority="96" stopIfTrue="1">
      <formula>ISODD(ROW(X9))</formula>
    </cfRule>
    <cfRule type="expression" dxfId="39" priority="91" stopIfTrue="1">
      <formula>ISODD(ROW(X10))</formula>
    </cfRule>
    <cfRule type="expression" dxfId="38" priority="49" stopIfTrue="1">
      <formula>ISODD(ROW(X10))</formula>
    </cfRule>
    <cfRule type="expression" dxfId="37" priority="93" stopIfTrue="1">
      <formula>ISODD(ROW(X9))</formula>
    </cfRule>
    <cfRule type="expression" dxfId="36" priority="97" stopIfTrue="1">
      <formula>ISODD(ROW(X9))</formula>
    </cfRule>
    <cfRule type="expression" dxfId="35" priority="40" stopIfTrue="1">
      <formula>ISODD(ROW(X9))</formula>
    </cfRule>
    <cfRule type="expression" dxfId="34" priority="95" stopIfTrue="1">
      <formula>ISODD(ROW(X10))</formula>
    </cfRule>
    <cfRule type="expression" dxfId="33" priority="51" stopIfTrue="1">
      <formula>ISODD(ROW(X9))</formula>
    </cfRule>
    <cfRule type="expression" dxfId="32" priority="39" stopIfTrue="1">
      <formula>ISODD(ROW(X9))</formula>
    </cfRule>
    <cfRule type="expression" dxfId="31" priority="38" stopIfTrue="1">
      <formula>ISODD(ROW(X10))</formula>
    </cfRule>
    <cfRule type="expression" dxfId="30" priority="92" stopIfTrue="1">
      <formula>ISODD(ROW(X9))</formula>
    </cfRule>
  </conditionalFormatting>
  <conditionalFormatting sqref="X294">
    <cfRule type="expression" dxfId="29" priority="83" stopIfTrue="1">
      <formula>ISODD(ROW(X13))</formula>
    </cfRule>
    <cfRule type="expression" dxfId="28" priority="84" stopIfTrue="1">
      <formula>ISODD(ROW(X13))</formula>
    </cfRule>
    <cfRule type="expression" dxfId="27" priority="55" stopIfTrue="1">
      <formula>ISODD(ROW(X13))</formula>
    </cfRule>
    <cfRule type="expression" dxfId="26" priority="100" stopIfTrue="1">
      <formula>ISODD(ROW(X13))</formula>
    </cfRule>
    <cfRule type="expression" dxfId="25" priority="54" stopIfTrue="1">
      <formula>ISODD(ROW(X13))</formula>
    </cfRule>
    <cfRule type="expression" dxfId="24" priority="99" stopIfTrue="1">
      <formula>ISODD(ROW(X14))</formula>
    </cfRule>
    <cfRule type="expression" dxfId="23" priority="81" stopIfTrue="1">
      <formula>ISODD(ROW(X13))</formula>
    </cfRule>
    <cfRule type="expression" dxfId="22" priority="53" stopIfTrue="1">
      <formula>ISODD(ROW(X14))</formula>
    </cfRule>
    <cfRule type="expression" dxfId="21" priority="79" stopIfTrue="1">
      <formula>ISODD(ROW(X14))</formula>
    </cfRule>
    <cfRule type="expression" dxfId="20" priority="80" stopIfTrue="1">
      <formula>ISODD(ROW(X13))</formula>
    </cfRule>
    <cfRule type="expression" dxfId="19" priority="82" stopIfTrue="1">
      <formula>ISODD(ROW(X14))</formula>
    </cfRule>
    <cfRule type="expression" dxfId="18" priority="101" stopIfTrue="1">
      <formula>ISODD(ROW(X13))</formula>
    </cfRule>
    <cfRule type="expression" dxfId="17" priority="114" stopIfTrue="1">
      <formula>ISODD(ROW(X14))</formula>
    </cfRule>
  </conditionalFormatting>
  <conditionalFormatting sqref="X298">
    <cfRule type="expression" dxfId="16" priority="86" stopIfTrue="1">
      <formula>ISODD(ROW(X18))</formula>
    </cfRule>
    <cfRule type="expression" dxfId="15" priority="88" stopIfTrue="1">
      <formula>ISODD(ROW(X17))</formula>
    </cfRule>
    <cfRule type="expression" dxfId="14" priority="87" stopIfTrue="1">
      <formula>ISODD(ROW(X17))</formula>
    </cfRule>
  </conditionalFormatting>
  <conditionalFormatting sqref="X328">
    <cfRule type="expression" dxfId="13" priority="129" stopIfTrue="1">
      <formula>ISODD(ROW(X48))</formula>
    </cfRule>
    <cfRule type="expression" dxfId="12" priority="128" stopIfTrue="1">
      <formula>ISODD(ROW(X48))</formula>
    </cfRule>
  </conditionalFormatting>
  <conditionalFormatting sqref="X506:X549 V551:X553 V498:W549">
    <cfRule type="expression" dxfId="11" priority="119">
      <formula>ISODD(ROW(V1048575))</formula>
    </cfRule>
  </conditionalFormatting>
  <conditionalFormatting sqref="X665">
    <cfRule type="expression" dxfId="10" priority="144" stopIfTrue="1">
      <formula>ISODD(ROW(#REF!))</formula>
    </cfRule>
  </conditionalFormatting>
  <conditionalFormatting sqref="X722:X723">
    <cfRule type="expression" dxfId="9" priority="117" stopIfTrue="1">
      <formula>ISODD(ROW(#REF!))</formula>
    </cfRule>
  </conditionalFormatting>
  <conditionalFormatting sqref="X725">
    <cfRule type="expression" dxfId="8" priority="116" stopIfTrue="1">
      <formula>ISODD(ROW(X55))</formula>
    </cfRule>
  </conditionalFormatting>
  <conditionalFormatting sqref="X727:X769">
    <cfRule type="expression" dxfId="7" priority="120">
      <formula>ISODD(ROW(V1048575))</formula>
    </cfRule>
  </conditionalFormatting>
  <conditionalFormatting sqref="X773:X775 V722:W775">
    <cfRule type="expression" dxfId="6" priority="59">
      <formula>ISODD(ROW(V1048576))</formula>
    </cfRule>
  </conditionalFormatting>
  <conditionalFormatting sqref="X832:X836">
    <cfRule type="expression" dxfId="5" priority="125" stopIfTrue="1">
      <formula>ISODD(ROW(#REF!))+#REF!</formula>
    </cfRule>
    <cfRule type="expression" dxfId="4" priority="124" stopIfTrue="1">
      <formula>ISODD(ROW(#REF!))</formula>
    </cfRule>
  </conditionalFormatting>
  <conditionalFormatting sqref="X848:X856 V837:W856">
    <cfRule type="expression" dxfId="3" priority="122">
      <formula>ISODD(ROW(V60))</formula>
    </cfRule>
  </conditionalFormatting>
  <pageMargins left="0.7" right="0.7" top="0.34" bottom="0.3"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ECBA3-9300-448D-A348-023314CB9CCB}">
  <sheetPr codeName="Hoja18"/>
  <dimension ref="A1:Q50"/>
  <sheetViews>
    <sheetView zoomScale="130" zoomScaleNormal="130" zoomScaleSheetLayoutView="145" workbookViewId="0">
      <selection activeCell="D5" sqref="D5"/>
    </sheetView>
  </sheetViews>
  <sheetFormatPr baseColWidth="10" defaultColWidth="11.42578125" defaultRowHeight="12.75" x14ac:dyDescent="0.2"/>
  <cols>
    <col min="1" max="1" width="26.85546875" bestFit="1" customWidth="1"/>
    <col min="2" max="2" width="16.28515625" customWidth="1"/>
    <col min="3" max="3" width="19.7109375" bestFit="1" customWidth="1"/>
    <col min="4" max="4" width="10" style="4" customWidth="1"/>
    <col min="6" max="6" width="13.28515625" bestFit="1" customWidth="1"/>
    <col min="7" max="7" width="12.28515625" bestFit="1" customWidth="1"/>
    <col min="8" max="8" width="13.28515625" bestFit="1" customWidth="1"/>
    <col min="10" max="10" width="30.5703125" bestFit="1" customWidth="1"/>
    <col min="11" max="11" width="11.28515625" customWidth="1"/>
    <col min="12" max="12" width="2.5703125" customWidth="1"/>
    <col min="13" max="13" width="11.28515625" style="1"/>
    <col min="16" max="16" width="29" bestFit="1" customWidth="1"/>
  </cols>
  <sheetData>
    <row r="1" spans="1:17" ht="16.5" thickBot="1" x14ac:dyDescent="0.3">
      <c r="A1" s="1538" t="s">
        <v>6029</v>
      </c>
      <c r="B1" s="1539"/>
      <c r="C1" s="1540"/>
      <c r="F1" s="102">
        <f>+SUM(F3:F12)</f>
        <v>302151.65999999997</v>
      </c>
      <c r="G1" s="406">
        <f>+F1*0.21</f>
        <v>63451.84859999999</v>
      </c>
      <c r="H1" s="576">
        <f>+G1+F1</f>
        <v>365603.50859999994</v>
      </c>
      <c r="I1" s="31" t="s">
        <v>8799</v>
      </c>
      <c r="J1" s="31" t="s">
        <v>8977</v>
      </c>
      <c r="K1" s="31" t="s">
        <v>8771</v>
      </c>
      <c r="M1" s="102" t="s">
        <v>8773</v>
      </c>
      <c r="P1" s="31" t="s">
        <v>8751</v>
      </c>
      <c r="Q1" s="31" t="s">
        <v>8773</v>
      </c>
    </row>
    <row r="2" spans="1:17" ht="15.75" thickBot="1" x14ac:dyDescent="0.3">
      <c r="A2" s="618" t="s">
        <v>9007</v>
      </c>
      <c r="B2" s="619" t="s">
        <v>9350</v>
      </c>
      <c r="C2" s="617" t="s">
        <v>18744</v>
      </c>
      <c r="D2" s="620" t="s">
        <v>8189</v>
      </c>
      <c r="E2" s="32" t="s">
        <v>8754</v>
      </c>
      <c r="F2" s="32" t="s">
        <v>8162</v>
      </c>
      <c r="G2" s="597" t="s">
        <v>8140</v>
      </c>
      <c r="H2" s="634" t="s">
        <v>8164</v>
      </c>
      <c r="I2">
        <v>1</v>
      </c>
      <c r="J2" t="s">
        <v>6032</v>
      </c>
      <c r="K2" s="1">
        <v>44.366399999999992</v>
      </c>
      <c r="M2" s="1">
        <v>21.2</v>
      </c>
      <c r="N2" s="574" t="s">
        <v>18745</v>
      </c>
      <c r="P2" t="s">
        <v>6030</v>
      </c>
      <c r="Q2">
        <f>+VLOOKUP("ALEMITES"&amp;P2,CODIGOS_Y_COSTOS[[ID]:[COSTO]],7,0)</f>
        <v>128.02680000000001</v>
      </c>
    </row>
    <row r="3" spans="1:17" s="9" customFormat="1" ht="48.75" customHeight="1" x14ac:dyDescent="0.2">
      <c r="A3" s="4" t="str">
        <f t="shared" ref="A3:A10" si="0">IFERROR(VLOOKUP(D3,$I$2:$J$26,2,0),0)</f>
        <v>8 X 1 90°</v>
      </c>
      <c r="B3" s="4">
        <v>300</v>
      </c>
      <c r="C3" s="483" t="e" vm="26">
        <f>IFERROR(VLOOKUP(D3,$A$24:$D$48,4,0),0)</f>
        <v>#VALUE!</v>
      </c>
      <c r="D3" s="30">
        <v>4</v>
      </c>
      <c r="E3" s="167">
        <f>+VLOOKUP(D3&amp;"*",$P$2:$Q$26,2,0)</f>
        <v>336.40499999999997</v>
      </c>
      <c r="F3" s="26">
        <f>+E3*Tabla1[[#This Row],[CANT]]</f>
        <v>100921.49999999999</v>
      </c>
      <c r="H3" s="4"/>
      <c r="I3" s="9">
        <v>2</v>
      </c>
      <c r="J3" s="9" t="s">
        <v>6035</v>
      </c>
      <c r="K3" s="26">
        <v>72.095399999999984</v>
      </c>
      <c r="M3" s="26">
        <v>33.200000000000003</v>
      </c>
      <c r="N3" s="588" t="s">
        <v>18746</v>
      </c>
      <c r="P3" s="9" t="s">
        <v>6034</v>
      </c>
      <c r="Q3">
        <f>+VLOOKUP("ALEMITES"&amp;P3,CODIGOS_Y_COSTOS[[ID]:[COSTO]],7,0)</f>
        <v>205.21600000000001</v>
      </c>
    </row>
    <row r="4" spans="1:17" s="9" customFormat="1" ht="48.75" customHeight="1" x14ac:dyDescent="0.2">
      <c r="A4" s="4" t="str">
        <f t="shared" si="0"/>
        <v>10 X 1 67°</v>
      </c>
      <c r="B4" s="4">
        <v>300</v>
      </c>
      <c r="C4" s="483" t="e" vm="27">
        <f t="shared" ref="C4:C10" si="1">IFERROR(VLOOKUP(D4,$A$24:$D$48,4,0),0)</f>
        <v>#VALUE!</v>
      </c>
      <c r="D4" s="4">
        <v>9</v>
      </c>
      <c r="E4" s="167">
        <f>+VLOOKUP(D4&amp;"*",$P$2:$Q$26,2,0)</f>
        <v>336.40499999999997</v>
      </c>
      <c r="F4" s="26">
        <f>+E4*Tabla1[[#This Row],[CANT]]</f>
        <v>100921.49999999999</v>
      </c>
      <c r="H4" s="4"/>
      <c r="I4" s="9">
        <v>3</v>
      </c>
      <c r="J4" s="9" t="s">
        <v>6038</v>
      </c>
      <c r="K4" s="26">
        <v>120.15899999999999</v>
      </c>
      <c r="M4" s="26">
        <v>30.8</v>
      </c>
      <c r="P4" s="9" t="s">
        <v>6037</v>
      </c>
      <c r="Q4">
        <f>+VLOOKUP("ALEMITES"&amp;P4,CODIGOS_Y_COSTOS[[ID]:[COSTO]],7,0)</f>
        <v>336.40499999999997</v>
      </c>
    </row>
    <row r="5" spans="1:17" s="9" customFormat="1" ht="48.75" customHeight="1" x14ac:dyDescent="0.2">
      <c r="A5" s="4" t="str">
        <f t="shared" si="0"/>
        <v>1/8 GAS R</v>
      </c>
      <c r="B5" s="4">
        <v>300</v>
      </c>
      <c r="C5" s="483" t="e" vm="28">
        <f t="shared" si="1"/>
        <v>#VALUE!</v>
      </c>
      <c r="D5" s="4">
        <v>11</v>
      </c>
      <c r="E5" s="167">
        <f t="shared" ref="E5:E10" si="2">+VLOOKUP(D5&amp;"*",$P$2:$Q$26,2,0)</f>
        <v>206.33539999999999</v>
      </c>
      <c r="F5" s="26">
        <f>+E5*Tabla1[[#This Row],[CANT]]</f>
        <v>61900.619999999995</v>
      </c>
      <c r="H5" s="4"/>
      <c r="K5" s="26"/>
      <c r="M5" s="26"/>
      <c r="Q5"/>
    </row>
    <row r="6" spans="1:17" s="9" customFormat="1" ht="48.75" customHeight="1" x14ac:dyDescent="0.2">
      <c r="A6" s="4" t="str">
        <f t="shared" si="0"/>
        <v>1/4 sae R</v>
      </c>
      <c r="B6" s="4">
        <v>300</v>
      </c>
      <c r="C6" s="483" t="e" vm="29">
        <f t="shared" si="1"/>
        <v>#VALUE!</v>
      </c>
      <c r="D6" s="4">
        <v>14</v>
      </c>
      <c r="E6" s="167">
        <f t="shared" si="2"/>
        <v>128.02680000000001</v>
      </c>
      <c r="F6" s="26">
        <f>+E6*Tabla1[[#This Row],[CANT]]</f>
        <v>38408.04</v>
      </c>
      <c r="H6" s="4"/>
      <c r="K6" s="26"/>
      <c r="M6" s="26"/>
      <c r="Q6"/>
    </row>
    <row r="7" spans="1:17" s="9" customFormat="1" ht="60.4" customHeight="1" x14ac:dyDescent="0.2">
      <c r="A7" s="4">
        <f t="shared" si="0"/>
        <v>0</v>
      </c>
      <c r="B7" s="4"/>
      <c r="C7" s="483">
        <f t="shared" si="1"/>
        <v>0</v>
      </c>
      <c r="D7" s="4"/>
      <c r="E7" s="167">
        <f t="shared" si="2"/>
        <v>128.02680000000001</v>
      </c>
      <c r="F7" s="26">
        <f>+E7*Tabla1[[#This Row],[CANT]]</f>
        <v>0</v>
      </c>
      <c r="H7" s="4"/>
      <c r="I7" s="9">
        <v>4</v>
      </c>
      <c r="J7" s="9" t="s">
        <v>6041</v>
      </c>
      <c r="K7" s="26">
        <v>120.15899999999999</v>
      </c>
      <c r="M7" s="26">
        <v>33.200000000000003</v>
      </c>
      <c r="P7" s="9" t="s">
        <v>6040</v>
      </c>
      <c r="Q7">
        <f>+VLOOKUP("ALEMITES"&amp;P7,CODIGOS_Y_COSTOS[[ID]:[COSTO]],7,0)</f>
        <v>336.40499999999997</v>
      </c>
    </row>
    <row r="8" spans="1:17" s="9" customFormat="1" ht="60.4" customHeight="1" x14ac:dyDescent="0.2">
      <c r="A8" s="4">
        <f t="shared" si="0"/>
        <v>0</v>
      </c>
      <c r="B8" s="4"/>
      <c r="C8" s="483">
        <f t="shared" si="1"/>
        <v>0</v>
      </c>
      <c r="D8" s="4"/>
      <c r="E8" s="167">
        <f t="shared" si="2"/>
        <v>128.02680000000001</v>
      </c>
      <c r="F8" s="26">
        <f>+E8*Tabla1[[#This Row],[CANT]]</f>
        <v>0</v>
      </c>
      <c r="H8" s="4"/>
      <c r="I8" s="9">
        <v>5</v>
      </c>
      <c r="J8" s="9" t="s">
        <v>6044</v>
      </c>
      <c r="K8" s="26">
        <v>72.095399999999984</v>
      </c>
      <c r="M8" s="26">
        <v>33.200000000000003</v>
      </c>
      <c r="N8" s="588" t="s">
        <v>18747</v>
      </c>
      <c r="P8" s="9" t="s">
        <v>6043</v>
      </c>
      <c r="Q8">
        <f>+VLOOKUP("ALEMITES"&amp;P8,CODIGOS_Y_COSTOS[[ID]:[COSTO]],7,0)</f>
        <v>206.33539999999999</v>
      </c>
    </row>
    <row r="9" spans="1:17" s="9" customFormat="1" ht="60.4" customHeight="1" x14ac:dyDescent="0.2">
      <c r="A9" s="4">
        <f t="shared" si="0"/>
        <v>0</v>
      </c>
      <c r="B9" s="4"/>
      <c r="C9" s="483">
        <f t="shared" si="1"/>
        <v>0</v>
      </c>
      <c r="D9" s="4"/>
      <c r="E9" s="167">
        <f t="shared" si="2"/>
        <v>128.02680000000001</v>
      </c>
      <c r="F9" s="26">
        <f>+E9*Tabla1[[#This Row],[CANT]]</f>
        <v>0</v>
      </c>
      <c r="H9" s="4"/>
      <c r="I9" s="9">
        <v>6</v>
      </c>
      <c r="J9" s="9" t="s">
        <v>6047</v>
      </c>
      <c r="K9" s="26">
        <v>120.15899999999999</v>
      </c>
      <c r="M9" s="26">
        <v>30.8</v>
      </c>
      <c r="P9" s="9" t="s">
        <v>6046</v>
      </c>
      <c r="Q9">
        <f>+VLOOKUP("ALEMITES"&amp;P9,CODIGOS_Y_COSTOS[[ID]:[COSTO]],7,0)</f>
        <v>336.40499999999997</v>
      </c>
    </row>
    <row r="10" spans="1:17" s="9" customFormat="1" ht="58.5" customHeight="1" x14ac:dyDescent="0.2">
      <c r="A10" s="4">
        <f t="shared" si="0"/>
        <v>0</v>
      </c>
      <c r="B10" s="499"/>
      <c r="C10" s="483">
        <f t="shared" si="1"/>
        <v>0</v>
      </c>
      <c r="D10" s="4"/>
      <c r="E10" s="167">
        <f t="shared" si="2"/>
        <v>128.02680000000001</v>
      </c>
      <c r="F10" s="26">
        <f>+E10*Tabla1[[#This Row],[CANT]]</f>
        <v>0</v>
      </c>
      <c r="H10" s="4"/>
      <c r="I10" s="9">
        <v>7</v>
      </c>
      <c r="J10" s="9" t="s">
        <v>6050</v>
      </c>
      <c r="K10" s="26">
        <v>82.262699999999995</v>
      </c>
      <c r="M10" s="26">
        <v>36</v>
      </c>
      <c r="P10" s="9" t="s">
        <v>6049</v>
      </c>
      <c r="Q10">
        <f>+VLOOKUP("ALEMITES"&amp;P10,CODIGOS_Y_COSTOS[[ID]:[COSTO]],7,0)</f>
        <v>224.6182</v>
      </c>
    </row>
    <row r="11" spans="1:17" s="9" customFormat="1" ht="33" customHeight="1" x14ac:dyDescent="0.2">
      <c r="A11" s="13" t="s">
        <v>8162</v>
      </c>
      <c r="B11">
        <f>SUBTOTAL(109,Tabla1[CANT])</f>
        <v>1200</v>
      </c>
      <c r="C11"/>
      <c r="D11" s="4"/>
      <c r="E11" s="167"/>
      <c r="F11" s="26"/>
      <c r="H11" s="4"/>
      <c r="I11" s="9">
        <v>8</v>
      </c>
      <c r="J11" s="9" t="s">
        <v>6053</v>
      </c>
      <c r="K11" s="26">
        <v>72.095399999999984</v>
      </c>
      <c r="M11" s="26">
        <v>33.200000000000003</v>
      </c>
      <c r="N11" s="588" t="s">
        <v>18748</v>
      </c>
      <c r="P11" s="9" t="s">
        <v>6052</v>
      </c>
      <c r="Q11">
        <f>+VLOOKUP("ALEMITES"&amp;P11,CODIGOS_Y_COSTOS[[ID]:[COSTO]],7,0)</f>
        <v>206.33539999999999</v>
      </c>
    </row>
    <row r="12" spans="1:17" s="9" customFormat="1" ht="33.75" customHeight="1" x14ac:dyDescent="0.2">
      <c r="A12"/>
      <c r="B12" s="4"/>
      <c r="D12" s="4"/>
      <c r="E12" s="167"/>
      <c r="F12" s="26"/>
      <c r="H12" s="4"/>
      <c r="I12" s="9">
        <v>9</v>
      </c>
      <c r="J12" s="9" t="s">
        <v>6056</v>
      </c>
      <c r="K12" s="26">
        <v>120.15899999999999</v>
      </c>
      <c r="M12" s="26">
        <v>53.8</v>
      </c>
      <c r="P12" s="9" t="s">
        <v>6055</v>
      </c>
      <c r="Q12">
        <f>+VLOOKUP("ALEMITES"&amp;P12,CODIGOS_Y_COSTOS[[ID]:[COSTO]],7,0)</f>
        <v>336.40499999999997</v>
      </c>
    </row>
    <row r="13" spans="1:17" x14ac:dyDescent="0.2">
      <c r="A13" s="4"/>
      <c r="B13" s="4"/>
      <c r="C13" s="9"/>
      <c r="E13" s="167"/>
      <c r="F13" s="26"/>
      <c r="I13">
        <v>10</v>
      </c>
      <c r="J13" t="s">
        <v>6059</v>
      </c>
      <c r="K13" s="1">
        <v>120.15899999999999</v>
      </c>
      <c r="M13" s="1">
        <v>53.8</v>
      </c>
      <c r="P13" t="s">
        <v>6058</v>
      </c>
      <c r="Q13">
        <f>+VLOOKUP("ALEMITES"&amp;P13,CODIGOS_Y_COSTOS[[ID]:[COSTO]],7,0)</f>
        <v>336.40499999999997</v>
      </c>
    </row>
    <row r="14" spans="1:17" ht="33.75" customHeight="1" x14ac:dyDescent="0.25">
      <c r="E14" s="167"/>
      <c r="F14" s="26"/>
      <c r="I14">
        <v>11</v>
      </c>
      <c r="J14" t="s">
        <v>6062</v>
      </c>
      <c r="K14" s="1">
        <v>72.095399999999984</v>
      </c>
      <c r="M14" s="1">
        <v>33.200000000000003</v>
      </c>
      <c r="N14" s="574" t="s">
        <v>18749</v>
      </c>
      <c r="P14" t="s">
        <v>6061</v>
      </c>
      <c r="Q14">
        <f>+VLOOKUP("ALEMITES"&amp;P14,CODIGOS_Y_COSTOS[[ID]:[COSTO]],7,0)</f>
        <v>206.33539999999999</v>
      </c>
    </row>
    <row r="15" spans="1:17" x14ac:dyDescent="0.2">
      <c r="I15">
        <v>12</v>
      </c>
      <c r="J15" t="s">
        <v>6065</v>
      </c>
      <c r="K15" s="1">
        <v>120.15899999999999</v>
      </c>
      <c r="M15" s="1">
        <v>53.8</v>
      </c>
      <c r="P15" t="s">
        <v>6064</v>
      </c>
      <c r="Q15">
        <f>+VLOOKUP("ALEMITES"&amp;P15,CODIGOS_Y_COSTOS[[ID]:[COSTO]],7,0)</f>
        <v>336.40499999999997</v>
      </c>
    </row>
    <row r="16" spans="1:17" x14ac:dyDescent="0.2">
      <c r="A16" t="s">
        <v>18750</v>
      </c>
      <c r="I16">
        <v>13</v>
      </c>
      <c r="J16" t="s">
        <v>6068</v>
      </c>
      <c r="K16" s="1">
        <v>120.15899999999999</v>
      </c>
      <c r="M16" s="1">
        <v>53.8</v>
      </c>
      <c r="P16" t="s">
        <v>6067</v>
      </c>
      <c r="Q16">
        <f>+VLOOKUP("ALEMITES"&amp;P16,CODIGOS_Y_COSTOS[[ID]:[COSTO]],7,0)</f>
        <v>336.40499999999997</v>
      </c>
    </row>
    <row r="17" spans="1:17" ht="15" x14ac:dyDescent="0.25">
      <c r="I17">
        <v>14</v>
      </c>
      <c r="J17" t="s">
        <v>6071</v>
      </c>
      <c r="K17" s="1">
        <v>44.366399999999992</v>
      </c>
      <c r="M17" s="1">
        <v>47</v>
      </c>
      <c r="N17" s="574" t="s">
        <v>18751</v>
      </c>
      <c r="P17" t="s">
        <v>6070</v>
      </c>
      <c r="Q17">
        <f>+VLOOKUP("ALEMITES"&amp;P17,CODIGOS_Y_COSTOS[[ID]:[COSTO]],7,0)</f>
        <v>128.02680000000001</v>
      </c>
    </row>
    <row r="18" spans="1:17" x14ac:dyDescent="0.2">
      <c r="I18">
        <v>15</v>
      </c>
      <c r="J18" t="s">
        <v>6074</v>
      </c>
      <c r="K18" s="1">
        <v>120.15899999999999</v>
      </c>
      <c r="M18" s="1">
        <v>53.8</v>
      </c>
      <c r="P18" t="s">
        <v>6073</v>
      </c>
      <c r="Q18">
        <f>+VLOOKUP("ALEMITES"&amp;P18,CODIGOS_Y_COSTOS[[ID]:[COSTO]],7,0)</f>
        <v>336.40499999999997</v>
      </c>
    </row>
    <row r="19" spans="1:17" ht="13.5" thickBot="1" x14ac:dyDescent="0.25">
      <c r="A19" t="s">
        <v>18752</v>
      </c>
      <c r="I19">
        <v>16</v>
      </c>
      <c r="J19" t="s">
        <v>6078</v>
      </c>
      <c r="K19" s="1">
        <v>120.15899999999999</v>
      </c>
      <c r="M19" s="1">
        <v>53.8</v>
      </c>
      <c r="P19" t="s">
        <v>6077</v>
      </c>
      <c r="Q19">
        <f>+VLOOKUP("ALEMITES"&amp;P19,CODIGOS_Y_COSTOS[[ID]:[COSTO]],7,0)</f>
        <v>336.40499999999997</v>
      </c>
    </row>
    <row r="20" spans="1:17" ht="15.75" thickBot="1" x14ac:dyDescent="0.25">
      <c r="A20" t="s">
        <v>18753</v>
      </c>
      <c r="I20">
        <v>17</v>
      </c>
      <c r="J20" t="s">
        <v>6082</v>
      </c>
      <c r="K20" s="1">
        <v>73.943999999999988</v>
      </c>
      <c r="M20" s="1">
        <v>112</v>
      </c>
      <c r="N20" s="575" t="s">
        <v>18754</v>
      </c>
      <c r="P20" t="s">
        <v>6081</v>
      </c>
      <c r="Q20">
        <f>+VLOOKUP("ALEMITES"&amp;P20,CODIGOS_Y_COSTOS[[ID]:[COSTO]],7,0)</f>
        <v>300.36160000000001</v>
      </c>
    </row>
    <row r="21" spans="1:17" x14ac:dyDescent="0.2">
      <c r="I21">
        <v>18</v>
      </c>
      <c r="J21" t="s">
        <v>6085</v>
      </c>
      <c r="K21" s="1">
        <v>110.916</v>
      </c>
      <c r="M21" s="1">
        <v>26.4</v>
      </c>
      <c r="P21" t="s">
        <v>6084</v>
      </c>
      <c r="Q21">
        <f>+VLOOKUP("ALEMITES"&amp;P21,CODIGOS_Y_COSTOS[[ID]:[COSTO]],7,0)</f>
        <v>300.36160000000001</v>
      </c>
    </row>
    <row r="22" spans="1:17" ht="15" x14ac:dyDescent="0.25">
      <c r="I22">
        <v>19</v>
      </c>
      <c r="J22" t="s">
        <v>6088</v>
      </c>
      <c r="K22" s="1">
        <v>199.64879999999997</v>
      </c>
      <c r="M22" s="1">
        <v>133</v>
      </c>
      <c r="N22" s="574" t="s">
        <v>18755</v>
      </c>
      <c r="P22" t="s">
        <v>6087</v>
      </c>
      <c r="Q22">
        <f>+VLOOKUP("ALEMITES"&amp;P22,CODIGOS_Y_COSTOS[[ID]:[COSTO]],7,0)</f>
        <v>718.25599999999997</v>
      </c>
    </row>
    <row r="23" spans="1:17" ht="15" x14ac:dyDescent="0.25">
      <c r="I23">
        <v>20</v>
      </c>
      <c r="J23" t="s">
        <v>6091</v>
      </c>
      <c r="K23" s="1">
        <v>207.04320000000001</v>
      </c>
      <c r="M23" s="1">
        <v>134</v>
      </c>
      <c r="N23" s="574" t="s">
        <v>18756</v>
      </c>
      <c r="P23" t="s">
        <v>6090</v>
      </c>
      <c r="Q23">
        <f>+VLOOKUP("ALEMITES"&amp;P23,CODIGOS_Y_COSTOS[[ID]:[COSTO]],7,0)</f>
        <v>726.0915</v>
      </c>
    </row>
    <row r="24" spans="1:17" ht="15" x14ac:dyDescent="0.25">
      <c r="D24" s="623" t="s">
        <v>18757</v>
      </c>
      <c r="E24" s="626"/>
      <c r="I24">
        <v>21</v>
      </c>
      <c r="J24" t="s">
        <v>6094</v>
      </c>
      <c r="K24" s="1">
        <v>107.21879999999999</v>
      </c>
      <c r="M24" s="1">
        <v>53.8</v>
      </c>
      <c r="N24" s="574" t="s">
        <v>18758</v>
      </c>
      <c r="P24" t="s">
        <v>6093</v>
      </c>
      <c r="Q24">
        <f>+VLOOKUP("ALEMITES"&amp;P24,CODIGOS_Y_COSTOS[[ID]:[COSTO]],7,0)</f>
        <v>336.40499999999997</v>
      </c>
    </row>
    <row r="25" spans="1:17" ht="16.899999999999999" customHeight="1" x14ac:dyDescent="0.2">
      <c r="A25" s="621" t="s">
        <v>2</v>
      </c>
      <c r="B25" s="622" t="s">
        <v>8977</v>
      </c>
      <c r="C25" s="622" t="s">
        <v>8759</v>
      </c>
      <c r="D25" s="623" t="s">
        <v>18757</v>
      </c>
      <c r="E25" s="165"/>
      <c r="I25">
        <v>22</v>
      </c>
      <c r="J25" t="s">
        <v>6097</v>
      </c>
      <c r="K25" s="1">
        <v>147.88799999999998</v>
      </c>
      <c r="M25" s="1">
        <v>46</v>
      </c>
      <c r="P25" t="s">
        <v>6096</v>
      </c>
      <c r="Q25">
        <f>+VLOOKUP("ALEMITES"&amp;P25,CODIGOS_Y_COSTOS[[ID]:[COSTO]],7,0)</f>
        <v>493.63780000000003</v>
      </c>
    </row>
    <row r="26" spans="1:17" ht="16.899999999999999" customHeight="1" x14ac:dyDescent="0.2">
      <c r="A26" s="161">
        <v>1</v>
      </c>
      <c r="B26" s="640" t="s">
        <v>6032</v>
      </c>
      <c r="C26" s="624"/>
      <c r="D26" s="162" t="e" vm="30">
        <v>#VALUE!</v>
      </c>
      <c r="E26" s="165"/>
      <c r="I26">
        <v>23</v>
      </c>
      <c r="J26" t="s">
        <v>6100</v>
      </c>
      <c r="K26" s="1">
        <v>147.88799999999998</v>
      </c>
      <c r="M26" s="1">
        <v>80</v>
      </c>
      <c r="P26" t="s">
        <v>6099</v>
      </c>
      <c r="Q26">
        <f>+VLOOKUP("ALEMITES"&amp;P26,CODIGOS_Y_COSTOS[[ID]:[COSTO]],7,0)</f>
        <v>493.63780000000003</v>
      </c>
    </row>
    <row r="27" spans="1:17" s="627" customFormat="1" ht="16.899999999999999" customHeight="1" x14ac:dyDescent="0.2">
      <c r="A27" s="161">
        <v>2</v>
      </c>
      <c r="B27" s="640" t="s">
        <v>6035</v>
      </c>
      <c r="C27" s="624"/>
      <c r="D27" s="162" t="e" vm="31">
        <v>#VALUE!</v>
      </c>
      <c r="E27" s="165"/>
    </row>
    <row r="28" spans="1:17" s="166" customFormat="1" ht="16.899999999999999" customHeight="1" x14ac:dyDescent="0.2">
      <c r="A28" s="161">
        <v>3</v>
      </c>
      <c r="B28" s="640" t="s">
        <v>18759</v>
      </c>
      <c r="C28" s="624"/>
      <c r="D28" s="162" t="e" vm="32">
        <v>#VALUE!</v>
      </c>
      <c r="E28" s="165"/>
    </row>
    <row r="29" spans="1:17" s="166" customFormat="1" ht="16.899999999999999" customHeight="1" x14ac:dyDescent="0.2">
      <c r="A29" s="161">
        <v>4</v>
      </c>
      <c r="B29" s="640" t="s">
        <v>6041</v>
      </c>
      <c r="C29" s="624"/>
      <c r="D29" s="162" t="e" vm="33">
        <v>#VALUE!</v>
      </c>
      <c r="E29" s="165"/>
    </row>
    <row r="30" spans="1:17" s="166" customFormat="1" ht="16.899999999999999" customHeight="1" x14ac:dyDescent="0.2">
      <c r="A30" s="161">
        <v>5</v>
      </c>
      <c r="B30" s="640" t="s">
        <v>6044</v>
      </c>
      <c r="C30" s="624"/>
      <c r="D30" s="162" t="e" vm="34">
        <v>#VALUE!</v>
      </c>
      <c r="E30" s="165"/>
    </row>
    <row r="31" spans="1:17" s="166" customFormat="1" ht="16.899999999999999" customHeight="1" x14ac:dyDescent="0.2">
      <c r="A31" s="161">
        <v>6</v>
      </c>
      <c r="B31" s="640" t="s">
        <v>6047</v>
      </c>
      <c r="C31" s="624"/>
      <c r="D31" s="162" t="e" vm="35">
        <v>#VALUE!</v>
      </c>
      <c r="E31" s="165"/>
    </row>
    <row r="32" spans="1:17" s="166" customFormat="1" ht="16.899999999999999" customHeight="1" x14ac:dyDescent="0.2">
      <c r="A32" s="161">
        <v>7</v>
      </c>
      <c r="B32" s="640" t="s">
        <v>6050</v>
      </c>
      <c r="C32" s="624"/>
      <c r="D32" s="162" t="e" vm="36">
        <v>#VALUE!</v>
      </c>
      <c r="E32" s="165"/>
    </row>
    <row r="33" spans="1:5" s="166" customFormat="1" ht="16.899999999999999" customHeight="1" x14ac:dyDescent="0.2">
      <c r="A33" s="161">
        <v>8</v>
      </c>
      <c r="B33" s="640" t="s">
        <v>6053</v>
      </c>
      <c r="C33" s="624"/>
      <c r="D33" s="162" t="e" vm="37">
        <v>#VALUE!</v>
      </c>
      <c r="E33" s="165"/>
    </row>
    <row r="34" spans="1:5" s="166" customFormat="1" ht="16.899999999999999" customHeight="1" x14ac:dyDescent="0.2">
      <c r="A34" s="161">
        <v>9</v>
      </c>
      <c r="B34" s="640" t="s">
        <v>18760</v>
      </c>
      <c r="C34" s="624"/>
      <c r="D34" s="162" t="e" vm="38">
        <v>#VALUE!</v>
      </c>
      <c r="E34" s="165"/>
    </row>
    <row r="35" spans="1:5" s="166" customFormat="1" ht="16.899999999999999" customHeight="1" x14ac:dyDescent="0.2">
      <c r="A35" s="161">
        <v>10</v>
      </c>
      <c r="B35" s="640" t="s">
        <v>18761</v>
      </c>
      <c r="C35" s="624"/>
      <c r="D35" s="162" t="e" vm="39">
        <v>#VALUE!</v>
      </c>
      <c r="E35" s="165"/>
    </row>
    <row r="36" spans="1:5" s="166" customFormat="1" ht="16.899999999999999" customHeight="1" x14ac:dyDescent="0.2">
      <c r="A36" s="161">
        <v>11</v>
      </c>
      <c r="B36" s="640" t="s">
        <v>6062</v>
      </c>
      <c r="C36" s="624"/>
      <c r="D36" s="162" t="e" vm="40">
        <v>#VALUE!</v>
      </c>
      <c r="E36" s="165"/>
    </row>
    <row r="37" spans="1:5" s="166" customFormat="1" ht="16.899999999999999" customHeight="1" x14ac:dyDescent="0.2">
      <c r="A37" s="161">
        <v>12</v>
      </c>
      <c r="B37" s="641" t="s">
        <v>6065</v>
      </c>
      <c r="C37" s="624"/>
      <c r="D37" s="162" t="e" vm="41">
        <v>#VALUE!</v>
      </c>
      <c r="E37" s="165"/>
    </row>
    <row r="38" spans="1:5" s="166" customFormat="1" ht="16.899999999999999" customHeight="1" x14ac:dyDescent="0.2">
      <c r="A38" s="161">
        <v>13</v>
      </c>
      <c r="B38" s="640" t="s">
        <v>6068</v>
      </c>
      <c r="C38" s="624"/>
      <c r="D38" s="162" t="e" vm="42">
        <v>#VALUE!</v>
      </c>
      <c r="E38" s="165"/>
    </row>
    <row r="39" spans="1:5" s="166" customFormat="1" ht="16.899999999999999" customHeight="1" x14ac:dyDescent="0.2">
      <c r="A39" s="161">
        <v>14</v>
      </c>
      <c r="B39" s="640" t="s">
        <v>6071</v>
      </c>
      <c r="C39" s="624"/>
      <c r="D39" s="162" t="e" vm="43">
        <v>#VALUE!</v>
      </c>
      <c r="E39" s="165"/>
    </row>
    <row r="40" spans="1:5" s="166" customFormat="1" ht="16.899999999999999" customHeight="1" x14ac:dyDescent="0.2">
      <c r="A40" s="161">
        <v>15</v>
      </c>
      <c r="B40" s="640" t="s">
        <v>18762</v>
      </c>
      <c r="C40" s="624"/>
      <c r="D40" s="162" t="e" vm="44">
        <v>#VALUE!</v>
      </c>
      <c r="E40" s="165"/>
    </row>
    <row r="41" spans="1:5" s="166" customFormat="1" ht="16.899999999999999" customHeight="1" x14ac:dyDescent="0.2">
      <c r="A41" s="161">
        <v>16</v>
      </c>
      <c r="B41" s="640" t="s">
        <v>18763</v>
      </c>
      <c r="C41" s="624"/>
      <c r="D41" s="162" t="e" vm="45">
        <v>#VALUE!</v>
      </c>
      <c r="E41" s="165"/>
    </row>
    <row r="42" spans="1:5" s="166" customFormat="1" ht="16.899999999999999" customHeight="1" x14ac:dyDescent="0.2">
      <c r="A42" s="161">
        <v>17</v>
      </c>
      <c r="B42" s="640" t="s">
        <v>6082</v>
      </c>
      <c r="C42" s="624"/>
      <c r="D42" s="162" t="e" vm="46">
        <v>#VALUE!</v>
      </c>
      <c r="E42" s="165"/>
    </row>
    <row r="43" spans="1:5" s="166" customFormat="1" ht="16.899999999999999" customHeight="1" x14ac:dyDescent="0.2">
      <c r="A43" s="161">
        <v>18</v>
      </c>
      <c r="B43" s="640" t="s">
        <v>6085</v>
      </c>
      <c r="C43" s="624"/>
      <c r="D43" s="162" t="e" vm="47">
        <v>#VALUE!</v>
      </c>
      <c r="E43" s="165"/>
    </row>
    <row r="44" spans="1:5" s="166" customFormat="1" ht="16.899999999999999" customHeight="1" x14ac:dyDescent="0.2">
      <c r="A44" s="161">
        <v>19</v>
      </c>
      <c r="B44" s="640" t="s">
        <v>18764</v>
      </c>
      <c r="C44" s="624"/>
      <c r="D44" s="162" t="e" vm="48">
        <v>#VALUE!</v>
      </c>
      <c r="E44" s="165"/>
    </row>
    <row r="45" spans="1:5" s="166" customFormat="1" ht="16.899999999999999" customHeight="1" x14ac:dyDescent="0.2">
      <c r="A45" s="161">
        <v>20</v>
      </c>
      <c r="B45" s="640" t="s">
        <v>18765</v>
      </c>
      <c r="C45" s="624"/>
      <c r="D45" s="162" t="e" vm="49">
        <v>#VALUE!</v>
      </c>
      <c r="E45" s="165"/>
    </row>
    <row r="46" spans="1:5" s="166" customFormat="1" ht="16.899999999999999" customHeight="1" x14ac:dyDescent="0.2">
      <c r="A46" s="161">
        <v>21</v>
      </c>
      <c r="B46" s="640" t="s">
        <v>6094</v>
      </c>
      <c r="C46" s="624"/>
      <c r="D46" s="162" t="e" vm="50">
        <v>#VALUE!</v>
      </c>
      <c r="E46" s="165"/>
    </row>
    <row r="47" spans="1:5" s="166" customFormat="1" ht="16.899999999999999" customHeight="1" x14ac:dyDescent="0.2">
      <c r="A47" s="161">
        <v>22</v>
      </c>
      <c r="B47" s="640" t="s">
        <v>6097</v>
      </c>
      <c r="C47" s="624"/>
      <c r="D47" s="162" t="e" vm="51">
        <v>#VALUE!</v>
      </c>
      <c r="E47" s="165"/>
    </row>
    <row r="48" spans="1:5" s="166" customFormat="1" ht="85.15" customHeight="1" thickBot="1" x14ac:dyDescent="0.25">
      <c r="A48" s="163">
        <v>23</v>
      </c>
      <c r="B48" s="642" t="s">
        <v>6100</v>
      </c>
      <c r="C48" s="625"/>
      <c r="D48" s="164" t="e" vm="52">
        <v>#VALUE!</v>
      </c>
      <c r="E48"/>
    </row>
    <row r="49" spans="1:5" s="166" customFormat="1" ht="85.15" customHeight="1" x14ac:dyDescent="0.2">
      <c r="A49"/>
      <c r="B49"/>
      <c r="C49"/>
      <c r="D49" s="4"/>
      <c r="E49"/>
    </row>
    <row r="50" spans="1:5" s="166" customFormat="1" ht="85.15" customHeight="1" x14ac:dyDescent="0.2">
      <c r="A50"/>
      <c r="B50"/>
      <c r="C50"/>
      <c r="D50" s="4"/>
      <c r="E50"/>
    </row>
  </sheetData>
  <autoFilter ref="I1:M26" xr:uid="{C36ECBA3-9300-448D-A348-023314CB9CCB}"/>
  <mergeCells count="1">
    <mergeCell ref="A1:C1"/>
  </mergeCells>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17355-312D-4440-A42B-CF78931B2E31}">
  <sheetPr codeName="Hoja19"/>
  <dimension ref="A1:AX79"/>
  <sheetViews>
    <sheetView showGridLines="0" topLeftCell="X1" zoomScaleNormal="100" workbookViewId="0">
      <pane ySplit="2" topLeftCell="A3" activePane="bottomLeft" state="frozen"/>
      <selection activeCell="G12" sqref="G12"/>
      <selection pane="bottomLeft" activeCell="AK10" sqref="AK10"/>
    </sheetView>
  </sheetViews>
  <sheetFormatPr baseColWidth="10" defaultColWidth="10.7109375" defaultRowHeight="12.75" outlineLevelCol="1" x14ac:dyDescent="0.2"/>
  <cols>
    <col min="1" max="1" width="15.28515625" style="9" customWidth="1"/>
    <col min="2" max="2" width="13.85546875" style="9" customWidth="1"/>
    <col min="3" max="3" width="2.5703125" style="9" customWidth="1"/>
    <col min="4" max="4" width="9.7109375" style="4" bestFit="1" customWidth="1"/>
    <col min="5" max="5" width="12.85546875" style="4" bestFit="1" customWidth="1"/>
    <col min="6" max="6" width="2.5703125" style="9" customWidth="1"/>
    <col min="7" max="7" width="11.85546875" style="9" bestFit="1" customWidth="1"/>
    <col min="8" max="8" width="6" style="9" customWidth="1"/>
    <col min="9" max="9" width="12.85546875" style="9" bestFit="1" customWidth="1"/>
    <col min="10" max="10" width="10.7109375" style="9"/>
    <col min="11" max="14" width="10.85546875" style="9" bestFit="1" customWidth="1"/>
    <col min="15" max="15" width="2" style="9" customWidth="1"/>
    <col min="16" max="16" width="14.28515625" style="9" customWidth="1"/>
    <col min="17" max="17" width="0" style="9" hidden="1" customWidth="1"/>
    <col min="18" max="18" width="13.28515625" style="9" customWidth="1"/>
    <col min="19" max="19" width="1.7109375" style="9" hidden="1" customWidth="1"/>
    <col min="20" max="21" width="10.7109375" style="9"/>
    <col min="22" max="22" width="14" style="9" customWidth="1"/>
    <col min="23" max="23" width="3.7109375" style="9" customWidth="1"/>
    <col min="24" max="24" width="11.7109375" style="9" bestFit="1" customWidth="1"/>
    <col min="25" max="25" width="0" style="9" hidden="1" customWidth="1"/>
    <col min="26" max="26" width="15" style="9" customWidth="1"/>
    <col min="27" max="27" width="0" style="9" hidden="1" customWidth="1"/>
    <col min="28" max="28" width="2" style="9" bestFit="1" customWidth="1"/>
    <col min="29" max="29" width="9" style="4" bestFit="1" customWidth="1"/>
    <col min="30" max="30" width="5.5703125" style="9" customWidth="1"/>
    <col min="31" max="31" width="7.5703125" style="9" bestFit="1" customWidth="1"/>
    <col min="32" max="32" width="12.7109375" style="9" bestFit="1" customWidth="1"/>
    <col min="33" max="33" width="2.28515625" style="9" customWidth="1"/>
    <col min="34" max="34" width="8" style="4" bestFit="1" customWidth="1"/>
    <col min="35" max="35" width="6.28515625" style="9" customWidth="1"/>
    <col min="36" max="36" width="7.28515625" style="9" bestFit="1" customWidth="1"/>
    <col min="37" max="37" width="14" style="9" customWidth="1"/>
    <col min="38" max="38" width="10.7109375" style="9"/>
    <col min="39" max="39" width="12" style="9" customWidth="1"/>
    <col min="40" max="41" width="10.7109375" style="9"/>
    <col min="42" max="42" width="10.7109375" style="9" hidden="1" customWidth="1" outlineLevel="1"/>
    <col min="43" max="43" width="13.28515625" style="9" hidden="1" customWidth="1" outlineLevel="1"/>
    <col min="44" max="44" width="2" style="9" customWidth="1" collapsed="1"/>
    <col min="45" max="45" width="14.5703125" style="9" customWidth="1"/>
    <col min="46" max="49" width="10.7109375" style="9"/>
    <col min="50" max="50" width="12.5703125" style="9" bestFit="1" customWidth="1"/>
    <col min="51" max="16384" width="10.7109375" style="9"/>
  </cols>
  <sheetData>
    <row r="1" spans="1:50" ht="27.75" customHeight="1" thickBot="1" x14ac:dyDescent="0.25">
      <c r="A1" s="1551" t="s">
        <v>18766</v>
      </c>
      <c r="B1" s="1552"/>
      <c r="D1" s="465" t="s">
        <v>5941</v>
      </c>
      <c r="E1" s="587">
        <f>+SUM(E3:E69)</f>
        <v>124694.5</v>
      </c>
      <c r="G1" s="30" t="s">
        <v>8802</v>
      </c>
      <c r="I1" s="26">
        <f>+E1*1.21</f>
        <v>150880.345</v>
      </c>
      <c r="J1" s="1553" t="s">
        <v>18767</v>
      </c>
      <c r="K1" s="1554"/>
      <c r="L1" s="1555"/>
      <c r="M1" s="914"/>
      <c r="N1" s="915">
        <v>0.3</v>
      </c>
      <c r="P1" s="904" t="s">
        <v>18768</v>
      </c>
      <c r="Q1" s="892"/>
      <c r="R1" s="892"/>
      <c r="S1" s="892"/>
      <c r="T1" s="892"/>
      <c r="U1" s="892"/>
      <c r="V1" s="892"/>
      <c r="W1" s="892"/>
      <c r="X1" s="892"/>
      <c r="Y1" s="892"/>
      <c r="Z1" s="892"/>
      <c r="AA1" s="892"/>
      <c r="AK1" s="908">
        <f>+AK2+AF2</f>
        <v>85232.738685000004</v>
      </c>
      <c r="AM1" s="1556" t="s">
        <v>18769</v>
      </c>
      <c r="AN1" s="1557"/>
      <c r="AO1" s="1558"/>
      <c r="AP1" s="933"/>
      <c r="AQ1" s="934">
        <f>+SUM(AQ3:AQ17)</f>
        <v>85232.738685000004</v>
      </c>
      <c r="AS1" s="1551" t="s">
        <v>18766</v>
      </c>
      <c r="AT1" s="1552"/>
      <c r="AW1" s="9" t="s">
        <v>18770</v>
      </c>
      <c r="AX1" s="27">
        <f>+AK1</f>
        <v>85232.738685000004</v>
      </c>
    </row>
    <row r="2" spans="1:50" ht="19.5" thickBot="1" x14ac:dyDescent="0.25">
      <c r="A2" s="619" t="s">
        <v>9007</v>
      </c>
      <c r="B2" s="619" t="s">
        <v>9350</v>
      </c>
      <c r="D2" s="465" t="s">
        <v>8754</v>
      </c>
      <c r="E2" s="465" t="s">
        <v>8162</v>
      </c>
      <c r="G2" s="82" t="s">
        <v>4624</v>
      </c>
      <c r="H2" s="9" t="s">
        <v>8344</v>
      </c>
      <c r="J2" s="916" t="s">
        <v>9007</v>
      </c>
      <c r="K2" s="917" t="s">
        <v>18771</v>
      </c>
      <c r="L2" s="918">
        <v>0</v>
      </c>
      <c r="M2" s="919" t="s">
        <v>18772</v>
      </c>
      <c r="N2" s="920" t="s">
        <v>18773</v>
      </c>
      <c r="P2" s="26"/>
      <c r="Q2" s="905" t="s">
        <v>18774</v>
      </c>
      <c r="R2" s="893"/>
      <c r="S2" s="893"/>
      <c r="T2" s="893"/>
      <c r="U2" s="893"/>
      <c r="V2" s="893"/>
      <c r="W2" s="893"/>
      <c r="X2" s="893"/>
      <c r="Y2" s="893"/>
      <c r="Z2" s="893"/>
      <c r="AA2" s="396"/>
      <c r="AE2" s="82" t="s">
        <v>8154</v>
      </c>
      <c r="AF2" s="280">
        <f>+SUM(AF5:AF27)</f>
        <v>25475.337084999999</v>
      </c>
      <c r="AJ2" s="82" t="s">
        <v>8154</v>
      </c>
      <c r="AK2" s="280">
        <f>+SUM(AK5:AK20)</f>
        <v>59757.401600000005</v>
      </c>
      <c r="AM2" s="935" t="s">
        <v>9007</v>
      </c>
      <c r="AN2" s="936" t="s">
        <v>9008</v>
      </c>
      <c r="AO2" s="937" t="s">
        <v>8753</v>
      </c>
      <c r="AP2" s="43" t="s">
        <v>8326</v>
      </c>
      <c r="AQ2" s="43" t="s">
        <v>9081</v>
      </c>
      <c r="AS2" s="619" t="s">
        <v>9007</v>
      </c>
      <c r="AT2" s="619" t="s">
        <v>9350</v>
      </c>
      <c r="AW2" s="9" t="s">
        <v>18775</v>
      </c>
      <c r="AX2" s="27">
        <f>+E1</f>
        <v>124694.5</v>
      </c>
    </row>
    <row r="3" spans="1:50" ht="19.5" thickBot="1" x14ac:dyDescent="0.25">
      <c r="A3" s="4" t="s">
        <v>5302</v>
      </c>
      <c r="B3" s="4">
        <v>1000</v>
      </c>
      <c r="D3" s="396">
        <f>IFERROR(VLOOKUP(Tabla16[[#This Row],[MEDIDA]],$J$1:$N$39,5,0),0)</f>
        <v>21.525700000000001</v>
      </c>
      <c r="E3" s="396">
        <f>+D3*Tabla16[[#This Row],[CANT]]</f>
        <v>21525.7</v>
      </c>
      <c r="G3" s="26">
        <f>IFERROR(VLOOKUP(Tabla16[[#This Row],[MEDIDA]],$J$1:$L$39,3,0),0)</f>
        <v>21.525700000000001</v>
      </c>
      <c r="H3" s="28">
        <f t="shared" ref="H3:H20" si="0">+IFERROR(G3/D3-1,"")</f>
        <v>0</v>
      </c>
      <c r="J3" s="208" t="s">
        <v>5940</v>
      </c>
      <c r="K3" s="391">
        <f>+VLOOKUP("CHAVETAS PARTIDAS"&amp;J3,CODIGOS_Y_COSTOS[[ID]:[COSTO]],7,0)</f>
        <v>4.5004999999999997</v>
      </c>
      <c r="L3" s="76">
        <f>+(1-$L$2)*K3</f>
        <v>4.5004999999999997</v>
      </c>
      <c r="M3" s="921">
        <f>+VLOOKUP("CHAVETAS PARTIDAS"&amp;J3,CODIGOS_Y_COSTOS[[ID]:[COSTO]],7,0)</f>
        <v>4.5004999999999997</v>
      </c>
      <c r="N3" s="922">
        <f t="shared" ref="N3:N38" si="1">+M3</f>
        <v>4.5004999999999997</v>
      </c>
      <c r="P3" s="906" t="s">
        <v>18776</v>
      </c>
      <c r="Q3" s="906"/>
      <c r="R3" s="894"/>
      <c r="S3" s="894"/>
      <c r="T3" s="894"/>
      <c r="U3" s="895"/>
      <c r="V3" s="907" t="s">
        <v>18777</v>
      </c>
      <c r="W3" s="894"/>
      <c r="X3" s="894"/>
      <c r="Y3" s="894"/>
      <c r="Z3" s="894"/>
      <c r="AA3" s="894"/>
      <c r="AC3" s="1543" t="s">
        <v>18778</v>
      </c>
      <c r="AD3" s="1544"/>
      <c r="AE3" s="1544"/>
      <c r="AF3" s="1545"/>
      <c r="AH3" s="1543" t="s">
        <v>18779</v>
      </c>
      <c r="AI3" s="1544"/>
      <c r="AJ3" s="1544"/>
      <c r="AK3" s="1545"/>
      <c r="AL3" s="9">
        <v>1</v>
      </c>
      <c r="AM3" s="199" t="str">
        <f t="shared" ref="AM3:AM17" si="2">IFERROR(IFERROR(VLOOKUP(AL3,$AB$5:$AD$20,2,0),VLOOKUP(AL3,$AG$5:$AI$20,2,0)),"")</f>
        <v>6 x 130</v>
      </c>
      <c r="AN3" s="20" t="str">
        <f t="shared" ref="AN3:AN17" si="3">+IF(AM3="","",IF(AL3&lt;=MAX($AB$5:$AB$20),$AC$3,$AH$3))</f>
        <v>Tipo R</v>
      </c>
      <c r="AO3" s="10">
        <f t="shared" ref="AO3:AO17" si="4">IFERROR(IFERROR(VLOOKUP(AL3,$AB$5:$AD$20,3,0),VLOOKUP(AL3,$AG$5:$AI$20,3,0)),"")</f>
        <v>50</v>
      </c>
      <c r="AP3" s="690">
        <f t="shared" ref="AP3:AP17" si="5">IFERROR(IFERROR(VLOOKUP(AL3,$AB$5:$AF$20,4,0),VLOOKUP(AL3,$AG$5:$AK$20,4,0)),"")</f>
        <v>509.50674170000002</v>
      </c>
      <c r="AQ3" s="724">
        <f t="shared" ref="AQ3:AQ17" si="6">IFERROR(AO3*AP3,0)</f>
        <v>25475.337084999999</v>
      </c>
      <c r="AS3" s="4" t="str">
        <f>+IF(Tabla16[[#This Row],[MEDIDA]]=0,"",Tabla16[[#This Row],[MEDIDA]])</f>
        <v>3 x 50</v>
      </c>
      <c r="AT3" s="4">
        <f>IF(Tabla16[[#This Row],[CANT]]=0,"",Tabla16[[#This Row],[CANT]])</f>
        <v>1000</v>
      </c>
      <c r="AW3" s="912" t="s">
        <v>8154</v>
      </c>
      <c r="AX3" s="913">
        <f>+SUM(AX1:AX2)</f>
        <v>209927.23868499999</v>
      </c>
    </row>
    <row r="4" spans="1:50" ht="19.5" thickBot="1" x14ac:dyDescent="0.25">
      <c r="A4" s="4" t="s">
        <v>6002</v>
      </c>
      <c r="B4" s="4">
        <v>1000</v>
      </c>
      <c r="D4" s="396">
        <f>IFERROR(VLOOKUP(Tabla16[[#This Row],[MEDIDA]],$J$1:$N$39,5,0),0)</f>
        <v>34.009900000000002</v>
      </c>
      <c r="E4" s="396">
        <f>+D4*Tabla16[[#This Row],[CANT]]</f>
        <v>34009.9</v>
      </c>
      <c r="G4" s="26">
        <f>IFERROR(VLOOKUP(Tabla16[[#This Row],[MEDIDA]],$J$1:$L$39,3,0),0)</f>
        <v>34.009900000000002</v>
      </c>
      <c r="H4" s="28">
        <f t="shared" si="0"/>
        <v>0</v>
      </c>
      <c r="J4" s="208" t="s">
        <v>5944</v>
      </c>
      <c r="K4" s="391">
        <f>+VLOOKUP("CHAVETAS PARTIDAS"&amp;J4,CODIGOS_Y_COSTOS[[ID]:[COSTO]],7,0)</f>
        <v>5.0189000000000004</v>
      </c>
      <c r="L4" s="76">
        <f t="shared" ref="L4:L38" si="7">+(1-$L$2)*K4</f>
        <v>5.0189000000000004</v>
      </c>
      <c r="M4" s="921">
        <f>+VLOOKUP("CHAVETAS PARTIDAS"&amp;J4,CODIGOS_Y_COSTOS[[ID]:[COSTO]],7,0)</f>
        <v>5.0189000000000004</v>
      </c>
      <c r="N4" s="922">
        <f t="shared" si="1"/>
        <v>5.0189000000000004</v>
      </c>
      <c r="P4" s="883" t="s">
        <v>18780</v>
      </c>
      <c r="Q4" s="883" t="s">
        <v>8323</v>
      </c>
      <c r="R4" s="886" t="s">
        <v>18781</v>
      </c>
      <c r="S4" s="887"/>
      <c r="T4" s="884" t="s">
        <v>18782</v>
      </c>
      <c r="U4" s="885" t="s">
        <v>18783</v>
      </c>
      <c r="V4" s="883" t="s">
        <v>18780</v>
      </c>
      <c r="W4" s="883" t="s">
        <v>8323</v>
      </c>
      <c r="X4" s="886" t="s">
        <v>18781</v>
      </c>
      <c r="Y4" s="888"/>
      <c r="Z4" s="883" t="s">
        <v>18784</v>
      </c>
      <c r="AA4" s="883"/>
      <c r="AC4" s="909" t="s">
        <v>8977</v>
      </c>
      <c r="AD4" s="932" t="s">
        <v>8937</v>
      </c>
      <c r="AE4" s="910" t="s">
        <v>18785</v>
      </c>
      <c r="AF4" s="911" t="s">
        <v>9081</v>
      </c>
      <c r="AG4" s="9">
        <f>+MAX(AB5:AB20)</f>
        <v>1</v>
      </c>
      <c r="AH4" s="909" t="s">
        <v>8977</v>
      </c>
      <c r="AI4" s="932" t="s">
        <v>8937</v>
      </c>
      <c r="AJ4" s="910" t="s">
        <v>18785</v>
      </c>
      <c r="AK4" s="911" t="s">
        <v>9081</v>
      </c>
      <c r="AL4" s="9">
        <f>+AL3+1</f>
        <v>2</v>
      </c>
      <c r="AM4" s="101" t="str">
        <f t="shared" si="2"/>
        <v>2.5 x 125</v>
      </c>
      <c r="AN4" s="19" t="str">
        <f t="shared" si="3"/>
        <v>Tipo ALF</v>
      </c>
      <c r="AO4" s="11">
        <f t="shared" si="4"/>
        <v>100</v>
      </c>
      <c r="AP4" s="690">
        <f t="shared" si="5"/>
        <v>276.79808000000003</v>
      </c>
      <c r="AQ4" s="724">
        <f t="shared" si="6"/>
        <v>27679.808000000005</v>
      </c>
      <c r="AS4" s="4" t="str">
        <f>+IF(Tabla16[[#This Row],[MEDIDA]]=0,"",Tabla16[[#This Row],[MEDIDA]])</f>
        <v>4 x 60</v>
      </c>
      <c r="AT4" s="4">
        <f>IF(Tabla16[[#This Row],[CANT]]=0,"",Tabla16[[#This Row],[CANT]])</f>
        <v>1000</v>
      </c>
    </row>
    <row r="5" spans="1:50" ht="15.75" x14ac:dyDescent="0.2">
      <c r="A5" s="4" t="s">
        <v>5350</v>
      </c>
      <c r="B5" s="4">
        <v>1000</v>
      </c>
      <c r="D5" s="396">
        <f>IFERROR(VLOOKUP(Tabla16[[#This Row],[MEDIDA]],$J$1:$N$39,5,0),0)</f>
        <v>31.670300000000001</v>
      </c>
      <c r="E5" s="396">
        <f>+D5*Tabla16[[#This Row],[CANT]]</f>
        <v>31670.3</v>
      </c>
      <c r="G5" s="26">
        <f>IFERROR(VLOOKUP(Tabla16[[#This Row],[MEDIDA]],$J$1:$L$39,3,0),0)</f>
        <v>31.670300000000001</v>
      </c>
      <c r="H5" s="28">
        <f t="shared" si="0"/>
        <v>0</v>
      </c>
      <c r="I5" s="9">
        <f>+R5*0.7</f>
        <v>11.8953072</v>
      </c>
      <c r="J5" s="208" t="s">
        <v>5947</v>
      </c>
      <c r="K5" s="391">
        <f>+VLOOKUP("CHAVETAS PARTIDAS"&amp;J5,CODIGOS_Y_COSTOS[[ID]:[COSTO]],7,0)</f>
        <v>5.2332000000000001</v>
      </c>
      <c r="L5" s="76">
        <f t="shared" si="7"/>
        <v>5.2332000000000001</v>
      </c>
      <c r="M5" s="921">
        <f>+VLOOKUP("CHAVETAS PARTIDAS"&amp;J5,CODIGOS_Y_COSTOS[[ID]:[COSTO]],7,0)</f>
        <v>5.2332000000000001</v>
      </c>
      <c r="N5" s="922">
        <f t="shared" si="1"/>
        <v>5.2332000000000001</v>
      </c>
      <c r="P5" s="889" t="s">
        <v>18786</v>
      </c>
      <c r="Q5" s="889"/>
      <c r="R5" s="896">
        <v>16.993296000000001</v>
      </c>
      <c r="S5" s="896"/>
      <c r="T5" s="889" t="s">
        <v>18787</v>
      </c>
      <c r="U5" s="897" t="s">
        <v>18788</v>
      </c>
      <c r="V5" s="898" t="s">
        <v>18789</v>
      </c>
      <c r="W5" s="889"/>
      <c r="X5" s="896">
        <v>248.7328</v>
      </c>
      <c r="Y5" s="896"/>
      <c r="Z5" s="889" t="s">
        <v>18790</v>
      </c>
      <c r="AA5" s="889"/>
      <c r="AB5" s="9" t="str">
        <f>+IF(AD5&lt;&gt;"",MAX($AB$4:AB4)+1,"")</f>
        <v/>
      </c>
      <c r="AC5" s="930" t="str">
        <f t="shared" ref="AC5:AC20" si="8">+TRIM(P5)</f>
        <v>1.5 x 30</v>
      </c>
      <c r="AE5" s="856">
        <f>+R5</f>
        <v>16.993296000000001</v>
      </c>
      <c r="AF5" s="76">
        <f>+AD5*AE5</f>
        <v>0</v>
      </c>
      <c r="AG5" s="9" t="str">
        <f>+IF(AI5&lt;&gt;"",MAX($AG$4:AG4)+1,"")</f>
        <v/>
      </c>
      <c r="AH5" s="930" t="str">
        <f>+TRIM(V5)</f>
        <v>2.5 x 80</v>
      </c>
      <c r="AJ5" s="856">
        <f>+X5</f>
        <v>248.7328</v>
      </c>
      <c r="AK5" s="76">
        <f>+AI5*AJ5</f>
        <v>0</v>
      </c>
      <c r="AL5" s="9">
        <f t="shared" ref="AL5:AL9" si="9">+AL4+1</f>
        <v>3</v>
      </c>
      <c r="AM5" s="101" t="str">
        <f t="shared" si="2"/>
        <v>3.5 x 120</v>
      </c>
      <c r="AN5" s="19" t="str">
        <f t="shared" si="3"/>
        <v>Tipo ALF</v>
      </c>
      <c r="AO5" s="11">
        <f t="shared" si="4"/>
        <v>100</v>
      </c>
      <c r="AP5" s="690">
        <f t="shared" si="5"/>
        <v>320.775936</v>
      </c>
      <c r="AQ5" s="724">
        <f t="shared" si="6"/>
        <v>32077.5936</v>
      </c>
      <c r="AS5" s="4" t="str">
        <f>+IF(Tabla16[[#This Row],[MEDIDA]]=0,"",Tabla16[[#This Row],[MEDIDA]])</f>
        <v>4,5 x 40</v>
      </c>
      <c r="AT5" s="4">
        <f>IF(Tabla16[[#This Row],[CANT]]=0,"",Tabla16[[#This Row],[CANT]])</f>
        <v>1000</v>
      </c>
      <c r="AW5" s="9" t="s">
        <v>18791</v>
      </c>
      <c r="AX5" s="27">
        <f>+AX3*1.21</f>
        <v>254011.95880884997</v>
      </c>
    </row>
    <row r="6" spans="1:50" ht="15.75" x14ac:dyDescent="0.2">
      <c r="A6" s="4" t="s">
        <v>5354</v>
      </c>
      <c r="B6" s="4">
        <v>1000</v>
      </c>
      <c r="D6" s="396">
        <f>IFERROR(VLOOKUP(Tabla16[[#This Row],[MEDIDA]],$J$1:$N$39,5,0),0)</f>
        <v>37.488599999999998</v>
      </c>
      <c r="E6" s="396">
        <f>+D6*Tabla16[[#This Row],[CANT]]</f>
        <v>37488.6</v>
      </c>
      <c r="G6" s="26">
        <f>IFERROR(VLOOKUP(Tabla16[[#This Row],[MEDIDA]],$J$1:$L$39,3,0),0)</f>
        <v>37.488599999999998</v>
      </c>
      <c r="H6" s="28">
        <f t="shared" si="0"/>
        <v>0</v>
      </c>
      <c r="J6" s="208" t="s">
        <v>5251</v>
      </c>
      <c r="K6" s="391">
        <f>+VLOOKUP("CHAVETAS PARTIDAS"&amp;J6,CODIGOS_Y_COSTOS[[ID]:[COSTO]],7,0)</f>
        <v>5.8028000000000004</v>
      </c>
      <c r="L6" s="76">
        <f t="shared" si="7"/>
        <v>5.8028000000000004</v>
      </c>
      <c r="M6" s="921">
        <f>+VLOOKUP("CHAVETAS PARTIDAS"&amp;J6,CODIGOS_Y_COSTOS[[ID]:[COSTO]],7,0)</f>
        <v>5.8028000000000004</v>
      </c>
      <c r="N6" s="922">
        <f t="shared" si="1"/>
        <v>5.8028000000000004</v>
      </c>
      <c r="P6" s="890" t="s">
        <v>18792</v>
      </c>
      <c r="Q6" s="890"/>
      <c r="R6" s="896">
        <v>26.069140000000004</v>
      </c>
      <c r="S6" s="896"/>
      <c r="T6" s="890" t="s">
        <v>18793</v>
      </c>
      <c r="U6" s="899" t="s">
        <v>18794</v>
      </c>
      <c r="V6" s="900" t="s">
        <v>18795</v>
      </c>
      <c r="W6" s="890"/>
      <c r="X6" s="896">
        <v>276.79808000000003</v>
      </c>
      <c r="Y6" s="896"/>
      <c r="Z6" s="890" t="s">
        <v>18796</v>
      </c>
      <c r="AA6" s="890"/>
      <c r="AB6" s="9" t="str">
        <f>+IF(AD6&lt;&gt;"",MAX($AB$4:AB5)+1,"")</f>
        <v/>
      </c>
      <c r="AC6" s="930" t="str">
        <f t="shared" si="8"/>
        <v>2 x 40</v>
      </c>
      <c r="AE6" s="856">
        <f t="shared" ref="AE6:AE19" si="10">+R6</f>
        <v>26.069140000000004</v>
      </c>
      <c r="AF6" s="76">
        <f t="shared" ref="AF6:AF19" si="11">+AD6*AE6</f>
        <v>0</v>
      </c>
      <c r="AG6" s="9">
        <f>+IF(AI6&lt;&gt;"",MAX($AG$4:AG5)+1,"")</f>
        <v>2</v>
      </c>
      <c r="AH6" s="930" t="str">
        <f>+TRIM(V6)</f>
        <v>2.5 x 125</v>
      </c>
      <c r="AI6" s="9">
        <v>100</v>
      </c>
      <c r="AJ6" s="856">
        <f>+X6</f>
        <v>276.79808000000003</v>
      </c>
      <c r="AK6" s="76">
        <f>+AI6*AJ6</f>
        <v>27679.808000000005</v>
      </c>
      <c r="AL6" s="9">
        <f t="shared" si="9"/>
        <v>4</v>
      </c>
      <c r="AM6" s="101" t="str">
        <f t="shared" si="2"/>
        <v/>
      </c>
      <c r="AN6" s="19" t="str">
        <f t="shared" si="3"/>
        <v/>
      </c>
      <c r="AO6" s="11" t="str">
        <f t="shared" si="4"/>
        <v/>
      </c>
      <c r="AP6" s="690" t="str">
        <f t="shared" si="5"/>
        <v/>
      </c>
      <c r="AQ6" s="724">
        <f t="shared" si="6"/>
        <v>0</v>
      </c>
      <c r="AS6" s="4" t="str">
        <f>+IF(Tabla16[[#This Row],[MEDIDA]]=0,"",Tabla16[[#This Row],[MEDIDA]])</f>
        <v>4,5 x 50</v>
      </c>
      <c r="AT6" s="4">
        <f>IF(Tabla16[[#This Row],[CANT]]=0,"",Tabla16[[#This Row],[CANT]])</f>
        <v>1000</v>
      </c>
    </row>
    <row r="7" spans="1:50" ht="15.75" x14ac:dyDescent="0.2">
      <c r="A7" s="4"/>
      <c r="B7" s="4"/>
      <c r="D7" s="396">
        <f>IFERROR(VLOOKUP(Tabla16[[#This Row],[MEDIDA]],$J$1:$N$39,5,0),0)</f>
        <v>0</v>
      </c>
      <c r="E7" s="396">
        <f>+D7*Tabla16[[#This Row],[CANT]]</f>
        <v>0</v>
      </c>
      <c r="G7" s="26">
        <f>IFERROR(VLOOKUP(Tabla16[[#This Row],[MEDIDA]],$J$1:$L$39,3,0),0)</f>
        <v>0</v>
      </c>
      <c r="H7" s="28" t="str">
        <f t="shared" si="0"/>
        <v/>
      </c>
      <c r="J7" s="208" t="s">
        <v>5952</v>
      </c>
      <c r="K7" s="391">
        <f>+VLOOKUP("CHAVETAS PARTIDAS"&amp;J7,CODIGOS_Y_COSTOS[[ID]:[COSTO]],7,0)</f>
        <v>6.7786</v>
      </c>
      <c r="L7" s="76">
        <f t="shared" si="7"/>
        <v>6.7786</v>
      </c>
      <c r="M7" s="921">
        <f>+VLOOKUP("CHAVETAS PARTIDAS"&amp;J7,CODIGOS_Y_COSTOS[[ID]:[COSTO]],7,0)</f>
        <v>6.7786</v>
      </c>
      <c r="N7" s="922">
        <f t="shared" si="1"/>
        <v>6.7786</v>
      </c>
      <c r="P7" s="891" t="s">
        <v>18797</v>
      </c>
      <c r="Q7" s="891"/>
      <c r="R7" s="896">
        <v>40.934207999999984</v>
      </c>
      <c r="S7" s="896"/>
      <c r="T7" s="901" t="s">
        <v>18798</v>
      </c>
      <c r="U7" s="902" t="s">
        <v>18799</v>
      </c>
      <c r="V7" s="903" t="s">
        <v>18800</v>
      </c>
      <c r="W7" s="901"/>
      <c r="X7" s="896">
        <v>285.2497664</v>
      </c>
      <c r="Y7" s="896"/>
      <c r="Z7" s="901" t="s">
        <v>18801</v>
      </c>
      <c r="AA7" s="901"/>
      <c r="AB7" s="9" t="str">
        <f>+IF(AD7&lt;&gt;"",MAX($AB$4:AB6)+1,"")</f>
        <v/>
      </c>
      <c r="AC7" s="930" t="str">
        <f t="shared" si="8"/>
        <v>2.5 x 55</v>
      </c>
      <c r="AE7" s="856">
        <f t="shared" si="10"/>
        <v>40.934207999999984</v>
      </c>
      <c r="AF7" s="76">
        <f t="shared" si="11"/>
        <v>0</v>
      </c>
      <c r="AG7" s="9" t="str">
        <f>+IF(AI7&lt;&gt;"",MAX($AG$4:AG6)+1,"")</f>
        <v/>
      </c>
      <c r="AH7" s="930" t="str">
        <f t="shared" ref="AH7:AH19" si="12">+TRIM(V7)</f>
        <v>3 x 110</v>
      </c>
      <c r="AJ7" s="856">
        <f t="shared" ref="AJ7:AJ18" si="13">+X7</f>
        <v>285.2497664</v>
      </c>
      <c r="AK7" s="76">
        <f t="shared" ref="AK7:AK18" si="14">+AI7*AJ7</f>
        <v>0</v>
      </c>
      <c r="AL7" s="9">
        <f t="shared" si="9"/>
        <v>5</v>
      </c>
      <c r="AM7" s="101" t="str">
        <f t="shared" si="2"/>
        <v/>
      </c>
      <c r="AN7" s="19" t="str">
        <f t="shared" si="3"/>
        <v/>
      </c>
      <c r="AO7" s="11" t="str">
        <f t="shared" si="4"/>
        <v/>
      </c>
      <c r="AP7" s="690" t="str">
        <f t="shared" si="5"/>
        <v/>
      </c>
      <c r="AQ7" s="724">
        <f t="shared" si="6"/>
        <v>0</v>
      </c>
      <c r="AS7" s="4" t="str">
        <f>+IF(Tabla16[[#This Row],[MEDIDA]]=0,"",Tabla16[[#This Row],[MEDIDA]])</f>
        <v/>
      </c>
      <c r="AT7" s="4" t="str">
        <f>IF(Tabla16[[#This Row],[CANT]]=0,"",Tabla16[[#This Row],[CANT]])</f>
        <v/>
      </c>
    </row>
    <row r="8" spans="1:50" ht="15.75" x14ac:dyDescent="0.2">
      <c r="A8" s="4"/>
      <c r="B8" s="4"/>
      <c r="D8" s="396"/>
      <c r="E8" s="396"/>
      <c r="G8" s="26"/>
      <c r="H8" s="28" t="str">
        <f t="shared" si="0"/>
        <v/>
      </c>
      <c r="J8" s="208" t="s">
        <v>5955</v>
      </c>
      <c r="K8" s="391">
        <f>+VLOOKUP("CHAVETAS PARTIDAS"&amp;J8,CODIGOS_Y_COSTOS[[ID]:[COSTO]],7,0)</f>
        <v>7.2251000000000003</v>
      </c>
      <c r="L8" s="76">
        <f t="shared" si="7"/>
        <v>7.2251000000000003</v>
      </c>
      <c r="M8" s="921">
        <f>+VLOOKUP("CHAVETAS PARTIDAS"&amp;J8,CODIGOS_Y_COSTOS[[ID]:[COSTO]],7,0)</f>
        <v>7.2251000000000003</v>
      </c>
      <c r="N8" s="922">
        <f t="shared" si="1"/>
        <v>7.2251000000000003</v>
      </c>
      <c r="P8" s="890" t="s">
        <v>18802</v>
      </c>
      <c r="Q8" s="890"/>
      <c r="R8" s="896">
        <v>84.173040000000015</v>
      </c>
      <c r="S8" s="896"/>
      <c r="T8" s="890" t="s">
        <v>18803</v>
      </c>
      <c r="U8" s="899" t="s">
        <v>18804</v>
      </c>
      <c r="V8" s="900" t="s">
        <v>18805</v>
      </c>
      <c r="W8" s="890"/>
      <c r="X8" s="896">
        <v>320.775936</v>
      </c>
      <c r="Y8" s="896"/>
      <c r="Z8" s="890" t="s">
        <v>18801</v>
      </c>
      <c r="AA8" s="890"/>
      <c r="AB8" s="9" t="str">
        <f>+IF(AD8&lt;&gt;"",MAX($AB$4:AB7)+1,"")</f>
        <v/>
      </c>
      <c r="AC8" s="930" t="str">
        <f t="shared" si="8"/>
        <v>3 x 60</v>
      </c>
      <c r="AE8" s="856">
        <f t="shared" si="10"/>
        <v>84.173040000000015</v>
      </c>
      <c r="AF8" s="76">
        <f t="shared" si="11"/>
        <v>0</v>
      </c>
      <c r="AG8" s="9">
        <f>+IF(AI8&lt;&gt;"",MAX($AG$4:AG7)+1,"")</f>
        <v>3</v>
      </c>
      <c r="AH8" s="930" t="str">
        <f t="shared" si="12"/>
        <v>3.5 x 120</v>
      </c>
      <c r="AI8" s="9">
        <v>100</v>
      </c>
      <c r="AJ8" s="856">
        <f t="shared" si="13"/>
        <v>320.775936</v>
      </c>
      <c r="AK8" s="76">
        <f t="shared" si="14"/>
        <v>32077.5936</v>
      </c>
      <c r="AL8" s="9">
        <f t="shared" si="9"/>
        <v>6</v>
      </c>
      <c r="AM8" s="101" t="str">
        <f t="shared" si="2"/>
        <v/>
      </c>
      <c r="AN8" s="19" t="str">
        <f t="shared" si="3"/>
        <v/>
      </c>
      <c r="AO8" s="11" t="str">
        <f t="shared" si="4"/>
        <v/>
      </c>
      <c r="AP8" s="690" t="str">
        <f t="shared" si="5"/>
        <v/>
      </c>
      <c r="AQ8" s="724">
        <f t="shared" si="6"/>
        <v>0</v>
      </c>
      <c r="AS8" s="4" t="str">
        <f>+IF(Tabla16[[#This Row],[MEDIDA]]=0,"",Tabla16[[#This Row],[MEDIDA]])</f>
        <v/>
      </c>
      <c r="AT8" s="4" t="str">
        <f>IF(Tabla16[[#This Row],[CANT]]=0,"",Tabla16[[#This Row],[CANT]])</f>
        <v/>
      </c>
    </row>
    <row r="9" spans="1:50" ht="15.75" x14ac:dyDescent="0.2">
      <c r="A9" s="4"/>
      <c r="B9" s="4"/>
      <c r="D9" s="396"/>
      <c r="E9" s="396"/>
      <c r="G9" s="26"/>
      <c r="H9" s="28" t="str">
        <f t="shared" si="0"/>
        <v/>
      </c>
      <c r="J9" s="208" t="s">
        <v>5958</v>
      </c>
      <c r="K9" s="391">
        <f>+VLOOKUP("CHAVETAS PARTIDAS"&amp;J9,CODIGOS_Y_COSTOS[[ID]:[COSTO]],7,0)</f>
        <v>10.303800000000001</v>
      </c>
      <c r="L9" s="76">
        <f t="shared" si="7"/>
        <v>10.303800000000001</v>
      </c>
      <c r="M9" s="921">
        <f>+VLOOKUP("CHAVETAS PARTIDAS"&amp;J9,CODIGOS_Y_COSTOS[[ID]:[COSTO]],7,0)</f>
        <v>10.303800000000001</v>
      </c>
      <c r="N9" s="922">
        <f t="shared" si="1"/>
        <v>10.303800000000001</v>
      </c>
      <c r="P9" s="891" t="s">
        <v>18806</v>
      </c>
      <c r="Q9" s="891"/>
      <c r="R9" s="896">
        <v>100.20942000000002</v>
      </c>
      <c r="S9" s="896"/>
      <c r="T9" s="901" t="s">
        <v>18803</v>
      </c>
      <c r="U9" s="902" t="s">
        <v>18804</v>
      </c>
      <c r="V9" s="903"/>
      <c r="W9" s="901"/>
      <c r="X9" s="896"/>
      <c r="Y9" s="896"/>
      <c r="Z9" s="901"/>
      <c r="AA9" s="901"/>
      <c r="AB9" s="9" t="str">
        <f>+IF(AD9&lt;&gt;"",MAX($AB$4:AB8)+1,"")</f>
        <v/>
      </c>
      <c r="AC9" s="930" t="str">
        <f t="shared" si="8"/>
        <v>3 x 71</v>
      </c>
      <c r="AE9" s="856">
        <f t="shared" si="10"/>
        <v>100.20942000000002</v>
      </c>
      <c r="AF9" s="76">
        <f t="shared" si="11"/>
        <v>0</v>
      </c>
      <c r="AG9" s="9" t="str">
        <f>+IF(AI9&lt;&gt;"",MAX($AG$4:AG8)+1,"")</f>
        <v/>
      </c>
      <c r="AH9" s="930" t="str">
        <f t="shared" si="12"/>
        <v/>
      </c>
      <c r="AJ9" s="856">
        <f t="shared" si="13"/>
        <v>0</v>
      </c>
      <c r="AK9" s="76">
        <f t="shared" si="14"/>
        <v>0</v>
      </c>
      <c r="AL9" s="9">
        <f t="shared" si="9"/>
        <v>7</v>
      </c>
      <c r="AM9" s="101" t="str">
        <f t="shared" si="2"/>
        <v/>
      </c>
      <c r="AN9" s="19" t="str">
        <f t="shared" si="3"/>
        <v/>
      </c>
      <c r="AO9" s="11" t="str">
        <f t="shared" si="4"/>
        <v/>
      </c>
      <c r="AP9" s="690" t="str">
        <f t="shared" si="5"/>
        <v/>
      </c>
      <c r="AQ9" s="724">
        <f t="shared" si="6"/>
        <v>0</v>
      </c>
      <c r="AS9" s="4" t="str">
        <f>+IF(Tabla16[[#This Row],[MEDIDA]]=0,"",Tabla16[[#This Row],[MEDIDA]])</f>
        <v/>
      </c>
      <c r="AT9" s="4" t="str">
        <f>IF(Tabla16[[#This Row],[CANT]]=0,"",Tabla16[[#This Row],[CANT]])</f>
        <v/>
      </c>
    </row>
    <row r="10" spans="1:50" ht="15.75" x14ac:dyDescent="0.2">
      <c r="A10" s="4"/>
      <c r="B10" s="4"/>
      <c r="D10" s="396"/>
      <c r="E10" s="396"/>
      <c r="G10" s="26"/>
      <c r="H10" s="28" t="str">
        <f t="shared" si="0"/>
        <v/>
      </c>
      <c r="J10" s="208" t="s">
        <v>5961</v>
      </c>
      <c r="K10" s="391">
        <f>+VLOOKUP("CHAVETAS PARTIDAS"&amp;J10,CODIGOS_Y_COSTOS[[ID]:[COSTO]],7,0)</f>
        <v>13.1784</v>
      </c>
      <c r="L10" s="76">
        <f t="shared" si="7"/>
        <v>13.1784</v>
      </c>
      <c r="M10" s="921">
        <f>+VLOOKUP("CHAVETAS PARTIDAS"&amp;J10,CODIGOS_Y_COSTOS[[ID]:[COSTO]],7,0)</f>
        <v>13.1784</v>
      </c>
      <c r="N10" s="922">
        <f t="shared" si="1"/>
        <v>13.1784</v>
      </c>
      <c r="P10" s="890" t="s">
        <v>18807</v>
      </c>
      <c r="Q10" s="890"/>
      <c r="R10" s="896">
        <v>102.94838399999998</v>
      </c>
      <c r="S10" s="896"/>
      <c r="T10" s="890" t="s">
        <v>18803</v>
      </c>
      <c r="U10" s="899" t="s">
        <v>18808</v>
      </c>
      <c r="V10" s="900" t="s">
        <v>18809</v>
      </c>
      <c r="W10" s="890"/>
      <c r="X10" s="896">
        <v>357.09724800000004</v>
      </c>
      <c r="Y10" s="896"/>
      <c r="Z10" s="890" t="s">
        <v>18810</v>
      </c>
      <c r="AA10" s="890"/>
      <c r="AB10" s="9" t="str">
        <f>+IF(AD10&lt;&gt;"",MAX($AB$4:AB9)+1,"")</f>
        <v/>
      </c>
      <c r="AC10" s="930" t="str">
        <f t="shared" si="8"/>
        <v>3 x 85</v>
      </c>
      <c r="AE10" s="856">
        <f t="shared" si="10"/>
        <v>102.94838399999998</v>
      </c>
      <c r="AF10" s="76">
        <f t="shared" si="11"/>
        <v>0</v>
      </c>
      <c r="AG10" s="9" t="str">
        <f>+IF(AI10&lt;&gt;"",MAX($AG$4:AG9)+1,"")</f>
        <v/>
      </c>
      <c r="AH10" s="930" t="str">
        <f t="shared" si="12"/>
        <v>3.5 x 145</v>
      </c>
      <c r="AJ10" s="856">
        <f t="shared" si="13"/>
        <v>357.09724800000004</v>
      </c>
      <c r="AK10" s="76">
        <f t="shared" si="14"/>
        <v>0</v>
      </c>
      <c r="AL10" s="9">
        <f t="shared" ref="AL10:AL17" si="15">+AL9+1</f>
        <v>8</v>
      </c>
      <c r="AM10" s="101" t="str">
        <f t="shared" si="2"/>
        <v/>
      </c>
      <c r="AN10" s="19" t="str">
        <f t="shared" si="3"/>
        <v/>
      </c>
      <c r="AO10" s="11" t="str">
        <f t="shared" si="4"/>
        <v/>
      </c>
      <c r="AP10" s="690" t="str">
        <f t="shared" si="5"/>
        <v/>
      </c>
      <c r="AQ10" s="724">
        <f t="shared" si="6"/>
        <v>0</v>
      </c>
      <c r="AS10" s="4" t="str">
        <f>+IF(Tabla16[[#This Row],[MEDIDA]]=0,"",Tabla16[[#This Row],[MEDIDA]])</f>
        <v/>
      </c>
      <c r="AT10" s="4" t="str">
        <f>IF(Tabla16[[#This Row],[CANT]]=0,"",Tabla16[[#This Row],[CANT]])</f>
        <v/>
      </c>
    </row>
    <row r="11" spans="1:50" ht="15.75" x14ac:dyDescent="0.2">
      <c r="A11" s="4"/>
      <c r="B11" s="4"/>
      <c r="D11" s="396"/>
      <c r="E11" s="396"/>
      <c r="G11" s="26"/>
      <c r="H11" s="28" t="str">
        <f t="shared" si="0"/>
        <v/>
      </c>
      <c r="J11" s="208" t="s">
        <v>5964</v>
      </c>
      <c r="K11" s="391">
        <f>+VLOOKUP("CHAVETAS PARTIDAS"&amp;J11,CODIGOS_Y_COSTOS[[ID]:[COSTO]],7,0)</f>
        <v>8.7294</v>
      </c>
      <c r="L11" s="76">
        <f t="shared" si="7"/>
        <v>8.7294</v>
      </c>
      <c r="M11" s="921">
        <f>+VLOOKUP("CHAVETAS PARTIDAS"&amp;J11,CODIGOS_Y_COSTOS[[ID]:[COSTO]],7,0)</f>
        <v>8.7294</v>
      </c>
      <c r="N11" s="922">
        <f t="shared" si="1"/>
        <v>8.7294</v>
      </c>
      <c r="P11" s="891" t="s">
        <v>18811</v>
      </c>
      <c r="Q11" s="891"/>
      <c r="R11" s="896">
        <v>148.45680589999995</v>
      </c>
      <c r="S11" s="896"/>
      <c r="T11" s="901" t="s">
        <v>18803</v>
      </c>
      <c r="U11" s="902" t="s">
        <v>18812</v>
      </c>
      <c r="V11" s="903" t="s">
        <v>18813</v>
      </c>
      <c r="W11" s="901"/>
      <c r="X11" s="896">
        <v>352.34208000000012</v>
      </c>
      <c r="Y11" s="896"/>
      <c r="Z11" s="901" t="s">
        <v>18814</v>
      </c>
      <c r="AA11" s="901"/>
      <c r="AB11" s="9" t="str">
        <f>+IF(AD11&lt;&gt;"",MAX($AB$4:AB10)+1,"")</f>
        <v/>
      </c>
      <c r="AC11" s="930" t="str">
        <f t="shared" si="8"/>
        <v>3.5 x 85</v>
      </c>
      <c r="AE11" s="856">
        <f t="shared" si="10"/>
        <v>148.45680589999995</v>
      </c>
      <c r="AF11" s="76">
        <f t="shared" si="11"/>
        <v>0</v>
      </c>
      <c r="AG11" s="9" t="str">
        <f>+IF(AI11&lt;&gt;"",MAX($AG$4:AG10)+1,"")</f>
        <v/>
      </c>
      <c r="AH11" s="930" t="str">
        <f t="shared" si="12"/>
        <v>4 x 120</v>
      </c>
      <c r="AJ11" s="856">
        <f t="shared" si="13"/>
        <v>352.34208000000012</v>
      </c>
      <c r="AK11" s="76">
        <f t="shared" si="14"/>
        <v>0</v>
      </c>
      <c r="AL11" s="9">
        <f t="shared" si="15"/>
        <v>9</v>
      </c>
      <c r="AM11" s="101" t="str">
        <f t="shared" si="2"/>
        <v/>
      </c>
      <c r="AN11" s="19" t="str">
        <f t="shared" si="3"/>
        <v/>
      </c>
      <c r="AO11" s="11" t="str">
        <f t="shared" si="4"/>
        <v/>
      </c>
      <c r="AP11" s="690" t="str">
        <f t="shared" si="5"/>
        <v/>
      </c>
      <c r="AQ11" s="724">
        <f t="shared" si="6"/>
        <v>0</v>
      </c>
      <c r="AS11" s="4" t="str">
        <f>+IF(Tabla16[[#This Row],[MEDIDA]]=0,"",Tabla16[[#This Row],[MEDIDA]])</f>
        <v/>
      </c>
      <c r="AT11" s="4" t="str">
        <f>IF(Tabla16[[#This Row],[CANT]]=0,"",Tabla16[[#This Row],[CANT]])</f>
        <v/>
      </c>
    </row>
    <row r="12" spans="1:50" ht="15.75" x14ac:dyDescent="0.2">
      <c r="A12" s="4"/>
      <c r="B12" s="4"/>
      <c r="D12" s="396"/>
      <c r="E12" s="396"/>
      <c r="G12" s="26"/>
      <c r="H12" s="28" t="str">
        <f t="shared" si="0"/>
        <v/>
      </c>
      <c r="J12" s="208" t="s">
        <v>5267</v>
      </c>
      <c r="K12" s="391">
        <f>+VLOOKUP("CHAVETAS PARTIDAS"&amp;J12,CODIGOS_Y_COSTOS[[ID]:[COSTO]],7,0)</f>
        <v>9.3361999999999998</v>
      </c>
      <c r="L12" s="76">
        <f t="shared" si="7"/>
        <v>9.3361999999999998</v>
      </c>
      <c r="M12" s="921">
        <f>+VLOOKUP("CHAVETAS PARTIDAS"&amp;J12,CODIGOS_Y_COSTOS[[ID]:[COSTO]],7,0)</f>
        <v>9.3361999999999998</v>
      </c>
      <c r="N12" s="922">
        <f t="shared" si="1"/>
        <v>9.3361999999999998</v>
      </c>
      <c r="P12" s="890" t="s">
        <v>18815</v>
      </c>
      <c r="Q12" s="890"/>
      <c r="R12" s="896">
        <v>218.31962464000003</v>
      </c>
      <c r="S12" s="896"/>
      <c r="T12" s="890" t="s">
        <v>18788</v>
      </c>
      <c r="U12" s="899" t="s">
        <v>18816</v>
      </c>
      <c r="V12" s="900" t="s">
        <v>18817</v>
      </c>
      <c r="W12" s="890"/>
      <c r="X12" s="896">
        <v>352.34208000000012</v>
      </c>
      <c r="Y12" s="896"/>
      <c r="Z12" s="890" t="s">
        <v>18810</v>
      </c>
      <c r="AA12" s="890"/>
      <c r="AB12" s="9" t="str">
        <f>+IF(AD12&lt;&gt;"",MAX($AB$4:AB11)+1,"")</f>
        <v/>
      </c>
      <c r="AC12" s="930" t="str">
        <f t="shared" si="8"/>
        <v>4 x 100</v>
      </c>
      <c r="AE12" s="856">
        <f t="shared" si="10"/>
        <v>218.31962464000003</v>
      </c>
      <c r="AF12" s="76">
        <f t="shared" si="11"/>
        <v>0</v>
      </c>
      <c r="AG12" s="9" t="str">
        <f>+IF(AI12&lt;&gt;"",MAX($AG$4:AG11)+1,"")</f>
        <v/>
      </c>
      <c r="AH12" s="930" t="str">
        <f t="shared" si="12"/>
        <v>4 x 125</v>
      </c>
      <c r="AJ12" s="856">
        <f t="shared" si="13"/>
        <v>352.34208000000012</v>
      </c>
      <c r="AK12" s="76">
        <f t="shared" si="14"/>
        <v>0</v>
      </c>
      <c r="AL12" s="9">
        <f t="shared" si="15"/>
        <v>10</v>
      </c>
      <c r="AM12" s="101" t="str">
        <f t="shared" si="2"/>
        <v/>
      </c>
      <c r="AN12" s="19" t="str">
        <f t="shared" si="3"/>
        <v/>
      </c>
      <c r="AO12" s="11" t="str">
        <f t="shared" si="4"/>
        <v/>
      </c>
      <c r="AP12" s="690" t="str">
        <f t="shared" si="5"/>
        <v/>
      </c>
      <c r="AQ12" s="724">
        <f t="shared" si="6"/>
        <v>0</v>
      </c>
      <c r="AS12" s="4" t="str">
        <f>+IF(Tabla16[[#This Row],[MEDIDA]]=0,"",Tabla16[[#This Row],[MEDIDA]])</f>
        <v/>
      </c>
      <c r="AT12" s="4" t="str">
        <f>IF(Tabla16[[#This Row],[CANT]]=0,"",Tabla16[[#This Row],[CANT]])</f>
        <v/>
      </c>
    </row>
    <row r="13" spans="1:50" ht="15.75" x14ac:dyDescent="0.2">
      <c r="A13" s="4"/>
      <c r="B13" s="4"/>
      <c r="D13" s="396"/>
      <c r="E13" s="396"/>
      <c r="G13" s="26"/>
      <c r="H13" s="28" t="str">
        <f t="shared" si="0"/>
        <v/>
      </c>
      <c r="J13" s="208" t="s">
        <v>5969</v>
      </c>
      <c r="K13" s="391">
        <f>+VLOOKUP("CHAVETAS PARTIDAS"&amp;J13,CODIGOS_Y_COSTOS[[ID]:[COSTO]],7,0)</f>
        <v>12.9101</v>
      </c>
      <c r="L13" s="76">
        <f t="shared" si="7"/>
        <v>12.9101</v>
      </c>
      <c r="M13" s="921">
        <f>+VLOOKUP("CHAVETAS PARTIDAS"&amp;J13,CODIGOS_Y_COSTOS[[ID]:[COSTO]],7,0)</f>
        <v>12.9101</v>
      </c>
      <c r="N13" s="922">
        <f t="shared" si="1"/>
        <v>12.9101</v>
      </c>
      <c r="P13" s="891" t="s">
        <v>18818</v>
      </c>
      <c r="Q13" s="891"/>
      <c r="R13" s="896">
        <v>259.47107275000008</v>
      </c>
      <c r="S13" s="896"/>
      <c r="T13" s="901" t="s">
        <v>18788</v>
      </c>
      <c r="U13" s="902" t="s">
        <v>18816</v>
      </c>
      <c r="V13" s="903" t="s">
        <v>18819</v>
      </c>
      <c r="W13" s="901"/>
      <c r="X13" s="896">
        <v>507.25987200000009</v>
      </c>
      <c r="Y13" s="896"/>
      <c r="Z13" s="901" t="s">
        <v>18820</v>
      </c>
      <c r="AA13" s="901"/>
      <c r="AB13" s="9" t="str">
        <f>+IF(AD13&lt;&gt;"",MAX($AB$4:AB12)+1,"")</f>
        <v/>
      </c>
      <c r="AC13" s="930" t="str">
        <f t="shared" si="8"/>
        <v>4.5 x 100</v>
      </c>
      <c r="AE13" s="856">
        <f t="shared" si="10"/>
        <v>259.47107275000008</v>
      </c>
      <c r="AF13" s="76">
        <f t="shared" si="11"/>
        <v>0</v>
      </c>
      <c r="AG13" s="9" t="str">
        <f>+IF(AI13&lt;&gt;"",MAX($AG$4:AG12)+1,"")</f>
        <v/>
      </c>
      <c r="AH13" s="930" t="str">
        <f t="shared" si="12"/>
        <v>4 x 160</v>
      </c>
      <c r="AJ13" s="856">
        <f t="shared" si="13"/>
        <v>507.25987200000009</v>
      </c>
      <c r="AK13" s="76">
        <f t="shared" si="14"/>
        <v>0</v>
      </c>
      <c r="AL13" s="9">
        <f t="shared" si="15"/>
        <v>11</v>
      </c>
      <c r="AM13" s="101" t="str">
        <f t="shared" si="2"/>
        <v/>
      </c>
      <c r="AN13" s="19" t="str">
        <f t="shared" si="3"/>
        <v/>
      </c>
      <c r="AO13" s="11" t="str">
        <f t="shared" si="4"/>
        <v/>
      </c>
      <c r="AP13" s="690" t="str">
        <f t="shared" si="5"/>
        <v/>
      </c>
      <c r="AQ13" s="724">
        <f t="shared" si="6"/>
        <v>0</v>
      </c>
      <c r="AS13" s="4" t="str">
        <f>+IF(Tabla16[[#This Row],[MEDIDA]]=0,"",Tabla16[[#This Row],[MEDIDA]])</f>
        <v/>
      </c>
      <c r="AT13" s="4" t="str">
        <f>IF(Tabla16[[#This Row],[CANT]]=0,"",Tabla16[[#This Row],[CANT]])</f>
        <v/>
      </c>
    </row>
    <row r="14" spans="1:50" ht="15.75" x14ac:dyDescent="0.2">
      <c r="A14" s="4"/>
      <c r="B14" s="4"/>
      <c r="D14" s="396"/>
      <c r="E14" s="396"/>
      <c r="G14" s="26"/>
      <c r="H14" s="28" t="str">
        <f t="shared" si="0"/>
        <v/>
      </c>
      <c r="J14" s="208" t="s">
        <v>5972</v>
      </c>
      <c r="K14" s="391">
        <f>+VLOOKUP("CHAVETAS PARTIDAS"&amp;J14,CODIGOS_Y_COSTOS[[ID]:[COSTO]],7,0)</f>
        <v>16.881</v>
      </c>
      <c r="L14" s="76">
        <f t="shared" si="7"/>
        <v>16.881</v>
      </c>
      <c r="M14" s="921">
        <f>+VLOOKUP("CHAVETAS PARTIDAS"&amp;J14,CODIGOS_Y_COSTOS[[ID]:[COSTO]],7,0)</f>
        <v>16.881</v>
      </c>
      <c r="N14" s="922">
        <f t="shared" si="1"/>
        <v>16.881</v>
      </c>
      <c r="P14" s="890" t="s">
        <v>18821</v>
      </c>
      <c r="Q14" s="890"/>
      <c r="R14" s="896">
        <v>281.6466710000002</v>
      </c>
      <c r="S14" s="896"/>
      <c r="T14" s="890" t="s">
        <v>18788</v>
      </c>
      <c r="U14" s="899" t="s">
        <v>18822</v>
      </c>
      <c r="V14" s="900"/>
      <c r="W14" s="890"/>
      <c r="X14" s="896"/>
      <c r="Y14" s="896"/>
      <c r="Z14" s="890"/>
      <c r="AA14" s="890"/>
      <c r="AB14" s="9" t="str">
        <f>+IF(AD14&lt;&gt;"",MAX($AB$4:AB13)+1,"")</f>
        <v/>
      </c>
      <c r="AC14" s="930" t="str">
        <f t="shared" si="8"/>
        <v>4.75 x 100</v>
      </c>
      <c r="AE14" s="856">
        <f t="shared" si="10"/>
        <v>281.6466710000002</v>
      </c>
      <c r="AF14" s="76">
        <f t="shared" si="11"/>
        <v>0</v>
      </c>
      <c r="AG14" s="9" t="str">
        <f>+IF(AI14&lt;&gt;"",MAX($AG$4:AG13)+1,"")</f>
        <v/>
      </c>
      <c r="AH14" s="930" t="str">
        <f t="shared" si="12"/>
        <v/>
      </c>
      <c r="AJ14" s="856">
        <f t="shared" si="13"/>
        <v>0</v>
      </c>
      <c r="AK14" s="76">
        <f t="shared" si="14"/>
        <v>0</v>
      </c>
      <c r="AL14" s="9">
        <f t="shared" si="15"/>
        <v>12</v>
      </c>
      <c r="AM14" s="101" t="str">
        <f t="shared" si="2"/>
        <v/>
      </c>
      <c r="AN14" s="19" t="str">
        <f t="shared" si="3"/>
        <v/>
      </c>
      <c r="AO14" s="11" t="str">
        <f t="shared" si="4"/>
        <v/>
      </c>
      <c r="AP14" s="690" t="str">
        <f t="shared" si="5"/>
        <v/>
      </c>
      <c r="AQ14" s="724">
        <f t="shared" si="6"/>
        <v>0</v>
      </c>
      <c r="AS14" s="4" t="str">
        <f>+IF(Tabla16[[#This Row],[MEDIDA]]=0,"",Tabla16[[#This Row],[MEDIDA]])</f>
        <v/>
      </c>
      <c r="AT14" s="4" t="str">
        <f>IF(Tabla16[[#This Row],[CANT]]=0,"",Tabla16[[#This Row],[CANT]])</f>
        <v/>
      </c>
    </row>
    <row r="15" spans="1:50" ht="15.75" x14ac:dyDescent="0.2">
      <c r="A15" s="4"/>
      <c r="B15" s="4"/>
      <c r="D15" s="396"/>
      <c r="E15" s="396"/>
      <c r="G15" s="26"/>
      <c r="H15" s="28" t="str">
        <f t="shared" si="0"/>
        <v/>
      </c>
      <c r="J15" s="208" t="s">
        <v>5975</v>
      </c>
      <c r="K15" s="391">
        <f>+VLOOKUP("CHAVETAS PARTIDAS"&amp;J15,CODIGOS_Y_COSTOS[[ID]:[COSTO]],7,0)</f>
        <v>10.2255</v>
      </c>
      <c r="L15" s="76">
        <f t="shared" si="7"/>
        <v>10.2255</v>
      </c>
      <c r="M15" s="921">
        <f>+VLOOKUP("CHAVETAS PARTIDAS"&amp;J15,CODIGOS_Y_COSTOS[[ID]:[COSTO]],7,0)</f>
        <v>10.2255</v>
      </c>
      <c r="N15" s="922">
        <f t="shared" si="1"/>
        <v>10.2255</v>
      </c>
      <c r="P15" s="891" t="s">
        <v>18823</v>
      </c>
      <c r="Q15" s="891"/>
      <c r="R15" s="896">
        <v>304.07680750000009</v>
      </c>
      <c r="S15" s="896"/>
      <c r="T15" s="901" t="s">
        <v>18799</v>
      </c>
      <c r="U15" s="902" t="s">
        <v>18824</v>
      </c>
      <c r="V15" s="903" t="s">
        <v>18825</v>
      </c>
      <c r="W15" s="901"/>
      <c r="X15" s="896">
        <v>445.63967999999977</v>
      </c>
      <c r="Y15" s="896"/>
      <c r="Z15" s="901" t="s">
        <v>18814</v>
      </c>
      <c r="AA15" s="901"/>
      <c r="AB15" s="9" t="str">
        <f>+IF(AD15&lt;&gt;"",MAX($AB$4:AB14)+1,"")</f>
        <v/>
      </c>
      <c r="AC15" s="930" t="str">
        <f t="shared" si="8"/>
        <v>5 x 100</v>
      </c>
      <c r="AE15" s="856">
        <f t="shared" si="10"/>
        <v>304.07680750000009</v>
      </c>
      <c r="AF15" s="76">
        <f t="shared" si="11"/>
        <v>0</v>
      </c>
      <c r="AG15" s="9" t="str">
        <f>+IF(AI15&lt;&gt;"",MAX($AG$4:AG14)+1,"")</f>
        <v/>
      </c>
      <c r="AH15" s="930" t="str">
        <f t="shared" si="12"/>
        <v>4.5 x 120</v>
      </c>
      <c r="AJ15" s="856">
        <f t="shared" si="13"/>
        <v>445.63967999999977</v>
      </c>
      <c r="AK15" s="76">
        <f t="shared" si="14"/>
        <v>0</v>
      </c>
      <c r="AL15" s="9">
        <f t="shared" si="15"/>
        <v>13</v>
      </c>
      <c r="AM15" s="101" t="str">
        <f t="shared" si="2"/>
        <v/>
      </c>
      <c r="AN15" s="19" t="str">
        <f t="shared" si="3"/>
        <v/>
      </c>
      <c r="AO15" s="11" t="str">
        <f t="shared" si="4"/>
        <v/>
      </c>
      <c r="AP15" s="690" t="str">
        <f t="shared" si="5"/>
        <v/>
      </c>
      <c r="AQ15" s="724">
        <f t="shared" si="6"/>
        <v>0</v>
      </c>
      <c r="AS15" s="4" t="str">
        <f>+IF(Tabla16[[#This Row],[MEDIDA]]=0,"",Tabla16[[#This Row],[MEDIDA]])</f>
        <v/>
      </c>
      <c r="AT15" s="4" t="str">
        <f>IF(Tabla16[[#This Row],[CANT]]=0,"",Tabla16[[#This Row],[CANT]])</f>
        <v/>
      </c>
    </row>
    <row r="16" spans="1:50" ht="15.75" x14ac:dyDescent="0.2">
      <c r="A16" s="4"/>
      <c r="B16" s="4"/>
      <c r="D16" s="396"/>
      <c r="E16" s="396"/>
      <c r="G16" s="26"/>
      <c r="H16" s="28" t="str">
        <f t="shared" si="0"/>
        <v/>
      </c>
      <c r="J16" s="208" t="s">
        <v>5286</v>
      </c>
      <c r="K16" s="391">
        <f>+VLOOKUP("CHAVETAS PARTIDAS"&amp;J16,CODIGOS_Y_COSTOS[[ID]:[COSTO]],7,0)</f>
        <v>13.8004</v>
      </c>
      <c r="L16" s="76">
        <f t="shared" si="7"/>
        <v>13.8004</v>
      </c>
      <c r="M16" s="921">
        <f>+VLOOKUP("CHAVETAS PARTIDAS"&amp;J16,CODIGOS_Y_COSTOS[[ID]:[COSTO]],7,0)</f>
        <v>13.8004</v>
      </c>
      <c r="N16" s="922">
        <f t="shared" si="1"/>
        <v>13.8004</v>
      </c>
      <c r="P16" s="890" t="s">
        <v>18826</v>
      </c>
      <c r="Q16" s="890"/>
      <c r="R16" s="896">
        <v>362.73659810000004</v>
      </c>
      <c r="S16" s="896"/>
      <c r="T16" s="890" t="s">
        <v>18799</v>
      </c>
      <c r="U16" s="899" t="s">
        <v>18827</v>
      </c>
      <c r="V16" s="900" t="s">
        <v>18828</v>
      </c>
      <c r="W16" s="890"/>
      <c r="X16" s="896">
        <v>525.97350400000005</v>
      </c>
      <c r="Y16" s="896"/>
      <c r="Z16" s="890" t="s">
        <v>18814</v>
      </c>
      <c r="AA16" s="890"/>
      <c r="AB16" s="9" t="str">
        <f>+IF(AD16&lt;&gt;"",MAX($AB$4:AB15)+1,"")</f>
        <v/>
      </c>
      <c r="AC16" s="930" t="str">
        <f t="shared" si="8"/>
        <v>5.5 x 115</v>
      </c>
      <c r="AE16" s="856">
        <f t="shared" si="10"/>
        <v>362.73659810000004</v>
      </c>
      <c r="AF16" s="76">
        <f t="shared" si="11"/>
        <v>0</v>
      </c>
      <c r="AG16" s="9" t="str">
        <f>+IF(AI16&lt;&gt;"",MAX($AG$4:AG15)+1,"")</f>
        <v/>
      </c>
      <c r="AH16" s="930" t="str">
        <f t="shared" si="12"/>
        <v>5 x 120</v>
      </c>
      <c r="AJ16" s="856">
        <f t="shared" si="13"/>
        <v>525.97350400000005</v>
      </c>
      <c r="AK16" s="76">
        <f t="shared" si="14"/>
        <v>0</v>
      </c>
      <c r="AL16" s="9">
        <f t="shared" si="15"/>
        <v>14</v>
      </c>
      <c r="AM16" s="101" t="str">
        <f t="shared" si="2"/>
        <v/>
      </c>
      <c r="AN16" s="19" t="str">
        <f t="shared" si="3"/>
        <v/>
      </c>
      <c r="AO16" s="11" t="str">
        <f t="shared" si="4"/>
        <v/>
      </c>
      <c r="AP16" s="690" t="str">
        <f t="shared" si="5"/>
        <v/>
      </c>
      <c r="AQ16" s="724">
        <f t="shared" si="6"/>
        <v>0</v>
      </c>
      <c r="AS16" s="4" t="str">
        <f>+IF(Tabla16[[#This Row],[MEDIDA]]=0,"",Tabla16[[#This Row],[MEDIDA]])</f>
        <v/>
      </c>
      <c r="AT16" s="4" t="str">
        <f>IF(Tabla16[[#This Row],[CANT]]=0,"",Tabla16[[#This Row],[CANT]])</f>
        <v/>
      </c>
    </row>
    <row r="17" spans="1:46" ht="16.5" thickBot="1" x14ac:dyDescent="0.25">
      <c r="A17" s="4"/>
      <c r="B17" s="4"/>
      <c r="D17" s="396"/>
      <c r="E17" s="396"/>
      <c r="G17" s="26"/>
      <c r="H17" s="28" t="str">
        <f t="shared" si="0"/>
        <v/>
      </c>
      <c r="J17" s="208" t="s">
        <v>5294</v>
      </c>
      <c r="K17" s="391">
        <f>+VLOOKUP("CHAVETAS PARTIDAS"&amp;J17,CODIGOS_Y_COSTOS[[ID]:[COSTO]],7,0)</f>
        <v>17.8734</v>
      </c>
      <c r="L17" s="76">
        <f t="shared" si="7"/>
        <v>17.8734</v>
      </c>
      <c r="M17" s="921">
        <f>+VLOOKUP("CHAVETAS PARTIDAS"&amp;J17,CODIGOS_Y_COSTOS[[ID]:[COSTO]],7,0)</f>
        <v>17.8734</v>
      </c>
      <c r="N17" s="922">
        <f t="shared" si="1"/>
        <v>17.8734</v>
      </c>
      <c r="P17" s="891" t="s">
        <v>18829</v>
      </c>
      <c r="Q17" s="891"/>
      <c r="R17" s="896">
        <v>509.50674170000002</v>
      </c>
      <c r="S17" s="896"/>
      <c r="T17" s="901" t="s">
        <v>18799</v>
      </c>
      <c r="U17" s="902" t="s">
        <v>18827</v>
      </c>
      <c r="V17" s="903" t="s">
        <v>18830</v>
      </c>
      <c r="W17" s="901"/>
      <c r="X17" s="896">
        <v>719.7935680000005</v>
      </c>
      <c r="Y17" s="896"/>
      <c r="Z17" s="901" t="s">
        <v>18831</v>
      </c>
      <c r="AA17" s="901"/>
      <c r="AB17" s="9">
        <f>+IF(AD17&lt;&gt;"",MAX($AB$4:AB16)+1,"")</f>
        <v>1</v>
      </c>
      <c r="AC17" s="930" t="str">
        <f t="shared" si="8"/>
        <v>6 x 130</v>
      </c>
      <c r="AD17" s="9">
        <v>50</v>
      </c>
      <c r="AE17" s="856">
        <f t="shared" si="10"/>
        <v>509.50674170000002</v>
      </c>
      <c r="AF17" s="76">
        <f t="shared" si="11"/>
        <v>25475.337084999999</v>
      </c>
      <c r="AG17" s="9" t="str">
        <f>+IF(AI17&lt;&gt;"",MAX($AG$4:AG16)+1,"")</f>
        <v/>
      </c>
      <c r="AH17" s="930" t="str">
        <f t="shared" si="12"/>
        <v>5 x 170</v>
      </c>
      <c r="AJ17" s="856">
        <f t="shared" si="13"/>
        <v>719.7935680000005</v>
      </c>
      <c r="AK17" s="76">
        <f t="shared" si="14"/>
        <v>0</v>
      </c>
      <c r="AL17" s="9">
        <f t="shared" si="15"/>
        <v>15</v>
      </c>
      <c r="AM17" s="200" t="str">
        <f t="shared" si="2"/>
        <v/>
      </c>
      <c r="AN17" s="22" t="str">
        <f t="shared" si="3"/>
        <v/>
      </c>
      <c r="AO17" s="12" t="str">
        <f t="shared" si="4"/>
        <v/>
      </c>
      <c r="AP17" s="690" t="str">
        <f t="shared" si="5"/>
        <v/>
      </c>
      <c r="AQ17" s="724">
        <f t="shared" si="6"/>
        <v>0</v>
      </c>
      <c r="AS17" s="4" t="str">
        <f>+IF(Tabla16[[#This Row],[MEDIDA]]=0,"",Tabla16[[#This Row],[MEDIDA]])</f>
        <v/>
      </c>
      <c r="AT17" s="4" t="str">
        <f>IF(Tabla16[[#This Row],[CANT]]=0,"",Tabla16[[#This Row],[CANT]])</f>
        <v/>
      </c>
    </row>
    <row r="18" spans="1:46" ht="15.75" x14ac:dyDescent="0.2">
      <c r="A18" s="4"/>
      <c r="B18" s="4"/>
      <c r="D18" s="396"/>
      <c r="E18" s="396"/>
      <c r="G18" s="26"/>
      <c r="H18" s="28" t="str">
        <f t="shared" si="0"/>
        <v/>
      </c>
      <c r="J18" s="208" t="s">
        <v>5302</v>
      </c>
      <c r="K18" s="391">
        <f>+VLOOKUP("CHAVETAS PARTIDAS"&amp;J18,CODIGOS_Y_COSTOS[[ID]:[COSTO]],7,0)</f>
        <v>21.525700000000001</v>
      </c>
      <c r="L18" s="76">
        <f t="shared" si="7"/>
        <v>21.525700000000001</v>
      </c>
      <c r="M18" s="921">
        <f>+VLOOKUP("CHAVETAS PARTIDAS"&amp;J18,CODIGOS_Y_COSTOS[[ID]:[COSTO]],7,0)</f>
        <v>21.525700000000001</v>
      </c>
      <c r="N18" s="922">
        <f t="shared" si="1"/>
        <v>21.525700000000001</v>
      </c>
      <c r="P18" s="890" t="s">
        <v>18832</v>
      </c>
      <c r="Q18" s="890"/>
      <c r="R18" s="896">
        <v>868.55877240000018</v>
      </c>
      <c r="S18" s="896"/>
      <c r="T18" s="890" t="s">
        <v>18827</v>
      </c>
      <c r="U18" s="899" t="s">
        <v>18833</v>
      </c>
      <c r="V18" s="900" t="s">
        <v>18834</v>
      </c>
      <c r="W18" s="890"/>
      <c r="X18" s="896">
        <v>778.66255999999976</v>
      </c>
      <c r="Y18" s="896"/>
      <c r="Z18" s="890" t="s">
        <v>18831</v>
      </c>
      <c r="AA18" s="890"/>
      <c r="AB18" s="9" t="str">
        <f>+IF(AD18&lt;&gt;"",MAX($AB$4:AB17)+1,"")</f>
        <v/>
      </c>
      <c r="AC18" s="930" t="str">
        <f t="shared" si="8"/>
        <v>7 x 170</v>
      </c>
      <c r="AE18" s="856">
        <f t="shared" si="10"/>
        <v>868.55877240000018</v>
      </c>
      <c r="AF18" s="76">
        <f t="shared" si="11"/>
        <v>0</v>
      </c>
      <c r="AG18" s="9" t="str">
        <f>+IF(AI18&lt;&gt;"",MAX($AG$4:AG17)+1,"")</f>
        <v/>
      </c>
      <c r="AH18" s="930" t="str">
        <f t="shared" si="12"/>
        <v>5 x 200</v>
      </c>
      <c r="AJ18" s="856">
        <f t="shared" si="13"/>
        <v>778.66255999999976</v>
      </c>
      <c r="AK18" s="76">
        <f t="shared" si="14"/>
        <v>0</v>
      </c>
      <c r="AS18" s="4" t="str">
        <f>+IF(Tabla16[[#This Row],[MEDIDA]]=0,"",Tabla16[[#This Row],[MEDIDA]])</f>
        <v/>
      </c>
      <c r="AT18" s="4" t="str">
        <f>IF(Tabla16[[#This Row],[CANT]]=0,"",Tabla16[[#This Row],[CANT]])</f>
        <v/>
      </c>
    </row>
    <row r="19" spans="1:46" ht="15.75" x14ac:dyDescent="0.2">
      <c r="A19" s="4"/>
      <c r="B19" s="4"/>
      <c r="D19" s="396"/>
      <c r="E19" s="396"/>
      <c r="G19" s="26"/>
      <c r="H19" s="28" t="str">
        <f t="shared" si="0"/>
        <v/>
      </c>
      <c r="J19" s="208" t="s">
        <v>5984</v>
      </c>
      <c r="K19" s="391">
        <f>+VLOOKUP("CHAVETAS PARTIDAS"&amp;J19,CODIGOS_Y_COSTOS[[ID]:[COSTO]],7,0)</f>
        <v>26.7865</v>
      </c>
      <c r="L19" s="76">
        <f t="shared" si="7"/>
        <v>26.7865</v>
      </c>
      <c r="M19" s="921">
        <f>+VLOOKUP("CHAVETAS PARTIDAS"&amp;J19,CODIGOS_Y_COSTOS[[ID]:[COSTO]],7,0)</f>
        <v>26.7865</v>
      </c>
      <c r="N19" s="922">
        <f t="shared" si="1"/>
        <v>26.7865</v>
      </c>
      <c r="P19" s="891" t="s">
        <v>18835</v>
      </c>
      <c r="Q19" s="891"/>
      <c r="R19" s="896">
        <v>0</v>
      </c>
      <c r="S19" s="896"/>
      <c r="T19" s="901" t="s">
        <v>18827</v>
      </c>
      <c r="U19" s="902" t="s">
        <v>18836</v>
      </c>
      <c r="V19" s="903" t="s">
        <v>18837</v>
      </c>
      <c r="W19" s="901"/>
      <c r="X19" s="896">
        <v>1129.1471999999994</v>
      </c>
      <c r="Y19" s="896"/>
      <c r="Z19" s="901" t="s">
        <v>18831</v>
      </c>
      <c r="AA19" s="901"/>
      <c r="AB19" s="9" t="str">
        <f>+IF(AD19&lt;&gt;"",MAX($AB$4:AB18)+1,"")</f>
        <v/>
      </c>
      <c r="AC19" s="930" t="str">
        <f t="shared" si="8"/>
        <v>7 x 175</v>
      </c>
      <c r="AE19" s="856">
        <f t="shared" si="10"/>
        <v>0</v>
      </c>
      <c r="AF19" s="76">
        <f t="shared" si="11"/>
        <v>0</v>
      </c>
      <c r="AG19" s="9" t="str">
        <f>+IF(AI19&lt;&gt;"",MAX($AG$4:AG18)+1,"")</f>
        <v/>
      </c>
      <c r="AH19" s="930" t="str">
        <f t="shared" si="12"/>
        <v>6 x 200</v>
      </c>
      <c r="AJ19" s="856">
        <f>+X19</f>
        <v>1129.1471999999994</v>
      </c>
      <c r="AK19" s="76">
        <f>+AI19*AJ19</f>
        <v>0</v>
      </c>
      <c r="AS19" s="4" t="str">
        <f>+IF(Tabla16[[#This Row],[MEDIDA]]=0,"",Tabla16[[#This Row],[MEDIDA]])</f>
        <v/>
      </c>
      <c r="AT19" s="4" t="str">
        <f>IF(Tabla16[[#This Row],[CANT]]=0,"",Tabla16[[#This Row],[CANT]])</f>
        <v/>
      </c>
    </row>
    <row r="20" spans="1:46" ht="16.5" thickBot="1" x14ac:dyDescent="0.25">
      <c r="A20" s="4"/>
      <c r="B20" s="4"/>
      <c r="D20" s="396"/>
      <c r="E20" s="396"/>
      <c r="G20" s="26"/>
      <c r="H20" s="28" t="str">
        <f t="shared" si="0"/>
        <v/>
      </c>
      <c r="J20" s="208" t="s">
        <v>5310</v>
      </c>
      <c r="K20" s="391">
        <f>+VLOOKUP("CHAVETAS PARTIDAS"&amp;J20,CODIGOS_Y_COSTOS[[ID]:[COSTO]],7,0)</f>
        <v>17.7074</v>
      </c>
      <c r="L20" s="76">
        <f t="shared" si="7"/>
        <v>17.7074</v>
      </c>
      <c r="M20" s="921">
        <f>+VLOOKUP("CHAVETAS PARTIDAS"&amp;J20,CODIGOS_Y_COSTOS[[ID]:[COSTO]],7,0)</f>
        <v>17.7074</v>
      </c>
      <c r="N20" s="922">
        <f t="shared" si="1"/>
        <v>17.7074</v>
      </c>
      <c r="P20" s="890" t="s">
        <v>18838</v>
      </c>
      <c r="Q20" s="890"/>
      <c r="R20" s="896">
        <v>1054.0135904999997</v>
      </c>
      <c r="S20" s="896"/>
      <c r="T20" s="890" t="s">
        <v>18839</v>
      </c>
      <c r="U20" s="899" t="s">
        <v>18840</v>
      </c>
      <c r="V20" s="900" t="s">
        <v>18841</v>
      </c>
      <c r="W20" s="890"/>
      <c r="X20" s="896">
        <v>1242.3567999999996</v>
      </c>
      <c r="Y20" s="896"/>
      <c r="Z20" s="890" t="s">
        <v>18842</v>
      </c>
      <c r="AA20" s="890"/>
      <c r="AB20" s="9" t="str">
        <f>+IF(AD20&lt;&gt;"",MAX($AB$4:AB19)+1,"")</f>
        <v/>
      </c>
      <c r="AC20" s="1113" t="str">
        <f t="shared" si="8"/>
        <v>8 x 175</v>
      </c>
      <c r="AD20" s="316"/>
      <c r="AE20" s="931">
        <f t="shared" ref="AE20" si="16">+R20</f>
        <v>1054.0135904999997</v>
      </c>
      <c r="AF20" s="925">
        <f t="shared" ref="AF20" si="17">+AD20*AE20</f>
        <v>0</v>
      </c>
      <c r="AG20" s="9" t="str">
        <f>+IF(AI20&lt;&gt;"",MAX($AG$4:AG19)+1,"")</f>
        <v/>
      </c>
      <c r="AH20" s="1113" t="str">
        <f t="shared" ref="AH20" si="18">+TRIM(V20)</f>
        <v>6 x 240</v>
      </c>
      <c r="AI20" s="316"/>
      <c r="AJ20" s="931">
        <f>+X20</f>
        <v>1242.3567999999996</v>
      </c>
      <c r="AK20" s="925">
        <f>+AI20*AJ20</f>
        <v>0</v>
      </c>
      <c r="AQ20" s="26">
        <f>+AQ1*1.21</f>
        <v>103131.61380885</v>
      </c>
      <c r="AS20" s="4" t="str">
        <f>+IF(Tabla16[[#This Row],[MEDIDA]]=0,"",Tabla16[[#This Row],[MEDIDA]])</f>
        <v/>
      </c>
      <c r="AT20" s="4" t="str">
        <f>IF(Tabla16[[#This Row],[CANT]]=0,"",Tabla16[[#This Row],[CANT]])</f>
        <v/>
      </c>
    </row>
    <row r="21" spans="1:46" x14ac:dyDescent="0.2">
      <c r="A21" s="4"/>
      <c r="B21" s="4"/>
      <c r="D21" s="396"/>
      <c r="E21" s="396"/>
      <c r="G21" s="26"/>
      <c r="H21" s="28" t="str">
        <f t="shared" ref="H21:H36" si="19">+IFERROR(G21/D21-1,"")</f>
        <v/>
      </c>
      <c r="J21" s="208" t="s">
        <v>5314</v>
      </c>
      <c r="K21" s="391">
        <f>+VLOOKUP("CHAVETAS PARTIDAS"&amp;J21,CODIGOS_Y_COSTOS[[ID]:[COSTO]],7,0)</f>
        <v>23.6419</v>
      </c>
      <c r="L21" s="76">
        <f t="shared" si="7"/>
        <v>23.6419</v>
      </c>
      <c r="M21" s="921">
        <f>+VLOOKUP("CHAVETAS PARTIDAS"&amp;J21,CODIGOS_Y_COSTOS[[ID]:[COSTO]],7,0)</f>
        <v>23.6419</v>
      </c>
      <c r="N21" s="922">
        <f t="shared" si="1"/>
        <v>23.6419</v>
      </c>
      <c r="AS21" s="4" t="str">
        <f>+IF(Tabla16[[#This Row],[MEDIDA]]=0,"",Tabla16[[#This Row],[MEDIDA]])</f>
        <v/>
      </c>
      <c r="AT21" s="4" t="str">
        <f>IF(Tabla16[[#This Row],[CANT]]=0,"",Tabla16[[#This Row],[CANT]])</f>
        <v/>
      </c>
    </row>
    <row r="22" spans="1:46" x14ac:dyDescent="0.2">
      <c r="A22" s="4"/>
      <c r="B22" s="4"/>
      <c r="D22" s="396"/>
      <c r="E22" s="396"/>
      <c r="G22" s="26"/>
      <c r="H22" s="28" t="str">
        <f t="shared" si="19"/>
        <v/>
      </c>
      <c r="J22" s="208" t="s">
        <v>5318</v>
      </c>
      <c r="K22" s="391">
        <f>+VLOOKUP("CHAVETAS PARTIDAS"&amp;J22,CODIGOS_Y_COSTOS[[ID]:[COSTO]],7,0)</f>
        <v>25.904900000000001</v>
      </c>
      <c r="L22" s="76">
        <f t="shared" si="7"/>
        <v>25.904900000000001</v>
      </c>
      <c r="M22" s="921">
        <f>+VLOOKUP("CHAVETAS PARTIDAS"&amp;J22,CODIGOS_Y_COSTOS[[ID]:[COSTO]],7,0)</f>
        <v>25.904900000000001</v>
      </c>
      <c r="N22" s="922">
        <f t="shared" si="1"/>
        <v>25.904900000000001</v>
      </c>
      <c r="AS22" s="4" t="str">
        <f>+IF(Tabla16[[#This Row],[MEDIDA]]=0,"",Tabla16[[#This Row],[MEDIDA]])</f>
        <v/>
      </c>
      <c r="AT22" s="4" t="str">
        <f>IF(Tabla16[[#This Row],[CANT]]=0,"",Tabla16[[#This Row],[CANT]])</f>
        <v/>
      </c>
    </row>
    <row r="23" spans="1:46" ht="19.5" thickBot="1" x14ac:dyDescent="0.35">
      <c r="A23" s="4"/>
      <c r="B23" s="4"/>
      <c r="D23" s="396"/>
      <c r="E23" s="396"/>
      <c r="G23" s="26"/>
      <c r="H23" s="28" t="str">
        <f t="shared" si="19"/>
        <v/>
      </c>
      <c r="J23" s="208" t="s">
        <v>5993</v>
      </c>
      <c r="K23" s="391">
        <f>+VLOOKUP("CHAVETAS PARTIDAS"&amp;J23,CODIGOS_Y_COSTOS[[ID]:[COSTO]],7,0)</f>
        <v>34.741</v>
      </c>
      <c r="L23" s="76">
        <f t="shared" si="7"/>
        <v>34.741</v>
      </c>
      <c r="M23" s="921">
        <f>+VLOOKUP("CHAVETAS PARTIDAS"&amp;J23,CODIGOS_Y_COSTOS[[ID]:[COSTO]],7,0)</f>
        <v>34.741</v>
      </c>
      <c r="N23" s="922">
        <f t="shared" si="1"/>
        <v>34.741</v>
      </c>
      <c r="P23" s="1546" t="s">
        <v>18843</v>
      </c>
      <c r="Q23" s="1546"/>
      <c r="R23" s="1546"/>
      <c r="S23" s="1546"/>
      <c r="T23" s="1546"/>
      <c r="U23" s="1546"/>
      <c r="AS23" s="4" t="str">
        <f>+IF(Tabla16[[#This Row],[MEDIDA]]=0,"",Tabla16[[#This Row],[MEDIDA]])</f>
        <v/>
      </c>
      <c r="AT23" s="4" t="str">
        <f>IF(Tabla16[[#This Row],[CANT]]=0,"",Tabla16[[#This Row],[CANT]])</f>
        <v/>
      </c>
    </row>
    <row r="24" spans="1:46" ht="19.5" thickBot="1" x14ac:dyDescent="0.25">
      <c r="A24" s="4"/>
      <c r="B24" s="4"/>
      <c r="D24" s="396"/>
      <c r="E24" s="396"/>
      <c r="G24" s="26"/>
      <c r="H24" s="28" t="str">
        <f t="shared" si="19"/>
        <v/>
      </c>
      <c r="J24" s="208" t="s">
        <v>5330</v>
      </c>
      <c r="K24" s="391">
        <f>+VLOOKUP("CHAVETAS PARTIDAS"&amp;J24,CODIGOS_Y_COSTOS[[ID]:[COSTO]],7,0)</f>
        <v>20.638500000000001</v>
      </c>
      <c r="L24" s="76">
        <f t="shared" si="7"/>
        <v>20.638500000000001</v>
      </c>
      <c r="M24" s="921">
        <f>+VLOOKUP("CHAVETAS PARTIDAS"&amp;J24,CODIGOS_Y_COSTOS[[ID]:[COSTO]],7,0)</f>
        <v>20.638500000000001</v>
      </c>
      <c r="N24" s="922">
        <f t="shared" si="1"/>
        <v>20.638500000000001</v>
      </c>
      <c r="P24" s="945" t="s">
        <v>18780</v>
      </c>
      <c r="Q24" s="945" t="s">
        <v>8323</v>
      </c>
      <c r="R24" s="1547" t="s">
        <v>18781</v>
      </c>
      <c r="S24" s="1548"/>
      <c r="T24" s="946" t="s">
        <v>18782</v>
      </c>
      <c r="U24" s="945" t="s">
        <v>18783</v>
      </c>
      <c r="AB24" s="9">
        <f>+MAX(AG4:AG20)+1</f>
        <v>4</v>
      </c>
      <c r="AC24" s="1543" t="s">
        <v>18844</v>
      </c>
      <c r="AD24" s="1544"/>
      <c r="AE24" s="1544"/>
      <c r="AF24" s="1545"/>
      <c r="AL24" s="9" t="s">
        <v>18844</v>
      </c>
      <c r="AS24" s="4" t="s">
        <v>21388</v>
      </c>
      <c r="AT24" s="4">
        <v>50</v>
      </c>
    </row>
    <row r="25" spans="1:46" ht="16.5" thickBot="1" x14ac:dyDescent="0.3">
      <c r="A25" s="4"/>
      <c r="B25" s="4"/>
      <c r="D25" s="396"/>
      <c r="E25" s="396"/>
      <c r="G25" s="26"/>
      <c r="H25" s="28" t="str">
        <f t="shared" si="19"/>
        <v/>
      </c>
      <c r="J25" s="208" t="s">
        <v>5334</v>
      </c>
      <c r="K25" s="391">
        <f>+VLOOKUP("CHAVETAS PARTIDAS"&amp;J25,CODIGOS_Y_COSTOS[[ID]:[COSTO]],7,0)</f>
        <v>27.038599999999999</v>
      </c>
      <c r="L25" s="76">
        <f t="shared" si="7"/>
        <v>27.038599999999999</v>
      </c>
      <c r="M25" s="921">
        <f>+VLOOKUP("CHAVETAS PARTIDAS"&amp;J25,CODIGOS_Y_COSTOS[[ID]:[COSTO]],7,0)</f>
        <v>27.038599999999999</v>
      </c>
      <c r="N25" s="922">
        <f t="shared" si="1"/>
        <v>27.038599999999999</v>
      </c>
      <c r="P25" s="1549" t="s">
        <v>18845</v>
      </c>
      <c r="Q25" s="1549"/>
      <c r="R25" s="1542">
        <v>293.27999999999997</v>
      </c>
      <c r="S25" s="1542"/>
      <c r="T25" s="947" t="s">
        <v>18804</v>
      </c>
      <c r="U25" s="947" t="s">
        <v>18846</v>
      </c>
      <c r="AB25" s="9" t="str">
        <f>+IF(AD25&lt;&gt;"",MAX($AB$4:AB24)+1,"")</f>
        <v/>
      </c>
      <c r="AC25" s="951" t="str">
        <f t="shared" ref="AC25:AC27" si="20">+TRIM(P25)</f>
        <v>4 x 90</v>
      </c>
      <c r="AD25" s="952"/>
      <c r="AE25" s="953">
        <f t="shared" ref="AE25:AE27" si="21">+R25</f>
        <v>293.27999999999997</v>
      </c>
      <c r="AF25" s="954">
        <f t="shared" ref="AF25:AF27" si="22">+AD25*AE25</f>
        <v>0</v>
      </c>
      <c r="AS25" s="4" t="s">
        <v>21389</v>
      </c>
      <c r="AT25" s="4">
        <v>25</v>
      </c>
    </row>
    <row r="26" spans="1:46" ht="16.5" thickBot="1" x14ac:dyDescent="0.3">
      <c r="A26" s="4"/>
      <c r="B26" s="4"/>
      <c r="D26" s="396"/>
      <c r="E26" s="396"/>
      <c r="G26" s="26"/>
      <c r="H26" s="28" t="str">
        <f t="shared" si="19"/>
        <v/>
      </c>
      <c r="J26" s="208" t="s">
        <v>5338</v>
      </c>
      <c r="K26" s="391">
        <f>+VLOOKUP("CHAVETAS PARTIDAS"&amp;J26,CODIGOS_Y_COSTOS[[ID]:[COSTO]],7,0)</f>
        <v>32.0657</v>
      </c>
      <c r="L26" s="76">
        <f t="shared" si="7"/>
        <v>32.0657</v>
      </c>
      <c r="M26" s="921">
        <f>+VLOOKUP("CHAVETAS PARTIDAS"&amp;J26,CODIGOS_Y_COSTOS[[ID]:[COSTO]],7,0)</f>
        <v>32.0657</v>
      </c>
      <c r="N26" s="922">
        <f t="shared" si="1"/>
        <v>32.0657</v>
      </c>
      <c r="P26" s="1550" t="s">
        <v>18847</v>
      </c>
      <c r="Q26" s="1550"/>
      <c r="R26" s="1542">
        <v>414.31</v>
      </c>
      <c r="S26" s="1542"/>
      <c r="T26" s="948" t="s">
        <v>18804</v>
      </c>
      <c r="U26" s="948" t="s">
        <v>18846</v>
      </c>
      <c r="AB26" s="9" t="str">
        <f>+IF(AD26&lt;&gt;"",MAX($AB$4:AB25)+1,"")</f>
        <v/>
      </c>
      <c r="AC26" s="938" t="str">
        <f t="shared" si="20"/>
        <v>4.5 x 90</v>
      </c>
      <c r="AD26" s="316"/>
      <c r="AE26" s="931">
        <f t="shared" si="21"/>
        <v>414.31</v>
      </c>
      <c r="AF26" s="925">
        <f t="shared" si="22"/>
        <v>0</v>
      </c>
      <c r="AS26" s="4" t="str">
        <f>+IF(Tabla16[[#This Row],[MEDIDA]]=0,"",Tabla16[[#This Row],[MEDIDA]])</f>
        <v/>
      </c>
      <c r="AT26" s="4" t="str">
        <f>IF(Tabla16[[#This Row],[CANT]]=0,"",Tabla16[[#This Row],[CANT]])</f>
        <v/>
      </c>
    </row>
    <row r="27" spans="1:46" ht="16.5" thickBot="1" x14ac:dyDescent="0.3">
      <c r="A27" s="4"/>
      <c r="B27" s="4"/>
      <c r="D27" s="396"/>
      <c r="E27" s="396"/>
      <c r="G27" s="26"/>
      <c r="H27" s="28" t="str">
        <f t="shared" si="19"/>
        <v/>
      </c>
      <c r="J27" s="208" t="s">
        <v>6002</v>
      </c>
      <c r="K27" s="391">
        <f>+VLOOKUP("CHAVETAS PARTIDAS"&amp;J27,CODIGOS_Y_COSTOS[[ID]:[COSTO]],7,0)</f>
        <v>34.009900000000002</v>
      </c>
      <c r="L27" s="76">
        <f t="shared" si="7"/>
        <v>34.009900000000002</v>
      </c>
      <c r="M27" s="921">
        <f>+VLOOKUP("CHAVETAS PARTIDAS"&amp;J27,CODIGOS_Y_COSTOS[[ID]:[COSTO]],7,0)</f>
        <v>34.009900000000002</v>
      </c>
      <c r="N27" s="922">
        <f t="shared" si="1"/>
        <v>34.009900000000002</v>
      </c>
      <c r="P27" s="1541" t="s">
        <v>18848</v>
      </c>
      <c r="Q27" s="1541"/>
      <c r="R27" s="1542">
        <v>477.74</v>
      </c>
      <c r="S27" s="1542"/>
      <c r="T27" s="949" t="s">
        <v>18804</v>
      </c>
      <c r="U27" s="950" t="s">
        <v>18846</v>
      </c>
      <c r="AB27" s="9" t="str">
        <f>+IF(AD27&lt;&gt;"",MAX($AB$4:AB26)+1,"")</f>
        <v/>
      </c>
      <c r="AC27" s="938" t="str">
        <f t="shared" si="20"/>
        <v>5 x 90</v>
      </c>
      <c r="AD27" s="316"/>
      <c r="AE27" s="931">
        <f t="shared" si="21"/>
        <v>477.74</v>
      </c>
      <c r="AF27" s="925">
        <f t="shared" si="22"/>
        <v>0</v>
      </c>
      <c r="AS27" s="4" t="str">
        <f>+IF(Tabla16[[#This Row],[MEDIDA]]=0,"",Tabla16[[#This Row],[MEDIDA]])</f>
        <v/>
      </c>
      <c r="AT27" s="4" t="str">
        <f>IF(Tabla16[[#This Row],[CANT]]=0,"",Tabla16[[#This Row],[CANT]])</f>
        <v/>
      </c>
    </row>
    <row r="28" spans="1:46" x14ac:dyDescent="0.2">
      <c r="A28" s="4"/>
      <c r="B28" s="4"/>
      <c r="D28" s="396"/>
      <c r="E28" s="396"/>
      <c r="G28" s="26"/>
      <c r="H28" s="28" t="str">
        <f t="shared" si="19"/>
        <v/>
      </c>
      <c r="J28" s="208" t="s">
        <v>6005</v>
      </c>
      <c r="K28" s="391">
        <f>+VLOOKUP("CHAVETAS PARTIDAS"&amp;J28,CODIGOS_Y_COSTOS[[ID]:[COSTO]],7,0)</f>
        <v>41.138300000000001</v>
      </c>
      <c r="L28" s="76">
        <f t="shared" si="7"/>
        <v>41.138300000000001</v>
      </c>
      <c r="M28" s="921">
        <f>+VLOOKUP("CHAVETAS PARTIDAS"&amp;J28,CODIGOS_Y_COSTOS[[ID]:[COSTO]],7,0)</f>
        <v>41.138300000000001</v>
      </c>
      <c r="N28" s="922">
        <f t="shared" si="1"/>
        <v>41.138300000000001</v>
      </c>
      <c r="AS28" s="4" t="str">
        <f>+IF(Tabla16[[#This Row],[MEDIDA]]=0,"",Tabla16[[#This Row],[MEDIDA]])</f>
        <v/>
      </c>
      <c r="AT28" s="4" t="str">
        <f>IF(Tabla16[[#This Row],[CANT]]=0,"",Tabla16[[#This Row],[CANT]])</f>
        <v/>
      </c>
    </row>
    <row r="29" spans="1:46" x14ac:dyDescent="0.2">
      <c r="A29" s="4"/>
      <c r="B29" s="4"/>
      <c r="D29" s="396"/>
      <c r="E29" s="396"/>
      <c r="G29" s="26"/>
      <c r="H29" s="28" t="str">
        <f t="shared" si="19"/>
        <v/>
      </c>
      <c r="J29" s="208" t="s">
        <v>5350</v>
      </c>
      <c r="K29" s="391">
        <f>+VLOOKUP("CHAVETAS PARTIDAS"&amp;J29,CODIGOS_Y_COSTOS[[ID]:[COSTO]],7,0)</f>
        <v>31.670300000000001</v>
      </c>
      <c r="L29" s="76">
        <f t="shared" si="7"/>
        <v>31.670300000000001</v>
      </c>
      <c r="M29" s="921">
        <f>+VLOOKUP("CHAVETAS PARTIDAS"&amp;J29,CODIGOS_Y_COSTOS[[ID]:[COSTO]],7,0)</f>
        <v>31.670300000000001</v>
      </c>
      <c r="N29" s="922">
        <f t="shared" si="1"/>
        <v>31.670300000000001</v>
      </c>
      <c r="AS29" s="4" t="str">
        <f>+IF(Tabla16[[#This Row],[MEDIDA]]=0,"",Tabla16[[#This Row],[MEDIDA]])</f>
        <v/>
      </c>
      <c r="AT29" s="4" t="str">
        <f>IF(Tabla16[[#This Row],[CANT]]=0,"",Tabla16[[#This Row],[CANT]])</f>
        <v/>
      </c>
    </row>
    <row r="30" spans="1:46" x14ac:dyDescent="0.2">
      <c r="A30" s="4"/>
      <c r="B30" s="4"/>
      <c r="D30" s="396"/>
      <c r="E30" s="396"/>
      <c r="G30" s="26"/>
      <c r="H30" s="28" t="str">
        <f t="shared" si="19"/>
        <v/>
      </c>
      <c r="J30" s="208" t="s">
        <v>5354</v>
      </c>
      <c r="K30" s="391">
        <f>+VLOOKUP("CHAVETAS PARTIDAS"&amp;J30,CODIGOS_Y_COSTOS[[ID]:[COSTO]],7,0)</f>
        <v>37.488599999999998</v>
      </c>
      <c r="L30" s="76">
        <f t="shared" si="7"/>
        <v>37.488599999999998</v>
      </c>
      <c r="M30" s="921">
        <f>+VLOOKUP("CHAVETAS PARTIDAS"&amp;J30,CODIGOS_Y_COSTOS[[ID]:[COSTO]],7,0)</f>
        <v>37.488599999999998</v>
      </c>
      <c r="N30" s="922">
        <f t="shared" si="1"/>
        <v>37.488599999999998</v>
      </c>
      <c r="AS30" s="4" t="str">
        <f>+IF(Tabla16[[#This Row],[MEDIDA]]=0,"",Tabla16[[#This Row],[MEDIDA]])</f>
        <v/>
      </c>
      <c r="AT30" s="4" t="str">
        <f>IF(Tabla16[[#This Row],[CANT]]=0,"",Tabla16[[#This Row],[CANT]])</f>
        <v/>
      </c>
    </row>
    <row r="31" spans="1:46" x14ac:dyDescent="0.2">
      <c r="A31" s="4"/>
      <c r="B31" s="4"/>
      <c r="D31" s="396"/>
      <c r="E31" s="396"/>
      <c r="G31" s="26"/>
      <c r="H31" s="28" t="str">
        <f t="shared" si="19"/>
        <v/>
      </c>
      <c r="J31" s="208" t="s">
        <v>6012</v>
      </c>
      <c r="K31" s="391">
        <f>+VLOOKUP("CHAVETAS PARTIDAS"&amp;J31,CODIGOS_Y_COSTOS[[ID]:[COSTO]],7,0)</f>
        <v>42.977600000000002</v>
      </c>
      <c r="L31" s="76">
        <f t="shared" si="7"/>
        <v>42.977600000000002</v>
      </c>
      <c r="M31" s="921">
        <f>+VLOOKUP("CHAVETAS PARTIDAS"&amp;J31,CODIGOS_Y_COSTOS[[ID]:[COSTO]],7,0)</f>
        <v>42.977600000000002</v>
      </c>
      <c r="N31" s="922">
        <f t="shared" si="1"/>
        <v>42.977600000000002</v>
      </c>
      <c r="AS31" s="4" t="str">
        <f>+IF(Tabla16[[#This Row],[MEDIDA]]=0,"",Tabla16[[#This Row],[MEDIDA]])</f>
        <v/>
      </c>
      <c r="AT31" s="4" t="str">
        <f>IF(Tabla16[[#This Row],[CANT]]=0,"",Tabla16[[#This Row],[CANT]])</f>
        <v/>
      </c>
    </row>
    <row r="32" spans="1:46" x14ac:dyDescent="0.2">
      <c r="A32" s="4"/>
      <c r="B32" s="4"/>
      <c r="D32" s="396"/>
      <c r="E32" s="396"/>
      <c r="G32" s="26"/>
      <c r="H32" s="28" t="str">
        <f t="shared" si="19"/>
        <v/>
      </c>
      <c r="J32" s="208" t="s">
        <v>5468</v>
      </c>
      <c r="K32" s="391">
        <f>+VLOOKUP("CHAVETAS PARTIDAS"&amp;J32,CODIGOS_Y_COSTOS[[ID]:[COSTO]],7,0)</f>
        <v>37.465400000000002</v>
      </c>
      <c r="L32" s="76">
        <f t="shared" si="7"/>
        <v>37.465400000000002</v>
      </c>
      <c r="M32" s="921">
        <f>+VLOOKUP("CHAVETAS PARTIDAS"&amp;J32,CODIGOS_Y_COSTOS[[ID]:[COSTO]],7,0)</f>
        <v>37.465400000000002</v>
      </c>
      <c r="N32" s="922">
        <f t="shared" si="1"/>
        <v>37.465400000000002</v>
      </c>
      <c r="AS32" s="4" t="str">
        <f>+IF(Tabla16[[#This Row],[MEDIDA]]=0,"",Tabla16[[#This Row],[MEDIDA]])</f>
        <v/>
      </c>
      <c r="AT32" s="4" t="str">
        <f>IF(Tabla16[[#This Row],[CANT]]=0,"",Tabla16[[#This Row],[CANT]])</f>
        <v/>
      </c>
    </row>
    <row r="33" spans="1:46" x14ac:dyDescent="0.2">
      <c r="A33" s="4"/>
      <c r="B33" s="4"/>
      <c r="D33" s="396"/>
      <c r="E33" s="396"/>
      <c r="G33" s="26"/>
      <c r="H33" s="28" t="str">
        <f t="shared" si="19"/>
        <v/>
      </c>
      <c r="J33" s="208" t="s">
        <v>5366</v>
      </c>
      <c r="K33" s="391">
        <f>+VLOOKUP("CHAVETAS PARTIDAS"&amp;J33,CODIGOS_Y_COSTOS[[ID]:[COSTO]],7,0)</f>
        <v>39.571399999999997</v>
      </c>
      <c r="L33" s="76">
        <f t="shared" si="7"/>
        <v>39.571399999999997</v>
      </c>
      <c r="M33" s="921">
        <f>+VLOOKUP("CHAVETAS PARTIDAS"&amp;J33,CODIGOS_Y_COSTOS[[ID]:[COSTO]],7,0)</f>
        <v>39.571399999999997</v>
      </c>
      <c r="N33" s="922">
        <f t="shared" si="1"/>
        <v>39.571399999999997</v>
      </c>
      <c r="AS33" s="4" t="str">
        <f>+IF(Tabla16[[#This Row],[MEDIDA]]=0,"",Tabla16[[#This Row],[MEDIDA]])</f>
        <v/>
      </c>
      <c r="AT33" s="4" t="str">
        <f>IF(Tabla16[[#This Row],[CANT]]=0,"",Tabla16[[#This Row],[CANT]])</f>
        <v/>
      </c>
    </row>
    <row r="34" spans="1:46" x14ac:dyDescent="0.2">
      <c r="A34" s="4"/>
      <c r="B34" s="4"/>
      <c r="D34" s="396"/>
      <c r="E34" s="396"/>
      <c r="G34" s="26"/>
      <c r="H34" s="28" t="str">
        <f t="shared" si="19"/>
        <v/>
      </c>
      <c r="J34" s="208" t="s">
        <v>5370</v>
      </c>
      <c r="K34" s="391">
        <f>+VLOOKUP("CHAVETAS PARTIDAS"&amp;J34,CODIGOS_Y_COSTOS[[ID]:[COSTO]],7,0)</f>
        <v>47.915300000000002</v>
      </c>
      <c r="L34" s="76">
        <f t="shared" si="7"/>
        <v>47.915300000000002</v>
      </c>
      <c r="M34" s="921">
        <f>+VLOOKUP("CHAVETAS PARTIDAS"&amp;J34,CODIGOS_Y_COSTOS[[ID]:[COSTO]],7,0)</f>
        <v>47.915300000000002</v>
      </c>
      <c r="N34" s="922">
        <f t="shared" si="1"/>
        <v>47.915300000000002</v>
      </c>
      <c r="AS34" s="4" t="str">
        <f>+IF(Tabla16[[#This Row],[MEDIDA]]=0,"",Tabla16[[#This Row],[MEDIDA]])</f>
        <v/>
      </c>
      <c r="AT34" s="4" t="str">
        <f>IF(Tabla16[[#This Row],[CANT]]=0,"",Tabla16[[#This Row],[CANT]])</f>
        <v/>
      </c>
    </row>
    <row r="35" spans="1:46" x14ac:dyDescent="0.2">
      <c r="A35" s="4"/>
      <c r="B35" s="4"/>
      <c r="D35" s="396"/>
      <c r="E35" s="396"/>
      <c r="G35" s="26"/>
      <c r="H35" s="28" t="str">
        <f t="shared" si="19"/>
        <v/>
      </c>
      <c r="J35" s="208" t="s">
        <v>5374</v>
      </c>
      <c r="K35" s="391">
        <f>+VLOOKUP("CHAVETAS PARTIDAS"&amp;J35,CODIGOS_Y_COSTOS[[ID]:[COSTO]],7,0)</f>
        <v>56.665999999999997</v>
      </c>
      <c r="L35" s="76">
        <f t="shared" si="7"/>
        <v>56.665999999999997</v>
      </c>
      <c r="M35" s="921">
        <f>+VLOOKUP("CHAVETAS PARTIDAS"&amp;J35,CODIGOS_Y_COSTOS[[ID]:[COSTO]],7,0)</f>
        <v>56.665999999999997</v>
      </c>
      <c r="N35" s="922">
        <f t="shared" si="1"/>
        <v>56.665999999999997</v>
      </c>
      <c r="AS35" s="4" t="str">
        <f>+IF(Tabla16[[#This Row],[MEDIDA]]=0,"",Tabla16[[#This Row],[MEDIDA]])</f>
        <v/>
      </c>
      <c r="AT35" s="4" t="str">
        <f>IF(Tabla16[[#This Row],[CANT]]=0,"",Tabla16[[#This Row],[CANT]])</f>
        <v/>
      </c>
    </row>
    <row r="36" spans="1:46" x14ac:dyDescent="0.2">
      <c r="A36" s="4"/>
      <c r="B36" s="4"/>
      <c r="D36" s="396"/>
      <c r="E36" s="396"/>
      <c r="G36" s="26"/>
      <c r="H36" s="28" t="str">
        <f t="shared" si="19"/>
        <v/>
      </c>
      <c r="I36" s="27"/>
      <c r="J36" s="208" t="s">
        <v>6023</v>
      </c>
      <c r="K36" s="391">
        <f>+VLOOKUP("CHAVETAS PARTIDAS"&amp;J36,CODIGOS_Y_COSTOS[[ID]:[COSTO]],7,0)</f>
        <v>61.765099999999997</v>
      </c>
      <c r="L36" s="76">
        <f t="shared" si="7"/>
        <v>61.765099999999997</v>
      </c>
      <c r="M36" s="921">
        <f>+VLOOKUP("CHAVETAS PARTIDAS"&amp;J36,CODIGOS_Y_COSTOS[[ID]:[COSTO]],7,0)</f>
        <v>61.765099999999997</v>
      </c>
      <c r="N36" s="922">
        <f t="shared" si="1"/>
        <v>61.765099999999997</v>
      </c>
      <c r="AS36" s="4" t="str">
        <f>+IF(Tabla16[[#This Row],[MEDIDA]]=0,"",Tabla16[[#This Row],[MEDIDA]])</f>
        <v/>
      </c>
      <c r="AT36" s="4" t="str">
        <f>IF(Tabla16[[#This Row],[CANT]]=0,"",Tabla16[[#This Row],[CANT]])</f>
        <v/>
      </c>
    </row>
    <row r="37" spans="1:46" x14ac:dyDescent="0.2">
      <c r="D37" s="396"/>
      <c r="E37" s="396"/>
      <c r="G37" s="26"/>
      <c r="H37" s="28"/>
      <c r="J37" s="208" t="s">
        <v>6026</v>
      </c>
      <c r="K37" s="391">
        <f>+VLOOKUP("CHAVETAS PARTIDAS"&amp;J37,CODIGOS_Y_COSTOS[[ID]:[COSTO]],7,0)</f>
        <v>31.440300000000001</v>
      </c>
      <c r="L37" s="76">
        <f t="shared" si="7"/>
        <v>31.440300000000001</v>
      </c>
      <c r="M37" s="921">
        <f>+VLOOKUP("CHAVETAS PARTIDAS"&amp;J37,CODIGOS_Y_COSTOS[[ID]:[COSTO]],7,0)</f>
        <v>31.440300000000001</v>
      </c>
      <c r="N37" s="922">
        <f t="shared" si="1"/>
        <v>31.440300000000001</v>
      </c>
    </row>
    <row r="38" spans="1:46" ht="13.5" thickBot="1" x14ac:dyDescent="0.25">
      <c r="D38" s="396"/>
      <c r="E38" s="396"/>
      <c r="G38" s="26"/>
      <c r="H38" s="28"/>
      <c r="J38" s="209" t="s">
        <v>5402</v>
      </c>
      <c r="K38" s="923">
        <f>+VLOOKUP("CHAVETAS PARTIDAS"&amp;J38,CODIGOS_Y_COSTOS[[ID]:[COSTO]],7,0)</f>
        <v>89.254400000000004</v>
      </c>
      <c r="L38" s="879">
        <f t="shared" si="7"/>
        <v>89.254400000000004</v>
      </c>
      <c r="M38" s="924">
        <f>+VLOOKUP("CHAVETAS PARTIDAS"&amp;J38,CODIGOS_Y_COSTOS[[ID]:[COSTO]],7,0)</f>
        <v>89.254400000000004</v>
      </c>
      <c r="N38" s="925">
        <f t="shared" si="1"/>
        <v>89.254400000000004</v>
      </c>
    </row>
    <row r="39" spans="1:46" x14ac:dyDescent="0.2">
      <c r="J39" s="208" t="s">
        <v>4463</v>
      </c>
      <c r="K39" s="186">
        <v>0</v>
      </c>
      <c r="L39" s="926">
        <v>0</v>
      </c>
      <c r="M39" s="927">
        <v>0</v>
      </c>
      <c r="N39" s="922">
        <v>0</v>
      </c>
    </row>
    <row r="43" spans="1:46" x14ac:dyDescent="0.2">
      <c r="L43" s="4" t="s">
        <v>18849</v>
      </c>
      <c r="M43" s="4" t="s">
        <v>18850</v>
      </c>
    </row>
    <row r="44" spans="1:46" x14ac:dyDescent="0.2">
      <c r="J44" s="9">
        <v>1.5</v>
      </c>
      <c r="K44" s="9">
        <v>20</v>
      </c>
      <c r="L44" s="456" t="s">
        <v>18851</v>
      </c>
      <c r="M44" s="456" t="s">
        <v>18852</v>
      </c>
      <c r="N44" s="928" t="s">
        <v>18853</v>
      </c>
    </row>
    <row r="45" spans="1:46" x14ac:dyDescent="0.2">
      <c r="J45" s="9">
        <v>1.5</v>
      </c>
      <c r="K45" s="9">
        <v>25</v>
      </c>
      <c r="L45" s="4"/>
      <c r="M45" s="4"/>
      <c r="N45" s="929"/>
    </row>
    <row r="46" spans="1:46" x14ac:dyDescent="0.2">
      <c r="J46" s="9">
        <v>1.5</v>
      </c>
      <c r="K46" s="9">
        <v>30</v>
      </c>
      <c r="L46" s="4"/>
      <c r="M46" s="4"/>
      <c r="N46" s="929"/>
    </row>
    <row r="47" spans="1:46" x14ac:dyDescent="0.2">
      <c r="J47" s="9">
        <v>2</v>
      </c>
      <c r="K47" s="9">
        <v>20</v>
      </c>
      <c r="L47" s="4"/>
      <c r="M47" s="4"/>
      <c r="N47" s="929"/>
    </row>
    <row r="48" spans="1:46" x14ac:dyDescent="0.2">
      <c r="J48" s="9">
        <v>2</v>
      </c>
      <c r="K48" s="9">
        <v>25</v>
      </c>
      <c r="L48" s="4"/>
      <c r="M48" s="4"/>
      <c r="N48" s="929"/>
    </row>
    <row r="49" spans="10:14" x14ac:dyDescent="0.2">
      <c r="J49" s="9">
        <v>2</v>
      </c>
      <c r="K49" s="9">
        <v>30</v>
      </c>
      <c r="L49" s="4"/>
      <c r="M49" s="4"/>
      <c r="N49" s="929"/>
    </row>
    <row r="50" spans="10:14" x14ac:dyDescent="0.2">
      <c r="J50" s="9">
        <v>2</v>
      </c>
      <c r="K50" s="9">
        <v>40</v>
      </c>
      <c r="L50" s="4"/>
      <c r="M50" s="4"/>
      <c r="N50" s="929"/>
    </row>
    <row r="51" spans="10:14" x14ac:dyDescent="0.2">
      <c r="J51" s="9">
        <v>2</v>
      </c>
      <c r="K51" s="9">
        <v>50</v>
      </c>
      <c r="L51" s="4"/>
      <c r="M51" s="4"/>
      <c r="N51" s="929"/>
    </row>
    <row r="52" spans="10:14" x14ac:dyDescent="0.2">
      <c r="J52" s="9">
        <v>2.5</v>
      </c>
      <c r="K52" s="9">
        <v>25</v>
      </c>
      <c r="L52" s="4"/>
      <c r="M52" s="4"/>
      <c r="N52" s="929"/>
    </row>
    <row r="53" spans="10:14" x14ac:dyDescent="0.2">
      <c r="J53" s="9">
        <v>2.5</v>
      </c>
      <c r="K53" s="9">
        <v>30</v>
      </c>
      <c r="L53" s="4"/>
      <c r="M53" s="4"/>
      <c r="N53" s="929"/>
    </row>
    <row r="54" spans="10:14" x14ac:dyDescent="0.2">
      <c r="J54" s="9">
        <v>2.5</v>
      </c>
      <c r="K54" s="9">
        <v>40</v>
      </c>
      <c r="L54" s="4"/>
      <c r="M54" s="4"/>
      <c r="N54" s="929"/>
    </row>
    <row r="55" spans="10:14" x14ac:dyDescent="0.2">
      <c r="J55" s="9">
        <v>2.5</v>
      </c>
      <c r="K55" s="9">
        <v>50</v>
      </c>
      <c r="L55" s="4"/>
      <c r="M55" s="4"/>
      <c r="N55" s="929"/>
    </row>
    <row r="56" spans="10:14" x14ac:dyDescent="0.2">
      <c r="J56" s="9">
        <v>3</v>
      </c>
      <c r="K56" s="9">
        <v>25</v>
      </c>
      <c r="L56" s="4"/>
      <c r="M56" s="4"/>
      <c r="N56" s="929"/>
    </row>
    <row r="57" spans="10:14" x14ac:dyDescent="0.2">
      <c r="J57" s="9">
        <v>3</v>
      </c>
      <c r="K57" s="9">
        <v>30</v>
      </c>
      <c r="L57" s="4"/>
      <c r="M57" s="4"/>
      <c r="N57" s="929"/>
    </row>
    <row r="58" spans="10:14" x14ac:dyDescent="0.2">
      <c r="J58" s="9">
        <v>3</v>
      </c>
      <c r="K58" s="9">
        <v>40</v>
      </c>
      <c r="L58" s="4"/>
      <c r="M58" s="4"/>
      <c r="N58" s="929"/>
    </row>
    <row r="59" spans="10:14" x14ac:dyDescent="0.2">
      <c r="J59" s="9">
        <v>3</v>
      </c>
      <c r="K59" s="9">
        <v>50</v>
      </c>
      <c r="L59" s="4"/>
      <c r="M59" s="4"/>
      <c r="N59" s="929"/>
    </row>
    <row r="60" spans="10:14" x14ac:dyDescent="0.2">
      <c r="J60" s="9">
        <v>3</v>
      </c>
      <c r="K60" s="9">
        <v>70</v>
      </c>
      <c r="L60" s="4"/>
      <c r="M60" s="4"/>
      <c r="N60" s="929"/>
    </row>
    <row r="61" spans="10:14" x14ac:dyDescent="0.2">
      <c r="J61" s="9">
        <v>3.5</v>
      </c>
      <c r="K61" s="9">
        <v>30</v>
      </c>
      <c r="L61" s="4"/>
      <c r="M61" s="4"/>
      <c r="N61" s="929"/>
    </row>
    <row r="62" spans="10:14" x14ac:dyDescent="0.2">
      <c r="J62" s="9">
        <v>3.5</v>
      </c>
      <c r="K62" s="9">
        <v>40</v>
      </c>
      <c r="L62" s="4"/>
      <c r="M62" s="4"/>
      <c r="N62" s="929"/>
    </row>
    <row r="63" spans="10:14" x14ac:dyDescent="0.2">
      <c r="J63" s="9">
        <v>3.5</v>
      </c>
      <c r="K63" s="9">
        <v>50</v>
      </c>
      <c r="L63" s="4"/>
      <c r="M63" s="4"/>
      <c r="N63" s="929"/>
    </row>
    <row r="64" spans="10:14" x14ac:dyDescent="0.2">
      <c r="J64" s="9">
        <v>3.5</v>
      </c>
      <c r="K64" s="9">
        <v>70</v>
      </c>
      <c r="L64" s="4"/>
      <c r="M64" s="4"/>
      <c r="N64" s="929"/>
    </row>
    <row r="65" spans="10:14" x14ac:dyDescent="0.2">
      <c r="J65" s="9">
        <v>4</v>
      </c>
      <c r="K65" s="9">
        <v>30</v>
      </c>
      <c r="L65" s="4"/>
      <c r="M65" s="4"/>
      <c r="N65" s="929"/>
    </row>
    <row r="66" spans="10:14" x14ac:dyDescent="0.2">
      <c r="J66" s="9">
        <v>4</v>
      </c>
      <c r="K66" s="9">
        <v>40</v>
      </c>
      <c r="L66" s="4"/>
      <c r="M66" s="4"/>
      <c r="N66" s="929"/>
    </row>
    <row r="67" spans="10:14" x14ac:dyDescent="0.2">
      <c r="J67" s="9">
        <v>4</v>
      </c>
      <c r="K67" s="9">
        <v>50</v>
      </c>
      <c r="L67" s="4"/>
      <c r="M67" s="4"/>
      <c r="N67" s="929"/>
    </row>
    <row r="68" spans="10:14" x14ac:dyDescent="0.2">
      <c r="J68" s="9">
        <v>4</v>
      </c>
      <c r="K68" s="9">
        <v>60</v>
      </c>
      <c r="L68" s="4"/>
      <c r="M68" s="4"/>
      <c r="N68" s="929"/>
    </row>
    <row r="69" spans="10:14" x14ac:dyDescent="0.2">
      <c r="J69" s="9">
        <v>4</v>
      </c>
      <c r="K69" s="9">
        <v>70</v>
      </c>
      <c r="L69" s="4"/>
      <c r="M69" s="4"/>
      <c r="N69" s="929"/>
    </row>
    <row r="70" spans="10:14" x14ac:dyDescent="0.2">
      <c r="J70" s="9">
        <v>4.5</v>
      </c>
      <c r="K70" s="9">
        <v>40</v>
      </c>
      <c r="L70" s="4"/>
      <c r="M70" s="4"/>
      <c r="N70" s="929"/>
    </row>
    <row r="71" spans="10:14" x14ac:dyDescent="0.2">
      <c r="J71" s="9">
        <v>4.5</v>
      </c>
      <c r="K71" s="9">
        <v>50</v>
      </c>
      <c r="L71" s="4"/>
      <c r="M71" s="4"/>
      <c r="N71" s="929"/>
    </row>
    <row r="72" spans="10:14" x14ac:dyDescent="0.2">
      <c r="J72" s="9">
        <v>4.5</v>
      </c>
      <c r="K72" s="9">
        <v>60</v>
      </c>
      <c r="L72" s="4"/>
      <c r="M72" s="4"/>
      <c r="N72" s="929"/>
    </row>
    <row r="73" spans="10:14" x14ac:dyDescent="0.2">
      <c r="J73" s="9">
        <v>5</v>
      </c>
      <c r="K73" s="9">
        <v>35</v>
      </c>
      <c r="L73" s="4"/>
      <c r="M73" s="4"/>
      <c r="N73" s="929"/>
    </row>
    <row r="74" spans="10:14" x14ac:dyDescent="0.2">
      <c r="J74" s="9">
        <v>5</v>
      </c>
      <c r="K74" s="9">
        <v>40</v>
      </c>
      <c r="L74" s="4"/>
      <c r="M74" s="4"/>
      <c r="N74" s="929"/>
    </row>
    <row r="75" spans="10:14" x14ac:dyDescent="0.2">
      <c r="J75" s="9">
        <v>5</v>
      </c>
      <c r="K75" s="9">
        <v>50</v>
      </c>
      <c r="L75" s="4"/>
      <c r="M75" s="4"/>
      <c r="N75" s="929"/>
    </row>
    <row r="76" spans="10:14" x14ac:dyDescent="0.2">
      <c r="J76" s="9">
        <v>5</v>
      </c>
      <c r="K76" s="9">
        <v>60</v>
      </c>
      <c r="L76" s="4"/>
      <c r="M76" s="4"/>
      <c r="N76" s="929"/>
    </row>
    <row r="77" spans="10:14" x14ac:dyDescent="0.2">
      <c r="J77" s="9">
        <v>5</v>
      </c>
      <c r="K77" s="9">
        <v>70</v>
      </c>
      <c r="L77" s="4"/>
      <c r="M77" s="4"/>
      <c r="N77" s="929"/>
    </row>
    <row r="78" spans="10:14" x14ac:dyDescent="0.2">
      <c r="J78" s="9">
        <v>3.5</v>
      </c>
      <c r="K78" s="9">
        <v>60</v>
      </c>
      <c r="L78" s="4"/>
      <c r="M78" s="4"/>
      <c r="N78" s="929"/>
    </row>
    <row r="79" spans="10:14" x14ac:dyDescent="0.2">
      <c r="J79" s="9">
        <v>6</v>
      </c>
      <c r="K79" s="9">
        <v>70</v>
      </c>
      <c r="L79" s="4"/>
      <c r="M79" s="4"/>
      <c r="N79" s="929"/>
    </row>
  </sheetData>
  <mergeCells count="15">
    <mergeCell ref="A1:B1"/>
    <mergeCell ref="J1:L1"/>
    <mergeCell ref="AS1:AT1"/>
    <mergeCell ref="AM1:AO1"/>
    <mergeCell ref="AC3:AF3"/>
    <mergeCell ref="AH3:AK3"/>
    <mergeCell ref="P27:Q27"/>
    <mergeCell ref="R27:S27"/>
    <mergeCell ref="AC24:AF24"/>
    <mergeCell ref="P23:U23"/>
    <mergeCell ref="R24:S24"/>
    <mergeCell ref="P25:Q25"/>
    <mergeCell ref="R25:S25"/>
    <mergeCell ref="P26:Q26"/>
    <mergeCell ref="R26:S26"/>
  </mergeCells>
  <phoneticPr fontId="11" type="noConversion"/>
  <dataValidations count="1">
    <dataValidation type="list" allowBlank="1" showInputMessage="1" showErrorMessage="1" sqref="A3:A36" xr:uid="{EF64856A-E32C-4DE8-A4DF-D7FF84EC9555}">
      <formula1>$J$3:$J$38</formula1>
    </dataValidation>
  </dataValidations>
  <pageMargins left="0.70866141732283472" right="0.70866141732283472" top="0.74803149606299213" bottom="0.74803149606299213" header="0.31496062992125984" footer="0.31496062992125984"/>
  <pageSetup paperSize="9" scale="145" orientation="portrait" r:id="rId1"/>
  <tableParts count="2">
    <tablePart r:id="rId2"/>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4D82A-17CD-49F2-9552-8E68F4015463}">
  <sheetPr codeName="Hoja36"/>
  <dimension ref="A1:X114"/>
  <sheetViews>
    <sheetView showGridLines="0" zoomScale="115" zoomScaleNormal="115" zoomScaleSheetLayoutView="145" workbookViewId="0">
      <pane ySplit="2" topLeftCell="A6" activePane="bottomLeft" state="frozen"/>
      <selection activeCell="G12" sqref="G12"/>
      <selection pane="bottomLeft" activeCell="E12" sqref="E12"/>
    </sheetView>
  </sheetViews>
  <sheetFormatPr baseColWidth="10" defaultColWidth="11.42578125" defaultRowHeight="12.75" x14ac:dyDescent="0.2"/>
  <cols>
    <col min="1" max="1" width="26.85546875" bestFit="1" customWidth="1"/>
    <col min="2" max="2" width="16.28515625" customWidth="1"/>
    <col min="3" max="3" width="24.5703125" customWidth="1"/>
    <col min="4" max="4" width="13.7109375" bestFit="1" customWidth="1"/>
    <col min="5" max="5" width="16" style="4" customWidth="1"/>
    <col min="6" max="6" width="12" bestFit="1" customWidth="1"/>
    <col min="7" max="7" width="14" bestFit="1" customWidth="1"/>
    <col min="8" max="8" width="12.7109375" bestFit="1" customWidth="1"/>
    <col min="9" max="9" width="14.85546875" customWidth="1"/>
    <col min="11" max="11" width="12.28515625" bestFit="1" customWidth="1"/>
    <col min="14" max="14" width="26" customWidth="1"/>
    <col min="15" max="15" width="27.28515625" customWidth="1"/>
    <col min="16" max="16" width="12.7109375" customWidth="1"/>
    <col min="17" max="17" width="21" bestFit="1" customWidth="1"/>
    <col min="18" max="18" width="5.28515625" style="13" bestFit="1" customWidth="1"/>
    <col min="19" max="19" width="44.85546875" bestFit="1" customWidth="1"/>
    <col min="20" max="20" width="9" bestFit="1" customWidth="1"/>
    <col min="22" max="22" width="15" bestFit="1" customWidth="1"/>
    <col min="24" max="24" width="39" bestFit="1" customWidth="1"/>
    <col min="25" max="25" width="8.5703125" bestFit="1" customWidth="1"/>
    <col min="26" max="26" width="10.85546875" bestFit="1" customWidth="1"/>
    <col min="27" max="27" width="15" bestFit="1" customWidth="1"/>
  </cols>
  <sheetData>
    <row r="1" spans="1:21" ht="16.5" thickBot="1" x14ac:dyDescent="0.3">
      <c r="A1" s="1538" t="s">
        <v>18854</v>
      </c>
      <c r="B1" s="1539"/>
      <c r="C1" s="1540"/>
      <c r="D1" s="1007"/>
      <c r="G1" s="102">
        <f>+SUM(G3:G60)</f>
        <v>599196.375</v>
      </c>
      <c r="H1" s="406">
        <f>+G1*0.21</f>
        <v>125831.23874999999</v>
      </c>
      <c r="I1" s="576">
        <f>+H1+G1</f>
        <v>725027.61375000002</v>
      </c>
      <c r="N1" s="1003" t="s">
        <v>18855</v>
      </c>
      <c r="O1" s="1004"/>
      <c r="P1" s="1004"/>
      <c r="Q1" s="1004"/>
      <c r="R1" s="1004"/>
      <c r="S1" s="1004"/>
      <c r="T1" s="1004"/>
      <c r="U1" s="1005"/>
    </row>
    <row r="2" spans="1:21" ht="13.5" thickBot="1" x14ac:dyDescent="0.25">
      <c r="A2" s="618" t="s">
        <v>8751</v>
      </c>
      <c r="B2" s="619" t="s">
        <v>9350</v>
      </c>
      <c r="C2" s="617" t="s">
        <v>8178</v>
      </c>
      <c r="D2" s="617" t="s">
        <v>18744</v>
      </c>
      <c r="E2" s="620" t="s">
        <v>8189</v>
      </c>
      <c r="F2" s="32" t="s">
        <v>8754</v>
      </c>
      <c r="G2" s="32" t="s">
        <v>8162</v>
      </c>
      <c r="H2" s="597" t="s">
        <v>8140</v>
      </c>
      <c r="I2" s="634" t="s">
        <v>8164</v>
      </c>
      <c r="N2" s="960" t="s">
        <v>5</v>
      </c>
      <c r="O2" s="960" t="s">
        <v>8160</v>
      </c>
      <c r="P2" s="960" t="s">
        <v>18856</v>
      </c>
      <c r="Q2" s="960" t="s">
        <v>9008</v>
      </c>
      <c r="R2" s="960" t="s">
        <v>18857</v>
      </c>
      <c r="S2" s="960" t="s">
        <v>9007</v>
      </c>
      <c r="T2" s="960" t="s">
        <v>8107</v>
      </c>
      <c r="U2" s="960" t="s">
        <v>17895</v>
      </c>
    </row>
    <row r="3" spans="1:21" s="9" customFormat="1" ht="24" customHeight="1" x14ac:dyDescent="0.2">
      <c r="A3" s="4" t="str">
        <f t="shared" ref="A3:A27" si="0">IF(E3="","",_xlfn.XLOOKUP(E3,$R$1:$R$107,$N$1:$N$107,"",0,1))</f>
        <v>0000004009</v>
      </c>
      <c r="B3" s="4">
        <v>50</v>
      </c>
      <c r="C3" s="68" t="str">
        <f t="shared" ref="C3:C27" si="1">IF(E3="","",_xlfn.XLOOKUP(E3,$R$1:$R$107,$S$1:$S$107,"",0,1))</f>
        <v>8 x 1.25</v>
      </c>
      <c r="D3" s="483" t="e" vm="53">
        <f t="shared" ref="D3:D6" si="2">IFERROR(VLOOKUP(E3,$A$74:$E$118,5,0),"")</f>
        <v>#VALUE!</v>
      </c>
      <c r="E3" s="4">
        <v>7</v>
      </c>
      <c r="F3" s="167">
        <f>+_xlfn.XLOOKUP(E3,$R$1:$R$107,$T$1:$T$107,0,0,1)</f>
        <v>900.88599999999997</v>
      </c>
      <c r="G3" s="26">
        <f>+F3*Tabla114[[#This Row],[CANT]]</f>
        <v>45044.299999999996</v>
      </c>
      <c r="I3" s="4"/>
      <c r="K3" s="9" t="str" cm="1">
        <f t="array" ref="K3:K22">+_xlfn.UNIQUE(Tabla128[CODIGO],FALSE)</f>
        <v>0000004005</v>
      </c>
      <c r="L3" s="9">
        <f>+IFERROR(VLOOKUP(K3,Tabla128[[CODIGO]:[NUMERO]],5,0),0)</f>
        <v>1</v>
      </c>
      <c r="N3" s="961" t="s">
        <v>7688</v>
      </c>
      <c r="O3" s="962"/>
      <c r="P3" s="963" t="s">
        <v>18858</v>
      </c>
      <c r="Q3" s="964" t="s">
        <v>18859</v>
      </c>
      <c r="R3" s="1006">
        <v>1</v>
      </c>
      <c r="S3" s="965" t="s">
        <v>7689</v>
      </c>
      <c r="T3" s="966">
        <f>+_xlfn.XLOOKUP(Tabla128[[#This Row],[CODIGO]],CODIGOS_Y_COSTOS[CODIGO],CODIGOS_Y_COSTOS[COSTO],0,0)</f>
        <v>650.94799999999998</v>
      </c>
      <c r="U3" s="967">
        <v>50</v>
      </c>
    </row>
    <row r="4" spans="1:21" s="9" customFormat="1" ht="24" customHeight="1" x14ac:dyDescent="0.2">
      <c r="A4" s="4" t="str">
        <f t="shared" si="0"/>
        <v>0000004014</v>
      </c>
      <c r="B4" s="4">
        <v>50</v>
      </c>
      <c r="C4" s="68" t="str">
        <f t="shared" si="1"/>
        <v>14 x 1.5</v>
      </c>
      <c r="D4" s="4" t="e" vm="54">
        <f t="shared" si="2"/>
        <v>#VALUE!</v>
      </c>
      <c r="E4" s="4">
        <v>24</v>
      </c>
      <c r="F4" s="167">
        <f t="shared" ref="F4:F26" si="3">+_xlfn.XLOOKUP(E4,$R$1:$R$107,$T$1:$T$107,0,0,1)</f>
        <v>1702.6990000000001</v>
      </c>
      <c r="G4" s="26">
        <f>+F4*Tabla114[[#This Row],[CANT]]</f>
        <v>85134.95</v>
      </c>
      <c r="I4" s="4"/>
      <c r="K4" s="9">
        <v>0</v>
      </c>
      <c r="L4" s="9">
        <f>+IFERROR(VLOOKUP(K4,Tabla128[[CODIGO]:[NUMERO]],5,0),0)</f>
        <v>0</v>
      </c>
      <c r="N4" s="961"/>
      <c r="O4" s="962"/>
      <c r="P4" s="963" t="s">
        <v>18860</v>
      </c>
      <c r="Q4" s="964" t="s">
        <v>18859</v>
      </c>
      <c r="R4" s="1006">
        <v>2</v>
      </c>
      <c r="S4" s="965" t="s">
        <v>18861</v>
      </c>
      <c r="T4" s="966">
        <f>+_xlfn.XLOOKUP(Tabla128[[#This Row],[CODIGO]],CODIGOS_Y_COSTOS[CODIGO],CODIGOS_Y_COSTOS[COSTO],0,0)</f>
        <v>0</v>
      </c>
      <c r="U4" s="967">
        <v>5000</v>
      </c>
    </row>
    <row r="5" spans="1:21" s="9" customFormat="1" ht="24" customHeight="1" x14ac:dyDescent="0.2">
      <c r="A5" s="4" t="str">
        <f t="shared" si="0"/>
        <v>0000004018</v>
      </c>
      <c r="B5" s="4">
        <v>25</v>
      </c>
      <c r="C5" s="68" t="str">
        <f t="shared" si="1"/>
        <v>18 x 1.5</v>
      </c>
      <c r="D5" s="4" t="e" vm="55">
        <f t="shared" si="2"/>
        <v>#VALUE!</v>
      </c>
      <c r="E5" s="4">
        <v>28</v>
      </c>
      <c r="F5" s="167">
        <f t="shared" si="3"/>
        <v>3515.172</v>
      </c>
      <c r="G5" s="26">
        <f>+F5*Tabla114[[#This Row],[CANT]]</f>
        <v>87879.3</v>
      </c>
      <c r="I5" s="4"/>
      <c r="K5" s="9" t="str">
        <v>0000004008</v>
      </c>
      <c r="L5" s="9">
        <f>+IFERROR(VLOOKUP(K5,Tabla128[[CODIGO]:[NUMERO]],5,0),0)</f>
        <v>4</v>
      </c>
      <c r="N5" s="961" t="s">
        <v>7692</v>
      </c>
      <c r="O5" s="962"/>
      <c r="P5" s="963" t="s">
        <v>18858</v>
      </c>
      <c r="Q5" s="964" t="s">
        <v>18859</v>
      </c>
      <c r="R5" s="1006">
        <v>4</v>
      </c>
      <c r="S5" s="965" t="s">
        <v>7693</v>
      </c>
      <c r="T5" s="966">
        <f>+_xlfn.XLOOKUP(Tabla128[[#This Row],[CODIGO]],CODIGOS_Y_COSTOS[CODIGO],CODIGOS_Y_COSTOS[COSTO],0,0)</f>
        <v>1012.4349999999999</v>
      </c>
      <c r="U5" s="967">
        <v>50</v>
      </c>
    </row>
    <row r="6" spans="1:21" s="9" customFormat="1" ht="24" customHeight="1" x14ac:dyDescent="0.2">
      <c r="A6" s="4" t="str">
        <f t="shared" si="0"/>
        <v>0000002102</v>
      </c>
      <c r="B6" s="4">
        <v>50</v>
      </c>
      <c r="C6" s="68" t="str">
        <f t="shared" si="1"/>
        <v>12mm</v>
      </c>
      <c r="D6" s="4" t="e" vm="56">
        <f t="shared" si="2"/>
        <v>#VALUE!</v>
      </c>
      <c r="E6" s="4">
        <v>50</v>
      </c>
      <c r="F6" s="167">
        <f t="shared" si="3"/>
        <v>1701.4780000000001</v>
      </c>
      <c r="G6" s="26">
        <f>+F6*Tabla114[[#This Row],[CANT]]</f>
        <v>85073.900000000009</v>
      </c>
      <c r="I6" s="4"/>
      <c r="K6" s="9" t="str">
        <v>0000004009</v>
      </c>
      <c r="L6" s="9">
        <f>+IFERROR(VLOOKUP(K6,Tabla128[[CODIGO]:[NUMERO]],5,0),0)</f>
        <v>7</v>
      </c>
      <c r="N6" s="961"/>
      <c r="O6" s="962"/>
      <c r="P6" s="963" t="s">
        <v>18860</v>
      </c>
      <c r="Q6" s="964" t="s">
        <v>18859</v>
      </c>
      <c r="R6" s="1006">
        <v>4</v>
      </c>
      <c r="S6" s="965" t="s">
        <v>18862</v>
      </c>
      <c r="T6" s="966">
        <f>+_xlfn.XLOOKUP(Tabla128[[#This Row],[CODIGO]],CODIGOS_Y_COSTOS[CODIGO],CODIGOS_Y_COSTOS[COSTO],0,0)</f>
        <v>0</v>
      </c>
      <c r="U6" s="967">
        <v>5000</v>
      </c>
    </row>
    <row r="7" spans="1:21" s="9" customFormat="1" ht="24" customHeight="1" x14ac:dyDescent="0.2">
      <c r="A7" s="4" t="str">
        <f t="shared" si="0"/>
        <v>00002102-1</v>
      </c>
      <c r="B7" s="4">
        <v>50</v>
      </c>
      <c r="C7" s="68" t="str">
        <f t="shared" si="1"/>
        <v>12mm C/Vástago 8mm</v>
      </c>
      <c r="D7" s="4" t="e" vm="57">
        <f t="shared" ref="D7:D19" si="4">IFERROR(VLOOKUP(E7,$A$74:$E$118,5,0),"")</f>
        <v>#VALUE!</v>
      </c>
      <c r="E7" s="4">
        <v>52</v>
      </c>
      <c r="F7" s="167">
        <f t="shared" si="3"/>
        <v>1644.566</v>
      </c>
      <c r="G7" s="26">
        <f>+F7*Tabla114[[#This Row],[CANT]]</f>
        <v>82228.3</v>
      </c>
      <c r="I7" s="4"/>
      <c r="K7" s="9" t="str">
        <v>0000004017</v>
      </c>
      <c r="L7" s="9">
        <f>+IFERROR(VLOOKUP(K7,Tabla128[[CODIGO]:[NUMERO]],5,0),0)</f>
        <v>16</v>
      </c>
      <c r="N7" s="961"/>
      <c r="O7" s="962"/>
      <c r="P7" s="963" t="s">
        <v>18860</v>
      </c>
      <c r="Q7" s="968" t="s">
        <v>18863</v>
      </c>
      <c r="R7" s="1006">
        <v>5</v>
      </c>
      <c r="S7" s="965" t="s">
        <v>18864</v>
      </c>
      <c r="T7" s="966">
        <f>+_xlfn.XLOOKUP(Tabla128[[#This Row],[CODIGO]],CODIGOS_Y_COSTOS[CODIGO],CODIGOS_Y_COSTOS[COSTO],0,0)</f>
        <v>0</v>
      </c>
      <c r="U7" s="967">
        <v>3000</v>
      </c>
    </row>
    <row r="8" spans="1:21" s="9" customFormat="1" ht="24" customHeight="1" x14ac:dyDescent="0.2">
      <c r="A8" s="4" t="str">
        <f t="shared" si="0"/>
        <v>0000002106</v>
      </c>
      <c r="B8" s="4">
        <v>25</v>
      </c>
      <c r="C8" s="68" t="str">
        <f t="shared" si="1"/>
        <v>14mm C/Vástago 11mm</v>
      </c>
      <c r="D8" s="4" t="e" vm="58">
        <f t="shared" si="4"/>
        <v>#VALUE!</v>
      </c>
      <c r="E8" s="1429">
        <v>70</v>
      </c>
      <c r="F8" s="167">
        <f t="shared" si="3"/>
        <v>2086.6149999999998</v>
      </c>
      <c r="G8" s="26">
        <f>+F8*Tabla114[[#This Row],[CANT]]</f>
        <v>52165.374999999993</v>
      </c>
      <c r="I8" s="4"/>
      <c r="K8" s="9" t="str">
        <v>0000004016</v>
      </c>
      <c r="L8" s="9">
        <f>+IFERROR(VLOOKUP(K8,Tabla128[[CODIGO]:[NUMERO]],5,0),0)</f>
        <v>18</v>
      </c>
      <c r="N8" s="961"/>
      <c r="O8" s="962"/>
      <c r="P8" s="963" t="s">
        <v>18858</v>
      </c>
      <c r="Q8" s="968" t="s">
        <v>18863</v>
      </c>
      <c r="R8" s="1006" t="s">
        <v>18865</v>
      </c>
      <c r="S8" s="965" t="s">
        <v>18866</v>
      </c>
      <c r="T8" s="966">
        <f>+_xlfn.XLOOKUP(Tabla128[[#This Row],[CODIGO]],CODIGOS_Y_COSTOS[CODIGO],CODIGOS_Y_COSTOS[COSTO],0,0)</f>
        <v>0</v>
      </c>
      <c r="U8" s="967">
        <v>50</v>
      </c>
    </row>
    <row r="9" spans="1:21" s="9" customFormat="1" ht="28.5" customHeight="1" x14ac:dyDescent="0.2">
      <c r="A9" s="4" t="str">
        <f t="shared" si="0"/>
        <v>0000002104</v>
      </c>
      <c r="B9" s="4">
        <v>50</v>
      </c>
      <c r="C9" s="68" t="str">
        <f t="shared" si="1"/>
        <v>14mm C/Vástago 9.5mm</v>
      </c>
      <c r="D9" s="4" t="e" vm="59">
        <f t="shared" si="4"/>
        <v>#VALUE!</v>
      </c>
      <c r="E9" s="4">
        <v>74</v>
      </c>
      <c r="F9" s="167">
        <f t="shared" si="3"/>
        <v>1925.4159999999999</v>
      </c>
      <c r="G9" s="26">
        <f>+F9*Tabla114[[#This Row],[CANT]]</f>
        <v>96270.8</v>
      </c>
      <c r="I9" s="4"/>
      <c r="K9" s="9" t="str">
        <v>0000004014</v>
      </c>
      <c r="L9" s="9">
        <f>+IFERROR(VLOOKUP(K9,Tabla128[[CODIGO]:[NUMERO]],5,0),0)</f>
        <v>24</v>
      </c>
      <c r="N9" s="961" t="s">
        <v>7696</v>
      </c>
      <c r="O9" s="962"/>
      <c r="P9" s="963" t="s">
        <v>18858</v>
      </c>
      <c r="Q9" s="964" t="s">
        <v>18859</v>
      </c>
      <c r="R9" s="1006">
        <v>7</v>
      </c>
      <c r="S9" s="965" t="s">
        <v>7697</v>
      </c>
      <c r="T9" s="966">
        <f>+_xlfn.XLOOKUP(Tabla128[[#This Row],[CODIGO]],CODIGOS_Y_COSTOS[CODIGO],CODIGOS_Y_COSTOS[COSTO],0,0)</f>
        <v>900.88599999999997</v>
      </c>
      <c r="U9" s="967">
        <v>50</v>
      </c>
    </row>
    <row r="10" spans="1:21" s="9" customFormat="1" ht="28.5" customHeight="1" x14ac:dyDescent="0.2">
      <c r="A10" s="4" t="str">
        <f t="shared" si="0"/>
        <v>0000002108</v>
      </c>
      <c r="B10" s="4">
        <v>25</v>
      </c>
      <c r="C10" s="68" t="str">
        <f t="shared" si="1"/>
        <v>16mm</v>
      </c>
      <c r="D10" s="4" t="e" vm="60">
        <f t="shared" si="4"/>
        <v>#VALUE!</v>
      </c>
      <c r="E10" s="1429">
        <v>76</v>
      </c>
      <c r="F10" s="167">
        <f t="shared" si="3"/>
        <v>2615.9780000000001</v>
      </c>
      <c r="G10" s="26">
        <f>+F10*Tabla114[[#This Row],[CANT]]</f>
        <v>65399.450000000004</v>
      </c>
      <c r="I10" s="4"/>
      <c r="K10" s="9" t="str">
        <v>0000004015</v>
      </c>
      <c r="L10" s="9">
        <f>+IFERROR(VLOOKUP(K10,Tabla128[[CODIGO]:[NUMERO]],5,0),0)</f>
        <v>26</v>
      </c>
      <c r="N10" s="961"/>
      <c r="O10" s="962"/>
      <c r="P10" s="963" t="s">
        <v>18860</v>
      </c>
      <c r="Q10" s="964" t="s">
        <v>18859</v>
      </c>
      <c r="R10" s="1006">
        <v>10</v>
      </c>
      <c r="S10" s="965" t="s">
        <v>18867</v>
      </c>
      <c r="T10" s="966">
        <f>+_xlfn.XLOOKUP(Tabla128[[#This Row],[CODIGO]],CODIGOS_Y_COSTOS[CODIGO],CODIGOS_Y_COSTOS[COSTO],0,0)</f>
        <v>0</v>
      </c>
      <c r="U10" s="967">
        <v>5000</v>
      </c>
    </row>
    <row r="11" spans="1:21" s="9" customFormat="1" ht="28.5" customHeight="1" x14ac:dyDescent="0.2">
      <c r="A11" s="4" t="str">
        <f t="shared" si="0"/>
        <v/>
      </c>
      <c r="B11" s="4"/>
      <c r="C11" s="68" t="str">
        <f t="shared" si="1"/>
        <v/>
      </c>
      <c r="D11" s="4" t="str">
        <f t="shared" si="4"/>
        <v/>
      </c>
      <c r="E11" s="4"/>
      <c r="F11" s="167">
        <f t="shared" si="3"/>
        <v>0</v>
      </c>
      <c r="G11" s="26">
        <f>+F11*Tabla114[[#This Row],[CANT]]</f>
        <v>0</v>
      </c>
      <c r="I11" s="4"/>
      <c r="K11" s="9" t="str">
        <v>0000004018</v>
      </c>
      <c r="L11" s="9">
        <f>+IFERROR(VLOOKUP(K11,Tabla128[[CODIGO]:[NUMERO]],5,0),0)</f>
        <v>28</v>
      </c>
      <c r="N11" s="961"/>
      <c r="O11" s="962"/>
      <c r="P11" s="963" t="s">
        <v>18860</v>
      </c>
      <c r="Q11" s="964" t="s">
        <v>18859</v>
      </c>
      <c r="R11" s="1006">
        <v>11</v>
      </c>
      <c r="S11" s="965" t="s">
        <v>18868</v>
      </c>
      <c r="T11" s="966">
        <f>+_xlfn.XLOOKUP(Tabla128[[#This Row],[CODIGO]],CODIGOS_Y_COSTOS[CODIGO],CODIGOS_Y_COSTOS[COSTO],0,0)</f>
        <v>0</v>
      </c>
      <c r="U11" s="967">
        <v>5000</v>
      </c>
    </row>
    <row r="12" spans="1:21" ht="28.5" customHeight="1" x14ac:dyDescent="0.2">
      <c r="A12" s="4" t="str">
        <f t="shared" si="0"/>
        <v>0000000133</v>
      </c>
      <c r="B12" s="4"/>
      <c r="C12" s="68" t="str">
        <f t="shared" si="1"/>
        <v>Arandela de Cobre 7,5 x 15,5 x 1,5</v>
      </c>
      <c r="D12" s="4" t="str">
        <f t="shared" si="4"/>
        <v/>
      </c>
      <c r="E12" s="4">
        <v>1133</v>
      </c>
      <c r="F12" s="167">
        <f t="shared" si="3"/>
        <v>168.33670000000001</v>
      </c>
      <c r="G12" s="26">
        <f>+F12*Tabla114[[#This Row],[CANT]]</f>
        <v>0</v>
      </c>
      <c r="K12" t="str">
        <v>0000004010</v>
      </c>
      <c r="L12" s="9">
        <f>+IFERROR(VLOOKUP(K12,Tabla128[[CODIGO]:[NUMERO]],5,0),0)</f>
        <v>30</v>
      </c>
      <c r="N12" s="961"/>
      <c r="O12" s="962"/>
      <c r="P12" s="963" t="s">
        <v>18860</v>
      </c>
      <c r="Q12" s="968" t="s">
        <v>18863</v>
      </c>
      <c r="R12" s="1006">
        <v>13</v>
      </c>
      <c r="S12" s="965" t="s">
        <v>18869</v>
      </c>
      <c r="T12" s="966">
        <f>+_xlfn.XLOOKUP(Tabla128[[#This Row],[CODIGO]],CODIGOS_Y_COSTOS[CODIGO],CODIGOS_Y_COSTOS[COSTO],0,0)</f>
        <v>0</v>
      </c>
      <c r="U12" s="967">
        <v>3000</v>
      </c>
    </row>
    <row r="13" spans="1:21" ht="25.5" customHeight="1" x14ac:dyDescent="0.2">
      <c r="A13" s="4">
        <f t="shared" si="0"/>
        <v>0</v>
      </c>
      <c r="B13" s="4"/>
      <c r="C13" s="68" t="str">
        <f t="shared" si="1"/>
        <v>Arandelas de Cobre P.6 354 10 x 19 x 2</v>
      </c>
      <c r="D13" s="4" t="str">
        <f t="shared" si="4"/>
        <v/>
      </c>
      <c r="E13" s="4">
        <v>101</v>
      </c>
      <c r="F13" s="167">
        <f t="shared" si="3"/>
        <v>237.41</v>
      </c>
      <c r="G13" s="26">
        <f>+F13*Tabla114[[#This Row],[CANT]]</f>
        <v>0</v>
      </c>
      <c r="K13" t="str">
        <v>0000004013</v>
      </c>
      <c r="L13" s="9">
        <f>+IFERROR(VLOOKUP(K13,Tabla128[[CODIGO]:[NUMERO]],5,0),0)</f>
        <v>34</v>
      </c>
      <c r="N13" s="961" t="s">
        <v>7702</v>
      </c>
      <c r="O13" s="962"/>
      <c r="P13" s="963" t="s">
        <v>18858</v>
      </c>
      <c r="Q13" s="964" t="s">
        <v>18859</v>
      </c>
      <c r="R13" s="1006">
        <v>16</v>
      </c>
      <c r="S13" s="965" t="s">
        <v>7703</v>
      </c>
      <c r="T13" s="966">
        <f>+_xlfn.XLOOKUP(Tabla128[[#This Row],[CODIGO]],CODIGOS_Y_COSTOS[CODIGO],CODIGOS_Y_COSTOS[COSTO],0,0)</f>
        <v>1052.0440000000001</v>
      </c>
      <c r="U13" s="967">
        <v>50</v>
      </c>
    </row>
    <row r="14" spans="1:21" ht="25.5" customHeight="1" x14ac:dyDescent="0.2">
      <c r="A14" s="4" t="str">
        <f t="shared" si="0"/>
        <v>0000000095</v>
      </c>
      <c r="B14" s="4"/>
      <c r="C14" s="68" t="str">
        <f t="shared" si="1"/>
        <v>8 x 13 x 1.5</v>
      </c>
      <c r="D14" s="4" t="str">
        <f t="shared" si="4"/>
        <v/>
      </c>
      <c r="E14" s="4">
        <v>1095</v>
      </c>
      <c r="F14" s="167">
        <f t="shared" si="3"/>
        <v>118.2492</v>
      </c>
      <c r="G14" s="26">
        <f>+F14*Tabla114[[#This Row],[CANT]]</f>
        <v>0</v>
      </c>
      <c r="K14" t="str">
        <v>0000002102</v>
      </c>
      <c r="L14" s="9">
        <f>+IFERROR(VLOOKUP(K14,Tabla128[[CODIGO]:[NUMERO]],5,0),0)</f>
        <v>50</v>
      </c>
      <c r="N14" s="961" t="s">
        <v>7705</v>
      </c>
      <c r="O14" s="962"/>
      <c r="P14" s="963" t="s">
        <v>18858</v>
      </c>
      <c r="Q14" s="964" t="s">
        <v>18859</v>
      </c>
      <c r="R14" s="1006">
        <v>18</v>
      </c>
      <c r="S14" s="965" t="s">
        <v>7706</v>
      </c>
      <c r="T14" s="966">
        <f>+_xlfn.XLOOKUP(Tabla128[[#This Row],[CODIGO]],CODIGOS_Y_COSTOS[CODIGO],CODIGOS_Y_COSTOS[COSTO],0,0)</f>
        <v>1052.0440000000001</v>
      </c>
      <c r="U14" s="967">
        <v>50</v>
      </c>
    </row>
    <row r="15" spans="1:21" ht="25.5" customHeight="1" x14ac:dyDescent="0.2">
      <c r="A15" s="4" t="str">
        <f t="shared" si="0"/>
        <v>0000000072</v>
      </c>
      <c r="B15" s="4"/>
      <c r="C15" s="68" t="str">
        <f t="shared" si="1"/>
        <v>Arandelas de Cobre 9.5 x 14.5 x 1.5</v>
      </c>
      <c r="D15" s="4" t="str">
        <f t="shared" si="4"/>
        <v/>
      </c>
      <c r="E15" s="4">
        <v>1072</v>
      </c>
      <c r="F15" s="167">
        <f t="shared" si="3"/>
        <v>125.869</v>
      </c>
      <c r="G15" s="26">
        <f>+F15*Tabla114[[#This Row],[CANT]]</f>
        <v>0</v>
      </c>
      <c r="K15" t="str">
        <v>00002102-1</v>
      </c>
      <c r="L15" s="9">
        <f>+IFERROR(VLOOKUP(K15,Tabla128[[CODIGO]:[NUMERO]],5,0),0)</f>
        <v>52</v>
      </c>
      <c r="N15" s="961"/>
      <c r="O15" s="962"/>
      <c r="P15" s="963" t="s">
        <v>18860</v>
      </c>
      <c r="Q15" s="964" t="s">
        <v>18859</v>
      </c>
      <c r="R15" s="1006">
        <v>21</v>
      </c>
      <c r="S15" s="965" t="s">
        <v>18870</v>
      </c>
      <c r="T15" s="966">
        <f>+_xlfn.XLOOKUP(Tabla128[[#This Row],[CODIGO]],CODIGOS_Y_COSTOS[CODIGO],CODIGOS_Y_COSTOS[COSTO],0,0)</f>
        <v>0</v>
      </c>
      <c r="U15" s="967">
        <v>3000</v>
      </c>
    </row>
    <row r="16" spans="1:21" ht="25.5" customHeight="1" x14ac:dyDescent="0.2">
      <c r="A16" s="4" t="str">
        <f t="shared" si="0"/>
        <v>0000000101</v>
      </c>
      <c r="B16" s="4"/>
      <c r="C16" s="68" t="str">
        <f t="shared" si="1"/>
        <v>Arandelas de Cobre P.6 354 10 x 19 x 2</v>
      </c>
      <c r="D16" s="4" t="str">
        <f t="shared" si="4"/>
        <v/>
      </c>
      <c r="E16" s="4">
        <v>1101</v>
      </c>
      <c r="F16" s="167">
        <f t="shared" si="3"/>
        <v>397.3442</v>
      </c>
      <c r="G16" s="26">
        <f>+F16*Tabla114[[#This Row],[CANT]]</f>
        <v>0</v>
      </c>
      <c r="K16" t="str">
        <v>0000002103</v>
      </c>
      <c r="L16" s="9">
        <f>+IFERROR(VLOOKUP(K16,Tabla128[[CODIGO]:[NUMERO]],5,0),0)</f>
        <v>60</v>
      </c>
      <c r="N16" s="961" t="s">
        <v>7709</v>
      </c>
      <c r="O16" s="962"/>
      <c r="P16" s="963" t="s">
        <v>18858</v>
      </c>
      <c r="Q16" s="964" t="s">
        <v>18859</v>
      </c>
      <c r="R16" s="1006">
        <v>24</v>
      </c>
      <c r="S16" s="965" t="s">
        <v>7710</v>
      </c>
      <c r="T16" s="966">
        <f>+_xlfn.XLOOKUP(Tabla128[[#This Row],[CODIGO]],CODIGOS_Y_COSTOS[CODIGO],CODIGOS_Y_COSTOS[COSTO],0,0)</f>
        <v>1702.6990000000001</v>
      </c>
      <c r="U16" s="967">
        <v>50</v>
      </c>
    </row>
    <row r="17" spans="1:21" ht="25.5" customHeight="1" x14ac:dyDescent="0.2">
      <c r="A17" s="4" t="str">
        <f t="shared" si="0"/>
        <v>0000000111</v>
      </c>
      <c r="B17" s="4"/>
      <c r="C17" s="68" t="str">
        <f t="shared" si="1"/>
        <v>Arandelas de Cobre P. 6-305 14 x 20 x 1.5</v>
      </c>
      <c r="D17" s="4" t="str">
        <f t="shared" si="4"/>
        <v/>
      </c>
      <c r="E17" s="4">
        <v>1111</v>
      </c>
      <c r="F17" s="167">
        <f t="shared" si="3"/>
        <v>378.73009999999999</v>
      </c>
      <c r="G17" s="26">
        <f>+F17*Tabla114[[#This Row],[CANT]]</f>
        <v>0</v>
      </c>
      <c r="K17" t="str">
        <v>00002103-2</v>
      </c>
      <c r="L17" s="9">
        <f>+IFERROR(VLOOKUP(K17,Tabla128[[CODIGO]:[NUMERO]],5,0),0)</f>
        <v>62</v>
      </c>
      <c r="N17" s="961" t="s">
        <v>7712</v>
      </c>
      <c r="O17" s="962"/>
      <c r="P17" s="963" t="s">
        <v>18858</v>
      </c>
      <c r="Q17" s="964" t="s">
        <v>18859</v>
      </c>
      <c r="R17" s="1006">
        <v>26</v>
      </c>
      <c r="S17" s="965" t="s">
        <v>7713</v>
      </c>
      <c r="T17" s="966">
        <f>+_xlfn.XLOOKUP(Tabla128[[#This Row],[CODIGO]],CODIGOS_Y_COSTOS[CODIGO],CODIGOS_Y_COSTOS[COSTO],0,0)</f>
        <v>2142.7170000000001</v>
      </c>
      <c r="U17" s="967">
        <v>50</v>
      </c>
    </row>
    <row r="18" spans="1:21" ht="25.5" customHeight="1" x14ac:dyDescent="0.2">
      <c r="A18" s="4" t="str">
        <f t="shared" si="0"/>
        <v/>
      </c>
      <c r="B18" s="4"/>
      <c r="C18" s="68" t="str">
        <f t="shared" si="1"/>
        <v/>
      </c>
      <c r="D18" s="4" t="str">
        <f t="shared" si="4"/>
        <v/>
      </c>
      <c r="F18" s="167">
        <f t="shared" si="3"/>
        <v>0</v>
      </c>
      <c r="G18" s="26">
        <f>+F18*Tabla114[[#This Row],[CANT]]</f>
        <v>0</v>
      </c>
      <c r="K18" t="str">
        <v>0000002106</v>
      </c>
      <c r="L18" s="9">
        <f>+IFERROR(VLOOKUP(K18,Tabla128[[CODIGO]:[NUMERO]],5,0),0)</f>
        <v>70</v>
      </c>
      <c r="N18" s="969" t="s">
        <v>7715</v>
      </c>
      <c r="O18" s="962">
        <v>50</v>
      </c>
      <c r="P18" s="963" t="s">
        <v>18858</v>
      </c>
      <c r="Q18" s="964" t="s">
        <v>18859</v>
      </c>
      <c r="R18" s="1006">
        <v>28</v>
      </c>
      <c r="S18" s="965" t="s">
        <v>7716</v>
      </c>
      <c r="T18" s="966">
        <f>+_xlfn.XLOOKUP(Tabla128[[#This Row],[CODIGO]],CODIGOS_Y_COSTOS[CODIGO],CODIGOS_Y_COSTOS[COSTO],0,0)</f>
        <v>3515.172</v>
      </c>
      <c r="U18" s="970">
        <v>25</v>
      </c>
    </row>
    <row r="19" spans="1:21" ht="25.5" customHeight="1" x14ac:dyDescent="0.2">
      <c r="A19" s="4" t="str">
        <f t="shared" si="0"/>
        <v/>
      </c>
      <c r="B19" s="4"/>
      <c r="C19" s="68" t="str">
        <f t="shared" si="1"/>
        <v/>
      </c>
      <c r="D19" s="4" t="str">
        <f t="shared" si="4"/>
        <v/>
      </c>
      <c r="F19" s="167">
        <f t="shared" si="3"/>
        <v>0</v>
      </c>
      <c r="G19" s="26">
        <f>+F19*Tabla114[[#This Row],[CANT]]</f>
        <v>0</v>
      </c>
      <c r="K19" t="str">
        <v>0000002107</v>
      </c>
      <c r="L19" s="9">
        <f>+IFERROR(VLOOKUP(K19,Tabla128[[CODIGO]:[NUMERO]],5,0),0)</f>
        <v>72</v>
      </c>
      <c r="N19" s="969" t="s">
        <v>7718</v>
      </c>
      <c r="O19" s="962">
        <v>50</v>
      </c>
      <c r="P19" s="963" t="s">
        <v>18858</v>
      </c>
      <c r="Q19" s="964" t="s">
        <v>18859</v>
      </c>
      <c r="R19" s="1006">
        <v>30</v>
      </c>
      <c r="S19" s="965" t="s">
        <v>7719</v>
      </c>
      <c r="T19" s="966">
        <f>+_xlfn.XLOOKUP(Tabla128[[#This Row],[CODIGO]],CODIGOS_Y_COSTOS[CODIGO],CODIGOS_Y_COSTOS[COSTO],0,0)</f>
        <v>1052.0440000000001</v>
      </c>
      <c r="U19" s="970">
        <v>25</v>
      </c>
    </row>
    <row r="20" spans="1:21" ht="30" customHeight="1" x14ac:dyDescent="0.2">
      <c r="A20" s="4" t="str">
        <f t="shared" si="0"/>
        <v/>
      </c>
      <c r="B20" s="4"/>
      <c r="C20" s="68" t="str">
        <f t="shared" si="1"/>
        <v/>
      </c>
      <c r="D20" s="4" t="str">
        <f t="shared" ref="D20" si="5">IFERROR(VLOOKUP(E20,$A$74:$E$118,5,0),"")</f>
        <v/>
      </c>
      <c r="F20" s="167">
        <f t="shared" si="3"/>
        <v>0</v>
      </c>
      <c r="G20" s="26">
        <f>+F20*Tabla114[[#This Row],[CANT]]</f>
        <v>0</v>
      </c>
      <c r="K20" t="str">
        <v>0000002104</v>
      </c>
      <c r="L20" s="9">
        <f>+IFERROR(VLOOKUP(K20,Tabla128[[CODIGO]:[NUMERO]],5,0),0)</f>
        <v>74</v>
      </c>
      <c r="N20" s="961" t="s">
        <v>7721</v>
      </c>
      <c r="O20" s="962"/>
      <c r="P20" s="963" t="s">
        <v>18858</v>
      </c>
      <c r="Q20" s="964" t="s">
        <v>18859</v>
      </c>
      <c r="R20" s="1006">
        <v>34</v>
      </c>
      <c r="S20" s="965" t="s">
        <v>7722</v>
      </c>
      <c r="T20" s="966">
        <f>+_xlfn.XLOOKUP(Tabla128[[#This Row],[CODIGO]],CODIGOS_Y_COSTOS[CODIGO],CODIGOS_Y_COSTOS[COSTO],0,0)</f>
        <v>1315.163</v>
      </c>
      <c r="U20" s="967">
        <v>50</v>
      </c>
    </row>
    <row r="21" spans="1:21" ht="30" customHeight="1" x14ac:dyDescent="0.2">
      <c r="A21" s="4" t="str">
        <f t="shared" si="0"/>
        <v/>
      </c>
      <c r="B21" s="4"/>
      <c r="C21" s="68" t="str">
        <f t="shared" si="1"/>
        <v/>
      </c>
      <c r="D21" s="4" t="str">
        <f t="shared" ref="D21:D23" si="6">IFERROR(VLOOKUP(E21,$A$74:$E$118,5,0),"")</f>
        <v/>
      </c>
      <c r="F21" s="167">
        <f t="shared" si="3"/>
        <v>0</v>
      </c>
      <c r="G21" s="26">
        <f>+F21*Tabla114[[#This Row],[CANT]]</f>
        <v>0</v>
      </c>
      <c r="K21" t="str">
        <v>0000002108</v>
      </c>
      <c r="L21" s="9">
        <f>+IFERROR(VLOOKUP(K21,Tabla128[[CODIGO]:[NUMERO]],5,0),0)</f>
        <v>76</v>
      </c>
      <c r="N21" s="961"/>
      <c r="O21" s="962"/>
      <c r="P21" s="963" t="s">
        <v>18860</v>
      </c>
      <c r="Q21" s="971" t="s">
        <v>18871</v>
      </c>
      <c r="R21" s="1006">
        <v>40</v>
      </c>
      <c r="S21" s="965" t="s">
        <v>18872</v>
      </c>
      <c r="T21" s="966">
        <f>+_xlfn.XLOOKUP(Tabla128[[#This Row],[CODIGO]],CODIGOS_Y_COSTOS[CODIGO],CODIGOS_Y_COSTOS[COSTO],0,0)</f>
        <v>0</v>
      </c>
      <c r="U21" s="967">
        <v>3000</v>
      </c>
    </row>
    <row r="22" spans="1:21" ht="30" customHeight="1" x14ac:dyDescent="0.2">
      <c r="A22" s="4" t="str">
        <f t="shared" si="0"/>
        <v/>
      </c>
      <c r="B22" s="4"/>
      <c r="C22" s="68" t="str">
        <f t="shared" si="1"/>
        <v/>
      </c>
      <c r="D22" s="4" t="str">
        <f t="shared" si="6"/>
        <v/>
      </c>
      <c r="F22" s="167">
        <f t="shared" si="3"/>
        <v>0</v>
      </c>
      <c r="G22" s="26">
        <f>+F22*Tabla114[[#This Row],[CANT]]</f>
        <v>0</v>
      </c>
      <c r="K22" t="str">
        <v>0000002105</v>
      </c>
      <c r="L22" s="9">
        <f>+IFERROR(VLOOKUP(K22,Tabla128[[CODIGO]:[NUMERO]],5,0),0)</f>
        <v>80</v>
      </c>
      <c r="N22" s="961"/>
      <c r="O22" s="962"/>
      <c r="P22" s="963" t="s">
        <v>18860</v>
      </c>
      <c r="Q22" s="971" t="s">
        <v>18871</v>
      </c>
      <c r="R22" s="1006">
        <v>41</v>
      </c>
      <c r="S22" s="965" t="s">
        <v>18873</v>
      </c>
      <c r="T22" s="966">
        <f>+_xlfn.XLOOKUP(Tabla128[[#This Row],[CODIGO]],CODIGOS_Y_COSTOS[CODIGO],CODIGOS_Y_COSTOS[COSTO],0,0)</f>
        <v>0</v>
      </c>
      <c r="U22" s="967">
        <v>3000</v>
      </c>
    </row>
    <row r="23" spans="1:21" ht="30" customHeight="1" x14ac:dyDescent="0.2">
      <c r="A23" s="4" t="str">
        <f t="shared" si="0"/>
        <v/>
      </c>
      <c r="B23" s="4"/>
      <c r="C23" s="68" t="str">
        <f t="shared" si="1"/>
        <v/>
      </c>
      <c r="D23" s="4" t="str">
        <f t="shared" si="6"/>
        <v/>
      </c>
      <c r="F23" s="167">
        <f t="shared" si="3"/>
        <v>0</v>
      </c>
      <c r="G23" s="26">
        <f>+F23*Tabla114[[#This Row],[CANT]]</f>
        <v>0</v>
      </c>
      <c r="N23" s="961"/>
      <c r="O23" s="962"/>
      <c r="P23" s="963" t="s">
        <v>18860</v>
      </c>
      <c r="Q23" s="971" t="s">
        <v>18871</v>
      </c>
      <c r="R23" s="1006">
        <v>42</v>
      </c>
      <c r="S23" s="965" t="s">
        <v>18874</v>
      </c>
      <c r="T23" s="966">
        <f>+_xlfn.XLOOKUP(Tabla128[[#This Row],[CODIGO]],CODIGOS_Y_COSTOS[CODIGO],CODIGOS_Y_COSTOS[COSTO],0,0)</f>
        <v>0</v>
      </c>
      <c r="U23" s="967">
        <v>3000</v>
      </c>
    </row>
    <row r="24" spans="1:21" x14ac:dyDescent="0.2">
      <c r="A24" s="4" t="str">
        <f t="shared" si="0"/>
        <v/>
      </c>
      <c r="B24" s="4"/>
      <c r="C24" s="68" t="str">
        <f t="shared" si="1"/>
        <v/>
      </c>
      <c r="D24" s="4" t="str">
        <f t="shared" ref="D24:D27" si="7">IFERROR(VLOOKUP(E24,$A$74:$E$118,5,0),"")</f>
        <v/>
      </c>
      <c r="F24" s="167">
        <f t="shared" si="3"/>
        <v>0</v>
      </c>
      <c r="G24" s="26">
        <f>+F24*Tabla114[[#This Row],[CANT]]</f>
        <v>0</v>
      </c>
      <c r="N24" s="961"/>
      <c r="O24" s="962"/>
      <c r="P24" s="963" t="s">
        <v>18860</v>
      </c>
      <c r="Q24" s="971" t="s">
        <v>18871</v>
      </c>
      <c r="R24" s="1006">
        <v>43</v>
      </c>
      <c r="S24" s="965" t="s">
        <v>18875</v>
      </c>
      <c r="T24" s="966">
        <f>+_xlfn.XLOOKUP(Tabla128[[#This Row],[CODIGO]],CODIGOS_Y_COSTOS[CODIGO],CODIGOS_Y_COSTOS[COSTO],0,0)</f>
        <v>0</v>
      </c>
      <c r="U24" s="967">
        <v>3000</v>
      </c>
    </row>
    <row r="25" spans="1:21" x14ac:dyDescent="0.2">
      <c r="A25" s="4" t="str">
        <f t="shared" si="0"/>
        <v/>
      </c>
      <c r="B25" s="4"/>
      <c r="C25" s="68" t="str">
        <f t="shared" si="1"/>
        <v/>
      </c>
      <c r="D25" s="4" t="str">
        <f t="shared" si="7"/>
        <v/>
      </c>
      <c r="F25" s="167">
        <f t="shared" si="3"/>
        <v>0</v>
      </c>
      <c r="G25" s="26">
        <f>+F25*Tabla114[[#This Row],[CANT]]</f>
        <v>0</v>
      </c>
      <c r="N25" s="961" t="s">
        <v>7738</v>
      </c>
      <c r="O25" s="962"/>
      <c r="P25" s="963" t="s">
        <v>18858</v>
      </c>
      <c r="Q25" s="971" t="s">
        <v>18871</v>
      </c>
      <c r="R25" s="1006">
        <v>50</v>
      </c>
      <c r="S25" s="965" t="s">
        <v>7739</v>
      </c>
      <c r="T25" s="966">
        <f>+_xlfn.XLOOKUP(Tabla128[[#This Row],[CODIGO]],CODIGOS_Y_COSTOS[CODIGO],CODIGOS_Y_COSTOS[COSTO],0,0)</f>
        <v>1701.4780000000001</v>
      </c>
      <c r="U25" s="967">
        <v>50</v>
      </c>
    </row>
    <row r="26" spans="1:21" s="627" customFormat="1" ht="14.25" x14ac:dyDescent="0.2">
      <c r="A26" s="4" t="str">
        <f t="shared" si="0"/>
        <v/>
      </c>
      <c r="B26" s="4"/>
      <c r="C26" s="68" t="str">
        <f t="shared" si="1"/>
        <v/>
      </c>
      <c r="D26" s="4" t="str">
        <f t="shared" si="7"/>
        <v/>
      </c>
      <c r="E26" s="4"/>
      <c r="F26" s="167">
        <f t="shared" si="3"/>
        <v>0</v>
      </c>
      <c r="G26" s="26">
        <f>+F26*Tabla114[[#This Row],[CANT]]</f>
        <v>0</v>
      </c>
      <c r="N26" s="961" t="s">
        <v>7741</v>
      </c>
      <c r="O26" s="962"/>
      <c r="P26" s="963" t="s">
        <v>18858</v>
      </c>
      <c r="Q26" s="971" t="s">
        <v>18871</v>
      </c>
      <c r="R26" s="1006">
        <v>52</v>
      </c>
      <c r="S26" s="965" t="s">
        <v>7742</v>
      </c>
      <c r="T26" s="966">
        <f>+_xlfn.XLOOKUP(Tabla128[[#This Row],[CODIGO]],CODIGOS_Y_COSTOS[CODIGO],CODIGOS_Y_COSTOS[COSTO],0,0)</f>
        <v>1644.566</v>
      </c>
      <c r="U26" s="967">
        <v>50</v>
      </c>
    </row>
    <row r="27" spans="1:21" s="166" customFormat="1" x14ac:dyDescent="0.2">
      <c r="A27" s="4" t="str">
        <f t="shared" si="0"/>
        <v/>
      </c>
      <c r="B27" s="4"/>
      <c r="C27" s="68" t="str">
        <f t="shared" si="1"/>
        <v/>
      </c>
      <c r="D27" s="4" t="str">
        <f t="shared" si="7"/>
        <v/>
      </c>
      <c r="E27" s="4"/>
      <c r="F27"/>
      <c r="G27"/>
      <c r="N27" s="969" t="s">
        <v>7744</v>
      </c>
      <c r="O27" s="962">
        <v>50</v>
      </c>
      <c r="P27" s="963" t="s">
        <v>18858</v>
      </c>
      <c r="Q27" s="971" t="s">
        <v>18871</v>
      </c>
      <c r="R27" s="1006">
        <v>60</v>
      </c>
      <c r="S27" s="965" t="s">
        <v>7745</v>
      </c>
      <c r="T27" s="966">
        <f>+_xlfn.XLOOKUP(Tabla128[[#This Row],[CODIGO]],CODIGOS_Y_COSTOS[CODIGO],CODIGOS_Y_COSTOS[COSTO],0,0)</f>
        <v>1733.11</v>
      </c>
      <c r="U27" s="970">
        <v>10</v>
      </c>
    </row>
    <row r="28" spans="1:21" s="166" customFormat="1" x14ac:dyDescent="0.2">
      <c r="A28"/>
      <c r="B28"/>
      <c r="C28"/>
      <c r="D28"/>
      <c r="E28" s="4"/>
      <c r="F28"/>
      <c r="G28"/>
      <c r="N28" s="961" t="s">
        <v>7747</v>
      </c>
      <c r="O28" s="962"/>
      <c r="P28" s="963" t="s">
        <v>18858</v>
      </c>
      <c r="Q28" s="971" t="s">
        <v>18871</v>
      </c>
      <c r="R28" s="1006">
        <v>62</v>
      </c>
      <c r="S28" s="965" t="s">
        <v>7748</v>
      </c>
      <c r="T28" s="966">
        <f>+_xlfn.XLOOKUP(Tabla128[[#This Row],[CODIGO]],CODIGOS_Y_COSTOS[CODIGO],CODIGOS_Y_COSTOS[COSTO],0,0)</f>
        <v>1654.9269999999999</v>
      </c>
      <c r="U28" s="967">
        <v>50</v>
      </c>
    </row>
    <row r="29" spans="1:21" s="166" customFormat="1" x14ac:dyDescent="0.2">
      <c r="A29"/>
      <c r="B29"/>
      <c r="C29"/>
      <c r="D29"/>
      <c r="E29" s="4"/>
      <c r="F29"/>
      <c r="G29"/>
      <c r="N29" s="961" t="s">
        <v>7753</v>
      </c>
      <c r="O29" s="962"/>
      <c r="P29" s="963" t="s">
        <v>18858</v>
      </c>
      <c r="Q29" s="971" t="s">
        <v>18871</v>
      </c>
      <c r="R29" s="1006">
        <v>70</v>
      </c>
      <c r="S29" s="1448" t="s">
        <v>7751</v>
      </c>
      <c r="T29" s="966">
        <f>+_xlfn.XLOOKUP(Tabla128[[#This Row],[CODIGO]],CODIGOS_Y_COSTOS[CODIGO],CODIGOS_Y_COSTOS[COSTO],0,0)</f>
        <v>2086.6149999999998</v>
      </c>
      <c r="U29" s="967">
        <v>50</v>
      </c>
    </row>
    <row r="30" spans="1:21" s="166" customFormat="1" x14ac:dyDescent="0.2">
      <c r="A30"/>
      <c r="B30"/>
      <c r="C30"/>
      <c r="D30"/>
      <c r="E30" s="4"/>
      <c r="F30"/>
      <c r="G30"/>
      <c r="N30" s="961" t="s">
        <v>7756</v>
      </c>
      <c r="O30" s="962"/>
      <c r="P30" s="963" t="s">
        <v>18858</v>
      </c>
      <c r="Q30" s="971" t="s">
        <v>18871</v>
      </c>
      <c r="R30" s="1006">
        <v>72</v>
      </c>
      <c r="S30" s="1448" t="s">
        <v>7754</v>
      </c>
      <c r="T30" s="966">
        <f>+_xlfn.XLOOKUP(Tabla128[[#This Row],[CODIGO]],CODIGOS_Y_COSTOS[CODIGO],CODIGOS_Y_COSTOS[COSTO],0,0)</f>
        <v>1869.5730000000001</v>
      </c>
      <c r="U30" s="967">
        <v>50</v>
      </c>
    </row>
    <row r="31" spans="1:21" s="166" customFormat="1" x14ac:dyDescent="0.2">
      <c r="A31"/>
      <c r="B31"/>
      <c r="C31"/>
      <c r="D31"/>
      <c r="E31" s="4"/>
      <c r="F31"/>
      <c r="G31"/>
      <c r="N31" s="961" t="s">
        <v>7750</v>
      </c>
      <c r="O31" s="962"/>
      <c r="P31" s="963" t="s">
        <v>18858</v>
      </c>
      <c r="Q31" s="971" t="s">
        <v>18871</v>
      </c>
      <c r="R31" s="1006">
        <v>74</v>
      </c>
      <c r="S31" s="1448" t="s">
        <v>7757</v>
      </c>
      <c r="T31" s="966">
        <f>+_xlfn.XLOOKUP(Tabla128[[#This Row],[CODIGO]],CODIGOS_Y_COSTOS[CODIGO],CODIGOS_Y_COSTOS[COSTO],0,0)</f>
        <v>1925.4159999999999</v>
      </c>
      <c r="U31" s="967">
        <v>50</v>
      </c>
    </row>
    <row r="32" spans="1:21" s="166" customFormat="1" x14ac:dyDescent="0.2">
      <c r="A32"/>
      <c r="B32"/>
      <c r="C32"/>
      <c r="D32"/>
      <c r="E32" s="4"/>
      <c r="F32"/>
      <c r="G32"/>
      <c r="N32" s="969" t="s">
        <v>7759</v>
      </c>
      <c r="O32" s="962">
        <v>50</v>
      </c>
      <c r="P32" s="963" t="s">
        <v>18858</v>
      </c>
      <c r="Q32" s="971" t="s">
        <v>18871</v>
      </c>
      <c r="R32" s="1006">
        <v>76</v>
      </c>
      <c r="S32" s="965" t="s">
        <v>7760</v>
      </c>
      <c r="T32" s="966">
        <f>+_xlfn.XLOOKUP(Tabla128[[#This Row],[CODIGO]],CODIGOS_Y_COSTOS[CODIGO],CODIGOS_Y_COSTOS[COSTO],0,0)</f>
        <v>2615.9780000000001</v>
      </c>
      <c r="U32" s="970">
        <v>25</v>
      </c>
    </row>
    <row r="33" spans="1:24" s="166" customFormat="1" x14ac:dyDescent="0.2">
      <c r="A33"/>
      <c r="B33"/>
      <c r="C33"/>
      <c r="D33"/>
      <c r="E33" s="4"/>
      <c r="F33"/>
      <c r="G33"/>
      <c r="N33" s="972" t="s">
        <v>7762</v>
      </c>
      <c r="O33" s="962">
        <v>50</v>
      </c>
      <c r="P33" s="963" t="s">
        <v>18858</v>
      </c>
      <c r="Q33" s="971" t="s">
        <v>18876</v>
      </c>
      <c r="R33" s="1006">
        <v>80</v>
      </c>
      <c r="S33" s="973" t="s">
        <v>7763</v>
      </c>
      <c r="T33" s="966">
        <f>+_xlfn.XLOOKUP(Tabla128[[#This Row],[CODIGO]],CODIGOS_Y_COSTOS[CODIGO],CODIGOS_Y_COSTOS[COSTO],0,0)</f>
        <v>2757.2869999999998</v>
      </c>
      <c r="U33" s="970">
        <v>25</v>
      </c>
    </row>
    <row r="34" spans="1:24" s="166" customFormat="1" x14ac:dyDescent="0.2">
      <c r="A34"/>
      <c r="B34"/>
      <c r="C34"/>
      <c r="D34"/>
      <c r="E34" s="4"/>
      <c r="F34"/>
      <c r="G34"/>
      <c r="R34" s="410"/>
    </row>
    <row r="35" spans="1:24" s="166" customFormat="1" ht="13.5" thickBot="1" x14ac:dyDescent="0.25">
      <c r="A35"/>
      <c r="B35"/>
      <c r="C35"/>
      <c r="D35"/>
      <c r="E35" s="4"/>
      <c r="F35"/>
      <c r="G35"/>
      <c r="R35" s="410"/>
    </row>
    <row r="36" spans="1:24" s="166" customFormat="1" ht="16.5" thickBot="1" x14ac:dyDescent="0.25">
      <c r="A36"/>
      <c r="B36"/>
      <c r="C36"/>
      <c r="D36"/>
      <c r="E36" s="4"/>
      <c r="F36"/>
      <c r="G36"/>
      <c r="N36" s="1003" t="s">
        <v>7765</v>
      </c>
      <c r="R36" s="410"/>
      <c r="S36" s="1004"/>
      <c r="T36" s="1004"/>
      <c r="U36" s="1004"/>
      <c r="V36" s="1005"/>
    </row>
    <row r="37" spans="1:24" s="166" customFormat="1" ht="13.5" thickBot="1" x14ac:dyDescent="0.25">
      <c r="A37"/>
      <c r="B37"/>
      <c r="C37"/>
      <c r="D37"/>
      <c r="E37" s="4"/>
      <c r="F37"/>
      <c r="G37"/>
      <c r="N37" s="974" t="s">
        <v>5</v>
      </c>
      <c r="R37" s="418" t="s">
        <v>8189</v>
      </c>
      <c r="S37" s="975" t="s">
        <v>8178</v>
      </c>
      <c r="T37" s="975" t="s">
        <v>8754</v>
      </c>
      <c r="U37" s="975" t="s">
        <v>8322</v>
      </c>
      <c r="V37" s="976" t="s">
        <v>8162</v>
      </c>
    </row>
    <row r="38" spans="1:24" s="166" customFormat="1" x14ac:dyDescent="0.2">
      <c r="A38"/>
      <c r="B38"/>
      <c r="C38"/>
      <c r="D38"/>
      <c r="E38" s="4"/>
      <c r="F38"/>
      <c r="G38"/>
      <c r="N38" s="980" t="s">
        <v>7769</v>
      </c>
      <c r="R38" s="410">
        <v>1133</v>
      </c>
      <c r="S38" s="977" t="s">
        <v>18877</v>
      </c>
      <c r="T38" s="981">
        <f>+_xlfn.XLOOKUP(N38,CODIGOS_Y_COSTOS[CODIGO],CODIGOS_Y_COSTOS[COSTO],0,0)</f>
        <v>168.33670000000001</v>
      </c>
      <c r="U38" s="978">
        <v>200</v>
      </c>
      <c r="V38" s="995">
        <f t="shared" ref="V38:V39" si="8">+U38*T38</f>
        <v>33667.340000000004</v>
      </c>
    </row>
    <row r="39" spans="1:24" s="166" customFormat="1" x14ac:dyDescent="0.2">
      <c r="A39"/>
      <c r="B39"/>
      <c r="C39"/>
      <c r="D39"/>
      <c r="E39" s="4"/>
      <c r="F39"/>
      <c r="G39"/>
      <c r="N39" s="980" t="s">
        <v>7772</v>
      </c>
      <c r="R39" s="410">
        <v>1134</v>
      </c>
      <c r="S39" s="968" t="s">
        <v>18878</v>
      </c>
      <c r="T39" s="981">
        <f>+_xlfn.XLOOKUP(N39,CODIGOS_Y_COSTOS[CODIGO],CODIGOS_Y_COSTOS[COSTO],0,0)</f>
        <v>225.69120000000001</v>
      </c>
      <c r="U39" s="970">
        <v>200</v>
      </c>
      <c r="V39" s="982">
        <f t="shared" si="8"/>
        <v>45138.240000000005</v>
      </c>
    </row>
    <row r="40" spans="1:24" s="166" customFormat="1" x14ac:dyDescent="0.2">
      <c r="A40"/>
      <c r="B40"/>
      <c r="C40"/>
      <c r="D40"/>
      <c r="E40" s="4"/>
      <c r="F40"/>
      <c r="G40"/>
      <c r="N40" s="980" t="s">
        <v>7779</v>
      </c>
      <c r="O40" s="166">
        <f>+N40+0</f>
        <v>70</v>
      </c>
      <c r="R40" s="410">
        <f>+N40+1000</f>
        <v>1070</v>
      </c>
      <c r="S40" s="963" t="s">
        <v>7780</v>
      </c>
      <c r="T40" s="981">
        <f>+_xlfn.XLOOKUP(N40,CODIGOS_Y_COSTOS[CODIGO],CODIGOS_Y_COSTOS[COSTO],0,0)</f>
        <v>262.05119999999999</v>
      </c>
      <c r="U40" s="967">
        <v>200</v>
      </c>
      <c r="V40" s="982">
        <f>+U40*T40</f>
        <v>52410.239999999998</v>
      </c>
      <c r="X40" s="166">
        <v>1070</v>
      </c>
    </row>
    <row r="41" spans="1:24" s="166" customFormat="1" x14ac:dyDescent="0.2">
      <c r="A41"/>
      <c r="B41"/>
      <c r="C41"/>
      <c r="D41"/>
      <c r="E41" s="4"/>
      <c r="F41"/>
      <c r="G41"/>
      <c r="N41" s="1042" t="s">
        <v>7782</v>
      </c>
      <c r="O41" s="166">
        <f t="shared" ref="O41:O76" si="9">+N41+0</f>
        <v>95</v>
      </c>
      <c r="R41" s="410">
        <f t="shared" ref="R41:R76" si="10">+N41+1000</f>
        <v>1095</v>
      </c>
      <c r="S41" s="963" t="s">
        <v>7783</v>
      </c>
      <c r="T41" s="981">
        <f>+_xlfn.XLOOKUP(N41,CODIGOS_Y_COSTOS[CODIGO],CODIGOS_Y_COSTOS[COSTO],0,0)</f>
        <v>118.2492</v>
      </c>
      <c r="U41" s="967">
        <v>200</v>
      </c>
      <c r="V41" s="982">
        <f>+U41*T41</f>
        <v>23649.84</v>
      </c>
      <c r="X41" s="166">
        <v>1095</v>
      </c>
    </row>
    <row r="42" spans="1:24" s="166" customFormat="1" x14ac:dyDescent="0.2">
      <c r="A42"/>
      <c r="B42"/>
      <c r="C42"/>
      <c r="D42"/>
      <c r="E42" s="4"/>
      <c r="F42"/>
      <c r="G42"/>
      <c r="N42" s="980" t="s">
        <v>7792</v>
      </c>
      <c r="O42" s="166">
        <f t="shared" si="9"/>
        <v>71</v>
      </c>
      <c r="R42" s="410">
        <f t="shared" si="10"/>
        <v>1071</v>
      </c>
      <c r="S42" s="963" t="s">
        <v>7793</v>
      </c>
      <c r="T42" s="981">
        <f>+_xlfn.XLOOKUP(N42,CODIGOS_Y_COSTOS[CODIGO],CODIGOS_Y_COSTOS[COSTO],0,0)</f>
        <v>166.7758</v>
      </c>
      <c r="U42" s="967">
        <v>200</v>
      </c>
      <c r="V42" s="982">
        <v>40419.600000000006</v>
      </c>
      <c r="X42" s="166">
        <v>1071</v>
      </c>
    </row>
    <row r="43" spans="1:24" s="166" customFormat="1" x14ac:dyDescent="0.2">
      <c r="A43"/>
      <c r="B43"/>
      <c r="C43"/>
      <c r="D43"/>
      <c r="E43" s="4"/>
      <c r="F43"/>
      <c r="G43"/>
      <c r="N43" s="980" t="s">
        <v>7789</v>
      </c>
      <c r="O43" s="166">
        <f t="shared" si="9"/>
        <v>72</v>
      </c>
      <c r="R43" s="410">
        <f t="shared" si="10"/>
        <v>1072</v>
      </c>
      <c r="S43" s="963" t="s">
        <v>7790</v>
      </c>
      <c r="T43" s="981">
        <f>+_xlfn.XLOOKUP(N43,CODIGOS_Y_COSTOS[CODIGO],CODIGOS_Y_COSTOS[COSTO],0,0)</f>
        <v>125.869</v>
      </c>
      <c r="U43" s="967">
        <v>200</v>
      </c>
      <c r="V43" s="982">
        <v>30523.599999999999</v>
      </c>
      <c r="X43" s="166">
        <v>1072</v>
      </c>
    </row>
    <row r="44" spans="1:24" s="166" customFormat="1" x14ac:dyDescent="0.2">
      <c r="A44"/>
      <c r="B44"/>
      <c r="C44"/>
      <c r="D44"/>
      <c r="E44" s="4"/>
      <c r="F44"/>
      <c r="G44"/>
      <c r="N44" s="980" t="s">
        <v>7799</v>
      </c>
      <c r="O44" s="166">
        <f t="shared" si="9"/>
        <v>115</v>
      </c>
      <c r="R44" s="410">
        <f t="shared" si="10"/>
        <v>1115</v>
      </c>
      <c r="S44" s="963" t="s">
        <v>7800</v>
      </c>
      <c r="T44" s="981">
        <f>+_xlfn.XLOOKUP(N44,CODIGOS_Y_COSTOS[CODIGO],CODIGOS_Y_COSTOS[COSTO],0,0)</f>
        <v>93.047799999999995</v>
      </c>
      <c r="U44" s="967">
        <v>200</v>
      </c>
      <c r="V44" s="982">
        <v>23084.800000000003</v>
      </c>
      <c r="X44" s="166">
        <v>1115</v>
      </c>
    </row>
    <row r="45" spans="1:24" s="166" customFormat="1" x14ac:dyDescent="0.2">
      <c r="A45"/>
      <c r="B45"/>
      <c r="C45"/>
      <c r="D45"/>
      <c r="E45" s="4"/>
      <c r="F45"/>
      <c r="G45"/>
      <c r="N45" s="980" t="s">
        <v>7795</v>
      </c>
      <c r="O45" s="166">
        <f t="shared" si="9"/>
        <v>90</v>
      </c>
      <c r="R45" s="410">
        <f t="shared" si="10"/>
        <v>1090</v>
      </c>
      <c r="S45" s="963" t="s">
        <v>7796</v>
      </c>
      <c r="T45" s="981">
        <f>+_xlfn.XLOOKUP(N45,CODIGOS_Y_COSTOS[CODIGO],CODIGOS_Y_COSTOS[COSTO],0,0)</f>
        <v>103.6908</v>
      </c>
      <c r="U45" s="967">
        <v>200</v>
      </c>
      <c r="V45" s="982">
        <v>24770</v>
      </c>
      <c r="X45" s="166">
        <v>1090</v>
      </c>
    </row>
    <row r="46" spans="1:24" s="166" customFormat="1" x14ac:dyDescent="0.2">
      <c r="A46"/>
      <c r="B46"/>
      <c r="C46"/>
      <c r="D46"/>
      <c r="E46" s="4"/>
      <c r="F46"/>
      <c r="G46"/>
      <c r="N46" s="980" t="s">
        <v>7766</v>
      </c>
      <c r="O46" s="166">
        <f t="shared" si="9"/>
        <v>92</v>
      </c>
      <c r="R46" s="410">
        <f t="shared" si="10"/>
        <v>1092</v>
      </c>
      <c r="S46" s="963" t="s">
        <v>7767</v>
      </c>
      <c r="T46" s="981">
        <f>+_xlfn.XLOOKUP(N46,CODIGOS_Y_COSTOS[CODIGO],CODIGOS_Y_COSTOS[COSTO],0,0)</f>
        <v>26.5046</v>
      </c>
      <c r="U46" s="967">
        <v>400</v>
      </c>
      <c r="V46" s="982">
        <v>13036.8</v>
      </c>
      <c r="X46" s="166">
        <v>1092</v>
      </c>
    </row>
    <row r="47" spans="1:24" s="166" customFormat="1" x14ac:dyDescent="0.2">
      <c r="A47"/>
      <c r="B47"/>
      <c r="C47"/>
      <c r="D47"/>
      <c r="E47" s="4"/>
      <c r="F47"/>
      <c r="G47"/>
      <c r="N47" s="980" t="s">
        <v>7786</v>
      </c>
      <c r="O47" s="166">
        <f t="shared" si="9"/>
        <v>93</v>
      </c>
      <c r="R47" s="410">
        <f t="shared" si="10"/>
        <v>1093</v>
      </c>
      <c r="S47" s="963" t="s">
        <v>7787</v>
      </c>
      <c r="T47" s="981">
        <f>+_xlfn.XLOOKUP(N47,CODIGOS_Y_COSTOS[CODIGO],CODIGOS_Y_COSTOS[COSTO],0,0)</f>
        <v>81.814300000000003</v>
      </c>
      <c r="U47" s="967">
        <v>200</v>
      </c>
      <c r="V47" s="982">
        <v>19792</v>
      </c>
      <c r="X47" s="166">
        <v>1093</v>
      </c>
    </row>
    <row r="48" spans="1:24" s="166" customFormat="1" x14ac:dyDescent="0.2">
      <c r="A48"/>
      <c r="B48"/>
      <c r="C48"/>
      <c r="D48"/>
      <c r="E48" s="4"/>
      <c r="F48"/>
      <c r="G48"/>
      <c r="N48" s="980" t="s">
        <v>7776</v>
      </c>
      <c r="O48" s="166">
        <f t="shared" si="9"/>
        <v>135</v>
      </c>
      <c r="R48" s="410">
        <f t="shared" si="10"/>
        <v>1135</v>
      </c>
      <c r="S48" s="963" t="s">
        <v>7777</v>
      </c>
      <c r="T48" s="981">
        <f>+_xlfn.XLOOKUP(N48,CODIGOS_Y_COSTOS[CODIGO],CODIGOS_Y_COSTOS[COSTO],0,0)</f>
        <v>88.894800000000004</v>
      </c>
      <c r="U48" s="967">
        <v>200</v>
      </c>
      <c r="V48" s="982">
        <v>22035</v>
      </c>
      <c r="X48" s="166">
        <v>1135</v>
      </c>
    </row>
    <row r="49" spans="1:24" s="166" customFormat="1" ht="13.5" thickBot="1" x14ac:dyDescent="0.25">
      <c r="A49"/>
      <c r="B49"/>
      <c r="C49"/>
      <c r="D49"/>
      <c r="E49" s="4"/>
      <c r="F49"/>
      <c r="G49"/>
      <c r="N49" s="983" t="s">
        <v>7803</v>
      </c>
      <c r="O49" s="166">
        <f t="shared" si="9"/>
        <v>400</v>
      </c>
      <c r="R49" s="410">
        <f t="shared" si="10"/>
        <v>1400</v>
      </c>
      <c r="S49" s="984" t="s">
        <v>7804</v>
      </c>
      <c r="T49" s="986">
        <f>+_xlfn.XLOOKUP(N49,CODIGOS_Y_COSTOS[CODIGO],CODIGOS_Y_COSTOS[COSTO],0,0)</f>
        <v>302.56920000000002</v>
      </c>
      <c r="U49" s="985">
        <v>200</v>
      </c>
      <c r="V49" s="987">
        <v>75183.199999999997</v>
      </c>
      <c r="X49" s="166">
        <v>1400</v>
      </c>
    </row>
    <row r="50" spans="1:24" s="166" customFormat="1" ht="13.5" thickBot="1" x14ac:dyDescent="0.25">
      <c r="A50"/>
      <c r="B50"/>
      <c r="C50"/>
      <c r="D50"/>
      <c r="E50" s="4"/>
      <c r="F50"/>
      <c r="G50"/>
      <c r="N50" s="988" t="s">
        <v>18879</v>
      </c>
      <c r="R50" s="410"/>
      <c r="S50" s="989"/>
      <c r="T50" s="991" t="s">
        <v>18880</v>
      </c>
      <c r="U50" s="990"/>
      <c r="V50" s="992">
        <v>313825.40000000002</v>
      </c>
    </row>
    <row r="51" spans="1:24" s="166" customFormat="1" x14ac:dyDescent="0.2">
      <c r="A51"/>
      <c r="B51"/>
      <c r="C51"/>
      <c r="D51"/>
      <c r="E51" s="4"/>
      <c r="F51"/>
      <c r="G51"/>
      <c r="N51" s="993" t="s">
        <v>7806</v>
      </c>
      <c r="O51" s="166">
        <f t="shared" si="9"/>
        <v>153</v>
      </c>
      <c r="R51" s="410">
        <f t="shared" si="10"/>
        <v>1153</v>
      </c>
      <c r="S51" s="979" t="s">
        <v>7807</v>
      </c>
      <c r="T51" s="981">
        <f>+_xlfn.XLOOKUP(N51,CODIGOS_Y_COSTOS[CODIGO],CODIGOS_Y_COSTOS[COSTO],0,0)</f>
        <v>147.10900000000001</v>
      </c>
      <c r="U51" s="994">
        <v>200</v>
      </c>
      <c r="V51" s="995">
        <v>35075.799999999996</v>
      </c>
      <c r="X51" s="166">
        <v>1153</v>
      </c>
    </row>
    <row r="52" spans="1:24" x14ac:dyDescent="0.2">
      <c r="N52" s="980" t="s">
        <v>7821</v>
      </c>
      <c r="O52" s="166">
        <f t="shared" si="9"/>
        <v>101</v>
      </c>
      <c r="Q52" s="166"/>
      <c r="R52" s="410">
        <f t="shared" si="10"/>
        <v>1101</v>
      </c>
      <c r="S52" s="963" t="s">
        <v>7822</v>
      </c>
      <c r="T52" s="981">
        <f>+_xlfn.XLOOKUP(N52,CODIGOS_Y_COSTOS[CODIGO],CODIGOS_Y_COSTOS[COSTO],0,0)</f>
        <v>397.3442</v>
      </c>
      <c r="U52" s="967">
        <v>100</v>
      </c>
      <c r="V52" s="982">
        <v>48272.1</v>
      </c>
      <c r="X52">
        <v>1101</v>
      </c>
    </row>
    <row r="53" spans="1:24" x14ac:dyDescent="0.2">
      <c r="N53" s="980" t="s">
        <v>18881</v>
      </c>
      <c r="O53" s="166">
        <f t="shared" si="9"/>
        <v>98</v>
      </c>
      <c r="Q53" s="166"/>
      <c r="R53" s="410">
        <f t="shared" si="10"/>
        <v>1098</v>
      </c>
      <c r="S53" s="963" t="s">
        <v>18882</v>
      </c>
      <c r="T53" s="981">
        <f>+_xlfn.XLOOKUP(N53,CODIGOS_Y_COSTOS[CODIGO],CODIGOS_Y_COSTOS[COSTO],0,0)</f>
        <v>0</v>
      </c>
      <c r="U53" s="967">
        <v>200</v>
      </c>
      <c r="V53" s="982">
        <v>54208.000000000007</v>
      </c>
      <c r="X53">
        <v>1098</v>
      </c>
    </row>
    <row r="54" spans="1:24" x14ac:dyDescent="0.2">
      <c r="N54" s="980" t="s">
        <v>7824</v>
      </c>
      <c r="O54" s="166">
        <f t="shared" si="9"/>
        <v>108</v>
      </c>
      <c r="Q54" s="166"/>
      <c r="R54" s="410">
        <f t="shared" si="10"/>
        <v>1108</v>
      </c>
      <c r="S54" s="963" t="s">
        <v>7825</v>
      </c>
      <c r="T54" s="981">
        <f>+_xlfn.XLOOKUP(N54,CODIGOS_Y_COSTOS[CODIGO],CODIGOS_Y_COSTOS[COSTO],0,0)</f>
        <v>333.82080000000002</v>
      </c>
      <c r="U54" s="967">
        <v>200</v>
      </c>
      <c r="V54" s="982">
        <v>81092.2</v>
      </c>
      <c r="X54">
        <v>1108</v>
      </c>
    </row>
    <row r="55" spans="1:24" x14ac:dyDescent="0.2">
      <c r="N55" s="980" t="s">
        <v>7827</v>
      </c>
      <c r="O55" s="166">
        <f t="shared" si="9"/>
        <v>119</v>
      </c>
      <c r="Q55" s="166"/>
      <c r="R55" s="410">
        <f t="shared" si="10"/>
        <v>1119</v>
      </c>
      <c r="S55" s="963" t="s">
        <v>7828</v>
      </c>
      <c r="T55" s="981">
        <f>+_xlfn.XLOOKUP(N55,CODIGOS_Y_COSTOS[CODIGO],CODIGOS_Y_COSTOS[COSTO],0,0)</f>
        <v>434.49700000000001</v>
      </c>
      <c r="U55" s="967">
        <v>100</v>
      </c>
      <c r="V55" s="982">
        <v>52807.7</v>
      </c>
      <c r="X55">
        <v>1119</v>
      </c>
    </row>
    <row r="56" spans="1:24" x14ac:dyDescent="0.2">
      <c r="N56" s="980" t="s">
        <v>7830</v>
      </c>
      <c r="O56" s="166">
        <f t="shared" si="9"/>
        <v>125</v>
      </c>
      <c r="Q56" s="166"/>
      <c r="R56" s="410">
        <f t="shared" si="10"/>
        <v>1125</v>
      </c>
      <c r="S56" s="963" t="s">
        <v>7831</v>
      </c>
      <c r="T56" s="981">
        <f>+_xlfn.XLOOKUP(N56,CODIGOS_Y_COSTOS[CODIGO],CODIGOS_Y_COSTOS[COSTO],0,0)</f>
        <v>481.50220000000002</v>
      </c>
      <c r="U56" s="967">
        <v>100</v>
      </c>
      <c r="V56" s="982">
        <v>58374.3</v>
      </c>
      <c r="X56">
        <v>1125</v>
      </c>
    </row>
    <row r="57" spans="1:24" x14ac:dyDescent="0.2">
      <c r="N57" s="980" t="s">
        <v>7833</v>
      </c>
      <c r="O57" s="166">
        <f t="shared" si="9"/>
        <v>111</v>
      </c>
      <c r="Q57" s="166"/>
      <c r="R57" s="410">
        <f t="shared" si="10"/>
        <v>1111</v>
      </c>
      <c r="S57" s="963" t="s">
        <v>7834</v>
      </c>
      <c r="T57" s="981">
        <f>+_xlfn.XLOOKUP(N57,CODIGOS_Y_COSTOS[CODIGO],CODIGOS_Y_COSTOS[COSTO],0,0)</f>
        <v>378.73009999999999</v>
      </c>
      <c r="U57" s="967">
        <v>100</v>
      </c>
      <c r="V57" s="982">
        <v>45191.7</v>
      </c>
      <c r="X57">
        <v>1111</v>
      </c>
    </row>
    <row r="58" spans="1:24" x14ac:dyDescent="0.2">
      <c r="N58" s="980" t="s">
        <v>7836</v>
      </c>
      <c r="O58" s="166">
        <f t="shared" si="9"/>
        <v>114</v>
      </c>
      <c r="Q58" s="166"/>
      <c r="R58" s="410">
        <f t="shared" si="10"/>
        <v>1114</v>
      </c>
      <c r="S58" s="963" t="s">
        <v>7837</v>
      </c>
      <c r="T58" s="981">
        <f>+_xlfn.XLOOKUP(N58,CODIGOS_Y_COSTOS[CODIGO],CODIGOS_Y_COSTOS[COSTO],0,0)</f>
        <v>374.79669999999999</v>
      </c>
      <c r="U58" s="967">
        <v>100</v>
      </c>
      <c r="V58" s="982">
        <v>46354.1</v>
      </c>
      <c r="X58">
        <v>1114</v>
      </c>
    </row>
    <row r="59" spans="1:24" x14ac:dyDescent="0.2">
      <c r="N59" s="980" t="s">
        <v>7839</v>
      </c>
      <c r="O59" s="166">
        <f t="shared" si="9"/>
        <v>100</v>
      </c>
      <c r="Q59" s="166"/>
      <c r="R59" s="410">
        <f t="shared" si="10"/>
        <v>1100</v>
      </c>
      <c r="S59" s="963" t="s">
        <v>7840</v>
      </c>
      <c r="T59" s="981">
        <f>+_xlfn.XLOOKUP(N59,CODIGOS_Y_COSTOS[CODIGO],CODIGOS_Y_COSTOS[COSTO],0,0)</f>
        <v>303.94439999999997</v>
      </c>
      <c r="U59" s="967">
        <v>200</v>
      </c>
      <c r="V59" s="982">
        <v>75219.600000000006</v>
      </c>
      <c r="X59">
        <v>1100</v>
      </c>
    </row>
    <row r="60" spans="1:24" x14ac:dyDescent="0.2">
      <c r="N60" s="980" t="s">
        <v>7842</v>
      </c>
      <c r="O60" s="166">
        <f t="shared" si="9"/>
        <v>102</v>
      </c>
      <c r="R60" s="410">
        <f t="shared" si="10"/>
        <v>1102</v>
      </c>
      <c r="S60" s="963" t="s">
        <v>7843</v>
      </c>
      <c r="T60" s="981">
        <f>+_xlfn.XLOOKUP(N60,CODIGOS_Y_COSTOS[CODIGO],CODIGOS_Y_COSTOS[COSTO],0,0)</f>
        <v>400.12130000000002</v>
      </c>
      <c r="U60" s="967">
        <v>100</v>
      </c>
      <c r="V60" s="982">
        <v>49653.7</v>
      </c>
      <c r="X60">
        <v>1102</v>
      </c>
    </row>
    <row r="61" spans="1:24" x14ac:dyDescent="0.2">
      <c r="N61" s="980" t="s">
        <v>7815</v>
      </c>
      <c r="O61" s="166">
        <f t="shared" si="9"/>
        <v>105</v>
      </c>
      <c r="R61" s="410">
        <f t="shared" si="10"/>
        <v>1105</v>
      </c>
      <c r="S61" s="963" t="s">
        <v>7816</v>
      </c>
      <c r="T61" s="981">
        <f>+_xlfn.XLOOKUP(N61,CODIGOS_Y_COSTOS[CODIGO],CODIGOS_Y_COSTOS[COSTO],0,0)</f>
        <v>484.93939999999998</v>
      </c>
      <c r="U61" s="967">
        <v>100</v>
      </c>
      <c r="V61" s="982">
        <v>58592.700000000004</v>
      </c>
      <c r="X61">
        <v>1105</v>
      </c>
    </row>
    <row r="62" spans="1:24" x14ac:dyDescent="0.2">
      <c r="N62" s="980" t="s">
        <v>7818</v>
      </c>
      <c r="O62" s="166">
        <f t="shared" si="9"/>
        <v>118</v>
      </c>
      <c r="R62" s="410">
        <f t="shared" si="10"/>
        <v>1118</v>
      </c>
      <c r="S62" s="963" t="s">
        <v>7819</v>
      </c>
      <c r="T62" s="981">
        <f>+_xlfn.XLOOKUP(N62,CODIGOS_Y_COSTOS[CODIGO],CODIGOS_Y_COSTOS[COSTO],0,0)</f>
        <v>188.40960000000001</v>
      </c>
      <c r="U62" s="967">
        <v>200</v>
      </c>
      <c r="V62" s="982">
        <v>45499.6</v>
      </c>
      <c r="X62">
        <v>1118</v>
      </c>
    </row>
    <row r="63" spans="1:24" x14ac:dyDescent="0.2">
      <c r="N63" s="980" t="s">
        <v>7809</v>
      </c>
      <c r="O63" s="166">
        <f t="shared" si="9"/>
        <v>536</v>
      </c>
      <c r="R63" s="410">
        <f t="shared" si="10"/>
        <v>1536</v>
      </c>
      <c r="S63" s="963" t="s">
        <v>7810</v>
      </c>
      <c r="T63" s="981">
        <f>+_xlfn.XLOOKUP(N63,CODIGOS_Y_COSTOS[CODIGO],CODIGOS_Y_COSTOS[COSTO],0,0)</f>
        <v>157.33580000000001</v>
      </c>
      <c r="U63" s="967">
        <v>200</v>
      </c>
      <c r="V63" s="982">
        <v>38557.799999999996</v>
      </c>
      <c r="X63">
        <v>1536</v>
      </c>
    </row>
    <row r="64" spans="1:24" x14ac:dyDescent="0.2">
      <c r="N64" s="980" t="s">
        <v>7812</v>
      </c>
      <c r="O64" s="166">
        <f t="shared" si="9"/>
        <v>537</v>
      </c>
      <c r="R64" s="410">
        <f t="shared" si="10"/>
        <v>1537</v>
      </c>
      <c r="S64" s="963" t="s">
        <v>7813</v>
      </c>
      <c r="T64" s="981">
        <f>+_xlfn.XLOOKUP(N64,CODIGOS_Y_COSTOS[CODIGO],CODIGOS_Y_COSTOS[COSTO],0,0)</f>
        <v>209.78139999999999</v>
      </c>
      <c r="U64" s="967">
        <v>200</v>
      </c>
      <c r="V64" s="982">
        <v>51276</v>
      </c>
      <c r="X64">
        <v>1537</v>
      </c>
    </row>
    <row r="65" spans="1:24" x14ac:dyDescent="0.2">
      <c r="N65" s="1042" t="s">
        <v>7845</v>
      </c>
      <c r="O65" s="1121" t="s">
        <v>18883</v>
      </c>
      <c r="R65" s="410">
        <v>1514.1</v>
      </c>
      <c r="S65" s="963" t="s">
        <v>7846</v>
      </c>
      <c r="T65" s="981">
        <f>+_xlfn.XLOOKUP(N65,CODIGOS_Y_COSTOS[CODIGO],CODIGOS_Y_COSTOS[COSTO],0,0)</f>
        <v>244.58330000000001</v>
      </c>
      <c r="U65" s="967">
        <v>200</v>
      </c>
      <c r="V65" s="982">
        <v>62129</v>
      </c>
      <c r="X65">
        <v>1514.1</v>
      </c>
    </row>
    <row r="66" spans="1:24" ht="13.5" thickBot="1" x14ac:dyDescent="0.25">
      <c r="N66" s="983" t="s">
        <v>7848</v>
      </c>
      <c r="O66" s="166">
        <f t="shared" si="9"/>
        <v>514</v>
      </c>
      <c r="R66" s="410">
        <f t="shared" si="10"/>
        <v>1514</v>
      </c>
      <c r="S66" s="984" t="s">
        <v>7849</v>
      </c>
      <c r="T66" s="986">
        <f>+_xlfn.XLOOKUP(N66,CODIGOS_Y_COSTOS[CODIGO],CODIGOS_Y_COSTOS[COSTO],0,0)</f>
        <v>203.81979999999999</v>
      </c>
      <c r="U66" s="985">
        <v>200</v>
      </c>
      <c r="V66" s="987">
        <v>51774.2</v>
      </c>
      <c r="X66">
        <v>1514</v>
      </c>
    </row>
    <row r="67" spans="1:24" x14ac:dyDescent="0.2">
      <c r="N67" s="996" t="s">
        <v>18884</v>
      </c>
      <c r="O67" s="166"/>
      <c r="S67" s="968"/>
      <c r="T67" s="997" t="s">
        <v>18880</v>
      </c>
      <c r="U67" s="970"/>
      <c r="V67" s="998">
        <v>854078.49999999988</v>
      </c>
    </row>
    <row r="68" spans="1:24" ht="13.5" thickBot="1" x14ac:dyDescent="0.25">
      <c r="N68" s="980" t="s">
        <v>7851</v>
      </c>
      <c r="O68" s="166">
        <f t="shared" si="9"/>
        <v>46</v>
      </c>
      <c r="R68" s="410">
        <f t="shared" si="10"/>
        <v>1046</v>
      </c>
      <c r="S68" s="963" t="s">
        <v>7852</v>
      </c>
      <c r="T68" s="986">
        <f>+_xlfn.XLOOKUP(N68,CODIGOS_Y_COSTOS[CODIGO],CODIGOS_Y_COSTOS[COSTO],0,0)</f>
        <v>15.5398</v>
      </c>
      <c r="U68" s="967">
        <v>400</v>
      </c>
      <c r="V68" s="982">
        <v>6618.0000000000009</v>
      </c>
      <c r="X68">
        <v>1046</v>
      </c>
    </row>
    <row r="69" spans="1:24" ht="13.5" thickBot="1" x14ac:dyDescent="0.25">
      <c r="N69" s="980" t="s">
        <v>7872</v>
      </c>
      <c r="O69" s="166">
        <f t="shared" si="9"/>
        <v>53</v>
      </c>
      <c r="R69" s="410">
        <f t="shared" si="10"/>
        <v>1053</v>
      </c>
      <c r="S69" s="963" t="s">
        <v>7873</v>
      </c>
      <c r="T69" s="981">
        <f>+_xlfn.XLOOKUP(N69,CODIGOS_Y_COSTOS[CODIGO],CODIGOS_Y_COSTOS[COSTO],0,0)</f>
        <v>55.0426</v>
      </c>
      <c r="U69" s="967">
        <v>200</v>
      </c>
      <c r="V69" s="982">
        <v>11886.4</v>
      </c>
      <c r="X69">
        <v>1053</v>
      </c>
    </row>
    <row r="70" spans="1:24" ht="28.5" thickBot="1" x14ac:dyDescent="0.25">
      <c r="A70" s="1040" t="str">
        <f>+UPPER(H74)</f>
        <v/>
      </c>
      <c r="B70" s="1041"/>
      <c r="C70" s="1041"/>
      <c r="D70" s="1041"/>
      <c r="E70" s="1041"/>
      <c r="N70" s="980" t="s">
        <v>7875</v>
      </c>
      <c r="O70" s="166">
        <f t="shared" si="9"/>
        <v>55</v>
      </c>
      <c r="R70" s="410">
        <f t="shared" si="10"/>
        <v>1055</v>
      </c>
      <c r="S70" s="963" t="s">
        <v>7876</v>
      </c>
      <c r="T70" s="981">
        <f>+_xlfn.XLOOKUP(N70,CODIGOS_Y_COSTOS[CODIGO],CODIGOS_Y_COSTOS[COSTO],0,0)</f>
        <v>81.615600000000001</v>
      </c>
      <c r="U70" s="967">
        <v>200</v>
      </c>
      <c r="V70" s="982">
        <v>17514</v>
      </c>
      <c r="X70">
        <v>1055</v>
      </c>
    </row>
    <row r="71" spans="1:24" ht="30" x14ac:dyDescent="0.2">
      <c r="A71" s="1008" t="s">
        <v>8188</v>
      </c>
      <c r="B71" s="1009" t="s">
        <v>18885</v>
      </c>
      <c r="C71" s="1009" t="s">
        <v>18886</v>
      </c>
      <c r="D71" s="1010" t="s">
        <v>9340</v>
      </c>
      <c r="E71" s="1011" t="s">
        <v>18744</v>
      </c>
      <c r="N71" s="980" t="s">
        <v>7854</v>
      </c>
      <c r="O71" s="166">
        <f t="shared" si="9"/>
        <v>56</v>
      </c>
      <c r="R71" s="410">
        <f t="shared" si="10"/>
        <v>1056</v>
      </c>
      <c r="S71" s="963" t="s">
        <v>7855</v>
      </c>
      <c r="T71" s="981">
        <f>+_xlfn.XLOOKUP(N71,CODIGOS_Y_COSTOS[CODIGO],CODIGOS_Y_COSTOS[COSTO],0,0)</f>
        <v>29.270199999999999</v>
      </c>
      <c r="U71" s="967">
        <v>200</v>
      </c>
      <c r="V71" s="982">
        <v>6251.2</v>
      </c>
      <c r="X71">
        <v>1056</v>
      </c>
    </row>
    <row r="72" spans="1:24" ht="15" x14ac:dyDescent="0.2">
      <c r="A72" s="1012"/>
      <c r="B72" s="1013"/>
      <c r="C72" s="1013"/>
      <c r="D72" s="1014"/>
      <c r="E72" s="1015"/>
      <c r="N72" s="980" t="s">
        <v>7857</v>
      </c>
      <c r="O72" s="166">
        <f t="shared" si="9"/>
        <v>60</v>
      </c>
      <c r="R72" s="410">
        <f t="shared" si="10"/>
        <v>1060</v>
      </c>
      <c r="S72" s="963" t="s">
        <v>7858</v>
      </c>
      <c r="T72" s="981">
        <f>+_xlfn.XLOOKUP(N72,CODIGOS_Y_COSTOS[CODIGO],CODIGOS_Y_COSTOS[COSTO],0,0)</f>
        <v>42.341000000000001</v>
      </c>
      <c r="U72" s="967">
        <v>200</v>
      </c>
      <c r="V72" s="982">
        <v>9047.6</v>
      </c>
      <c r="X72">
        <v>1060</v>
      </c>
    </row>
    <row r="73" spans="1:24" ht="15.75" thickBot="1" x14ac:dyDescent="0.25">
      <c r="A73" s="1559" t="s">
        <v>18887</v>
      </c>
      <c r="B73" s="1560"/>
      <c r="C73" s="1560"/>
      <c r="D73" s="1561"/>
      <c r="N73" s="980" t="s">
        <v>7860</v>
      </c>
      <c r="O73" s="166">
        <f t="shared" si="9"/>
        <v>61</v>
      </c>
      <c r="R73" s="410">
        <f t="shared" si="10"/>
        <v>1061</v>
      </c>
      <c r="S73" s="963" t="s">
        <v>7861</v>
      </c>
      <c r="T73" s="981">
        <f>+_xlfn.XLOOKUP(N73,CODIGOS_Y_COSTOS[CODIGO],CODIGOS_Y_COSTOS[COSTO],0,0)</f>
        <v>47.646700000000003</v>
      </c>
      <c r="U73" s="967">
        <v>200</v>
      </c>
      <c r="V73" s="982">
        <v>10181.6</v>
      </c>
      <c r="X73">
        <v>1061</v>
      </c>
    </row>
    <row r="74" spans="1:24" ht="15.75" x14ac:dyDescent="0.2">
      <c r="A74" s="1016">
        <v>1</v>
      </c>
      <c r="B74" s="1017" t="s">
        <v>18888</v>
      </c>
      <c r="C74" s="1017" t="s">
        <v>18889</v>
      </c>
      <c r="D74" s="1018">
        <v>2075</v>
      </c>
      <c r="E74" s="1019" t="e" vm="61">
        <v>#VALUE!</v>
      </c>
      <c r="N74" s="980" t="s">
        <v>7863</v>
      </c>
      <c r="O74" s="166">
        <f t="shared" si="9"/>
        <v>48</v>
      </c>
      <c r="R74" s="410">
        <f t="shared" si="10"/>
        <v>1048</v>
      </c>
      <c r="S74" s="963" t="s">
        <v>7864</v>
      </c>
      <c r="T74" s="981">
        <f>+_xlfn.XLOOKUP(N74,CODIGOS_Y_COSTOS[CODIGO],CODIGOS_Y_COSTOS[COSTO],0,0)</f>
        <v>23.159199999999998</v>
      </c>
      <c r="U74" s="967">
        <v>400</v>
      </c>
      <c r="V74" s="982">
        <v>10628.400000000001</v>
      </c>
      <c r="X74">
        <v>1048</v>
      </c>
    </row>
    <row r="75" spans="1:24" ht="15.75" x14ac:dyDescent="0.2">
      <c r="A75" s="1020">
        <v>2</v>
      </c>
      <c r="B75" s="1021"/>
      <c r="C75" s="1021" t="s">
        <v>18890</v>
      </c>
      <c r="D75" s="1022">
        <v>3100</v>
      </c>
      <c r="E75" s="1023" t="e" vm="62">
        <v>#VALUE!</v>
      </c>
      <c r="N75" s="980" t="s">
        <v>7866</v>
      </c>
      <c r="O75" s="166">
        <f t="shared" si="9"/>
        <v>204</v>
      </c>
      <c r="R75" s="410">
        <f t="shared" si="10"/>
        <v>1204</v>
      </c>
      <c r="S75" s="963" t="s">
        <v>7867</v>
      </c>
      <c r="T75" s="981">
        <f>+_xlfn.XLOOKUP(N75,CODIGOS_Y_COSTOS[CODIGO],CODIGOS_Y_COSTOS[COSTO],0,0)</f>
        <v>53.405299999999997</v>
      </c>
      <c r="U75" s="967">
        <v>200</v>
      </c>
      <c r="V75" s="982">
        <v>11372.199999999999</v>
      </c>
      <c r="X75">
        <v>1204</v>
      </c>
    </row>
    <row r="76" spans="1:24" ht="15.75" x14ac:dyDescent="0.2">
      <c r="A76" s="1020">
        <v>4</v>
      </c>
      <c r="B76" s="1021"/>
      <c r="C76" s="1021" t="s">
        <v>18891</v>
      </c>
      <c r="D76" s="1022">
        <v>3100</v>
      </c>
      <c r="E76" s="1023" t="e" vm="63">
        <v>#VALUE!</v>
      </c>
      <c r="N76" s="980" t="s">
        <v>7869</v>
      </c>
      <c r="O76" s="166">
        <f t="shared" si="9"/>
        <v>205</v>
      </c>
      <c r="R76" s="410">
        <f t="shared" si="10"/>
        <v>1205</v>
      </c>
      <c r="S76" s="963" t="s">
        <v>7870</v>
      </c>
      <c r="T76" s="981">
        <f>+_xlfn.XLOOKUP(N76,CODIGOS_Y_COSTOS[CODIGO],CODIGOS_Y_COSTOS[COSTO],0,0)</f>
        <v>71.739400000000003</v>
      </c>
      <c r="U76" s="967">
        <v>200</v>
      </c>
      <c r="V76" s="982">
        <v>15421.4</v>
      </c>
      <c r="X76">
        <v>1205</v>
      </c>
    </row>
    <row r="77" spans="1:24" ht="16.5" thickBot="1" x14ac:dyDescent="0.25">
      <c r="A77" s="1020">
        <v>5</v>
      </c>
      <c r="B77" s="1021"/>
      <c r="C77" s="1021" t="s">
        <v>18892</v>
      </c>
      <c r="D77" s="1022">
        <v>4750</v>
      </c>
      <c r="E77" s="1023" t="e" vm="64">
        <v>#VALUE!</v>
      </c>
      <c r="N77" s="999"/>
      <c r="S77" s="984"/>
      <c r="T77" s="991" t="s">
        <v>18880</v>
      </c>
      <c r="U77" s="985"/>
      <c r="V77" s="992">
        <f>+SUM(V68:V76)</f>
        <v>98920.799999999988</v>
      </c>
    </row>
    <row r="78" spans="1:24" ht="15.75" x14ac:dyDescent="0.2">
      <c r="A78" s="1020">
        <v>7</v>
      </c>
      <c r="B78" s="1021" t="s">
        <v>18893</v>
      </c>
      <c r="C78" s="1021" t="s">
        <v>18894</v>
      </c>
      <c r="D78" s="1022">
        <v>2920</v>
      </c>
      <c r="E78" s="1024" t="e" vm="65">
        <v>#VALUE!</v>
      </c>
      <c r="N78" s="963"/>
      <c r="S78" s="963"/>
      <c r="T78" s="963"/>
      <c r="U78" s="967"/>
      <c r="V78" s="963"/>
    </row>
    <row r="79" spans="1:24" ht="15.75" x14ac:dyDescent="0.2">
      <c r="A79" s="1020">
        <v>10</v>
      </c>
      <c r="B79" s="1021"/>
      <c r="C79" s="1021" t="s">
        <v>18895</v>
      </c>
      <c r="D79" s="1022">
        <v>3500</v>
      </c>
      <c r="E79" s="1024" t="e" vm="66">
        <v>#VALUE!</v>
      </c>
      <c r="N79" s="963"/>
      <c r="S79" s="963"/>
      <c r="T79" s="968" t="s">
        <v>8164</v>
      </c>
      <c r="U79" s="967"/>
      <c r="V79" s="1000">
        <f>+V77+V67+V50</f>
        <v>1266824.6999999997</v>
      </c>
    </row>
    <row r="80" spans="1:24" ht="15.75" x14ac:dyDescent="0.2">
      <c r="A80" s="1020">
        <v>11</v>
      </c>
      <c r="B80" s="1021"/>
      <c r="C80" s="1021" t="s">
        <v>18896</v>
      </c>
      <c r="D80" s="1022">
        <v>3500</v>
      </c>
      <c r="E80" s="1024" t="e" vm="67">
        <v>#VALUE!</v>
      </c>
      <c r="N80" s="963"/>
      <c r="S80" s="963"/>
      <c r="T80" s="963"/>
      <c r="U80" s="967"/>
      <c r="V80" s="963"/>
    </row>
    <row r="81" spans="1:22" ht="15.75" x14ac:dyDescent="0.2">
      <c r="A81" s="1020">
        <v>13</v>
      </c>
      <c r="B81" s="1021"/>
      <c r="C81" s="1021" t="s">
        <v>18897</v>
      </c>
      <c r="D81" s="1022">
        <v>3500</v>
      </c>
      <c r="E81" s="1024" t="e" vm="68">
        <v>#VALUE!</v>
      </c>
      <c r="N81" s="963"/>
      <c r="S81" s="963"/>
      <c r="T81" s="963" t="s">
        <v>18898</v>
      </c>
      <c r="U81" s="967"/>
      <c r="V81" s="1001">
        <v>0.28000000000000003</v>
      </c>
    </row>
    <row r="82" spans="1:22" ht="15.75" x14ac:dyDescent="0.2">
      <c r="A82" s="1020">
        <v>16</v>
      </c>
      <c r="B82" s="1021"/>
      <c r="C82" s="1021" t="s">
        <v>18899</v>
      </c>
      <c r="D82" s="1022">
        <v>3500</v>
      </c>
      <c r="E82" s="1024" t="e" vm="69">
        <v>#VALUE!</v>
      </c>
      <c r="N82" s="963"/>
      <c r="S82" s="963"/>
      <c r="T82" s="963"/>
      <c r="U82" s="967"/>
      <c r="V82" s="963"/>
    </row>
    <row r="83" spans="1:22" ht="15.75" x14ac:dyDescent="0.2">
      <c r="A83" s="1020">
        <v>18</v>
      </c>
      <c r="B83" s="1021" t="s">
        <v>18900</v>
      </c>
      <c r="C83" s="1021" t="s">
        <v>18901</v>
      </c>
      <c r="D83" s="1022">
        <v>3500</v>
      </c>
      <c r="E83" s="1024" t="e" vm="70">
        <v>#VALUE!</v>
      </c>
      <c r="N83" s="963"/>
      <c r="S83" s="963"/>
      <c r="T83" s="963"/>
      <c r="U83" s="967"/>
      <c r="V83" s="1002">
        <f>+V79*0.72</f>
        <v>912113.78399999975</v>
      </c>
    </row>
    <row r="84" spans="1:22" ht="15.75" x14ac:dyDescent="0.2">
      <c r="A84" s="1020">
        <v>21</v>
      </c>
      <c r="B84" s="1021"/>
      <c r="C84" s="1021" t="s">
        <v>18902</v>
      </c>
      <c r="D84" s="1022">
        <v>4750</v>
      </c>
      <c r="E84" s="1024" t="e" vm="71">
        <v>#VALUE!</v>
      </c>
    </row>
    <row r="85" spans="1:22" ht="15.75" x14ac:dyDescent="0.2">
      <c r="A85" s="1020">
        <v>24</v>
      </c>
      <c r="B85" s="1021"/>
      <c r="C85" s="1021" t="s">
        <v>18903</v>
      </c>
      <c r="D85" s="1022">
        <v>5900</v>
      </c>
      <c r="E85" s="1024" t="e" vm="72">
        <v>#VALUE!</v>
      </c>
    </row>
    <row r="86" spans="1:22" ht="15.75" x14ac:dyDescent="0.2">
      <c r="A86" s="1020">
        <v>26</v>
      </c>
      <c r="B86" s="1021" t="s">
        <v>18904</v>
      </c>
      <c r="C86" s="1021" t="s">
        <v>18905</v>
      </c>
      <c r="D86" s="1022">
        <v>7600</v>
      </c>
      <c r="E86" s="1024" t="e" vm="73">
        <v>#VALUE!</v>
      </c>
    </row>
    <row r="87" spans="1:22" ht="15.75" x14ac:dyDescent="0.2">
      <c r="A87" s="1020">
        <v>28</v>
      </c>
      <c r="B87" s="1021" t="s">
        <v>18906</v>
      </c>
      <c r="C87" s="1021" t="s">
        <v>18907</v>
      </c>
      <c r="D87" s="1022">
        <v>12500</v>
      </c>
      <c r="E87" s="1024" t="e" vm="74">
        <v>#VALUE!</v>
      </c>
    </row>
    <row r="88" spans="1:22" ht="15.75" x14ac:dyDescent="0.2">
      <c r="A88" s="1020">
        <v>30</v>
      </c>
      <c r="B88" s="1021"/>
      <c r="C88" s="1021" t="s">
        <v>18908</v>
      </c>
      <c r="D88" s="1022">
        <v>3500</v>
      </c>
      <c r="E88" s="1023" t="e" vm="75">
        <v>#VALUE!</v>
      </c>
      <c r="R88" s="1092" t="s">
        <v>18909</v>
      </c>
      <c r="S88" s="1092" t="s">
        <v>8350</v>
      </c>
      <c r="T88" s="1092" t="s">
        <v>3</v>
      </c>
      <c r="U88" s="1092" t="s">
        <v>8322</v>
      </c>
      <c r="V88" s="61">
        <f>+SUM(V89:V107)</f>
        <v>343596</v>
      </c>
    </row>
    <row r="89" spans="1:22" ht="15.75" x14ac:dyDescent="0.2">
      <c r="A89" s="1025">
        <v>34</v>
      </c>
      <c r="B89" s="1026" t="s">
        <v>18910</v>
      </c>
      <c r="C89" s="1026" t="s">
        <v>18910</v>
      </c>
      <c r="D89" s="1027">
        <v>4500</v>
      </c>
      <c r="E89" s="1023" t="e" vm="76">
        <v>#VALUE!</v>
      </c>
      <c r="J89" cm="1">
        <f t="array" ref="J89:J93">+_xlfn._xlws.FILTER(R89:R107,U89:U107&lt;&gt;0)</f>
        <v>114</v>
      </c>
      <c r="K89" s="1093" cm="1">
        <f t="array" ref="K89:K93">+_xlfn._xlws.FILTER(U89:U107,U89:U107&lt;&gt;0)</f>
        <v>400</v>
      </c>
      <c r="L89" s="1" cm="1">
        <f t="array" ref="L89:L93">+_xlfn._xlws.FILTER(T89:T107,U89:U107&lt;&gt;0)</f>
        <v>229.32</v>
      </c>
      <c r="P89">
        <f>+_xlfn.XLOOKUP(R89,$O$40:$O$76,$R$40:$R$76,0,0)</f>
        <v>0</v>
      </c>
      <c r="Q89" s="1">
        <f t="shared" ref="Q89:Q97" si="11">+_xlfn.XLOOKUP(R89,$O$40:$O$76,$T$40:$T$76,0,0)</f>
        <v>0</v>
      </c>
      <c r="R89" s="13">
        <v>133</v>
      </c>
      <c r="S89" t="s">
        <v>7770</v>
      </c>
      <c r="T89" s="1">
        <v>120.22</v>
      </c>
      <c r="U89" s="1093"/>
      <c r="V89" s="1">
        <f>+T89*U89</f>
        <v>0</v>
      </c>
    </row>
    <row r="90" spans="1:22" ht="15.75" thickBot="1" x14ac:dyDescent="0.25">
      <c r="A90" s="1559" t="s">
        <v>18911</v>
      </c>
      <c r="B90" s="1560"/>
      <c r="C90" s="1560"/>
      <c r="D90" s="1561"/>
      <c r="E90" s="1028"/>
      <c r="J90">
        <v>101</v>
      </c>
      <c r="K90">
        <v>400</v>
      </c>
      <c r="L90" s="1">
        <v>237.41</v>
      </c>
      <c r="P90">
        <f t="shared" ref="P90:P107" si="12">+_xlfn.XLOOKUP(R90,$O$40:$O$76,$R$40:$R$76,0,0)</f>
        <v>0</v>
      </c>
      <c r="Q90" s="1">
        <f t="shared" si="11"/>
        <v>0</v>
      </c>
      <c r="R90" s="13">
        <v>134</v>
      </c>
      <c r="S90" t="s">
        <v>7773</v>
      </c>
      <c r="T90" s="1">
        <v>161.24</v>
      </c>
      <c r="U90" s="1093"/>
      <c r="V90" s="1">
        <f t="shared" ref="V90:V107" si="13">+T90*U90</f>
        <v>0</v>
      </c>
    </row>
    <row r="91" spans="1:22" ht="15.75" x14ac:dyDescent="0.2">
      <c r="A91" s="1029">
        <v>35</v>
      </c>
      <c r="B91" s="37" t="s">
        <v>18912</v>
      </c>
      <c r="C91" s="37"/>
      <c r="D91" s="1030">
        <v>5200</v>
      </c>
      <c r="E91" s="1028"/>
      <c r="J91">
        <v>536</v>
      </c>
      <c r="K91">
        <v>400</v>
      </c>
      <c r="L91" s="1">
        <v>95.05</v>
      </c>
      <c r="P91">
        <f t="shared" si="12"/>
        <v>1114</v>
      </c>
      <c r="Q91" s="1">
        <f t="shared" si="11"/>
        <v>374.79669999999999</v>
      </c>
      <c r="R91" s="13">
        <v>114</v>
      </c>
      <c r="S91" t="s">
        <v>7837</v>
      </c>
      <c r="T91" s="1">
        <v>229.32</v>
      </c>
      <c r="U91" s="1093">
        <v>400</v>
      </c>
      <c r="V91" s="1">
        <f t="shared" si="13"/>
        <v>91728</v>
      </c>
    </row>
    <row r="92" spans="1:22" ht="15.75" x14ac:dyDescent="0.2">
      <c r="A92" s="1029">
        <v>36</v>
      </c>
      <c r="B92" s="37" t="s">
        <v>18913</v>
      </c>
      <c r="C92" s="37"/>
      <c r="D92" s="1030">
        <v>8356</v>
      </c>
      <c r="E92" s="1028"/>
      <c r="J92">
        <v>70</v>
      </c>
      <c r="K92">
        <v>400</v>
      </c>
      <c r="L92" s="1">
        <v>160.86000000000001</v>
      </c>
      <c r="P92">
        <f t="shared" si="12"/>
        <v>1101</v>
      </c>
      <c r="Q92" s="1">
        <f t="shared" si="11"/>
        <v>397.3442</v>
      </c>
      <c r="R92" s="13">
        <v>101</v>
      </c>
      <c r="S92" t="s">
        <v>7822</v>
      </c>
      <c r="T92" s="1">
        <v>237.41</v>
      </c>
      <c r="U92" s="1093">
        <v>400</v>
      </c>
      <c r="V92" s="1">
        <f t="shared" si="13"/>
        <v>94964</v>
      </c>
    </row>
    <row r="93" spans="1:22" ht="15.75" x14ac:dyDescent="0.2">
      <c r="A93" s="1029">
        <v>37</v>
      </c>
      <c r="B93" s="37" t="s">
        <v>18914</v>
      </c>
      <c r="C93" s="37"/>
      <c r="D93" s="1030">
        <v>12864</v>
      </c>
      <c r="E93" s="1028"/>
      <c r="J93">
        <v>22</v>
      </c>
      <c r="K93">
        <v>1000</v>
      </c>
      <c r="L93" s="1">
        <v>54.54</v>
      </c>
      <c r="P93">
        <f t="shared" si="12"/>
        <v>1098</v>
      </c>
      <c r="Q93" s="1">
        <f t="shared" si="11"/>
        <v>0</v>
      </c>
      <c r="R93" s="13">
        <v>98</v>
      </c>
      <c r="S93" t="s">
        <v>18882</v>
      </c>
      <c r="T93" s="1">
        <v>133.19</v>
      </c>
      <c r="U93" s="1093"/>
      <c r="V93" s="1">
        <f t="shared" si="13"/>
        <v>0</v>
      </c>
    </row>
    <row r="94" spans="1:22" ht="15.75" x14ac:dyDescent="0.2">
      <c r="A94" s="1029">
        <v>38</v>
      </c>
      <c r="B94" s="37" t="s">
        <v>18915</v>
      </c>
      <c r="C94" s="37"/>
      <c r="D94" s="1030">
        <v>30628</v>
      </c>
      <c r="E94" s="1028"/>
      <c r="O94" s="1"/>
      <c r="P94">
        <f t="shared" si="12"/>
        <v>0</v>
      </c>
      <c r="Q94" s="1">
        <f t="shared" si="11"/>
        <v>0</v>
      </c>
      <c r="R94" s="13">
        <v>402</v>
      </c>
      <c r="S94" t="s">
        <v>18916</v>
      </c>
      <c r="T94" s="1">
        <v>237.27</v>
      </c>
      <c r="U94" s="1093"/>
      <c r="V94" s="1">
        <f t="shared" si="13"/>
        <v>0</v>
      </c>
    </row>
    <row r="95" spans="1:22" ht="15.75" x14ac:dyDescent="0.2">
      <c r="A95" s="1029">
        <v>39</v>
      </c>
      <c r="B95" s="37" t="s">
        <v>18917</v>
      </c>
      <c r="C95" s="37"/>
      <c r="D95" s="1030">
        <v>12500</v>
      </c>
      <c r="E95" s="1028"/>
      <c r="O95" s="240"/>
      <c r="P95">
        <f t="shared" si="12"/>
        <v>0</v>
      </c>
      <c r="Q95" s="1">
        <f t="shared" si="11"/>
        <v>0</v>
      </c>
      <c r="R95" s="13">
        <v>149</v>
      </c>
      <c r="S95" t="s">
        <v>18918</v>
      </c>
      <c r="T95" s="1">
        <v>35.369999999999997</v>
      </c>
      <c r="U95" s="1093"/>
      <c r="V95" s="1">
        <f t="shared" si="13"/>
        <v>0</v>
      </c>
    </row>
    <row r="96" spans="1:22" ht="15.75" x14ac:dyDescent="0.2">
      <c r="A96" s="1029">
        <v>90</v>
      </c>
      <c r="B96" s="37" t="s">
        <v>18919</v>
      </c>
      <c r="C96" s="37"/>
      <c r="D96" s="1030">
        <v>10800</v>
      </c>
      <c r="E96" s="1028"/>
      <c r="O96" s="240"/>
      <c r="P96">
        <f t="shared" si="12"/>
        <v>0</v>
      </c>
      <c r="Q96" s="1">
        <f t="shared" si="11"/>
        <v>0</v>
      </c>
      <c r="R96" s="13">
        <v>139</v>
      </c>
      <c r="S96" t="s">
        <v>18920</v>
      </c>
      <c r="T96" s="1">
        <v>169.1</v>
      </c>
      <c r="U96" s="1093"/>
      <c r="V96" s="1">
        <f t="shared" si="13"/>
        <v>0</v>
      </c>
    </row>
    <row r="97" spans="1:22" ht="15.75" x14ac:dyDescent="0.2">
      <c r="A97" s="1029">
        <v>91</v>
      </c>
      <c r="B97" s="37" t="s">
        <v>18921</v>
      </c>
      <c r="C97" s="37"/>
      <c r="D97" s="1030">
        <v>15440</v>
      </c>
      <c r="E97" s="1028"/>
      <c r="O97" s="240"/>
      <c r="P97">
        <f t="shared" si="12"/>
        <v>1536</v>
      </c>
      <c r="Q97" s="1">
        <f t="shared" si="11"/>
        <v>157.33580000000001</v>
      </c>
      <c r="R97" s="13">
        <v>536</v>
      </c>
      <c r="S97" t="s">
        <v>18922</v>
      </c>
      <c r="T97" s="1">
        <v>95.05</v>
      </c>
      <c r="U97" s="1093">
        <v>400</v>
      </c>
      <c r="V97" s="1">
        <f t="shared" si="13"/>
        <v>38020</v>
      </c>
    </row>
    <row r="98" spans="1:22" ht="15.75" x14ac:dyDescent="0.2">
      <c r="A98" s="1029">
        <v>92</v>
      </c>
      <c r="B98" s="37" t="s">
        <v>18923</v>
      </c>
      <c r="C98" s="37"/>
      <c r="D98" s="1030">
        <v>5200</v>
      </c>
      <c r="E98" s="1028"/>
      <c r="O98" s="240"/>
      <c r="P98">
        <f t="shared" si="12"/>
        <v>1070</v>
      </c>
      <c r="Q98" s="1">
        <f>+_xlfn.XLOOKUP(R98,$O$40:$O$76,$T$40:$T$76,0,0)</f>
        <v>262.05119999999999</v>
      </c>
      <c r="R98" s="13">
        <v>70</v>
      </c>
      <c r="S98" t="s">
        <v>7780</v>
      </c>
      <c r="T98" s="1">
        <v>160.86000000000001</v>
      </c>
      <c r="U98" s="1093">
        <v>400</v>
      </c>
      <c r="V98" s="1">
        <f t="shared" si="13"/>
        <v>64344.000000000007</v>
      </c>
    </row>
    <row r="99" spans="1:22" ht="15.75" x14ac:dyDescent="0.2">
      <c r="A99" s="1029">
        <v>93</v>
      </c>
      <c r="B99" s="37" t="s">
        <v>18924</v>
      </c>
      <c r="C99" s="37"/>
      <c r="D99" s="1030">
        <v>8000</v>
      </c>
      <c r="E99" s="1028"/>
      <c r="O99" s="240"/>
      <c r="P99">
        <f t="shared" si="12"/>
        <v>0</v>
      </c>
      <c r="Q99" s="1">
        <f t="shared" ref="Q99:Q107" si="14">+_xlfn.XLOOKUP(R99,$O$40:$O$76,$T$40:$T$76,0,0)</f>
        <v>0</v>
      </c>
      <c r="R99" s="13">
        <v>632</v>
      </c>
      <c r="S99" t="s">
        <v>18925</v>
      </c>
      <c r="T99" s="1">
        <v>260.69</v>
      </c>
      <c r="U99" s="1093"/>
      <c r="V99" s="1">
        <f t="shared" si="13"/>
        <v>0</v>
      </c>
    </row>
    <row r="100" spans="1:22" ht="15.75" x14ac:dyDescent="0.2">
      <c r="A100" s="1029">
        <v>94</v>
      </c>
      <c r="B100" s="37" t="s">
        <v>18926</v>
      </c>
      <c r="C100" s="37"/>
      <c r="D100" s="1030">
        <v>10800</v>
      </c>
      <c r="E100" s="1028"/>
      <c r="O100" s="240"/>
      <c r="P100">
        <f t="shared" si="12"/>
        <v>0</v>
      </c>
      <c r="Q100" s="1">
        <f t="shared" si="14"/>
        <v>0</v>
      </c>
      <c r="R100" s="13" t="s">
        <v>18927</v>
      </c>
      <c r="S100" t="s">
        <v>18928</v>
      </c>
      <c r="T100" s="1">
        <v>212.23</v>
      </c>
      <c r="U100" s="1093"/>
      <c r="V100" s="1">
        <f t="shared" si="13"/>
        <v>0</v>
      </c>
    </row>
    <row r="101" spans="1:22" ht="15.75" thickBot="1" x14ac:dyDescent="0.25">
      <c r="A101" s="1559" t="s">
        <v>18929</v>
      </c>
      <c r="B101" s="1560"/>
      <c r="C101" s="1560"/>
      <c r="D101" s="1561"/>
      <c r="E101" s="1028"/>
      <c r="O101" s="240"/>
      <c r="P101">
        <f t="shared" si="12"/>
        <v>0</v>
      </c>
      <c r="Q101" s="1">
        <f t="shared" si="14"/>
        <v>0</v>
      </c>
      <c r="R101" s="13">
        <v>104</v>
      </c>
      <c r="S101" t="s">
        <v>18930</v>
      </c>
      <c r="T101" s="1">
        <v>85.61</v>
      </c>
      <c r="U101" s="1093"/>
      <c r="V101" s="1">
        <f t="shared" si="13"/>
        <v>0</v>
      </c>
    </row>
    <row r="102" spans="1:22" ht="15.75" x14ac:dyDescent="0.2">
      <c r="A102" s="1031">
        <v>40</v>
      </c>
      <c r="B102" s="1032"/>
      <c r="C102" s="1032" t="s">
        <v>18931</v>
      </c>
      <c r="D102" s="1033">
        <v>4350</v>
      </c>
      <c r="E102" s="1023" t="e" vm="77">
        <v>#VALUE!</v>
      </c>
      <c r="O102" s="240"/>
      <c r="P102">
        <f t="shared" si="12"/>
        <v>0</v>
      </c>
      <c r="Q102" s="1">
        <f t="shared" si="14"/>
        <v>0</v>
      </c>
      <c r="R102" s="13">
        <v>22</v>
      </c>
      <c r="S102" t="s">
        <v>18932</v>
      </c>
      <c r="T102" s="1">
        <v>54.54</v>
      </c>
      <c r="U102" s="1093">
        <v>1000</v>
      </c>
      <c r="V102" s="1">
        <f t="shared" si="13"/>
        <v>54540</v>
      </c>
    </row>
    <row r="103" spans="1:22" ht="15.75" x14ac:dyDescent="0.2">
      <c r="A103" s="1020">
        <v>41</v>
      </c>
      <c r="B103" s="1034"/>
      <c r="C103" s="1034" t="s">
        <v>18933</v>
      </c>
      <c r="D103" s="1035">
        <v>4950</v>
      </c>
      <c r="E103" s="1023" t="e" vm="78">
        <v>#VALUE!</v>
      </c>
      <c r="O103" s="240"/>
      <c r="P103">
        <f t="shared" si="12"/>
        <v>0</v>
      </c>
      <c r="Q103" s="1">
        <f t="shared" si="14"/>
        <v>0</v>
      </c>
      <c r="R103" s="13">
        <v>75</v>
      </c>
      <c r="S103" t="s">
        <v>18934</v>
      </c>
      <c r="T103" s="1">
        <v>91.78</v>
      </c>
      <c r="U103" s="1093"/>
      <c r="V103" s="1">
        <f t="shared" si="13"/>
        <v>0</v>
      </c>
    </row>
    <row r="104" spans="1:22" ht="15.75" x14ac:dyDescent="0.2">
      <c r="A104" s="1020">
        <v>42</v>
      </c>
      <c r="B104" s="1034"/>
      <c r="C104" s="1034" t="s">
        <v>18935</v>
      </c>
      <c r="D104" s="1035">
        <v>4950</v>
      </c>
      <c r="E104" s="1023" t="e" vm="79">
        <v>#VALUE!</v>
      </c>
      <c r="O104" s="240"/>
      <c r="P104">
        <f t="shared" si="12"/>
        <v>0</v>
      </c>
      <c r="Q104" s="1">
        <f t="shared" si="14"/>
        <v>0</v>
      </c>
      <c r="R104" s="13">
        <v>130</v>
      </c>
      <c r="S104" t="s">
        <v>18936</v>
      </c>
      <c r="T104" s="1">
        <v>200.74</v>
      </c>
      <c r="U104" s="1093"/>
      <c r="V104" s="1">
        <f t="shared" si="13"/>
        <v>0</v>
      </c>
    </row>
    <row r="105" spans="1:22" ht="15.75" x14ac:dyDescent="0.2">
      <c r="A105" s="1020">
        <v>43</v>
      </c>
      <c r="B105" s="1034"/>
      <c r="C105" s="1034" t="s">
        <v>18937</v>
      </c>
      <c r="D105" s="1035">
        <v>5500</v>
      </c>
      <c r="E105" s="1023" t="e" vm="80">
        <v>#VALUE!</v>
      </c>
      <c r="O105" s="240"/>
      <c r="P105">
        <f t="shared" si="12"/>
        <v>0</v>
      </c>
      <c r="Q105" s="1">
        <f t="shared" si="14"/>
        <v>0</v>
      </c>
      <c r="R105" s="13">
        <v>69</v>
      </c>
      <c r="S105" t="s">
        <v>18938</v>
      </c>
      <c r="T105" s="1">
        <v>45.03</v>
      </c>
      <c r="U105" s="1093"/>
      <c r="V105" s="1">
        <f t="shared" si="13"/>
        <v>0</v>
      </c>
    </row>
    <row r="106" spans="1:22" ht="15.75" x14ac:dyDescent="0.2">
      <c r="A106" s="1020">
        <v>50</v>
      </c>
      <c r="B106" s="1034"/>
      <c r="C106" s="1034" t="s">
        <v>18939</v>
      </c>
      <c r="D106" s="1035">
        <v>5400</v>
      </c>
      <c r="E106" s="1023" t="e" vm="81">
        <v>#VALUE!</v>
      </c>
      <c r="O106" s="240"/>
      <c r="P106">
        <f t="shared" si="12"/>
        <v>0</v>
      </c>
      <c r="Q106" s="1">
        <f t="shared" si="14"/>
        <v>0</v>
      </c>
      <c r="R106" s="13">
        <v>91</v>
      </c>
      <c r="S106" t="s">
        <v>18940</v>
      </c>
      <c r="T106" s="1">
        <v>22.5</v>
      </c>
      <c r="U106" s="1093"/>
      <c r="V106" s="1">
        <f t="shared" si="13"/>
        <v>0</v>
      </c>
    </row>
    <row r="107" spans="1:22" ht="15.75" x14ac:dyDescent="0.2">
      <c r="A107" s="1020">
        <v>52</v>
      </c>
      <c r="B107" s="1034"/>
      <c r="C107" s="1034" t="s">
        <v>18941</v>
      </c>
      <c r="D107" s="1035">
        <v>5600</v>
      </c>
      <c r="E107" s="1023" t="e" vm="82">
        <v>#VALUE!</v>
      </c>
      <c r="O107" s="240"/>
      <c r="P107">
        <f t="shared" si="12"/>
        <v>0</v>
      </c>
      <c r="Q107" s="1">
        <f t="shared" si="14"/>
        <v>0</v>
      </c>
      <c r="R107" s="13">
        <v>132</v>
      </c>
      <c r="S107" t="s">
        <v>18942</v>
      </c>
      <c r="T107" s="1">
        <v>82.4</v>
      </c>
      <c r="U107" s="1093"/>
      <c r="V107" s="1">
        <f t="shared" si="13"/>
        <v>0</v>
      </c>
    </row>
    <row r="108" spans="1:22" ht="15.75" x14ac:dyDescent="0.2">
      <c r="A108" s="1020">
        <v>60</v>
      </c>
      <c r="B108" s="1034"/>
      <c r="C108" s="1034" t="s">
        <v>18943</v>
      </c>
      <c r="D108" s="1035">
        <v>5500</v>
      </c>
      <c r="E108" s="1023" t="e" vm="83">
        <v>#VALUE!</v>
      </c>
    </row>
    <row r="109" spans="1:22" ht="15.75" x14ac:dyDescent="0.2">
      <c r="A109" s="1020">
        <v>62</v>
      </c>
      <c r="B109" s="1034"/>
      <c r="C109" s="1034" t="s">
        <v>18944</v>
      </c>
      <c r="D109" s="1035">
        <v>6050</v>
      </c>
      <c r="E109" s="1023" t="e" vm="84">
        <v>#VALUE!</v>
      </c>
    </row>
    <row r="110" spans="1:22" ht="15.75" x14ac:dyDescent="0.2">
      <c r="A110" s="1020">
        <v>70</v>
      </c>
      <c r="B110" s="1034"/>
      <c r="C110" s="1034" t="s">
        <v>18945</v>
      </c>
      <c r="D110" s="1035">
        <v>6100</v>
      </c>
      <c r="E110" s="1023" t="e" vm="85">
        <v>#VALUE!</v>
      </c>
    </row>
    <row r="111" spans="1:22" ht="15.75" x14ac:dyDescent="0.2">
      <c r="A111" s="1020">
        <v>72</v>
      </c>
      <c r="B111" s="1034"/>
      <c r="C111" s="1034" t="s">
        <v>18946</v>
      </c>
      <c r="D111" s="1035">
        <v>6400</v>
      </c>
      <c r="E111" s="1023" t="e" vm="86">
        <v>#VALUE!</v>
      </c>
    </row>
    <row r="112" spans="1:22" ht="15.75" x14ac:dyDescent="0.2">
      <c r="A112" s="1020">
        <v>74</v>
      </c>
      <c r="B112" s="1034"/>
      <c r="C112" s="1034" t="s">
        <v>18947</v>
      </c>
      <c r="D112" s="1035">
        <v>7500</v>
      </c>
      <c r="E112" s="1023" t="e" vm="87">
        <v>#VALUE!</v>
      </c>
    </row>
    <row r="113" spans="1:5" ht="15.75" x14ac:dyDescent="0.2">
      <c r="A113" s="1020">
        <v>76</v>
      </c>
      <c r="B113" s="1034"/>
      <c r="C113" s="1034" t="s">
        <v>18948</v>
      </c>
      <c r="D113" s="1035">
        <v>9250</v>
      </c>
      <c r="E113" s="1023" t="e" vm="88">
        <v>#VALUE!</v>
      </c>
    </row>
    <row r="114" spans="1:5" ht="16.5" thickBot="1" x14ac:dyDescent="0.25">
      <c r="A114" s="1036">
        <v>80</v>
      </c>
      <c r="B114" s="1037"/>
      <c r="C114" s="1037" t="s">
        <v>7763</v>
      </c>
      <c r="D114" s="1038">
        <v>5750</v>
      </c>
      <c r="E114" s="1039" t="e" vm="89">
        <v>#VALUE!</v>
      </c>
    </row>
  </sheetData>
  <mergeCells count="4">
    <mergeCell ref="A101:D101"/>
    <mergeCell ref="A1:C1"/>
    <mergeCell ref="A73:D73"/>
    <mergeCell ref="A90:D90"/>
  </mergeCells>
  <pageMargins left="0.7" right="0.7" top="1.3149999999999999" bottom="0.75" header="0.3" footer="0.3"/>
  <pageSetup paperSize="9" scale="95" orientation="portrait" r:id="rId1"/>
  <ignoredErrors>
    <ignoredError sqref="N3:N28 N40:N77 N32:N33" numberStoredAsText="1"/>
    <ignoredError sqref="V77" formulaRange="1"/>
  </ignoredErrors>
  <tableParts count="2">
    <tablePart r:id="rId2"/>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13CC-85C3-4219-ABA1-C837DE3EE59B}">
  <sheetPr codeName="Hoja39"/>
  <dimension ref="A3:W263"/>
  <sheetViews>
    <sheetView zoomScaleNormal="100" workbookViewId="0">
      <pane ySplit="4" topLeftCell="A119" activePane="bottomLeft" state="frozen"/>
      <selection activeCell="G12" sqref="G12"/>
      <selection pane="bottomLeft" activeCell="I150" sqref="I150"/>
    </sheetView>
  </sheetViews>
  <sheetFormatPr baseColWidth="10" defaultColWidth="11.42578125" defaultRowHeight="15" x14ac:dyDescent="0.25"/>
  <cols>
    <col min="1" max="1" width="40.140625" style="1069" bestFit="1" customWidth="1"/>
    <col min="2" max="2" width="24.85546875" style="1069" customWidth="1"/>
    <col min="3" max="3" width="15.28515625" style="1070" customWidth="1"/>
    <col min="4" max="4" width="11.42578125" style="1069"/>
    <col min="5" max="5" width="14.5703125" style="1069" bestFit="1" customWidth="1"/>
    <col min="6" max="6" width="2.28515625" style="1069" customWidth="1"/>
    <col min="7" max="7" width="6.7109375" style="1069" bestFit="1" customWidth="1"/>
    <col min="8" max="8" width="21.85546875" style="1069" bestFit="1" customWidth="1"/>
    <col min="9" max="9" width="21.42578125" style="1069" customWidth="1"/>
    <col min="10" max="10" width="3.28515625" style="1069" customWidth="1"/>
    <col min="11" max="11" width="10.7109375" style="1070" customWidth="1"/>
    <col min="12" max="12" width="11.42578125" style="1069" customWidth="1"/>
    <col min="13" max="13" width="0.5703125" style="1069" customWidth="1"/>
    <col min="14" max="14" width="10.85546875" style="1070" customWidth="1"/>
    <col min="15" max="15" width="6.42578125" style="1071" customWidth="1"/>
    <col min="16" max="17" width="11.42578125" style="1069" customWidth="1"/>
    <col min="18" max="18" width="28.140625" style="1069" bestFit="1" customWidth="1"/>
    <col min="19" max="20" width="11.42578125" style="1069"/>
    <col min="21" max="21" width="15.7109375" style="1080" customWidth="1"/>
    <col min="22" max="22" width="14.28515625" style="1069" customWidth="1"/>
    <col min="23" max="23" width="14" style="1069" bestFit="1" customWidth="1"/>
    <col min="24" max="16384" width="11.42578125" style="1069"/>
  </cols>
  <sheetData>
    <row r="3" spans="1:23" x14ac:dyDescent="0.25">
      <c r="A3" s="1066" t="s">
        <v>18949</v>
      </c>
      <c r="B3" s="1067"/>
      <c r="C3" s="1068" t="s">
        <v>18950</v>
      </c>
      <c r="G3" s="1081"/>
      <c r="H3" s="1280" t="s">
        <v>8118</v>
      </c>
      <c r="I3" s="1279"/>
      <c r="R3" s="1563" t="s">
        <v>18951</v>
      </c>
      <c r="S3" s="1563"/>
      <c r="T3" s="1563"/>
      <c r="V3" s="1080">
        <f>+SUM(V5:V71)</f>
        <v>78560</v>
      </c>
    </row>
    <row r="4" spans="1:23" x14ac:dyDescent="0.25">
      <c r="C4" s="1072">
        <v>45536</v>
      </c>
      <c r="E4" s="1073" t="s">
        <v>8118</v>
      </c>
      <c r="G4" s="1073" t="s">
        <v>18952</v>
      </c>
      <c r="H4" s="1073" t="s">
        <v>18953</v>
      </c>
      <c r="I4" s="1073" t="s">
        <v>9007</v>
      </c>
      <c r="K4" s="1073" t="s">
        <v>3371</v>
      </c>
      <c r="L4" s="1073" t="s">
        <v>18954</v>
      </c>
      <c r="N4" s="1073" t="s">
        <v>8115</v>
      </c>
      <c r="O4" s="1074" t="s">
        <v>18954</v>
      </c>
      <c r="Q4" s="1069" t="s">
        <v>18955</v>
      </c>
      <c r="R4" s="1075" t="s">
        <v>18956</v>
      </c>
      <c r="S4" s="1075" t="s">
        <v>8977</v>
      </c>
      <c r="T4" s="1075" t="s">
        <v>8322</v>
      </c>
      <c r="U4" s="1075" t="s">
        <v>8754</v>
      </c>
      <c r="V4" s="1075" t="s">
        <v>8162</v>
      </c>
    </row>
    <row r="5" spans="1:23" x14ac:dyDescent="0.25">
      <c r="A5" s="1076" t="s">
        <v>18957</v>
      </c>
      <c r="B5" s="1076" t="s">
        <v>18958</v>
      </c>
      <c r="C5" s="1077">
        <v>0</v>
      </c>
      <c r="E5" s="1077">
        <f>+C5/1000</f>
        <v>0</v>
      </c>
      <c r="G5" s="1069">
        <v>101001</v>
      </c>
      <c r="H5" s="1069" t="s">
        <v>3468</v>
      </c>
      <c r="I5" s="1069" t="s">
        <v>18959</v>
      </c>
      <c r="K5" s="1070">
        <v>0</v>
      </c>
      <c r="L5" s="1078" t="str">
        <f t="shared" ref="L5" si="0">+IF(K5=0,"",K5/E5-1)</f>
        <v/>
      </c>
      <c r="N5" s="1070">
        <v>0</v>
      </c>
      <c r="O5" s="1078" t="str">
        <f>+IF(N5=0,"",N5/E5-1)</f>
        <v/>
      </c>
      <c r="Q5" s="1079">
        <f>+SUM(K5:O5)</f>
        <v>0</v>
      </c>
      <c r="R5" s="1069" t="str" cm="1">
        <f t="array" ref="R5:S6">+_xlfn._xlws.FILTER($H$1:$I$263,$J$1:$J$263="OK")</f>
        <v>ARANDELAS DE ALUMINIO</v>
      </c>
      <c r="S5" s="1069" t="str">
        <v>12X17</v>
      </c>
      <c r="T5" s="1097">
        <v>1000</v>
      </c>
      <c r="U5" s="1080" cm="1">
        <f t="array" ref="U5:U6">+_xlfn._xlws.FILTER($E$1:$E$263,$J$1:$J$263="OK")</f>
        <v>21.995999999999999</v>
      </c>
      <c r="V5" s="1080">
        <f>+T5*U5</f>
        <v>21996</v>
      </c>
    </row>
    <row r="6" spans="1:23" x14ac:dyDescent="0.25">
      <c r="A6" s="1076" t="s">
        <v>18960</v>
      </c>
      <c r="B6" s="1076" t="s">
        <v>18958</v>
      </c>
      <c r="C6" s="1077">
        <v>12075</v>
      </c>
      <c r="E6" s="1077">
        <f t="shared" ref="E6:E52" si="1">+C6/1000</f>
        <v>12.074999999999999</v>
      </c>
      <c r="G6" s="1069">
        <v>101002</v>
      </c>
      <c r="H6" s="1069" t="s">
        <v>3468</v>
      </c>
      <c r="I6" s="1069" t="s">
        <v>18961</v>
      </c>
      <c r="K6" s="1070">
        <v>0</v>
      </c>
      <c r="L6" s="1078" t="str">
        <f>+IF(K6=0,"",K6/E6-1)</f>
        <v/>
      </c>
      <c r="N6" s="1070">
        <v>0</v>
      </c>
      <c r="O6" s="1078" t="str">
        <f t="shared" ref="O6:O51" si="2">+IF(N6=0,"",N6/E6-1)</f>
        <v/>
      </c>
      <c r="Q6" s="1079">
        <f t="shared" ref="Q6:Q70" si="3">+SUM(K6:O6)</f>
        <v>0</v>
      </c>
      <c r="R6" s="1069" t="str">
        <v>ARANDELAS DE COBRE</v>
      </c>
      <c r="S6" s="1069" t="str">
        <v>13X20</v>
      </c>
      <c r="T6" s="1097">
        <v>200</v>
      </c>
      <c r="U6" s="1080">
        <v>282.82</v>
      </c>
      <c r="V6" s="1080">
        <f t="shared" ref="V6:V19" si="4">+T6*U6</f>
        <v>56564</v>
      </c>
    </row>
    <row r="7" spans="1:23" x14ac:dyDescent="0.25">
      <c r="A7" s="1076" t="s">
        <v>18962</v>
      </c>
      <c r="B7" s="1076" t="s">
        <v>18958</v>
      </c>
      <c r="C7" s="1077">
        <v>10210</v>
      </c>
      <c r="D7" s="1069" t="b">
        <f>+IF(AND(L7&lt;0,O7&lt;0),TRUE,FALSE)</f>
        <v>0</v>
      </c>
      <c r="E7" s="1077">
        <f t="shared" si="1"/>
        <v>10.210000000000001</v>
      </c>
      <c r="G7" s="1069">
        <v>101003</v>
      </c>
      <c r="H7" s="1069" t="s">
        <v>3468</v>
      </c>
      <c r="I7" s="1069" t="s">
        <v>18963</v>
      </c>
      <c r="K7" s="1070">
        <v>11.240019999999999</v>
      </c>
      <c r="L7" s="1078">
        <f t="shared" ref="L7:L50" si="5">+IF(K7=0,"",K7/E7-1)</f>
        <v>0.1008834476003917</v>
      </c>
      <c r="N7" s="1070">
        <v>0</v>
      </c>
      <c r="O7" s="1078" t="str">
        <f t="shared" si="2"/>
        <v/>
      </c>
      <c r="Q7" s="1079">
        <f t="shared" si="3"/>
        <v>11.340903447600391</v>
      </c>
      <c r="R7" s="1069" t="s">
        <v>3369</v>
      </c>
      <c r="S7" s="1069" t="s">
        <v>3429</v>
      </c>
      <c r="T7" s="1097">
        <v>200</v>
      </c>
      <c r="V7" s="1080">
        <f t="shared" si="4"/>
        <v>0</v>
      </c>
      <c r="W7" s="1080"/>
    </row>
    <row r="8" spans="1:23" x14ac:dyDescent="0.25">
      <c r="A8" s="1076" t="s">
        <v>18964</v>
      </c>
      <c r="B8" s="1076" t="s">
        <v>18965</v>
      </c>
      <c r="C8" s="1077">
        <v>14011</v>
      </c>
      <c r="E8" s="1077">
        <f t="shared" si="1"/>
        <v>14.010999999999999</v>
      </c>
      <c r="G8" s="1069">
        <v>101004</v>
      </c>
      <c r="H8" s="1069" t="s">
        <v>3468</v>
      </c>
      <c r="I8" s="1069" t="s">
        <v>18966</v>
      </c>
      <c r="K8" s="1070">
        <v>0</v>
      </c>
      <c r="L8" s="1078" t="str">
        <f t="shared" si="5"/>
        <v/>
      </c>
      <c r="N8" s="1070">
        <v>0</v>
      </c>
      <c r="O8" s="1078" t="str">
        <f t="shared" si="2"/>
        <v/>
      </c>
      <c r="Q8" s="1079">
        <f t="shared" si="3"/>
        <v>0</v>
      </c>
      <c r="R8" s="1069" t="s">
        <v>3369</v>
      </c>
      <c r="S8" s="1069" t="s">
        <v>18967</v>
      </c>
      <c r="T8" s="1097">
        <v>200</v>
      </c>
      <c r="V8" s="1080">
        <f t="shared" si="4"/>
        <v>0</v>
      </c>
    </row>
    <row r="9" spans="1:23" x14ac:dyDescent="0.25">
      <c r="A9" s="1076" t="s">
        <v>18968</v>
      </c>
      <c r="B9" s="1076" t="s">
        <v>18969</v>
      </c>
      <c r="C9" s="1077">
        <v>10905</v>
      </c>
      <c r="E9" s="1077">
        <f t="shared" si="1"/>
        <v>10.904999999999999</v>
      </c>
      <c r="G9" s="1069">
        <v>101005</v>
      </c>
      <c r="H9" s="1069" t="s">
        <v>3468</v>
      </c>
      <c r="I9" s="1069" t="s">
        <v>18970</v>
      </c>
      <c r="K9" s="1070">
        <v>0</v>
      </c>
      <c r="L9" s="1078" t="str">
        <f t="shared" si="5"/>
        <v/>
      </c>
      <c r="N9" s="1070">
        <v>0</v>
      </c>
      <c r="O9" s="1078" t="str">
        <f t="shared" si="2"/>
        <v/>
      </c>
      <c r="Q9" s="1079">
        <f t="shared" si="3"/>
        <v>0</v>
      </c>
      <c r="R9" s="1069" t="s">
        <v>3369</v>
      </c>
      <c r="S9" s="1069" t="s">
        <v>18971</v>
      </c>
      <c r="T9" s="1097">
        <v>200</v>
      </c>
      <c r="V9" s="1080">
        <f t="shared" si="4"/>
        <v>0</v>
      </c>
    </row>
    <row r="10" spans="1:23" x14ac:dyDescent="0.25">
      <c r="A10" s="1076" t="s">
        <v>18972</v>
      </c>
      <c r="B10" s="1076" t="s">
        <v>18958</v>
      </c>
      <c r="C10" s="1077">
        <v>10905</v>
      </c>
      <c r="D10" s="1069" t="b">
        <f>+IF(AND(L10&lt;0,O10&lt;0),TRUE,FALSE)</f>
        <v>0</v>
      </c>
      <c r="E10" s="1077">
        <f t="shared" si="1"/>
        <v>10.904999999999999</v>
      </c>
      <c r="G10" s="1069">
        <v>101006</v>
      </c>
      <c r="H10" s="1069" t="s">
        <v>3468</v>
      </c>
      <c r="I10" s="1069" t="s">
        <v>18973</v>
      </c>
      <c r="K10" s="1070">
        <v>12.18679</v>
      </c>
      <c r="L10" s="1078">
        <f t="shared" si="5"/>
        <v>0.11754149472718955</v>
      </c>
      <c r="N10" s="1070">
        <v>0</v>
      </c>
      <c r="O10" s="1078" t="str">
        <f t="shared" si="2"/>
        <v/>
      </c>
      <c r="Q10" s="1079">
        <f t="shared" si="3"/>
        <v>12.30433149472719</v>
      </c>
      <c r="R10" s="1069" t="s">
        <v>3468</v>
      </c>
      <c r="S10" s="1069" t="s">
        <v>3429</v>
      </c>
      <c r="T10" s="1097">
        <v>1000</v>
      </c>
      <c r="V10" s="1080">
        <f t="shared" si="4"/>
        <v>0</v>
      </c>
      <c r="W10" s="1080"/>
    </row>
    <row r="11" spans="1:23" x14ac:dyDescent="0.25">
      <c r="A11" s="1076" t="s">
        <v>18974</v>
      </c>
      <c r="B11" s="1076" t="s">
        <v>18975</v>
      </c>
      <c r="C11" s="1077">
        <v>16516</v>
      </c>
      <c r="D11" s="1069" t="b">
        <f t="shared" ref="D11:D13" si="6">+IF(AND(L11&lt;0,O11&lt;0),TRUE,FALSE)</f>
        <v>0</v>
      </c>
      <c r="E11" s="1077">
        <f t="shared" si="1"/>
        <v>16.515999999999998</v>
      </c>
      <c r="G11" s="1069">
        <v>101007</v>
      </c>
      <c r="H11" s="1069" t="s">
        <v>3468</v>
      </c>
      <c r="I11" s="1069" t="s">
        <v>18976</v>
      </c>
      <c r="K11" s="1070">
        <v>0</v>
      </c>
      <c r="L11" s="1078" t="str">
        <f t="shared" si="5"/>
        <v/>
      </c>
      <c r="N11" s="1070">
        <v>22.50432</v>
      </c>
      <c r="O11" s="1078">
        <f t="shared" si="2"/>
        <v>0.36257689513199343</v>
      </c>
      <c r="Q11" s="1079">
        <f t="shared" si="3"/>
        <v>22.866896895131994</v>
      </c>
      <c r="R11" s="1069" t="s">
        <v>3468</v>
      </c>
      <c r="S11" s="1069" t="s">
        <v>3447</v>
      </c>
      <c r="T11" s="1097">
        <v>600</v>
      </c>
      <c r="V11" s="1080">
        <f t="shared" si="4"/>
        <v>0</v>
      </c>
      <c r="W11" s="1080"/>
    </row>
    <row r="12" spans="1:23" x14ac:dyDescent="0.25">
      <c r="A12" s="1076" t="s">
        <v>18977</v>
      </c>
      <c r="B12" s="1076" t="s">
        <v>18958</v>
      </c>
      <c r="C12" s="1077">
        <v>16516</v>
      </c>
      <c r="D12" s="1069" t="b">
        <f t="shared" si="6"/>
        <v>0</v>
      </c>
      <c r="E12" s="1077">
        <f t="shared" si="1"/>
        <v>16.515999999999998</v>
      </c>
      <c r="G12" s="1069">
        <v>101008</v>
      </c>
      <c r="H12" s="1069" t="s">
        <v>3468</v>
      </c>
      <c r="I12" s="1069" t="s">
        <v>18957</v>
      </c>
      <c r="K12" s="1070">
        <v>17.835537499999997</v>
      </c>
      <c r="L12" s="1078">
        <f t="shared" si="5"/>
        <v>7.9894496246064373E-2</v>
      </c>
      <c r="N12" s="1070">
        <v>0</v>
      </c>
      <c r="O12" s="1078" t="str">
        <f t="shared" si="2"/>
        <v/>
      </c>
      <c r="Q12" s="1079">
        <f t="shared" si="3"/>
        <v>17.915431996246063</v>
      </c>
      <c r="R12" s="1069" t="s">
        <v>3468</v>
      </c>
      <c r="S12" s="1069" t="s">
        <v>3465</v>
      </c>
      <c r="T12" s="1097">
        <v>600</v>
      </c>
      <c r="V12" s="1080">
        <f t="shared" si="4"/>
        <v>0</v>
      </c>
      <c r="W12" s="1080"/>
    </row>
    <row r="13" spans="1:23" x14ac:dyDescent="0.25">
      <c r="A13" s="1076" t="s">
        <v>18978</v>
      </c>
      <c r="B13" s="1076" t="s">
        <v>18979</v>
      </c>
      <c r="C13" s="1077">
        <v>26862</v>
      </c>
      <c r="D13" s="1069" t="b">
        <f t="shared" si="6"/>
        <v>0</v>
      </c>
      <c r="E13" s="1077">
        <f t="shared" si="1"/>
        <v>26.861999999999998</v>
      </c>
      <c r="G13" s="1069">
        <v>101009</v>
      </c>
      <c r="H13" s="1069" t="s">
        <v>3468</v>
      </c>
      <c r="I13" s="1069" t="s">
        <v>18980</v>
      </c>
      <c r="K13" s="1070">
        <v>0</v>
      </c>
      <c r="L13" s="1078" t="str">
        <f t="shared" si="5"/>
        <v/>
      </c>
      <c r="N13" s="1070">
        <v>45.238</v>
      </c>
      <c r="O13" s="1078">
        <f t="shared" si="2"/>
        <v>0.68408904772541135</v>
      </c>
      <c r="Q13" s="1079">
        <f t="shared" si="3"/>
        <v>45.922089047725407</v>
      </c>
      <c r="R13" s="1069" t="s">
        <v>7810</v>
      </c>
      <c r="T13" s="1097">
        <v>200</v>
      </c>
      <c r="V13" s="1080">
        <f t="shared" si="4"/>
        <v>0</v>
      </c>
      <c r="W13" s="1080"/>
    </row>
    <row r="14" spans="1:23" x14ac:dyDescent="0.25">
      <c r="A14" s="1076" t="s">
        <v>18981</v>
      </c>
      <c r="B14" s="1076" t="s">
        <v>18982</v>
      </c>
      <c r="C14" s="1077">
        <v>39060</v>
      </c>
      <c r="E14" s="1077">
        <f t="shared" si="1"/>
        <v>39.06</v>
      </c>
      <c r="G14" s="1069">
        <v>101010</v>
      </c>
      <c r="H14" s="1069" t="s">
        <v>3468</v>
      </c>
      <c r="I14" s="1069" t="s">
        <v>18983</v>
      </c>
      <c r="K14" s="1070">
        <v>0</v>
      </c>
      <c r="L14" s="1078" t="str">
        <f t="shared" si="5"/>
        <v/>
      </c>
      <c r="N14" s="1070">
        <v>0</v>
      </c>
      <c r="O14" s="1078" t="str">
        <f t="shared" si="2"/>
        <v/>
      </c>
      <c r="Q14" s="1079">
        <f t="shared" si="3"/>
        <v>0</v>
      </c>
      <c r="R14" s="1069" t="s">
        <v>7819</v>
      </c>
      <c r="T14" s="1097">
        <v>200</v>
      </c>
      <c r="V14" s="1080">
        <f t="shared" si="4"/>
        <v>0</v>
      </c>
    </row>
    <row r="15" spans="1:23" x14ac:dyDescent="0.25">
      <c r="A15" s="1076" t="s">
        <v>18984</v>
      </c>
      <c r="B15" s="1076" t="s">
        <v>18958</v>
      </c>
      <c r="C15" s="1077">
        <v>21996</v>
      </c>
      <c r="D15" s="1069" t="b">
        <f t="shared" ref="D15:D19" si="7">+IF(AND(L15&lt;0,O15&lt;0),TRUE,FALSE)</f>
        <v>0</v>
      </c>
      <c r="E15" s="1077">
        <f t="shared" si="1"/>
        <v>21.995999999999999</v>
      </c>
      <c r="G15" s="1069">
        <v>101011</v>
      </c>
      <c r="H15" s="1069" t="s">
        <v>3468</v>
      </c>
      <c r="I15" s="1069" t="s">
        <v>18985</v>
      </c>
      <c r="K15" s="1070">
        <v>25.922269999999997</v>
      </c>
      <c r="L15" s="1078">
        <f t="shared" si="5"/>
        <v>0.17849927259501719</v>
      </c>
      <c r="N15" s="1070">
        <v>0</v>
      </c>
      <c r="O15" s="1078" t="str">
        <f t="shared" si="2"/>
        <v/>
      </c>
      <c r="Q15" s="1079">
        <f t="shared" si="3"/>
        <v>26.100769272595016</v>
      </c>
      <c r="R15" s="1069" t="s">
        <v>7846</v>
      </c>
      <c r="T15" s="1097">
        <v>200</v>
      </c>
      <c r="V15" s="1080">
        <f t="shared" si="4"/>
        <v>0</v>
      </c>
      <c r="W15" s="1080"/>
    </row>
    <row r="16" spans="1:23" x14ac:dyDescent="0.25">
      <c r="A16" s="1076" t="s">
        <v>18986</v>
      </c>
      <c r="B16" s="1076" t="s">
        <v>18987</v>
      </c>
      <c r="C16" s="1077">
        <v>21996</v>
      </c>
      <c r="D16" s="1069" t="b">
        <f t="shared" si="7"/>
        <v>0</v>
      </c>
      <c r="E16" s="1077">
        <f t="shared" si="1"/>
        <v>21.995999999999999</v>
      </c>
      <c r="G16" s="1069">
        <v>101012</v>
      </c>
      <c r="H16" s="1069" t="s">
        <v>3468</v>
      </c>
      <c r="I16" s="1069" t="s">
        <v>18988</v>
      </c>
      <c r="J16" s="1069" t="s">
        <v>18989</v>
      </c>
      <c r="K16" s="1070">
        <v>24.574219999999997</v>
      </c>
      <c r="L16" s="1078">
        <f t="shared" si="5"/>
        <v>0.11721312965993813</v>
      </c>
      <c r="N16" s="1070">
        <v>0</v>
      </c>
      <c r="O16" s="1078" t="str">
        <f t="shared" si="2"/>
        <v/>
      </c>
      <c r="Q16" s="1079">
        <f t="shared" si="3"/>
        <v>24.691433129659934</v>
      </c>
      <c r="V16" s="1080">
        <f t="shared" si="4"/>
        <v>0</v>
      </c>
      <c r="W16" s="1080"/>
    </row>
    <row r="17" spans="1:23" x14ac:dyDescent="0.25">
      <c r="A17" s="1076" t="s">
        <v>18990</v>
      </c>
      <c r="B17" s="1076" t="s">
        <v>18958</v>
      </c>
      <c r="C17" s="1077">
        <v>23263</v>
      </c>
      <c r="D17" s="1069" t="b">
        <f t="shared" si="7"/>
        <v>0</v>
      </c>
      <c r="E17" s="1077">
        <f t="shared" si="1"/>
        <v>23.263000000000002</v>
      </c>
      <c r="G17" s="1069">
        <v>101013</v>
      </c>
      <c r="H17" s="1069" t="s">
        <v>3468</v>
      </c>
      <c r="I17" s="1069" t="s">
        <v>18991</v>
      </c>
      <c r="K17" s="1070">
        <v>29.047864999999998</v>
      </c>
      <c r="L17" s="1078">
        <f t="shared" si="5"/>
        <v>0.24867235524223008</v>
      </c>
      <c r="N17" s="1070">
        <v>26.571000000000002</v>
      </c>
      <c r="O17" s="1078">
        <f t="shared" si="2"/>
        <v>0.14220006018140396</v>
      </c>
      <c r="Q17" s="1079">
        <f t="shared" si="3"/>
        <v>56.009737415423636</v>
      </c>
      <c r="V17" s="1080">
        <f t="shared" si="4"/>
        <v>0</v>
      </c>
      <c r="W17" s="1080"/>
    </row>
    <row r="18" spans="1:23" x14ac:dyDescent="0.25">
      <c r="A18" s="1076" t="s">
        <v>18992</v>
      </c>
      <c r="B18" s="1076" t="s">
        <v>18993</v>
      </c>
      <c r="C18" s="1077">
        <v>23263</v>
      </c>
      <c r="D18" s="1069" t="b">
        <f t="shared" si="7"/>
        <v>0</v>
      </c>
      <c r="E18" s="1077">
        <f t="shared" si="1"/>
        <v>23.263000000000002</v>
      </c>
      <c r="G18" s="1069">
        <v>101014</v>
      </c>
      <c r="H18" s="1069" t="s">
        <v>3468</v>
      </c>
      <c r="I18" s="1069" t="s">
        <v>18994</v>
      </c>
      <c r="K18" s="1070">
        <v>26.811042499999999</v>
      </c>
      <c r="L18" s="1078">
        <f t="shared" si="5"/>
        <v>0.15251869922194028</v>
      </c>
      <c r="N18" s="1070">
        <v>55.517039999999994</v>
      </c>
      <c r="O18" s="1078">
        <f t="shared" si="2"/>
        <v>1.3864952929544767</v>
      </c>
      <c r="Q18" s="1079">
        <f t="shared" si="3"/>
        <v>83.867096492176415</v>
      </c>
      <c r="T18" s="1097"/>
      <c r="V18" s="1080">
        <f t="shared" si="4"/>
        <v>0</v>
      </c>
      <c r="W18" s="1080"/>
    </row>
    <row r="19" spans="1:23" x14ac:dyDescent="0.25">
      <c r="A19" s="1076" t="s">
        <v>18995</v>
      </c>
      <c r="B19" s="1076" t="s">
        <v>18958</v>
      </c>
      <c r="C19" s="1077">
        <v>47241</v>
      </c>
      <c r="D19" s="1069" t="b">
        <f t="shared" si="7"/>
        <v>0</v>
      </c>
      <c r="E19" s="1077">
        <f t="shared" si="1"/>
        <v>47.241</v>
      </c>
      <c r="G19" s="1069">
        <v>101015</v>
      </c>
      <c r="H19" s="1069" t="s">
        <v>3468</v>
      </c>
      <c r="I19" s="1069" t="s">
        <v>18996</v>
      </c>
      <c r="K19" s="1070">
        <v>0</v>
      </c>
      <c r="L19" s="1078" t="str">
        <f t="shared" si="5"/>
        <v/>
      </c>
      <c r="N19" s="1070">
        <v>55.517039999999994</v>
      </c>
      <c r="O19" s="1078">
        <f t="shared" si="2"/>
        <v>0.17518765479138865</v>
      </c>
      <c r="Q19" s="1079">
        <f t="shared" si="3"/>
        <v>55.692227654791381</v>
      </c>
      <c r="T19" s="1097"/>
      <c r="V19" s="1080">
        <f t="shared" si="4"/>
        <v>0</v>
      </c>
      <c r="W19" s="1080"/>
    </row>
    <row r="20" spans="1:23" x14ac:dyDescent="0.25">
      <c r="A20" s="1076" t="s">
        <v>18997</v>
      </c>
      <c r="B20" s="1076" t="s">
        <v>18969</v>
      </c>
      <c r="C20" s="1077">
        <v>23263</v>
      </c>
      <c r="E20" s="1077">
        <f t="shared" si="1"/>
        <v>23.263000000000002</v>
      </c>
      <c r="G20" s="1069">
        <v>101016</v>
      </c>
      <c r="H20" s="1069" t="s">
        <v>3468</v>
      </c>
      <c r="I20" s="1069" t="s">
        <v>18998</v>
      </c>
      <c r="K20" s="1070">
        <v>0</v>
      </c>
      <c r="L20" s="1078" t="str">
        <f t="shared" si="5"/>
        <v/>
      </c>
      <c r="N20" s="1070">
        <v>0</v>
      </c>
      <c r="O20" s="1078" t="str">
        <f t="shared" si="2"/>
        <v/>
      </c>
      <c r="Q20" s="1079">
        <f t="shared" si="3"/>
        <v>0</v>
      </c>
      <c r="T20" s="1097"/>
      <c r="V20" s="1080"/>
    </row>
    <row r="21" spans="1:23" x14ac:dyDescent="0.25">
      <c r="A21" s="1076" t="s">
        <v>18999</v>
      </c>
      <c r="B21" s="1076" t="s">
        <v>19000</v>
      </c>
      <c r="C21" s="1077">
        <v>29123</v>
      </c>
      <c r="D21" s="1069" t="b">
        <f>+IF(AND(L21&lt;0,O21&lt;0),TRUE,FALSE)</f>
        <v>0</v>
      </c>
      <c r="E21" s="1077">
        <f t="shared" si="1"/>
        <v>29.123000000000001</v>
      </c>
      <c r="G21" s="1069">
        <v>101017</v>
      </c>
      <c r="H21" s="1069" t="s">
        <v>3468</v>
      </c>
      <c r="I21" s="1069" t="s">
        <v>19001</v>
      </c>
      <c r="K21" s="1070">
        <v>37.907897499999997</v>
      </c>
      <c r="L21" s="1078">
        <f t="shared" si="5"/>
        <v>0.30164809600659259</v>
      </c>
      <c r="N21" s="1070">
        <v>0</v>
      </c>
      <c r="O21" s="1078" t="str">
        <f t="shared" si="2"/>
        <v/>
      </c>
      <c r="Q21" s="1079">
        <f t="shared" si="3"/>
        <v>38.209545596006592</v>
      </c>
      <c r="T21" s="1097"/>
      <c r="V21" s="1080"/>
      <c r="W21" s="1080"/>
    </row>
    <row r="22" spans="1:23" x14ac:dyDescent="0.25">
      <c r="A22" s="1076" t="s">
        <v>19002</v>
      </c>
      <c r="B22" s="1076" t="s">
        <v>19000</v>
      </c>
      <c r="C22" s="1077">
        <v>28347</v>
      </c>
      <c r="E22" s="1077">
        <f t="shared" si="1"/>
        <v>28.347000000000001</v>
      </c>
      <c r="G22" s="1069">
        <v>101018</v>
      </c>
      <c r="H22" s="1069" t="s">
        <v>3468</v>
      </c>
      <c r="I22" s="1069" t="s">
        <v>19003</v>
      </c>
      <c r="K22" s="1070">
        <v>0</v>
      </c>
      <c r="L22" s="1078" t="str">
        <f t="shared" si="5"/>
        <v/>
      </c>
      <c r="N22" s="1070">
        <v>0</v>
      </c>
      <c r="O22" s="1078" t="str">
        <f t="shared" si="2"/>
        <v/>
      </c>
      <c r="Q22" s="1079">
        <f t="shared" si="3"/>
        <v>0</v>
      </c>
      <c r="T22" s="1097"/>
      <c r="V22" s="1080"/>
    </row>
    <row r="23" spans="1:23" x14ac:dyDescent="0.25">
      <c r="A23" s="1076" t="s">
        <v>19004</v>
      </c>
      <c r="B23" s="1076" t="s">
        <v>18958</v>
      </c>
      <c r="C23" s="1077">
        <v>29123</v>
      </c>
      <c r="D23" s="1069" t="b">
        <f>+IF(AND(L23&lt;0,O23&lt;0),TRUE,FALSE)</f>
        <v>0</v>
      </c>
      <c r="E23" s="1077">
        <f t="shared" si="1"/>
        <v>29.123000000000001</v>
      </c>
      <c r="G23" s="1069">
        <v>101019</v>
      </c>
      <c r="H23" s="1069" t="s">
        <v>3468</v>
      </c>
      <c r="I23" s="1069" t="s">
        <v>19005</v>
      </c>
      <c r="K23" s="1070">
        <v>35.671597499999997</v>
      </c>
      <c r="L23" s="1078">
        <f t="shared" si="5"/>
        <v>0.22485999038560567</v>
      </c>
      <c r="N23" s="1070">
        <v>0</v>
      </c>
      <c r="O23" s="1078" t="str">
        <f t="shared" si="2"/>
        <v/>
      </c>
      <c r="Q23" s="1079">
        <f t="shared" si="3"/>
        <v>35.8964574903856</v>
      </c>
      <c r="T23" s="1097"/>
      <c r="V23" s="1080"/>
      <c r="W23" s="1080"/>
    </row>
    <row r="24" spans="1:23" x14ac:dyDescent="0.25">
      <c r="A24" s="1076" t="s">
        <v>19006</v>
      </c>
      <c r="B24" s="1076" t="s">
        <v>19007</v>
      </c>
      <c r="C24" s="1077">
        <v>34971</v>
      </c>
      <c r="E24" s="1077">
        <f t="shared" si="1"/>
        <v>34.970999999999997</v>
      </c>
      <c r="G24" s="1069">
        <v>101020</v>
      </c>
      <c r="H24" s="1069" t="s">
        <v>3468</v>
      </c>
      <c r="I24" s="1069" t="s">
        <v>19008</v>
      </c>
      <c r="K24" s="1070">
        <v>0</v>
      </c>
      <c r="L24" s="1078" t="str">
        <f t="shared" si="5"/>
        <v/>
      </c>
      <c r="N24" s="1070">
        <v>0</v>
      </c>
      <c r="O24" s="1078" t="str">
        <f t="shared" si="2"/>
        <v/>
      </c>
      <c r="Q24" s="1079">
        <f t="shared" si="3"/>
        <v>0</v>
      </c>
    </row>
    <row r="25" spans="1:23" x14ac:dyDescent="0.25">
      <c r="A25" s="1076" t="s">
        <v>19009</v>
      </c>
      <c r="B25" s="1076" t="s">
        <v>18958</v>
      </c>
      <c r="C25" s="1077">
        <v>34150</v>
      </c>
      <c r="D25" s="1069" t="b">
        <f t="shared" ref="D25:D27" si="8">+IF(AND(L25&lt;0,O25&lt;0),TRUE,FALSE)</f>
        <v>0</v>
      </c>
      <c r="E25" s="1077">
        <f t="shared" si="1"/>
        <v>34.15</v>
      </c>
      <c r="G25" s="1069">
        <v>101021</v>
      </c>
      <c r="H25" s="1069" t="s">
        <v>3468</v>
      </c>
      <c r="I25" s="1069" t="s">
        <v>19010</v>
      </c>
      <c r="K25" s="1070">
        <v>40.173457499999998</v>
      </c>
      <c r="L25" s="1078">
        <f t="shared" si="5"/>
        <v>0.17638235724743767</v>
      </c>
      <c r="N25" s="1070">
        <v>0</v>
      </c>
      <c r="O25" s="1078" t="str">
        <f t="shared" si="2"/>
        <v/>
      </c>
      <c r="Q25" s="1079">
        <f t="shared" si="3"/>
        <v>40.349839857247439</v>
      </c>
      <c r="W25" s="1080"/>
    </row>
    <row r="26" spans="1:23" x14ac:dyDescent="0.25">
      <c r="A26" s="1076" t="s">
        <v>19011</v>
      </c>
      <c r="B26" s="1076" t="s">
        <v>18958</v>
      </c>
      <c r="C26" s="1077">
        <v>34150</v>
      </c>
      <c r="D26" s="1069" t="b">
        <f t="shared" si="8"/>
        <v>0</v>
      </c>
      <c r="E26" s="1077">
        <f t="shared" si="1"/>
        <v>34.15</v>
      </c>
      <c r="G26" s="1069">
        <v>101022</v>
      </c>
      <c r="H26" s="1069" t="s">
        <v>3468</v>
      </c>
      <c r="I26" s="1069" t="s">
        <v>19012</v>
      </c>
      <c r="K26" s="1070">
        <v>40.173457499999998</v>
      </c>
      <c r="L26" s="1078">
        <f t="shared" si="5"/>
        <v>0.17638235724743767</v>
      </c>
      <c r="N26" s="1070">
        <v>0</v>
      </c>
      <c r="O26" s="1078" t="str">
        <f t="shared" si="2"/>
        <v/>
      </c>
      <c r="Q26" s="1079">
        <f t="shared" si="3"/>
        <v>40.349839857247439</v>
      </c>
      <c r="W26" s="1080"/>
    </row>
    <row r="27" spans="1:23" x14ac:dyDescent="0.25">
      <c r="A27" s="1076" t="s">
        <v>19013</v>
      </c>
      <c r="B27" s="1076" t="s">
        <v>18958</v>
      </c>
      <c r="C27" s="1077">
        <v>40697</v>
      </c>
      <c r="D27" s="1069" t="b">
        <f t="shared" si="8"/>
        <v>0</v>
      </c>
      <c r="E27" s="1077">
        <f t="shared" si="1"/>
        <v>40.697000000000003</v>
      </c>
      <c r="G27" s="1069">
        <v>101023</v>
      </c>
      <c r="H27" s="1069" t="s">
        <v>3468</v>
      </c>
      <c r="I27" s="1069" t="s">
        <v>19014</v>
      </c>
      <c r="K27" s="1070">
        <v>49.09096499999999</v>
      </c>
      <c r="L27" s="1078">
        <f t="shared" si="5"/>
        <v>0.20625512937071488</v>
      </c>
      <c r="N27" s="1070">
        <v>0</v>
      </c>
      <c r="O27" s="1078" t="str">
        <f t="shared" si="2"/>
        <v/>
      </c>
      <c r="Q27" s="1079">
        <f t="shared" si="3"/>
        <v>49.297220129370707</v>
      </c>
      <c r="W27" s="1080"/>
    </row>
    <row r="28" spans="1:23" x14ac:dyDescent="0.25">
      <c r="A28" s="1076" t="s">
        <v>19015</v>
      </c>
      <c r="B28" s="1076" t="s">
        <v>19016</v>
      </c>
      <c r="C28" s="1077">
        <v>40697</v>
      </c>
      <c r="E28" s="1077">
        <f t="shared" si="1"/>
        <v>40.697000000000003</v>
      </c>
      <c r="G28" s="1069">
        <v>101024</v>
      </c>
      <c r="H28" s="1069" t="s">
        <v>3468</v>
      </c>
      <c r="I28" s="1069" t="s">
        <v>19017</v>
      </c>
      <c r="K28" s="1070">
        <v>0</v>
      </c>
      <c r="L28" s="1078" t="str">
        <f t="shared" si="5"/>
        <v/>
      </c>
      <c r="N28" s="1070">
        <v>0</v>
      </c>
      <c r="O28" s="1078" t="str">
        <f t="shared" si="2"/>
        <v/>
      </c>
      <c r="Q28" s="1079">
        <f t="shared" si="3"/>
        <v>0</v>
      </c>
    </row>
    <row r="29" spans="1:23" x14ac:dyDescent="0.25">
      <c r="A29" s="1076" t="s">
        <v>19018</v>
      </c>
      <c r="B29" s="1076" t="s">
        <v>19019</v>
      </c>
      <c r="C29" s="1077">
        <v>40697</v>
      </c>
      <c r="E29" s="1077">
        <f t="shared" si="1"/>
        <v>40.697000000000003</v>
      </c>
      <c r="G29" s="1069">
        <v>101025</v>
      </c>
      <c r="H29" s="1069" t="s">
        <v>3468</v>
      </c>
      <c r="I29" s="1069" t="s">
        <v>19020</v>
      </c>
      <c r="K29" s="1070">
        <v>0</v>
      </c>
      <c r="L29" s="1078" t="str">
        <f t="shared" si="5"/>
        <v/>
      </c>
      <c r="N29" s="1070">
        <v>0</v>
      </c>
      <c r="O29" s="1078" t="str">
        <f t="shared" si="2"/>
        <v/>
      </c>
      <c r="Q29" s="1079">
        <f t="shared" si="3"/>
        <v>0</v>
      </c>
    </row>
    <row r="30" spans="1:23" x14ac:dyDescent="0.25">
      <c r="A30" s="1076" t="s">
        <v>19021</v>
      </c>
      <c r="B30" s="1076" t="s">
        <v>18958</v>
      </c>
      <c r="C30" s="1077">
        <v>52532</v>
      </c>
      <c r="D30" s="1069" t="b">
        <f t="shared" ref="D30:D31" si="9">+IF(AND(L30&lt;0,O30&lt;0),TRUE,FALSE)</f>
        <v>0</v>
      </c>
      <c r="E30" s="1077">
        <f t="shared" si="1"/>
        <v>52.531999999999996</v>
      </c>
      <c r="G30" s="1069">
        <v>101026</v>
      </c>
      <c r="H30" s="1069" t="s">
        <v>3468</v>
      </c>
      <c r="I30" s="1081" t="s">
        <v>19022</v>
      </c>
      <c r="K30" s="1070">
        <v>58.009517499999994</v>
      </c>
      <c r="L30" s="1078">
        <f t="shared" si="5"/>
        <v>0.10427011155105448</v>
      </c>
      <c r="N30" s="1070">
        <v>0</v>
      </c>
      <c r="O30" s="1078" t="str">
        <f t="shared" si="2"/>
        <v/>
      </c>
      <c r="Q30" s="1079">
        <f t="shared" si="3"/>
        <v>58.113787611551047</v>
      </c>
      <c r="S30" s="1097"/>
      <c r="T30" s="1097"/>
      <c r="W30" s="1080"/>
    </row>
    <row r="31" spans="1:23" x14ac:dyDescent="0.25">
      <c r="A31" s="1076" t="s">
        <v>19023</v>
      </c>
      <c r="B31" s="1076" t="s">
        <v>18958</v>
      </c>
      <c r="C31" s="1077">
        <v>57382</v>
      </c>
      <c r="D31" s="1069" t="b">
        <f t="shared" si="9"/>
        <v>0</v>
      </c>
      <c r="E31" s="1077">
        <f t="shared" si="1"/>
        <v>57.381999999999998</v>
      </c>
      <c r="G31" s="1069">
        <v>101027</v>
      </c>
      <c r="H31" s="1069" t="s">
        <v>3468</v>
      </c>
      <c r="I31" s="1069" t="s">
        <v>19024</v>
      </c>
      <c r="K31" s="1070">
        <v>62.510854999999999</v>
      </c>
      <c r="L31" s="1078">
        <f t="shared" si="5"/>
        <v>8.9380903419190805E-2</v>
      </c>
      <c r="N31" s="1070">
        <v>0</v>
      </c>
      <c r="O31" s="1078" t="str">
        <f t="shared" si="2"/>
        <v/>
      </c>
      <c r="Q31" s="1079">
        <f t="shared" si="3"/>
        <v>62.60023590341919</v>
      </c>
      <c r="W31" s="1080"/>
    </row>
    <row r="32" spans="1:23" x14ac:dyDescent="0.25">
      <c r="A32" s="1076" t="s">
        <v>19025</v>
      </c>
      <c r="B32" s="1076" t="s">
        <v>19026</v>
      </c>
      <c r="C32" s="1077">
        <v>55952</v>
      </c>
      <c r="E32" s="1077">
        <f t="shared" si="1"/>
        <v>55.951999999999998</v>
      </c>
      <c r="G32" s="1069">
        <v>101028</v>
      </c>
      <c r="H32" s="1069" t="s">
        <v>3468</v>
      </c>
      <c r="I32" s="1069" t="s">
        <v>19027</v>
      </c>
      <c r="K32" s="1070">
        <v>0</v>
      </c>
      <c r="L32" s="1078" t="str">
        <f t="shared" si="5"/>
        <v/>
      </c>
      <c r="N32" s="1070">
        <v>0</v>
      </c>
      <c r="O32" s="1078" t="str">
        <f t="shared" si="2"/>
        <v/>
      </c>
      <c r="Q32" s="1079">
        <f t="shared" si="3"/>
        <v>0</v>
      </c>
    </row>
    <row r="33" spans="1:23" x14ac:dyDescent="0.25">
      <c r="A33" s="1076" t="s">
        <v>19028</v>
      </c>
      <c r="B33" s="1076" t="s">
        <v>18958</v>
      </c>
      <c r="C33" s="1077">
        <v>62633</v>
      </c>
      <c r="E33" s="1077">
        <f t="shared" si="1"/>
        <v>62.633000000000003</v>
      </c>
      <c r="G33" s="1069">
        <v>101029</v>
      </c>
      <c r="H33" s="1069" t="s">
        <v>3468</v>
      </c>
      <c r="I33" s="1069" t="s">
        <v>19029</v>
      </c>
      <c r="K33" s="1070">
        <v>0</v>
      </c>
      <c r="L33" s="1078" t="str">
        <f t="shared" si="5"/>
        <v/>
      </c>
      <c r="N33" s="1070">
        <v>0</v>
      </c>
      <c r="O33" s="1078" t="str">
        <f t="shared" si="2"/>
        <v/>
      </c>
      <c r="Q33" s="1079">
        <f t="shared" si="3"/>
        <v>0</v>
      </c>
    </row>
    <row r="34" spans="1:23" x14ac:dyDescent="0.25">
      <c r="A34" s="1076" t="s">
        <v>19030</v>
      </c>
      <c r="B34" s="1076" t="s">
        <v>18958</v>
      </c>
      <c r="C34" s="1077">
        <v>73698</v>
      </c>
      <c r="D34" s="1069" t="b">
        <f>+IF(AND(L34&lt;0,O34&lt;0),TRUE,FALSE)</f>
        <v>0</v>
      </c>
      <c r="E34" s="1077">
        <f t="shared" si="1"/>
        <v>73.697999999999993</v>
      </c>
      <c r="G34" s="1069">
        <v>101030</v>
      </c>
      <c r="H34" s="1069" t="s">
        <v>3468</v>
      </c>
      <c r="I34" s="1069" t="s">
        <v>19031</v>
      </c>
      <c r="K34" s="1070">
        <v>89.235684999999989</v>
      </c>
      <c r="L34" s="1078">
        <f t="shared" si="5"/>
        <v>0.21082912697766565</v>
      </c>
      <c r="N34" s="1070">
        <v>0</v>
      </c>
      <c r="O34" s="1078" t="str">
        <f t="shared" si="2"/>
        <v/>
      </c>
      <c r="Q34" s="1079">
        <f t="shared" si="3"/>
        <v>89.446514126977661</v>
      </c>
      <c r="W34" s="1080"/>
    </row>
    <row r="35" spans="1:23" x14ac:dyDescent="0.25">
      <c r="A35" s="1076" t="s">
        <v>19032</v>
      </c>
      <c r="B35" s="1076" t="s">
        <v>19033</v>
      </c>
      <c r="C35" s="1077">
        <v>73698</v>
      </c>
      <c r="E35" s="1077">
        <f t="shared" si="1"/>
        <v>73.697999999999993</v>
      </c>
      <c r="G35" s="1069">
        <v>101031</v>
      </c>
      <c r="H35" s="1069" t="s">
        <v>3468</v>
      </c>
      <c r="I35" s="1069" t="s">
        <v>19034</v>
      </c>
      <c r="K35" s="1070">
        <v>0</v>
      </c>
      <c r="L35" s="1078" t="str">
        <f t="shared" si="5"/>
        <v/>
      </c>
      <c r="N35" s="1070">
        <v>0</v>
      </c>
      <c r="O35" s="1078" t="str">
        <f t="shared" si="2"/>
        <v/>
      </c>
      <c r="Q35" s="1079">
        <f t="shared" si="3"/>
        <v>0</v>
      </c>
    </row>
    <row r="36" spans="1:23" x14ac:dyDescent="0.25">
      <c r="A36" s="1076" t="s">
        <v>19035</v>
      </c>
      <c r="B36" s="1076" t="s">
        <v>18958</v>
      </c>
      <c r="C36" s="1077">
        <v>89630</v>
      </c>
      <c r="E36" s="1077">
        <f t="shared" si="1"/>
        <v>89.63</v>
      </c>
      <c r="G36" s="1069">
        <v>101032</v>
      </c>
      <c r="H36" s="1069" t="s">
        <v>3468</v>
      </c>
      <c r="I36" s="1069" t="s">
        <v>19036</v>
      </c>
      <c r="K36" s="1070">
        <v>0</v>
      </c>
      <c r="L36" s="1078" t="str">
        <f t="shared" si="5"/>
        <v/>
      </c>
      <c r="N36" s="1070">
        <v>0</v>
      </c>
      <c r="O36" s="1078" t="str">
        <f t="shared" si="2"/>
        <v/>
      </c>
      <c r="Q36" s="1079">
        <f t="shared" si="3"/>
        <v>0</v>
      </c>
    </row>
    <row r="37" spans="1:23" x14ac:dyDescent="0.25">
      <c r="A37" s="1076" t="s">
        <v>19037</v>
      </c>
      <c r="B37" s="1076" t="s">
        <v>18958</v>
      </c>
      <c r="C37" s="1077">
        <v>100459</v>
      </c>
      <c r="E37" s="1077">
        <f t="shared" si="1"/>
        <v>100.459</v>
      </c>
      <c r="G37" s="1069">
        <v>101033</v>
      </c>
      <c r="H37" s="1069" t="s">
        <v>3468</v>
      </c>
      <c r="I37" s="1069" t="s">
        <v>19038</v>
      </c>
      <c r="K37" s="1070">
        <v>0</v>
      </c>
      <c r="L37" s="1078" t="str">
        <f t="shared" si="5"/>
        <v/>
      </c>
      <c r="N37" s="1070">
        <v>0</v>
      </c>
      <c r="O37" s="1078" t="str">
        <f t="shared" si="2"/>
        <v/>
      </c>
      <c r="Q37" s="1079">
        <f t="shared" si="3"/>
        <v>0</v>
      </c>
    </row>
    <row r="38" spans="1:23" x14ac:dyDescent="0.25">
      <c r="A38" s="1076" t="s">
        <v>19039</v>
      </c>
      <c r="B38" s="1076" t="s">
        <v>18958</v>
      </c>
      <c r="C38" s="1077">
        <v>100459</v>
      </c>
      <c r="E38" s="1077">
        <f t="shared" si="1"/>
        <v>100.459</v>
      </c>
      <c r="G38" s="1069">
        <v>101034</v>
      </c>
      <c r="H38" s="1069" t="s">
        <v>3468</v>
      </c>
      <c r="I38" s="1069" t="s">
        <v>19040</v>
      </c>
      <c r="K38" s="1070">
        <v>0</v>
      </c>
      <c r="L38" s="1078" t="str">
        <f t="shared" si="5"/>
        <v/>
      </c>
      <c r="N38" s="1070">
        <v>0</v>
      </c>
      <c r="O38" s="1078" t="str">
        <f t="shared" si="2"/>
        <v/>
      </c>
      <c r="Q38" s="1079">
        <f t="shared" si="3"/>
        <v>0</v>
      </c>
    </row>
    <row r="39" spans="1:23" x14ac:dyDescent="0.25">
      <c r="A39" s="1076" t="s">
        <v>19041</v>
      </c>
      <c r="B39" s="1076" t="s">
        <v>18958</v>
      </c>
      <c r="C39" s="1077">
        <v>119551</v>
      </c>
      <c r="E39" s="1077">
        <f t="shared" si="1"/>
        <v>119.551</v>
      </c>
      <c r="G39" s="1069">
        <v>101035</v>
      </c>
      <c r="H39" s="1069" t="s">
        <v>3468</v>
      </c>
      <c r="I39" s="1069" t="s">
        <v>19042</v>
      </c>
      <c r="K39" s="1070">
        <v>0</v>
      </c>
      <c r="L39" s="1078" t="str">
        <f t="shared" si="5"/>
        <v/>
      </c>
      <c r="N39" s="1070">
        <v>0</v>
      </c>
      <c r="O39" s="1078" t="str">
        <f t="shared" si="2"/>
        <v/>
      </c>
      <c r="Q39" s="1079">
        <f t="shared" si="3"/>
        <v>0</v>
      </c>
    </row>
    <row r="40" spans="1:23" x14ac:dyDescent="0.25">
      <c r="A40" s="1076" t="s">
        <v>19043</v>
      </c>
      <c r="B40" s="1076" t="s">
        <v>18958</v>
      </c>
      <c r="C40" s="1077">
        <v>119551</v>
      </c>
      <c r="E40" s="1077">
        <f t="shared" si="1"/>
        <v>119.551</v>
      </c>
      <c r="G40" s="1069">
        <v>101036</v>
      </c>
      <c r="H40" s="1069" t="s">
        <v>3468</v>
      </c>
      <c r="I40" s="1069" t="s">
        <v>19044</v>
      </c>
      <c r="K40" s="1070">
        <v>0</v>
      </c>
      <c r="L40" s="1078" t="str">
        <f t="shared" si="5"/>
        <v/>
      </c>
      <c r="N40" s="1070">
        <v>0</v>
      </c>
      <c r="O40" s="1078" t="str">
        <f t="shared" si="2"/>
        <v/>
      </c>
      <c r="Q40" s="1079">
        <f t="shared" si="3"/>
        <v>0</v>
      </c>
    </row>
    <row r="41" spans="1:23" x14ac:dyDescent="0.25">
      <c r="A41" s="1076" t="s">
        <v>19045</v>
      </c>
      <c r="B41" s="1076" t="s">
        <v>18958</v>
      </c>
      <c r="C41" s="1077">
        <v>113408</v>
      </c>
      <c r="E41" s="1077">
        <f t="shared" si="1"/>
        <v>113.408</v>
      </c>
      <c r="G41" s="1069">
        <v>101037</v>
      </c>
      <c r="H41" s="1069" t="s">
        <v>3468</v>
      </c>
      <c r="I41" s="1069" t="s">
        <v>19046</v>
      </c>
      <c r="K41" s="1070">
        <v>0</v>
      </c>
      <c r="L41" s="1078" t="str">
        <f t="shared" si="5"/>
        <v/>
      </c>
      <c r="N41" s="1070">
        <v>0</v>
      </c>
      <c r="O41" s="1078" t="str">
        <f t="shared" si="2"/>
        <v/>
      </c>
      <c r="Q41" s="1079">
        <f t="shared" si="3"/>
        <v>0</v>
      </c>
    </row>
    <row r="42" spans="1:23" x14ac:dyDescent="0.25">
      <c r="A42" s="1076" t="s">
        <v>19047</v>
      </c>
      <c r="B42" s="1076" t="s">
        <v>18958</v>
      </c>
      <c r="C42" s="1077">
        <v>138254</v>
      </c>
      <c r="E42" s="1077">
        <f t="shared" si="1"/>
        <v>138.25399999999999</v>
      </c>
      <c r="G42" s="1069">
        <v>101038</v>
      </c>
      <c r="H42" s="1069" t="s">
        <v>3468</v>
      </c>
      <c r="I42" s="1069" t="s">
        <v>19048</v>
      </c>
      <c r="K42" s="1070">
        <v>0</v>
      </c>
      <c r="L42" s="1078" t="str">
        <f t="shared" si="5"/>
        <v/>
      </c>
      <c r="N42" s="1070">
        <v>0</v>
      </c>
      <c r="O42" s="1078" t="str">
        <f t="shared" si="2"/>
        <v/>
      </c>
      <c r="Q42" s="1079">
        <f t="shared" si="3"/>
        <v>0</v>
      </c>
    </row>
    <row r="43" spans="1:23" x14ac:dyDescent="0.25">
      <c r="A43" s="1076" t="s">
        <v>19049</v>
      </c>
      <c r="B43" s="1076" t="s">
        <v>18958</v>
      </c>
      <c r="C43" s="1077">
        <v>138254</v>
      </c>
      <c r="E43" s="1077">
        <f t="shared" si="1"/>
        <v>138.25399999999999</v>
      </c>
      <c r="G43" s="1069">
        <v>101039</v>
      </c>
      <c r="H43" s="1069" t="s">
        <v>3468</v>
      </c>
      <c r="I43" s="1069" t="s">
        <v>19050</v>
      </c>
      <c r="K43" s="1070">
        <v>0</v>
      </c>
      <c r="L43" s="1078" t="str">
        <f t="shared" si="5"/>
        <v/>
      </c>
      <c r="N43" s="1070">
        <v>0</v>
      </c>
      <c r="O43" s="1078" t="str">
        <f t="shared" si="2"/>
        <v/>
      </c>
      <c r="Q43" s="1079">
        <f t="shared" si="3"/>
        <v>0</v>
      </c>
    </row>
    <row r="44" spans="1:23" x14ac:dyDescent="0.25">
      <c r="A44" s="1076" t="s">
        <v>19051</v>
      </c>
      <c r="B44" s="1076" t="s">
        <v>18958</v>
      </c>
      <c r="C44" s="1077">
        <v>241247</v>
      </c>
      <c r="E44" s="1077">
        <f t="shared" si="1"/>
        <v>241.24700000000001</v>
      </c>
      <c r="G44" s="1069">
        <v>101040</v>
      </c>
      <c r="H44" s="1069" t="s">
        <v>3468</v>
      </c>
      <c r="I44" s="1069" t="s">
        <v>19052</v>
      </c>
      <c r="K44" s="1070">
        <v>0</v>
      </c>
      <c r="L44" s="1078" t="str">
        <f t="shared" si="5"/>
        <v/>
      </c>
      <c r="N44" s="1070">
        <v>0</v>
      </c>
      <c r="O44" s="1078" t="str">
        <f t="shared" si="2"/>
        <v/>
      </c>
      <c r="Q44" s="1079">
        <f t="shared" si="3"/>
        <v>0</v>
      </c>
    </row>
    <row r="45" spans="1:23" x14ac:dyDescent="0.25">
      <c r="A45" s="1076" t="s">
        <v>19053</v>
      </c>
      <c r="B45" s="1076" t="s">
        <v>18958</v>
      </c>
      <c r="C45" s="1077">
        <v>149560</v>
      </c>
      <c r="E45" s="1077">
        <f t="shared" si="1"/>
        <v>149.56</v>
      </c>
      <c r="G45" s="1069">
        <v>101041</v>
      </c>
      <c r="H45" s="1069" t="s">
        <v>3468</v>
      </c>
      <c r="I45" s="1069" t="s">
        <v>19054</v>
      </c>
      <c r="K45" s="1070">
        <v>0</v>
      </c>
      <c r="L45" s="1078" t="str">
        <f t="shared" si="5"/>
        <v/>
      </c>
      <c r="N45" s="1070">
        <v>0</v>
      </c>
      <c r="O45" s="1078" t="str">
        <f t="shared" si="2"/>
        <v/>
      </c>
      <c r="Q45" s="1079">
        <f t="shared" si="3"/>
        <v>0</v>
      </c>
    </row>
    <row r="46" spans="1:23" x14ac:dyDescent="0.25">
      <c r="A46" s="1076" t="s">
        <v>19055</v>
      </c>
      <c r="B46" s="1076" t="s">
        <v>18958</v>
      </c>
      <c r="C46" s="1077">
        <v>149560</v>
      </c>
      <c r="E46" s="1077">
        <f t="shared" si="1"/>
        <v>149.56</v>
      </c>
      <c r="G46" s="1069">
        <v>101042</v>
      </c>
      <c r="H46" s="1069" t="s">
        <v>3468</v>
      </c>
      <c r="I46" s="1069" t="s">
        <v>19056</v>
      </c>
      <c r="K46" s="1070">
        <v>0</v>
      </c>
      <c r="L46" s="1078" t="str">
        <f t="shared" si="5"/>
        <v/>
      </c>
      <c r="N46" s="1070">
        <v>0</v>
      </c>
      <c r="O46" s="1078" t="str">
        <f t="shared" si="2"/>
        <v/>
      </c>
      <c r="Q46" s="1079">
        <f t="shared" si="3"/>
        <v>0</v>
      </c>
    </row>
    <row r="47" spans="1:23" x14ac:dyDescent="0.25">
      <c r="A47" s="1076" t="s">
        <v>19057</v>
      </c>
      <c r="B47" s="1076" t="s">
        <v>18958</v>
      </c>
      <c r="C47" s="1077">
        <v>186738</v>
      </c>
      <c r="E47" s="1077">
        <f t="shared" si="1"/>
        <v>186.738</v>
      </c>
      <c r="G47" s="1069">
        <v>101043</v>
      </c>
      <c r="H47" s="1069" t="s">
        <v>3468</v>
      </c>
      <c r="I47" s="1069" t="s">
        <v>19058</v>
      </c>
      <c r="K47" s="1070">
        <v>0</v>
      </c>
      <c r="L47" s="1078" t="str">
        <f t="shared" si="5"/>
        <v/>
      </c>
      <c r="N47" s="1070">
        <v>0</v>
      </c>
      <c r="O47" s="1078" t="str">
        <f t="shared" si="2"/>
        <v/>
      </c>
      <c r="Q47" s="1079">
        <f t="shared" si="3"/>
        <v>0</v>
      </c>
    </row>
    <row r="48" spans="1:23" x14ac:dyDescent="0.25">
      <c r="A48" s="1076" t="s">
        <v>19059</v>
      </c>
      <c r="B48" s="1076" t="s">
        <v>19060</v>
      </c>
      <c r="C48" s="1077">
        <v>45904</v>
      </c>
      <c r="E48" s="1077">
        <f t="shared" si="1"/>
        <v>45.904000000000003</v>
      </c>
      <c r="G48" s="1069">
        <v>101044</v>
      </c>
      <c r="H48" s="1069" t="s">
        <v>3468</v>
      </c>
      <c r="I48" s="1069" t="s">
        <v>19061</v>
      </c>
      <c r="K48" s="1070">
        <v>0</v>
      </c>
      <c r="L48" s="1078" t="str">
        <f t="shared" si="5"/>
        <v/>
      </c>
      <c r="N48" s="1070">
        <v>0</v>
      </c>
      <c r="O48" s="1078" t="str">
        <f t="shared" si="2"/>
        <v/>
      </c>
      <c r="Q48" s="1079">
        <f t="shared" si="3"/>
        <v>0</v>
      </c>
    </row>
    <row r="49" spans="1:23" x14ac:dyDescent="0.25">
      <c r="A49" s="1076" t="s">
        <v>19062</v>
      </c>
      <c r="B49" s="1076" t="s">
        <v>19063</v>
      </c>
      <c r="C49" s="1077">
        <v>55513</v>
      </c>
      <c r="E49" s="1077">
        <f t="shared" si="1"/>
        <v>55.512999999999998</v>
      </c>
      <c r="G49" s="1069">
        <v>101045</v>
      </c>
      <c r="H49" s="1069" t="s">
        <v>3468</v>
      </c>
      <c r="I49" s="1069" t="s">
        <v>19064</v>
      </c>
      <c r="K49" s="1070">
        <v>0</v>
      </c>
      <c r="L49" s="1078" t="str">
        <f t="shared" si="5"/>
        <v/>
      </c>
      <c r="N49" s="1070">
        <v>0</v>
      </c>
      <c r="O49" s="1078" t="str">
        <f t="shared" si="2"/>
        <v/>
      </c>
      <c r="Q49" s="1079">
        <f t="shared" si="3"/>
        <v>0</v>
      </c>
    </row>
    <row r="50" spans="1:23" x14ac:dyDescent="0.25">
      <c r="A50" s="1076" t="s">
        <v>19065</v>
      </c>
      <c r="B50" s="1076" t="s">
        <v>18958</v>
      </c>
      <c r="C50" s="1077">
        <v>47241</v>
      </c>
      <c r="D50" s="1069" t="b">
        <f>+IF(AND(L50&lt;0,O50&lt;0),TRUE,FALSE)</f>
        <v>0</v>
      </c>
      <c r="E50" s="1077">
        <f t="shared" si="1"/>
        <v>47.241</v>
      </c>
      <c r="G50" s="1069">
        <v>101046</v>
      </c>
      <c r="H50" s="1069" t="s">
        <v>3468</v>
      </c>
      <c r="I50" s="1069" t="s">
        <v>19066</v>
      </c>
      <c r="K50" s="1070">
        <v>0</v>
      </c>
      <c r="L50" s="1078" t="str">
        <f t="shared" si="5"/>
        <v/>
      </c>
      <c r="N50" s="1070">
        <v>40.939919999999994</v>
      </c>
      <c r="O50" s="1078">
        <f t="shared" si="2"/>
        <v>-0.13338159649457049</v>
      </c>
      <c r="Q50" s="1079">
        <f t="shared" si="3"/>
        <v>40.806538403505421</v>
      </c>
      <c r="W50" s="1080"/>
    </row>
    <row r="51" spans="1:23" x14ac:dyDescent="0.25">
      <c r="A51" s="1076" t="s">
        <v>19067</v>
      </c>
      <c r="B51" s="1076" t="s">
        <v>18958</v>
      </c>
      <c r="C51" s="1077">
        <v>28555</v>
      </c>
      <c r="E51" s="1077">
        <f t="shared" si="1"/>
        <v>28.555</v>
      </c>
      <c r="G51" s="1069">
        <v>101047</v>
      </c>
      <c r="H51" s="1069" t="s">
        <v>3468</v>
      </c>
      <c r="I51" s="1069" t="s">
        <v>19068</v>
      </c>
      <c r="K51" s="1070">
        <v>0</v>
      </c>
      <c r="N51" s="1070">
        <v>0</v>
      </c>
      <c r="O51" s="1078" t="str">
        <f t="shared" si="2"/>
        <v/>
      </c>
      <c r="Q51" s="1079">
        <f t="shared" si="3"/>
        <v>0</v>
      </c>
    </row>
    <row r="52" spans="1:23" x14ac:dyDescent="0.25">
      <c r="A52" s="1082" t="s">
        <v>19069</v>
      </c>
      <c r="B52" s="1076"/>
      <c r="C52" s="1077">
        <v>50789</v>
      </c>
      <c r="E52" s="1077">
        <f t="shared" si="1"/>
        <v>50.789000000000001</v>
      </c>
      <c r="Q52" s="1079">
        <f t="shared" si="3"/>
        <v>0</v>
      </c>
    </row>
    <row r="53" spans="1:23" x14ac:dyDescent="0.25">
      <c r="C53" s="1083" t="s">
        <v>8353</v>
      </c>
      <c r="Q53" s="1079">
        <f t="shared" si="3"/>
        <v>0</v>
      </c>
    </row>
    <row r="54" spans="1:23" x14ac:dyDescent="0.25">
      <c r="C54" s="1070" t="s">
        <v>8353</v>
      </c>
      <c r="Q54" s="1079">
        <f t="shared" si="3"/>
        <v>0</v>
      </c>
    </row>
    <row r="55" spans="1:23" x14ac:dyDescent="0.25">
      <c r="A55" s="1066" t="s">
        <v>19070</v>
      </c>
      <c r="C55" s="1083">
        <v>0</v>
      </c>
      <c r="G55" s="1069">
        <v>102</v>
      </c>
      <c r="Q55" s="1079">
        <f t="shared" si="3"/>
        <v>0</v>
      </c>
    </row>
    <row r="56" spans="1:23" x14ac:dyDescent="0.25">
      <c r="B56" s="1084"/>
      <c r="C56" s="1085" t="s">
        <v>8353</v>
      </c>
      <c r="Q56" s="1079">
        <f t="shared" si="3"/>
        <v>0</v>
      </c>
    </row>
    <row r="57" spans="1:23" x14ac:dyDescent="0.25">
      <c r="A57" s="1076" t="s">
        <v>19071</v>
      </c>
      <c r="B57" s="1076" t="s">
        <v>18958</v>
      </c>
      <c r="C57" s="1077">
        <v>26815</v>
      </c>
      <c r="E57" s="1077">
        <f t="shared" ref="E57:E96" si="10">+C57/1000</f>
        <v>26.815000000000001</v>
      </c>
      <c r="G57" s="1069">
        <v>102001</v>
      </c>
      <c r="H57" s="1069" t="s">
        <v>3533</v>
      </c>
      <c r="I57" s="1069" t="s">
        <v>18959</v>
      </c>
      <c r="K57" s="1070">
        <v>0</v>
      </c>
      <c r="L57" s="1078" t="str">
        <f t="shared" ref="L57:L96" si="11">+IF(K57=0,"",K57/E57-1)</f>
        <v/>
      </c>
      <c r="Q57" s="1079">
        <f t="shared" si="3"/>
        <v>0</v>
      </c>
    </row>
    <row r="58" spans="1:23" x14ac:dyDescent="0.25">
      <c r="A58" s="1076" t="s">
        <v>19072</v>
      </c>
      <c r="B58" s="1076" t="s">
        <v>18958</v>
      </c>
      <c r="C58" s="1077">
        <v>26815</v>
      </c>
      <c r="E58" s="1077">
        <f t="shared" si="10"/>
        <v>26.815000000000001</v>
      </c>
      <c r="G58" s="1069">
        <v>102002</v>
      </c>
      <c r="H58" s="1069" t="s">
        <v>3533</v>
      </c>
      <c r="I58" s="1069" t="s">
        <v>18961</v>
      </c>
      <c r="K58" s="1070">
        <v>0</v>
      </c>
      <c r="L58" s="1078" t="str">
        <f t="shared" si="11"/>
        <v/>
      </c>
      <c r="Q58" s="1079">
        <f t="shared" si="3"/>
        <v>0</v>
      </c>
    </row>
    <row r="59" spans="1:23" x14ac:dyDescent="0.25">
      <c r="A59" s="1076" t="s">
        <v>19073</v>
      </c>
      <c r="B59" s="1076" t="s">
        <v>18958</v>
      </c>
      <c r="C59" s="1077">
        <v>26815</v>
      </c>
      <c r="D59" s="1069" t="b">
        <f t="shared" ref="D59" si="12">+IF(AND(L59&lt;0,O59&lt;0),TRUE,FALSE)</f>
        <v>0</v>
      </c>
      <c r="E59" s="1077">
        <f t="shared" si="10"/>
        <v>26.815000000000001</v>
      </c>
      <c r="G59" s="1069">
        <v>102003</v>
      </c>
      <c r="H59" s="1069" t="s">
        <v>3533</v>
      </c>
      <c r="I59" s="1069" t="s">
        <v>18963</v>
      </c>
      <c r="K59" s="1070">
        <v>26.637572499999997</v>
      </c>
      <c r="L59" s="1078">
        <f t="shared" si="11"/>
        <v>-6.6167257132203616E-3</v>
      </c>
      <c r="Q59" s="1079">
        <f t="shared" si="3"/>
        <v>26.630955774286775</v>
      </c>
      <c r="W59" s="1080"/>
    </row>
    <row r="60" spans="1:23" x14ac:dyDescent="0.25">
      <c r="A60" s="1076"/>
      <c r="B60" s="1076"/>
      <c r="C60" s="1077" t="s">
        <v>8353</v>
      </c>
      <c r="E60" s="1077">
        <v>36.4</v>
      </c>
      <c r="H60" s="1069" t="s">
        <v>3533</v>
      </c>
      <c r="I60" s="1069" t="s">
        <v>5888</v>
      </c>
      <c r="L60" s="1078" t="str">
        <f t="shared" si="11"/>
        <v/>
      </c>
      <c r="Q60" s="1079"/>
      <c r="W60" s="1080"/>
    </row>
    <row r="61" spans="1:23" x14ac:dyDescent="0.25">
      <c r="A61" s="1076" t="s">
        <v>19074</v>
      </c>
      <c r="B61" s="1076" t="s">
        <v>18969</v>
      </c>
      <c r="C61" s="1077">
        <v>33457</v>
      </c>
      <c r="E61" s="1077">
        <f t="shared" si="10"/>
        <v>33.457000000000001</v>
      </c>
      <c r="G61" s="1069">
        <v>102004</v>
      </c>
      <c r="H61" s="1069" t="s">
        <v>3533</v>
      </c>
      <c r="I61" s="1069" t="s">
        <v>18970</v>
      </c>
      <c r="K61" s="1070">
        <v>0</v>
      </c>
      <c r="L61" s="1078" t="str">
        <f t="shared" si="11"/>
        <v/>
      </c>
      <c r="Q61" s="1079">
        <f t="shared" si="3"/>
        <v>0</v>
      </c>
    </row>
    <row r="62" spans="1:23" x14ac:dyDescent="0.25">
      <c r="A62" s="1076" t="s">
        <v>19075</v>
      </c>
      <c r="B62" s="1076" t="s">
        <v>18958</v>
      </c>
      <c r="C62" s="1077">
        <v>28426</v>
      </c>
      <c r="D62" s="1069" t="b">
        <f t="shared" ref="D62" si="13">+IF(AND(L62&lt;0,O62&lt;0),TRUE,FALSE)</f>
        <v>0</v>
      </c>
      <c r="E62" s="1077">
        <f t="shared" si="10"/>
        <v>28.425999999999998</v>
      </c>
      <c r="G62" s="1069">
        <v>102005</v>
      </c>
      <c r="H62" s="1069" t="s">
        <v>3533</v>
      </c>
      <c r="I62" s="1069" t="s">
        <v>18973</v>
      </c>
      <c r="K62" s="1070">
        <v>37.295004999999996</v>
      </c>
      <c r="L62" s="1078">
        <f t="shared" si="11"/>
        <v>0.31200327165271236</v>
      </c>
      <c r="Q62" s="1079">
        <f t="shared" si="3"/>
        <v>37.60700827165271</v>
      </c>
      <c r="W62" s="1080"/>
    </row>
    <row r="63" spans="1:23" x14ac:dyDescent="0.25">
      <c r="A63" s="1076" t="s">
        <v>19076</v>
      </c>
      <c r="B63" s="1076" t="s">
        <v>18975</v>
      </c>
      <c r="C63" s="1077">
        <v>35752</v>
      </c>
      <c r="E63" s="1077">
        <f t="shared" si="10"/>
        <v>35.752000000000002</v>
      </c>
      <c r="G63" s="1069">
        <v>102006</v>
      </c>
      <c r="H63" s="1069" t="s">
        <v>3533</v>
      </c>
      <c r="I63" s="1069" t="s">
        <v>19077</v>
      </c>
      <c r="K63" s="1070">
        <v>0</v>
      </c>
      <c r="L63" s="1078" t="str">
        <f t="shared" si="11"/>
        <v/>
      </c>
      <c r="Q63" s="1079">
        <f t="shared" si="3"/>
        <v>0</v>
      </c>
    </row>
    <row r="64" spans="1:23" x14ac:dyDescent="0.25">
      <c r="A64" s="1076" t="s">
        <v>19078</v>
      </c>
      <c r="B64" s="1076" t="s">
        <v>18958</v>
      </c>
      <c r="C64" s="1077">
        <v>35752</v>
      </c>
      <c r="D64" s="1069" t="b">
        <f t="shared" ref="D64" si="14">+IF(AND(L64&lt;0,O64&lt;0),TRUE,FALSE)</f>
        <v>0</v>
      </c>
      <c r="E64" s="1077">
        <f t="shared" si="10"/>
        <v>35.752000000000002</v>
      </c>
      <c r="G64" s="1069">
        <v>102007</v>
      </c>
      <c r="H64" s="1069" t="s">
        <v>3533</v>
      </c>
      <c r="I64" s="1069" t="s">
        <v>18957</v>
      </c>
      <c r="K64" s="1070">
        <v>37.295004999999996</v>
      </c>
      <c r="L64" s="1078">
        <f t="shared" si="11"/>
        <v>4.3158564555828782E-2</v>
      </c>
      <c r="Q64" s="1079">
        <f t="shared" si="3"/>
        <v>37.338163564555828</v>
      </c>
      <c r="W64" s="1080"/>
    </row>
    <row r="65" spans="1:23" x14ac:dyDescent="0.25">
      <c r="A65" s="1076" t="s">
        <v>19079</v>
      </c>
      <c r="B65" s="1076" t="s">
        <v>18979</v>
      </c>
      <c r="C65" s="1077">
        <v>49452</v>
      </c>
      <c r="E65" s="1077">
        <f t="shared" si="10"/>
        <v>49.451999999999998</v>
      </c>
      <c r="G65" s="1069">
        <v>102008</v>
      </c>
      <c r="H65" s="1069" t="s">
        <v>3533</v>
      </c>
      <c r="I65" s="1069" t="s">
        <v>18980</v>
      </c>
      <c r="K65" s="1070">
        <v>0</v>
      </c>
      <c r="L65" s="1078" t="str">
        <f t="shared" si="11"/>
        <v/>
      </c>
      <c r="Q65" s="1079">
        <f t="shared" si="3"/>
        <v>0</v>
      </c>
    </row>
    <row r="66" spans="1:23" x14ac:dyDescent="0.25">
      <c r="A66" s="1076" t="s">
        <v>19080</v>
      </c>
      <c r="B66" s="1076" t="s">
        <v>18982</v>
      </c>
      <c r="C66" s="1077">
        <v>71384</v>
      </c>
      <c r="E66" s="1077">
        <f t="shared" si="10"/>
        <v>71.384</v>
      </c>
      <c r="G66" s="1069">
        <v>102009</v>
      </c>
      <c r="H66" s="1069" t="s">
        <v>3533</v>
      </c>
      <c r="I66" s="1069" t="s">
        <v>18983</v>
      </c>
      <c r="K66" s="1070">
        <v>0</v>
      </c>
      <c r="L66" s="1078" t="str">
        <f t="shared" si="11"/>
        <v/>
      </c>
      <c r="Q66" s="1079">
        <f t="shared" si="3"/>
        <v>0</v>
      </c>
    </row>
    <row r="67" spans="1:23" x14ac:dyDescent="0.25">
      <c r="A67" s="1076" t="s">
        <v>19081</v>
      </c>
      <c r="B67" s="1076" t="s">
        <v>18958</v>
      </c>
      <c r="C67" s="1077">
        <v>43629</v>
      </c>
      <c r="D67" s="1069" t="b">
        <f t="shared" ref="D67:D70" si="15">+IF(AND(L67&lt;0,O67&lt;0),TRUE,FALSE)</f>
        <v>0</v>
      </c>
      <c r="E67" s="1077">
        <f t="shared" si="10"/>
        <v>43.628999999999998</v>
      </c>
      <c r="G67" s="1069">
        <v>102010</v>
      </c>
      <c r="H67" s="1069" t="s">
        <v>3533</v>
      </c>
      <c r="I67" s="1069" t="s">
        <v>18985</v>
      </c>
      <c r="K67" s="1070">
        <v>53.270442500000001</v>
      </c>
      <c r="L67" s="1078">
        <f t="shared" si="11"/>
        <v>0.22098701551720201</v>
      </c>
      <c r="Q67" s="1079">
        <f t="shared" si="3"/>
        <v>53.491429515517204</v>
      </c>
      <c r="W67" s="1080"/>
    </row>
    <row r="68" spans="1:23" x14ac:dyDescent="0.25">
      <c r="A68" s="1076" t="s">
        <v>19082</v>
      </c>
      <c r="B68" s="1076" t="s">
        <v>18987</v>
      </c>
      <c r="C68" s="1077">
        <v>43629</v>
      </c>
      <c r="D68" s="1069" t="b">
        <f t="shared" si="15"/>
        <v>0</v>
      </c>
      <c r="E68" s="1077">
        <f t="shared" si="10"/>
        <v>43.628999999999998</v>
      </c>
      <c r="G68" s="1069">
        <v>102011</v>
      </c>
      <c r="H68" s="1069" t="s">
        <v>3533</v>
      </c>
      <c r="I68" s="1069" t="s">
        <v>18988</v>
      </c>
      <c r="K68" s="1070">
        <v>53.270442500000001</v>
      </c>
      <c r="L68" s="1078">
        <f t="shared" si="11"/>
        <v>0.22098701551720201</v>
      </c>
      <c r="Q68" s="1079">
        <f t="shared" si="3"/>
        <v>53.491429515517204</v>
      </c>
      <c r="W68" s="1080"/>
    </row>
    <row r="69" spans="1:23" x14ac:dyDescent="0.25">
      <c r="A69" s="1076" t="s">
        <v>19083</v>
      </c>
      <c r="B69" s="1076" t="s">
        <v>18958</v>
      </c>
      <c r="C69" s="1077">
        <v>40140</v>
      </c>
      <c r="D69" s="1069" t="b">
        <f t="shared" si="15"/>
        <v>0</v>
      </c>
      <c r="E69" s="1077">
        <f t="shared" si="10"/>
        <v>40.14</v>
      </c>
      <c r="G69" s="1069">
        <v>102012</v>
      </c>
      <c r="H69" s="1069" t="s">
        <v>3533</v>
      </c>
      <c r="I69" s="1069" t="s">
        <v>18991</v>
      </c>
      <c r="K69" s="1070">
        <v>69.280887499999992</v>
      </c>
      <c r="L69" s="1078">
        <f t="shared" si="11"/>
        <v>0.72598125311410033</v>
      </c>
      <c r="Q69" s="1079">
        <f t="shared" si="3"/>
        <v>70.006868753114091</v>
      </c>
      <c r="W69" s="1080"/>
    </row>
    <row r="70" spans="1:23" x14ac:dyDescent="0.25">
      <c r="A70" s="1076" t="s">
        <v>19084</v>
      </c>
      <c r="B70" s="1076" t="s">
        <v>18993</v>
      </c>
      <c r="C70" s="1077">
        <v>40140</v>
      </c>
      <c r="D70" s="1069" t="b">
        <f t="shared" si="15"/>
        <v>0</v>
      </c>
      <c r="E70" s="1077">
        <f t="shared" si="10"/>
        <v>40.14</v>
      </c>
      <c r="G70" s="1069">
        <v>102013</v>
      </c>
      <c r="H70" s="1069" t="s">
        <v>3533</v>
      </c>
      <c r="I70" s="1069" t="s">
        <v>18994</v>
      </c>
      <c r="K70" s="1070">
        <v>69.280887499999992</v>
      </c>
      <c r="L70" s="1078">
        <f t="shared" si="11"/>
        <v>0.72598125311410033</v>
      </c>
      <c r="Q70" s="1079">
        <f t="shared" si="3"/>
        <v>70.006868753114091</v>
      </c>
      <c r="W70" s="1080"/>
    </row>
    <row r="71" spans="1:23" x14ac:dyDescent="0.25">
      <c r="A71" s="1076" t="s">
        <v>19085</v>
      </c>
      <c r="B71" s="1076" t="s">
        <v>18969</v>
      </c>
      <c r="C71" s="1077">
        <v>40140</v>
      </c>
      <c r="E71" s="1077">
        <f t="shared" si="10"/>
        <v>40.14</v>
      </c>
      <c r="G71" s="1069">
        <v>102014</v>
      </c>
      <c r="H71" s="1069" t="s">
        <v>3533</v>
      </c>
      <c r="I71" s="1069" t="s">
        <v>18998</v>
      </c>
      <c r="K71" s="1070">
        <v>0</v>
      </c>
      <c r="L71" s="1078" t="str">
        <f t="shared" si="11"/>
        <v/>
      </c>
      <c r="Q71" s="1079">
        <f t="shared" ref="Q71:Q134" si="16">+SUM(K71:O71)</f>
        <v>0</v>
      </c>
    </row>
    <row r="72" spans="1:23" x14ac:dyDescent="0.25">
      <c r="A72" s="1076" t="s">
        <v>19086</v>
      </c>
      <c r="B72" s="1076" t="s">
        <v>19000</v>
      </c>
      <c r="C72" s="1077">
        <v>54459</v>
      </c>
      <c r="D72" s="1069" t="b">
        <f t="shared" ref="D72:D77" si="17">+IF(AND(L72&lt;0,O72&lt;0),TRUE,FALSE)</f>
        <v>0</v>
      </c>
      <c r="E72" s="1077">
        <f t="shared" si="10"/>
        <v>54.459000000000003</v>
      </c>
      <c r="G72" s="1069">
        <v>102015</v>
      </c>
      <c r="H72" s="1069" t="s">
        <v>3533</v>
      </c>
      <c r="I72" s="1069" t="s">
        <v>19001</v>
      </c>
      <c r="K72" s="1070">
        <v>83.029429999999991</v>
      </c>
      <c r="L72" s="1078">
        <f t="shared" si="11"/>
        <v>0.52462274371545536</v>
      </c>
      <c r="Q72" s="1079">
        <f t="shared" si="16"/>
        <v>83.554052743715445</v>
      </c>
      <c r="W72" s="1080"/>
    </row>
    <row r="73" spans="1:23" x14ac:dyDescent="0.25">
      <c r="A73" s="1076" t="s">
        <v>19087</v>
      </c>
      <c r="B73" s="1076" t="s">
        <v>18958</v>
      </c>
      <c r="C73" s="1077">
        <v>54459</v>
      </c>
      <c r="D73" s="1069" t="b">
        <f t="shared" si="17"/>
        <v>0</v>
      </c>
      <c r="E73" s="1077">
        <f t="shared" si="10"/>
        <v>54.459000000000003</v>
      </c>
      <c r="G73" s="1069">
        <v>102016</v>
      </c>
      <c r="H73" s="1069" t="s">
        <v>3533</v>
      </c>
      <c r="I73" s="1069" t="s">
        <v>19005</v>
      </c>
      <c r="K73" s="1070">
        <v>85.212957499999987</v>
      </c>
      <c r="L73" s="1078">
        <f t="shared" si="11"/>
        <v>0.56471763161277266</v>
      </c>
      <c r="Q73" s="1079">
        <f t="shared" si="16"/>
        <v>85.777675131612767</v>
      </c>
      <c r="W73" s="1080"/>
    </row>
    <row r="74" spans="1:23" x14ac:dyDescent="0.25">
      <c r="A74" s="1076" t="s">
        <v>19088</v>
      </c>
      <c r="B74" s="1076" t="s">
        <v>19089</v>
      </c>
      <c r="C74" s="1077">
        <v>62584</v>
      </c>
      <c r="D74" s="1069" t="b">
        <f t="shared" si="17"/>
        <v>0</v>
      </c>
      <c r="E74" s="1077">
        <f t="shared" si="10"/>
        <v>62.584000000000003</v>
      </c>
      <c r="G74" s="1069">
        <v>102017</v>
      </c>
      <c r="H74" s="1069" t="s">
        <v>3533</v>
      </c>
      <c r="I74" s="1069" t="s">
        <v>19008</v>
      </c>
      <c r="K74" s="1070">
        <v>98.184542499999992</v>
      </c>
      <c r="L74" s="1078">
        <f t="shared" si="11"/>
        <v>0.56884415345775263</v>
      </c>
      <c r="Q74" s="1079">
        <f t="shared" si="16"/>
        <v>98.753386653457738</v>
      </c>
      <c r="W74" s="1080"/>
    </row>
    <row r="75" spans="1:23" x14ac:dyDescent="0.25">
      <c r="A75" s="1076" t="s">
        <v>19090</v>
      </c>
      <c r="B75" s="1076" t="s">
        <v>18958</v>
      </c>
      <c r="C75" s="1077">
        <v>62584</v>
      </c>
      <c r="D75" s="1069" t="b">
        <f t="shared" si="17"/>
        <v>0</v>
      </c>
      <c r="E75" s="1077">
        <f t="shared" si="10"/>
        <v>62.584000000000003</v>
      </c>
      <c r="G75" s="1069">
        <v>102018</v>
      </c>
      <c r="H75" s="1069" t="s">
        <v>3533</v>
      </c>
      <c r="I75" s="1069" t="s">
        <v>19010</v>
      </c>
      <c r="K75" s="1070">
        <v>92.663285000000002</v>
      </c>
      <c r="L75" s="1078">
        <f t="shared" si="11"/>
        <v>0.48062260322127059</v>
      </c>
      <c r="Q75" s="1079">
        <f t="shared" si="16"/>
        <v>93.143907603221265</v>
      </c>
      <c r="W75" s="1080"/>
    </row>
    <row r="76" spans="1:23" x14ac:dyDescent="0.25">
      <c r="A76" s="1076" t="s">
        <v>19091</v>
      </c>
      <c r="B76" s="1076" t="s">
        <v>18958</v>
      </c>
      <c r="C76" s="1077">
        <v>62584</v>
      </c>
      <c r="D76" s="1069" t="b">
        <f t="shared" si="17"/>
        <v>0</v>
      </c>
      <c r="E76" s="1077">
        <f t="shared" si="10"/>
        <v>62.584000000000003</v>
      </c>
      <c r="G76" s="1069">
        <v>102019</v>
      </c>
      <c r="H76" s="1069" t="s">
        <v>3533</v>
      </c>
      <c r="I76" s="1069" t="s">
        <v>19012</v>
      </c>
      <c r="K76" s="1070">
        <v>92.663285000000002</v>
      </c>
      <c r="L76" s="1078">
        <f t="shared" si="11"/>
        <v>0.48062260322127059</v>
      </c>
      <c r="Q76" s="1079">
        <f t="shared" si="16"/>
        <v>93.143907603221265</v>
      </c>
      <c r="W76" s="1080"/>
    </row>
    <row r="77" spans="1:23" x14ac:dyDescent="0.25">
      <c r="A77" s="1076" t="s">
        <v>19092</v>
      </c>
      <c r="B77" s="1076" t="s">
        <v>18958</v>
      </c>
      <c r="C77" s="1077">
        <v>71902</v>
      </c>
      <c r="D77" s="1069" t="b">
        <f t="shared" si="17"/>
        <v>0</v>
      </c>
      <c r="E77" s="1077">
        <f t="shared" si="10"/>
        <v>71.902000000000001</v>
      </c>
      <c r="G77" s="1069">
        <v>102020</v>
      </c>
      <c r="H77" s="1069" t="s">
        <v>3533</v>
      </c>
      <c r="I77" s="1081" t="s">
        <v>19014</v>
      </c>
      <c r="K77" s="1070">
        <v>117.24168499999999</v>
      </c>
      <c r="L77" s="1078">
        <f t="shared" si="11"/>
        <v>0.6305761314010736</v>
      </c>
      <c r="Q77" s="1079">
        <f t="shared" si="16"/>
        <v>117.87226113140106</v>
      </c>
      <c r="S77" s="1081"/>
      <c r="T77" s="1081"/>
      <c r="W77" s="1080"/>
    </row>
    <row r="78" spans="1:23" x14ac:dyDescent="0.25">
      <c r="A78" s="1076" t="s">
        <v>19093</v>
      </c>
      <c r="B78" s="1076" t="s">
        <v>19094</v>
      </c>
      <c r="C78" s="1077">
        <v>71902</v>
      </c>
      <c r="E78" s="1077">
        <f t="shared" si="10"/>
        <v>71.902000000000001</v>
      </c>
      <c r="G78" s="1069">
        <v>102021</v>
      </c>
      <c r="H78" s="1069" t="s">
        <v>3533</v>
      </c>
      <c r="I78" s="1069" t="s">
        <v>19017</v>
      </c>
      <c r="K78" s="1070">
        <v>117.24169999999999</v>
      </c>
      <c r="L78" s="1078">
        <f t="shared" si="11"/>
        <v>0.63057634001835816</v>
      </c>
      <c r="Q78" s="1079">
        <f t="shared" si="16"/>
        <v>117.87227634001836</v>
      </c>
      <c r="W78" s="1080"/>
    </row>
    <row r="79" spans="1:23" x14ac:dyDescent="0.25">
      <c r="A79" s="1076" t="s">
        <v>19095</v>
      </c>
      <c r="B79" s="1076" t="s">
        <v>19019</v>
      </c>
      <c r="C79" s="1077">
        <v>71902</v>
      </c>
      <c r="E79" s="1077">
        <f t="shared" si="10"/>
        <v>71.902000000000001</v>
      </c>
      <c r="G79" s="1069">
        <v>102022</v>
      </c>
      <c r="H79" s="1069" t="s">
        <v>3533</v>
      </c>
      <c r="I79" s="1069" t="s">
        <v>19020</v>
      </c>
      <c r="K79" s="1070">
        <v>0</v>
      </c>
      <c r="L79" s="1078" t="str">
        <f t="shared" si="11"/>
        <v/>
      </c>
      <c r="Q79" s="1079">
        <f t="shared" si="16"/>
        <v>0</v>
      </c>
    </row>
    <row r="80" spans="1:23" x14ac:dyDescent="0.25">
      <c r="A80" s="1076" t="s">
        <v>19096</v>
      </c>
      <c r="B80" s="1076" t="s">
        <v>18958</v>
      </c>
      <c r="C80" s="1077">
        <v>96663</v>
      </c>
      <c r="D80" s="1069" t="b">
        <f t="shared" ref="D80:D81" si="18">+IF(AND(L80&lt;0,O80&lt;0),TRUE,FALSE)</f>
        <v>0</v>
      </c>
      <c r="E80" s="1077">
        <f t="shared" si="10"/>
        <v>96.662999999999997</v>
      </c>
      <c r="G80" s="1069">
        <v>102023</v>
      </c>
      <c r="H80" s="1069" t="s">
        <v>3533</v>
      </c>
      <c r="I80" s="1081" t="s">
        <v>19022</v>
      </c>
      <c r="K80" s="1070">
        <v>127.90382</v>
      </c>
      <c r="L80" s="1078">
        <f t="shared" si="11"/>
        <v>0.32319315560245387</v>
      </c>
      <c r="Q80" s="1079">
        <f t="shared" si="16"/>
        <v>128.22701315560246</v>
      </c>
      <c r="S80" s="1081"/>
      <c r="T80" s="1081"/>
      <c r="W80" s="1080"/>
    </row>
    <row r="81" spans="1:23" x14ac:dyDescent="0.25">
      <c r="A81" s="1076" t="s">
        <v>19097</v>
      </c>
      <c r="B81" s="1076" t="s">
        <v>18958</v>
      </c>
      <c r="C81" s="1077">
        <v>107205</v>
      </c>
      <c r="D81" s="1069" t="b">
        <f t="shared" si="18"/>
        <v>0</v>
      </c>
      <c r="E81" s="1077">
        <f t="shared" si="10"/>
        <v>107.205</v>
      </c>
      <c r="G81" s="1069">
        <v>102024</v>
      </c>
      <c r="H81" s="1069" t="s">
        <v>3533</v>
      </c>
      <c r="I81" s="1069" t="s">
        <v>19024</v>
      </c>
      <c r="K81" s="1070">
        <v>138.48287749999997</v>
      </c>
      <c r="L81" s="1078">
        <f t="shared" si="11"/>
        <v>0.29175763723706893</v>
      </c>
      <c r="Q81" s="1079">
        <f t="shared" si="16"/>
        <v>138.77463513723706</v>
      </c>
      <c r="W81" s="1080"/>
    </row>
    <row r="82" spans="1:23" x14ac:dyDescent="0.25">
      <c r="A82" s="1076" t="s">
        <v>19098</v>
      </c>
      <c r="B82" s="1076" t="s">
        <v>19099</v>
      </c>
      <c r="C82" s="1077">
        <v>106570</v>
      </c>
      <c r="E82" s="1077">
        <f t="shared" si="10"/>
        <v>106.57</v>
      </c>
      <c r="G82" s="1069">
        <v>102025</v>
      </c>
      <c r="H82" s="1069" t="s">
        <v>3533</v>
      </c>
      <c r="I82" s="1069" t="s">
        <v>19027</v>
      </c>
      <c r="K82" s="1070">
        <v>0</v>
      </c>
      <c r="L82" s="1078" t="str">
        <f t="shared" si="11"/>
        <v/>
      </c>
      <c r="Q82" s="1079">
        <f t="shared" si="16"/>
        <v>0</v>
      </c>
    </row>
    <row r="83" spans="1:23" x14ac:dyDescent="0.25">
      <c r="A83" s="1076" t="s">
        <v>19100</v>
      </c>
      <c r="B83" s="1076" t="s">
        <v>18958</v>
      </c>
      <c r="C83" s="1077">
        <v>114496</v>
      </c>
      <c r="E83" s="1077">
        <f t="shared" si="10"/>
        <v>114.496</v>
      </c>
      <c r="G83" s="1069">
        <v>102026</v>
      </c>
      <c r="H83" s="1069" t="s">
        <v>3533</v>
      </c>
      <c r="I83" s="1069" t="s">
        <v>19029</v>
      </c>
      <c r="K83" s="1070">
        <v>0</v>
      </c>
      <c r="L83" s="1078" t="str">
        <f t="shared" si="11"/>
        <v/>
      </c>
      <c r="Q83" s="1079">
        <f t="shared" si="16"/>
        <v>0</v>
      </c>
    </row>
    <row r="84" spans="1:23" x14ac:dyDescent="0.25">
      <c r="A84" s="1076" t="s">
        <v>19101</v>
      </c>
      <c r="B84" s="1076" t="s">
        <v>18958</v>
      </c>
      <c r="C84" s="1077">
        <v>136810</v>
      </c>
      <c r="D84" s="1069" t="b">
        <f t="shared" ref="D84" si="19">+IF(AND(L84&lt;0,O84&lt;0),TRUE,FALSE)</f>
        <v>0</v>
      </c>
      <c r="E84" s="1077">
        <f t="shared" si="10"/>
        <v>136.81</v>
      </c>
      <c r="G84" s="1069">
        <v>102027</v>
      </c>
      <c r="H84" s="1069" t="s">
        <v>3533</v>
      </c>
      <c r="I84" s="1069" t="s">
        <v>19031</v>
      </c>
      <c r="K84" s="1070">
        <v>191.7496625</v>
      </c>
      <c r="L84" s="1078">
        <f t="shared" si="11"/>
        <v>0.40157636503179583</v>
      </c>
      <c r="Q84" s="1079">
        <f t="shared" si="16"/>
        <v>192.15123886503179</v>
      </c>
      <c r="W84" s="1080"/>
    </row>
    <row r="85" spans="1:23" x14ac:dyDescent="0.25">
      <c r="A85" s="1076" t="s">
        <v>19102</v>
      </c>
      <c r="B85" s="1076" t="s">
        <v>19103</v>
      </c>
      <c r="C85" s="1077">
        <v>136810</v>
      </c>
      <c r="E85" s="1077">
        <f t="shared" si="10"/>
        <v>136.81</v>
      </c>
      <c r="G85" s="1069">
        <v>102028</v>
      </c>
      <c r="H85" s="1069" t="s">
        <v>3533</v>
      </c>
      <c r="I85" s="1069" t="s">
        <v>19034</v>
      </c>
      <c r="K85" s="1070">
        <v>0</v>
      </c>
      <c r="L85" s="1078" t="str">
        <f t="shared" si="11"/>
        <v/>
      </c>
      <c r="Q85" s="1079">
        <f t="shared" si="16"/>
        <v>0</v>
      </c>
    </row>
    <row r="86" spans="1:23" x14ac:dyDescent="0.25">
      <c r="A86" s="1076" t="s">
        <v>19104</v>
      </c>
      <c r="B86" s="1076" t="s">
        <v>18958</v>
      </c>
      <c r="C86" s="1077">
        <v>168422</v>
      </c>
      <c r="D86" s="1069" t="b">
        <f t="shared" ref="D86" si="20">+IF(AND(L86&lt;0,O86&lt;0),TRUE,FALSE)</f>
        <v>0</v>
      </c>
      <c r="E86" s="1077">
        <f t="shared" si="10"/>
        <v>168.422</v>
      </c>
      <c r="G86" s="1069">
        <v>102029</v>
      </c>
      <c r="H86" s="1069" t="s">
        <v>3533</v>
      </c>
      <c r="I86" s="1069" t="s">
        <v>19036</v>
      </c>
      <c r="K86" s="1070">
        <v>213.11677749999998</v>
      </c>
      <c r="L86" s="1078">
        <f t="shared" si="11"/>
        <v>0.26537374867891361</v>
      </c>
      <c r="Q86" s="1079">
        <f t="shared" si="16"/>
        <v>213.38215124867889</v>
      </c>
      <c r="W86" s="1080"/>
    </row>
    <row r="87" spans="1:23" x14ac:dyDescent="0.25">
      <c r="A87" s="1076" t="s">
        <v>19105</v>
      </c>
      <c r="B87" s="1076" t="s">
        <v>18958</v>
      </c>
      <c r="C87" s="1077">
        <v>186630</v>
      </c>
      <c r="E87" s="1077">
        <f t="shared" si="10"/>
        <v>186.63</v>
      </c>
      <c r="G87" s="1069">
        <v>102030</v>
      </c>
      <c r="H87" s="1069" t="s">
        <v>3533</v>
      </c>
      <c r="I87" s="1069" t="s">
        <v>19038</v>
      </c>
      <c r="K87" s="1070">
        <v>0</v>
      </c>
      <c r="L87" s="1078" t="str">
        <f t="shared" si="11"/>
        <v/>
      </c>
      <c r="Q87" s="1079">
        <f t="shared" si="16"/>
        <v>0</v>
      </c>
    </row>
    <row r="88" spans="1:23" x14ac:dyDescent="0.25">
      <c r="A88" s="1076" t="s">
        <v>19106</v>
      </c>
      <c r="B88" s="1076" t="s">
        <v>18958</v>
      </c>
      <c r="C88" s="1077">
        <v>186630</v>
      </c>
      <c r="E88" s="1077">
        <f t="shared" si="10"/>
        <v>186.63</v>
      </c>
      <c r="G88" s="1069">
        <v>102031</v>
      </c>
      <c r="H88" s="1069" t="s">
        <v>3533</v>
      </c>
      <c r="I88" s="1069" t="s">
        <v>19040</v>
      </c>
      <c r="K88" s="1070">
        <v>0</v>
      </c>
      <c r="L88" s="1078" t="str">
        <f t="shared" si="11"/>
        <v/>
      </c>
      <c r="Q88" s="1079">
        <f t="shared" si="16"/>
        <v>0</v>
      </c>
    </row>
    <row r="89" spans="1:23" x14ac:dyDescent="0.25">
      <c r="A89" s="1076" t="s">
        <v>19107</v>
      </c>
      <c r="B89" s="1076" t="s">
        <v>18958</v>
      </c>
      <c r="C89" s="1077">
        <v>224418</v>
      </c>
      <c r="E89" s="1077">
        <f t="shared" si="10"/>
        <v>224.41800000000001</v>
      </c>
      <c r="G89" s="1069">
        <v>102032</v>
      </c>
      <c r="H89" s="1069" t="s">
        <v>3533</v>
      </c>
      <c r="I89" s="1069" t="s">
        <v>19042</v>
      </c>
      <c r="K89" s="1070">
        <v>0</v>
      </c>
      <c r="L89" s="1078" t="str">
        <f t="shared" si="11"/>
        <v/>
      </c>
      <c r="Q89" s="1079">
        <f t="shared" si="16"/>
        <v>0</v>
      </c>
    </row>
    <row r="90" spans="1:23" x14ac:dyDescent="0.25">
      <c r="A90" s="1076" t="s">
        <v>19108</v>
      </c>
      <c r="B90" s="1076" t="s">
        <v>18958</v>
      </c>
      <c r="C90" s="1077">
        <v>224418</v>
      </c>
      <c r="E90" s="1077">
        <f t="shared" si="10"/>
        <v>224.41800000000001</v>
      </c>
      <c r="G90" s="1069">
        <v>102033</v>
      </c>
      <c r="H90" s="1069" t="s">
        <v>3533</v>
      </c>
      <c r="I90" s="1069" t="s">
        <v>19044</v>
      </c>
      <c r="K90" s="1070">
        <v>0</v>
      </c>
      <c r="L90" s="1078" t="str">
        <f t="shared" si="11"/>
        <v/>
      </c>
      <c r="Q90" s="1079">
        <f t="shared" si="16"/>
        <v>0</v>
      </c>
    </row>
    <row r="91" spans="1:23" x14ac:dyDescent="0.25">
      <c r="A91" s="1076" t="s">
        <v>19109</v>
      </c>
      <c r="B91" s="1076" t="s">
        <v>18958</v>
      </c>
      <c r="C91" s="1077">
        <v>215043</v>
      </c>
      <c r="E91" s="1077">
        <f t="shared" si="10"/>
        <v>215.04300000000001</v>
      </c>
      <c r="G91" s="1069">
        <v>102034</v>
      </c>
      <c r="H91" s="1069" t="s">
        <v>3533</v>
      </c>
      <c r="I91" s="1069" t="s">
        <v>19046</v>
      </c>
      <c r="K91" s="1070">
        <v>0</v>
      </c>
      <c r="L91" s="1078" t="str">
        <f t="shared" si="11"/>
        <v/>
      </c>
      <c r="Q91" s="1079">
        <f t="shared" si="16"/>
        <v>0</v>
      </c>
    </row>
    <row r="92" spans="1:23" x14ac:dyDescent="0.25">
      <c r="A92" s="1076" t="s">
        <v>19110</v>
      </c>
      <c r="B92" s="1076" t="s">
        <v>18958</v>
      </c>
      <c r="C92" s="1077">
        <v>272153</v>
      </c>
      <c r="E92" s="1077">
        <f t="shared" si="10"/>
        <v>272.15300000000002</v>
      </c>
      <c r="G92" s="1069">
        <v>102035</v>
      </c>
      <c r="H92" s="1069" t="s">
        <v>3533</v>
      </c>
      <c r="I92" s="1069" t="s">
        <v>19048</v>
      </c>
      <c r="K92" s="1070">
        <v>0</v>
      </c>
      <c r="L92" s="1078" t="str">
        <f t="shared" si="11"/>
        <v/>
      </c>
      <c r="Q92" s="1079">
        <f t="shared" si="16"/>
        <v>0</v>
      </c>
    </row>
    <row r="93" spans="1:23" x14ac:dyDescent="0.25">
      <c r="A93" s="1076" t="s">
        <v>19111</v>
      </c>
      <c r="B93" s="1076" t="s">
        <v>18958</v>
      </c>
      <c r="C93" s="1077">
        <v>284305</v>
      </c>
      <c r="E93" s="1077">
        <f t="shared" si="10"/>
        <v>284.30500000000001</v>
      </c>
      <c r="G93" s="1069">
        <v>102036</v>
      </c>
      <c r="H93" s="1069" t="s">
        <v>3533</v>
      </c>
      <c r="I93" s="1069" t="s">
        <v>19050</v>
      </c>
      <c r="K93" s="1070">
        <v>0</v>
      </c>
      <c r="L93" s="1078" t="str">
        <f t="shared" si="11"/>
        <v/>
      </c>
      <c r="Q93" s="1079">
        <f t="shared" si="16"/>
        <v>0</v>
      </c>
    </row>
    <row r="94" spans="1:23" x14ac:dyDescent="0.25">
      <c r="A94" s="1076" t="s">
        <v>19112</v>
      </c>
      <c r="B94" s="1076" t="s">
        <v>18958</v>
      </c>
      <c r="C94" s="1077">
        <v>323630</v>
      </c>
      <c r="E94" s="1077">
        <f t="shared" si="10"/>
        <v>323.63</v>
      </c>
      <c r="G94" s="1069">
        <v>102037</v>
      </c>
      <c r="H94" s="1069" t="s">
        <v>3533</v>
      </c>
      <c r="I94" s="1069" t="s">
        <v>19054</v>
      </c>
      <c r="K94" s="1070">
        <v>0</v>
      </c>
      <c r="L94" s="1078" t="str">
        <f t="shared" si="11"/>
        <v/>
      </c>
      <c r="Q94" s="1079">
        <f t="shared" si="16"/>
        <v>0</v>
      </c>
    </row>
    <row r="95" spans="1:23" x14ac:dyDescent="0.25">
      <c r="A95" s="1076" t="s">
        <v>19113</v>
      </c>
      <c r="B95" s="1076" t="s">
        <v>18958</v>
      </c>
      <c r="C95" s="1077">
        <v>352274</v>
      </c>
      <c r="E95" s="1077">
        <f t="shared" si="10"/>
        <v>352.274</v>
      </c>
      <c r="G95" s="1069">
        <v>102038</v>
      </c>
      <c r="H95" s="1069" t="s">
        <v>3533</v>
      </c>
      <c r="I95" s="1069" t="s">
        <v>19056</v>
      </c>
      <c r="K95" s="1070">
        <v>0</v>
      </c>
      <c r="L95" s="1078" t="str">
        <f t="shared" si="11"/>
        <v/>
      </c>
      <c r="Q95" s="1079">
        <f t="shared" si="16"/>
        <v>0</v>
      </c>
    </row>
    <row r="96" spans="1:23" x14ac:dyDescent="0.25">
      <c r="A96" s="1076" t="s">
        <v>19114</v>
      </c>
      <c r="B96" s="1076" t="s">
        <v>18958</v>
      </c>
      <c r="C96" s="1077">
        <v>462899</v>
      </c>
      <c r="E96" s="1077">
        <f t="shared" si="10"/>
        <v>462.899</v>
      </c>
      <c r="G96" s="1069">
        <v>102039</v>
      </c>
      <c r="H96" s="1069" t="s">
        <v>3533</v>
      </c>
      <c r="I96" s="1069" t="s">
        <v>19058</v>
      </c>
      <c r="K96" s="1070">
        <v>0</v>
      </c>
      <c r="L96" s="1078" t="str">
        <f t="shared" si="11"/>
        <v/>
      </c>
      <c r="Q96" s="1079">
        <f t="shared" si="16"/>
        <v>0</v>
      </c>
    </row>
    <row r="97" spans="1:23" x14ac:dyDescent="0.25">
      <c r="C97" s="1070" t="s">
        <v>8353</v>
      </c>
      <c r="Q97" s="1079">
        <f t="shared" si="16"/>
        <v>0</v>
      </c>
    </row>
    <row r="98" spans="1:23" x14ac:dyDescent="0.25">
      <c r="A98" s="1066" t="s">
        <v>19115</v>
      </c>
      <c r="C98" s="1083">
        <v>0</v>
      </c>
      <c r="G98" s="1069">
        <v>103</v>
      </c>
      <c r="Q98" s="1079">
        <f t="shared" si="16"/>
        <v>0</v>
      </c>
    </row>
    <row r="99" spans="1:23" x14ac:dyDescent="0.25">
      <c r="B99" s="1084"/>
      <c r="C99" s="1085" t="s">
        <v>8353</v>
      </c>
      <c r="Q99" s="1079">
        <f t="shared" si="16"/>
        <v>0</v>
      </c>
    </row>
    <row r="100" spans="1:23" x14ac:dyDescent="0.25">
      <c r="A100" s="1076" t="s">
        <v>19116</v>
      </c>
      <c r="B100" s="1076" t="s">
        <v>18958</v>
      </c>
      <c r="C100" s="1077">
        <v>82295</v>
      </c>
      <c r="E100" s="1077">
        <f t="shared" ref="E100:E163" si="21">+C100/1000</f>
        <v>82.295000000000002</v>
      </c>
      <c r="G100" s="1069">
        <v>103001</v>
      </c>
      <c r="H100" s="1069" t="s">
        <v>3369</v>
      </c>
      <c r="I100" s="1069" t="s">
        <v>18959</v>
      </c>
      <c r="K100" s="1070">
        <v>0</v>
      </c>
      <c r="L100" s="1078" t="str">
        <f t="shared" ref="L100:L163" si="22">+IF(K100=0,"",K100/E100-1)</f>
        <v/>
      </c>
      <c r="N100" s="1070">
        <v>0</v>
      </c>
      <c r="O100" s="1078" t="str">
        <f t="shared" ref="O100:O163" si="23">+IF(N100=0,"",N100/E100-1)</f>
        <v/>
      </c>
      <c r="Q100" s="1079">
        <f t="shared" si="16"/>
        <v>0</v>
      </c>
    </row>
    <row r="101" spans="1:23" x14ac:dyDescent="0.25">
      <c r="A101" s="1076" t="s">
        <v>19117</v>
      </c>
      <c r="B101" s="1076" t="s">
        <v>18958</v>
      </c>
      <c r="C101" s="1077">
        <v>98877</v>
      </c>
      <c r="E101" s="1077">
        <f t="shared" si="21"/>
        <v>98.876999999999995</v>
      </c>
      <c r="G101" s="1069">
        <v>103002</v>
      </c>
      <c r="H101" s="1069" t="s">
        <v>3369</v>
      </c>
      <c r="I101" s="1069" t="s">
        <v>19118</v>
      </c>
      <c r="K101" s="1070">
        <v>0</v>
      </c>
      <c r="L101" s="1078" t="str">
        <f t="shared" si="22"/>
        <v/>
      </c>
      <c r="N101" s="1070">
        <v>0</v>
      </c>
      <c r="O101" s="1078" t="str">
        <f t="shared" si="23"/>
        <v/>
      </c>
      <c r="Q101" s="1079">
        <f t="shared" si="16"/>
        <v>0</v>
      </c>
    </row>
    <row r="102" spans="1:23" x14ac:dyDescent="0.25">
      <c r="A102" s="1076" t="s">
        <v>19119</v>
      </c>
      <c r="B102" s="1076" t="s">
        <v>18958</v>
      </c>
      <c r="C102" s="1077">
        <v>82295</v>
      </c>
      <c r="E102" s="1077">
        <f t="shared" si="21"/>
        <v>82.295000000000002</v>
      </c>
      <c r="G102" s="1069">
        <v>103003</v>
      </c>
      <c r="H102" s="1069" t="s">
        <v>3369</v>
      </c>
      <c r="I102" s="1069" t="s">
        <v>18961</v>
      </c>
      <c r="K102" s="1070">
        <v>0</v>
      </c>
      <c r="L102" s="1078" t="str">
        <f t="shared" si="22"/>
        <v/>
      </c>
      <c r="N102" s="1070">
        <v>0</v>
      </c>
      <c r="O102" s="1078" t="str">
        <f t="shared" si="23"/>
        <v/>
      </c>
      <c r="Q102" s="1079">
        <f t="shared" si="16"/>
        <v>0</v>
      </c>
    </row>
    <row r="103" spans="1:23" x14ac:dyDescent="0.25">
      <c r="A103" s="1076" t="s">
        <v>19120</v>
      </c>
      <c r="B103" s="1076" t="s">
        <v>19103</v>
      </c>
      <c r="C103" s="1077">
        <v>630292</v>
      </c>
      <c r="E103" s="1077">
        <f t="shared" si="21"/>
        <v>630.29200000000003</v>
      </c>
      <c r="G103" s="1069">
        <v>103004</v>
      </c>
      <c r="H103" s="1069" t="s">
        <v>3369</v>
      </c>
      <c r="I103" s="1069" t="s">
        <v>19121</v>
      </c>
      <c r="K103" s="1070">
        <v>0</v>
      </c>
      <c r="L103" s="1078" t="str">
        <f t="shared" si="22"/>
        <v/>
      </c>
      <c r="N103" s="1070">
        <v>0</v>
      </c>
      <c r="O103" s="1078" t="str">
        <f t="shared" si="23"/>
        <v/>
      </c>
      <c r="Q103" s="1079">
        <f t="shared" si="16"/>
        <v>0</v>
      </c>
    </row>
    <row r="104" spans="1:23" x14ac:dyDescent="0.25">
      <c r="A104" s="1076" t="s">
        <v>19122</v>
      </c>
      <c r="B104" s="1076" t="s">
        <v>18958</v>
      </c>
      <c r="C104" s="1077">
        <v>81236</v>
      </c>
      <c r="D104" s="1069" t="b">
        <f t="shared" ref="D104" si="24">+IF(AND(L104&lt;0,O104&lt;0),TRUE,FALSE)</f>
        <v>1</v>
      </c>
      <c r="E104" s="1077">
        <f t="shared" si="21"/>
        <v>81.236000000000004</v>
      </c>
      <c r="G104" s="1069">
        <v>103005</v>
      </c>
      <c r="H104" s="1069" t="s">
        <v>3369</v>
      </c>
      <c r="I104" s="1069" t="s">
        <v>18963</v>
      </c>
      <c r="K104" s="1070">
        <v>79.135759999999991</v>
      </c>
      <c r="L104" s="1078">
        <f t="shared" si="22"/>
        <v>-2.5853562459993262E-2</v>
      </c>
      <c r="N104" s="1070">
        <v>21.119616000000001</v>
      </c>
      <c r="O104" s="1078">
        <f t="shared" si="23"/>
        <v>-0.7400214683145403</v>
      </c>
      <c r="Q104" s="1079">
        <f t="shared" si="16"/>
        <v>99.48950096922546</v>
      </c>
      <c r="W104" s="1080"/>
    </row>
    <row r="105" spans="1:23" x14ac:dyDescent="0.25">
      <c r="A105" s="1076" t="s">
        <v>19123</v>
      </c>
      <c r="B105" s="1076" t="s">
        <v>18958</v>
      </c>
      <c r="C105" s="1077">
        <v>109073</v>
      </c>
      <c r="E105" s="1077">
        <f t="shared" si="21"/>
        <v>109.07299999999999</v>
      </c>
      <c r="G105" s="1069">
        <v>103006</v>
      </c>
      <c r="H105" s="1069" t="s">
        <v>3369</v>
      </c>
      <c r="I105" s="1069" t="s">
        <v>19124</v>
      </c>
      <c r="K105" s="1070">
        <v>0</v>
      </c>
      <c r="L105" s="1078" t="str">
        <f t="shared" si="22"/>
        <v/>
      </c>
      <c r="N105" s="1070">
        <v>0</v>
      </c>
      <c r="O105" s="1078" t="str">
        <f t="shared" si="23"/>
        <v/>
      </c>
      <c r="Q105" s="1079">
        <f t="shared" si="16"/>
        <v>0</v>
      </c>
    </row>
    <row r="106" spans="1:23" x14ac:dyDescent="0.25">
      <c r="A106" s="1076" t="s">
        <v>19125</v>
      </c>
      <c r="B106" s="1076" t="s">
        <v>18958</v>
      </c>
      <c r="C106" s="1077">
        <v>109073</v>
      </c>
      <c r="D106" s="1069" t="b">
        <f t="shared" ref="D106" si="25">+IF(AND(L106&lt;0,O106&lt;0),TRUE,FALSE)</f>
        <v>1</v>
      </c>
      <c r="E106" s="1077">
        <f t="shared" si="21"/>
        <v>109.07299999999999</v>
      </c>
      <c r="G106" s="1069">
        <v>103007</v>
      </c>
      <c r="H106" s="1069" t="s">
        <v>3369</v>
      </c>
      <c r="I106" s="1069" t="s">
        <v>18973</v>
      </c>
      <c r="K106" s="1070">
        <v>102.26631249999998</v>
      </c>
      <c r="L106" s="1078">
        <f t="shared" si="22"/>
        <v>-6.2404880217835856E-2</v>
      </c>
      <c r="N106" s="1070">
        <v>54.54</v>
      </c>
      <c r="O106" s="1078">
        <f t="shared" si="23"/>
        <v>-0.49996791139878793</v>
      </c>
      <c r="Q106" s="1079">
        <f t="shared" si="16"/>
        <v>156.24393970838335</v>
      </c>
      <c r="W106" s="1080"/>
    </row>
    <row r="107" spans="1:23" x14ac:dyDescent="0.25">
      <c r="A107" s="1076" t="s">
        <v>19126</v>
      </c>
      <c r="B107" s="1076" t="s">
        <v>19127</v>
      </c>
      <c r="C107" s="1077">
        <v>331697</v>
      </c>
      <c r="E107" s="1077">
        <f t="shared" si="21"/>
        <v>331.697</v>
      </c>
      <c r="G107" s="1069">
        <v>103008</v>
      </c>
      <c r="H107" s="1069" t="s">
        <v>3369</v>
      </c>
      <c r="I107" s="1069" t="s">
        <v>19128</v>
      </c>
      <c r="K107" s="1070">
        <v>0</v>
      </c>
      <c r="L107" s="1078" t="str">
        <f t="shared" si="22"/>
        <v/>
      </c>
      <c r="N107" s="1070">
        <v>0</v>
      </c>
      <c r="O107" s="1078" t="str">
        <f t="shared" si="23"/>
        <v/>
      </c>
      <c r="Q107" s="1079">
        <f t="shared" si="16"/>
        <v>0</v>
      </c>
    </row>
    <row r="108" spans="1:23" x14ac:dyDescent="0.25">
      <c r="A108" s="1076" t="s">
        <v>19129</v>
      </c>
      <c r="B108" s="1076" t="s">
        <v>19130</v>
      </c>
      <c r="C108" s="1077">
        <v>429512</v>
      </c>
      <c r="D108" s="1069" t="b">
        <f t="shared" ref="D108" si="26">+IF(AND(L108&lt;0,O108&lt;0),TRUE,FALSE)</f>
        <v>0</v>
      </c>
      <c r="E108" s="1077">
        <f t="shared" si="21"/>
        <v>429.512</v>
      </c>
      <c r="G108" s="1069">
        <v>103009</v>
      </c>
      <c r="H108" s="1069" t="s">
        <v>3369</v>
      </c>
      <c r="I108" s="1069" t="s">
        <v>19131</v>
      </c>
      <c r="K108" s="1070">
        <v>0</v>
      </c>
      <c r="L108" s="1078" t="str">
        <f t="shared" si="22"/>
        <v/>
      </c>
      <c r="N108" s="1070">
        <v>379.68069600000001</v>
      </c>
      <c r="O108" s="1078">
        <f t="shared" si="23"/>
        <v>-0.1160184209055859</v>
      </c>
      <c r="Q108" s="1079">
        <f t="shared" si="16"/>
        <v>379.56467757909445</v>
      </c>
      <c r="W108" s="1080"/>
    </row>
    <row r="109" spans="1:23" x14ac:dyDescent="0.25">
      <c r="A109" s="1076" t="s">
        <v>19132</v>
      </c>
      <c r="B109" s="1076" t="s">
        <v>19133</v>
      </c>
      <c r="C109" s="1077">
        <v>151989</v>
      </c>
      <c r="E109" s="1077">
        <f t="shared" si="21"/>
        <v>151.989</v>
      </c>
      <c r="G109" s="1069">
        <v>103010</v>
      </c>
      <c r="H109" s="1069" t="s">
        <v>3369</v>
      </c>
      <c r="I109" s="1069" t="s">
        <v>19134</v>
      </c>
      <c r="K109" s="1070">
        <v>0</v>
      </c>
      <c r="L109" s="1078" t="str">
        <f t="shared" si="22"/>
        <v/>
      </c>
      <c r="N109" s="1070">
        <v>0</v>
      </c>
      <c r="O109" s="1078" t="str">
        <f t="shared" si="23"/>
        <v/>
      </c>
      <c r="Q109" s="1079">
        <f t="shared" si="16"/>
        <v>0</v>
      </c>
    </row>
    <row r="110" spans="1:23" x14ac:dyDescent="0.25">
      <c r="A110" s="1076" t="s">
        <v>19135</v>
      </c>
      <c r="B110" s="1076" t="s">
        <v>19133</v>
      </c>
      <c r="C110" s="1077">
        <v>151989</v>
      </c>
      <c r="E110" s="1077">
        <f t="shared" si="21"/>
        <v>151.989</v>
      </c>
      <c r="G110" s="1069">
        <v>103011</v>
      </c>
      <c r="H110" s="1069" t="s">
        <v>3369</v>
      </c>
      <c r="I110" s="1069" t="s">
        <v>19136</v>
      </c>
      <c r="K110" s="1070">
        <v>0</v>
      </c>
      <c r="L110" s="1078" t="str">
        <f t="shared" si="22"/>
        <v/>
      </c>
      <c r="N110" s="1070">
        <v>0</v>
      </c>
      <c r="O110" s="1078" t="str">
        <f t="shared" si="23"/>
        <v/>
      </c>
      <c r="Q110" s="1079">
        <f t="shared" si="16"/>
        <v>0</v>
      </c>
    </row>
    <row r="111" spans="1:23" x14ac:dyDescent="0.25">
      <c r="A111" s="1076" t="s">
        <v>19137</v>
      </c>
      <c r="B111" s="1076" t="s">
        <v>19138</v>
      </c>
      <c r="C111" s="1077">
        <v>53997</v>
      </c>
      <c r="E111" s="1077">
        <f t="shared" si="21"/>
        <v>53.997</v>
      </c>
      <c r="G111" s="1069">
        <v>103012</v>
      </c>
      <c r="H111" s="1069" t="s">
        <v>3369</v>
      </c>
      <c r="I111" s="1069" t="s">
        <v>19139</v>
      </c>
      <c r="K111" s="1070">
        <v>0</v>
      </c>
      <c r="L111" s="1078" t="str">
        <f t="shared" si="22"/>
        <v/>
      </c>
      <c r="N111" s="1070">
        <v>0</v>
      </c>
      <c r="O111" s="1078" t="str">
        <f t="shared" si="23"/>
        <v/>
      </c>
      <c r="Q111" s="1079">
        <f t="shared" si="16"/>
        <v>0</v>
      </c>
    </row>
    <row r="112" spans="1:23" x14ac:dyDescent="0.25">
      <c r="A112" s="1076" t="s">
        <v>19140</v>
      </c>
      <c r="B112" s="1076" t="s">
        <v>19141</v>
      </c>
      <c r="C112" s="1077">
        <v>53997</v>
      </c>
      <c r="E112" s="1077">
        <f t="shared" si="21"/>
        <v>53.997</v>
      </c>
      <c r="G112" s="1069">
        <v>103013</v>
      </c>
      <c r="H112" s="1069" t="s">
        <v>3369</v>
      </c>
      <c r="I112" s="1069" t="s">
        <v>19142</v>
      </c>
      <c r="K112" s="1070">
        <v>0</v>
      </c>
      <c r="L112" s="1078" t="str">
        <f t="shared" si="22"/>
        <v/>
      </c>
      <c r="N112" s="1070">
        <v>0</v>
      </c>
      <c r="O112" s="1078" t="str">
        <f t="shared" si="23"/>
        <v/>
      </c>
      <c r="Q112" s="1079">
        <f t="shared" si="16"/>
        <v>0</v>
      </c>
    </row>
    <row r="113" spans="1:23" x14ac:dyDescent="0.25">
      <c r="A113" s="1076" t="s">
        <v>19143</v>
      </c>
      <c r="B113" s="1076" t="s">
        <v>18975</v>
      </c>
      <c r="C113" s="1077">
        <v>171920</v>
      </c>
      <c r="D113" s="1069" t="b">
        <f t="shared" ref="D113:D114" si="27">+IF(AND(L113&lt;0,O113&lt;0),TRUE,FALSE)</f>
        <v>0</v>
      </c>
      <c r="E113" s="1077">
        <f t="shared" si="21"/>
        <v>171.92</v>
      </c>
      <c r="G113" s="1069">
        <v>103014</v>
      </c>
      <c r="H113" s="1069" t="s">
        <v>3369</v>
      </c>
      <c r="I113" s="1069" t="s">
        <v>19144</v>
      </c>
      <c r="K113" s="1070">
        <v>0</v>
      </c>
      <c r="L113" s="1078" t="str">
        <f t="shared" si="22"/>
        <v/>
      </c>
      <c r="N113" s="1070">
        <v>98.896463999999995</v>
      </c>
      <c r="O113" s="1078">
        <f t="shared" si="23"/>
        <v>-0.42475300139599814</v>
      </c>
      <c r="Q113" s="1079">
        <f t="shared" si="16"/>
        <v>98.471710998603996</v>
      </c>
      <c r="W113" s="1080"/>
    </row>
    <row r="114" spans="1:23" x14ac:dyDescent="0.25">
      <c r="A114" s="1076" t="s">
        <v>19145</v>
      </c>
      <c r="B114" s="1076" t="s">
        <v>18975</v>
      </c>
      <c r="C114" s="1077">
        <v>213427</v>
      </c>
      <c r="D114" s="1069" t="b">
        <f t="shared" si="27"/>
        <v>0</v>
      </c>
      <c r="E114" s="1077">
        <f t="shared" si="21"/>
        <v>213.42699999999999</v>
      </c>
      <c r="G114" s="1069">
        <v>103015</v>
      </c>
      <c r="H114" s="1069" t="s">
        <v>3369</v>
      </c>
      <c r="I114" s="1069" t="s">
        <v>18976</v>
      </c>
      <c r="K114" s="1070">
        <v>0</v>
      </c>
      <c r="L114" s="1078" t="str">
        <f t="shared" si="22"/>
        <v/>
      </c>
      <c r="N114" s="1070">
        <v>130.95950400000001</v>
      </c>
      <c r="O114" s="1078">
        <f t="shared" si="23"/>
        <v>-0.38639673518345841</v>
      </c>
      <c r="Q114" s="1079">
        <f t="shared" si="16"/>
        <v>130.57310726481654</v>
      </c>
      <c r="W114" s="1080"/>
    </row>
    <row r="115" spans="1:23" x14ac:dyDescent="0.25">
      <c r="A115" s="1076" t="s">
        <v>19146</v>
      </c>
      <c r="B115" s="1076" t="s">
        <v>18958</v>
      </c>
      <c r="C115" s="1077">
        <v>389688</v>
      </c>
      <c r="E115" s="1077">
        <f t="shared" si="21"/>
        <v>389.68799999999999</v>
      </c>
      <c r="G115" s="1069">
        <v>103016</v>
      </c>
      <c r="H115" s="1069" t="s">
        <v>3369</v>
      </c>
      <c r="I115" s="1069" t="s">
        <v>19147</v>
      </c>
      <c r="K115" s="1070">
        <v>0</v>
      </c>
      <c r="L115" s="1078" t="str">
        <f t="shared" si="22"/>
        <v/>
      </c>
      <c r="N115" s="1070">
        <v>0</v>
      </c>
      <c r="O115" s="1078" t="str">
        <f t="shared" si="23"/>
        <v/>
      </c>
      <c r="Q115" s="1079">
        <f t="shared" si="16"/>
        <v>0</v>
      </c>
    </row>
    <row r="116" spans="1:23" x14ac:dyDescent="0.25">
      <c r="A116" s="1076" t="s">
        <v>19148</v>
      </c>
      <c r="B116" s="1076" t="s">
        <v>18958</v>
      </c>
      <c r="C116" s="1077">
        <v>291455</v>
      </c>
      <c r="E116" s="1077">
        <f t="shared" si="21"/>
        <v>291.45499999999998</v>
      </c>
      <c r="G116" s="1069">
        <v>103017</v>
      </c>
      <c r="H116" s="1069" t="s">
        <v>3369</v>
      </c>
      <c r="I116" s="1069" t="s">
        <v>19149</v>
      </c>
      <c r="K116" s="1070">
        <v>0</v>
      </c>
      <c r="L116" s="1078" t="str">
        <f t="shared" si="22"/>
        <v/>
      </c>
      <c r="N116" s="1070">
        <v>0</v>
      </c>
      <c r="O116" s="1078" t="str">
        <f t="shared" si="23"/>
        <v/>
      </c>
      <c r="Q116" s="1079">
        <f t="shared" si="16"/>
        <v>0</v>
      </c>
    </row>
    <row r="117" spans="1:23" x14ac:dyDescent="0.25">
      <c r="A117" s="1076" t="s">
        <v>19150</v>
      </c>
      <c r="B117" s="1076" t="s">
        <v>18958</v>
      </c>
      <c r="C117" s="1077">
        <v>389688</v>
      </c>
      <c r="E117" s="1077">
        <f t="shared" si="21"/>
        <v>389.68799999999999</v>
      </c>
      <c r="G117" s="1069">
        <v>103018</v>
      </c>
      <c r="H117" s="1069" t="s">
        <v>3369</v>
      </c>
      <c r="I117" s="1069" t="s">
        <v>19151</v>
      </c>
      <c r="K117" s="1070">
        <v>0</v>
      </c>
      <c r="L117" s="1078" t="str">
        <f t="shared" si="22"/>
        <v/>
      </c>
      <c r="N117" s="1070">
        <v>0</v>
      </c>
      <c r="O117" s="1078" t="str">
        <f t="shared" si="23"/>
        <v/>
      </c>
      <c r="Q117" s="1079">
        <f t="shared" si="16"/>
        <v>0</v>
      </c>
    </row>
    <row r="118" spans="1:23" x14ac:dyDescent="0.25">
      <c r="A118" s="1076" t="s">
        <v>19152</v>
      </c>
      <c r="B118" s="1076" t="s">
        <v>18958</v>
      </c>
      <c r="C118" s="1077">
        <v>138904</v>
      </c>
      <c r="D118" s="1069" t="b">
        <f t="shared" ref="D118" si="28">+IF(AND(L118&lt;0,O118&lt;0),TRUE,FALSE)</f>
        <v>0</v>
      </c>
      <c r="E118" s="1077">
        <f t="shared" si="21"/>
        <v>138.904</v>
      </c>
      <c r="G118" s="1069">
        <v>103019</v>
      </c>
      <c r="H118" s="1069" t="s">
        <v>3369</v>
      </c>
      <c r="I118" s="1069" t="s">
        <v>18957</v>
      </c>
      <c r="K118" s="1070">
        <v>139.575425</v>
      </c>
      <c r="L118" s="1078">
        <f t="shared" si="22"/>
        <v>4.8337340897310899E-3</v>
      </c>
      <c r="N118" s="1070">
        <v>0</v>
      </c>
      <c r="O118" s="1078" t="str">
        <f t="shared" si="23"/>
        <v/>
      </c>
      <c r="Q118" s="1079">
        <f t="shared" si="16"/>
        <v>139.58025873408974</v>
      </c>
      <c r="W118" s="1080"/>
    </row>
    <row r="119" spans="1:23" x14ac:dyDescent="0.25">
      <c r="A119" s="1076" t="s">
        <v>19153</v>
      </c>
      <c r="B119" s="1076" t="s">
        <v>18958</v>
      </c>
      <c r="C119" s="1077">
        <v>101911</v>
      </c>
      <c r="E119" s="1077">
        <f t="shared" si="21"/>
        <v>101.911</v>
      </c>
      <c r="G119" s="1069">
        <v>103020</v>
      </c>
      <c r="H119" s="1069" t="s">
        <v>3369</v>
      </c>
      <c r="I119" s="1069" t="s">
        <v>19154</v>
      </c>
      <c r="K119" s="1070">
        <v>0</v>
      </c>
      <c r="L119" s="1078" t="str">
        <f t="shared" si="22"/>
        <v/>
      </c>
      <c r="N119" s="1070">
        <v>0</v>
      </c>
      <c r="O119" s="1078" t="str">
        <f t="shared" si="23"/>
        <v/>
      </c>
      <c r="Q119" s="1079">
        <f t="shared" si="16"/>
        <v>0</v>
      </c>
    </row>
    <row r="120" spans="1:23" x14ac:dyDescent="0.25">
      <c r="A120" s="1076" t="s">
        <v>19155</v>
      </c>
      <c r="B120" s="1076" t="s">
        <v>19156</v>
      </c>
      <c r="C120" s="1077">
        <v>372872</v>
      </c>
      <c r="D120" s="1069" t="b">
        <f t="shared" ref="D120:D122" si="29">+IF(AND(L120&lt;0,O120&lt;0),TRUE,FALSE)</f>
        <v>1</v>
      </c>
      <c r="E120" s="1077">
        <f t="shared" si="21"/>
        <v>372.87200000000001</v>
      </c>
      <c r="G120" s="1069">
        <v>103021</v>
      </c>
      <c r="H120" s="1069" t="s">
        <v>3369</v>
      </c>
      <c r="I120" s="1069" t="s">
        <v>19157</v>
      </c>
      <c r="K120" s="1070">
        <v>372.00745999999998</v>
      </c>
      <c r="L120" s="1078">
        <f t="shared" si="22"/>
        <v>-2.3185972666224242E-3</v>
      </c>
      <c r="N120" s="1070">
        <v>312.80320800000004</v>
      </c>
      <c r="O120" s="1078">
        <f t="shared" si="23"/>
        <v>-0.16109762063120847</v>
      </c>
      <c r="Q120" s="1079">
        <f t="shared" si="16"/>
        <v>684.64725178210233</v>
      </c>
      <c r="W120" s="1080"/>
    </row>
    <row r="121" spans="1:23" x14ac:dyDescent="0.25">
      <c r="A121" s="1076" t="s">
        <v>19158</v>
      </c>
      <c r="B121" s="1076" t="s">
        <v>18979</v>
      </c>
      <c r="C121" s="1077">
        <v>238173</v>
      </c>
      <c r="D121" s="1069" t="b">
        <f t="shared" si="29"/>
        <v>1</v>
      </c>
      <c r="E121" s="1077">
        <f t="shared" si="21"/>
        <v>238.173</v>
      </c>
      <c r="G121" s="1069">
        <v>103022</v>
      </c>
      <c r="H121" s="1069" t="s">
        <v>3369</v>
      </c>
      <c r="I121" s="1069" t="s">
        <v>18980</v>
      </c>
      <c r="K121" s="1070">
        <v>199.97381250000001</v>
      </c>
      <c r="L121" s="1078">
        <f t="shared" si="22"/>
        <v>-0.16038420601831438</v>
      </c>
      <c r="N121" s="1070">
        <v>175.63392000000002</v>
      </c>
      <c r="O121" s="1078">
        <f t="shared" si="23"/>
        <v>-0.26257837790177718</v>
      </c>
      <c r="Q121" s="1079">
        <f t="shared" si="16"/>
        <v>375.18476991607992</v>
      </c>
      <c r="W121" s="1080"/>
    </row>
    <row r="122" spans="1:23" x14ac:dyDescent="0.25">
      <c r="A122" s="1076" t="s">
        <v>19159</v>
      </c>
      <c r="B122" s="1076" t="s">
        <v>19160</v>
      </c>
      <c r="C122" s="1077">
        <v>329778</v>
      </c>
      <c r="D122" s="1069" t="b">
        <f t="shared" si="29"/>
        <v>0</v>
      </c>
      <c r="E122" s="1077">
        <f t="shared" si="21"/>
        <v>329.77800000000002</v>
      </c>
      <c r="G122" s="1069">
        <v>103023</v>
      </c>
      <c r="H122" s="1069" t="s">
        <v>3369</v>
      </c>
      <c r="I122" s="1069" t="s">
        <v>19161</v>
      </c>
      <c r="K122" s="1070">
        <v>0</v>
      </c>
      <c r="L122" s="1078" t="str">
        <f t="shared" si="22"/>
        <v/>
      </c>
      <c r="N122" s="1070">
        <v>405.46100000000001</v>
      </c>
      <c r="O122" s="1078">
        <f t="shared" si="23"/>
        <v>0.22949681300753833</v>
      </c>
      <c r="Q122" s="1079">
        <f t="shared" si="16"/>
        <v>405.69049681300754</v>
      </c>
      <c r="W122" s="1080"/>
    </row>
    <row r="123" spans="1:23" x14ac:dyDescent="0.25">
      <c r="A123" s="1076" t="s">
        <v>19162</v>
      </c>
      <c r="B123" s="1076" t="s">
        <v>19163</v>
      </c>
      <c r="C123" s="1077">
        <v>185694</v>
      </c>
      <c r="E123" s="1077">
        <f t="shared" si="21"/>
        <v>185.69399999999999</v>
      </c>
      <c r="G123" s="1069">
        <v>103024</v>
      </c>
      <c r="H123" s="1069" t="s">
        <v>3369</v>
      </c>
      <c r="I123" s="1069" t="s">
        <v>19164</v>
      </c>
      <c r="K123" s="1070">
        <v>0</v>
      </c>
      <c r="L123" s="1078" t="str">
        <f t="shared" si="22"/>
        <v/>
      </c>
      <c r="N123" s="1070">
        <v>0</v>
      </c>
      <c r="O123" s="1078" t="str">
        <f t="shared" si="23"/>
        <v/>
      </c>
      <c r="Q123" s="1079">
        <f t="shared" si="16"/>
        <v>0</v>
      </c>
    </row>
    <row r="124" spans="1:23" x14ac:dyDescent="0.25">
      <c r="A124" s="1076" t="s">
        <v>19165</v>
      </c>
      <c r="B124" s="1076" t="s">
        <v>19166</v>
      </c>
      <c r="C124" s="1077">
        <v>185694</v>
      </c>
      <c r="E124" s="1077">
        <f t="shared" si="21"/>
        <v>185.69399999999999</v>
      </c>
      <c r="G124" s="1069">
        <v>103025</v>
      </c>
      <c r="H124" s="1069" t="s">
        <v>3369</v>
      </c>
      <c r="I124" s="1069" t="s">
        <v>19164</v>
      </c>
      <c r="K124" s="1070">
        <v>0</v>
      </c>
      <c r="L124" s="1078" t="str">
        <f t="shared" si="22"/>
        <v/>
      </c>
      <c r="N124" s="1070">
        <v>0</v>
      </c>
      <c r="O124" s="1078" t="str">
        <f t="shared" si="23"/>
        <v/>
      </c>
      <c r="Q124" s="1079">
        <f t="shared" si="16"/>
        <v>0</v>
      </c>
    </row>
    <row r="125" spans="1:23" x14ac:dyDescent="0.25">
      <c r="A125" s="1076" t="s">
        <v>19167</v>
      </c>
      <c r="B125" s="1076" t="s">
        <v>19168</v>
      </c>
      <c r="C125" s="1077">
        <v>303462</v>
      </c>
      <c r="D125" s="1069" t="b">
        <f t="shared" ref="D125:D126" si="30">+IF(AND(L125&lt;0,O125&lt;0),TRUE,FALSE)</f>
        <v>0</v>
      </c>
      <c r="E125" s="1077">
        <f t="shared" si="21"/>
        <v>303.46199999999999</v>
      </c>
      <c r="G125" s="1069">
        <v>103026</v>
      </c>
      <c r="H125" s="1069" t="s">
        <v>3369</v>
      </c>
      <c r="I125" s="1069" t="s">
        <v>19169</v>
      </c>
      <c r="K125" s="1070">
        <v>0</v>
      </c>
      <c r="L125" s="1078" t="str">
        <f t="shared" si="22"/>
        <v/>
      </c>
      <c r="N125" s="1070">
        <v>378.26546400000007</v>
      </c>
      <c r="O125" s="1078">
        <f t="shared" si="23"/>
        <v>0.24650026691974647</v>
      </c>
      <c r="Q125" s="1079">
        <f t="shared" si="16"/>
        <v>378.51196426691979</v>
      </c>
      <c r="W125" s="1080"/>
    </row>
    <row r="126" spans="1:23" x14ac:dyDescent="0.25">
      <c r="A126" s="1076" t="s">
        <v>19170</v>
      </c>
      <c r="B126" s="1076" t="s">
        <v>19171</v>
      </c>
      <c r="C126" s="1077">
        <v>466089</v>
      </c>
      <c r="D126" s="1069" t="b">
        <f t="shared" si="30"/>
        <v>0</v>
      </c>
      <c r="E126" s="1077">
        <f t="shared" si="21"/>
        <v>466.089</v>
      </c>
      <c r="G126" s="1069">
        <v>103027</v>
      </c>
      <c r="H126" s="1069" t="s">
        <v>3369</v>
      </c>
      <c r="I126" s="1069" t="s">
        <v>19172</v>
      </c>
      <c r="K126" s="1070">
        <v>0</v>
      </c>
      <c r="L126" s="1078" t="str">
        <f t="shared" si="22"/>
        <v/>
      </c>
      <c r="N126" s="1070">
        <v>583</v>
      </c>
      <c r="O126" s="1078">
        <f t="shared" si="23"/>
        <v>0.25083406817152953</v>
      </c>
      <c r="Q126" s="1079">
        <f t="shared" si="16"/>
        <v>583.25083406817157</v>
      </c>
      <c r="W126" s="1080"/>
    </row>
    <row r="127" spans="1:23" x14ac:dyDescent="0.25">
      <c r="A127" s="1076" t="s">
        <v>19173</v>
      </c>
      <c r="B127" s="1076" t="s">
        <v>19174</v>
      </c>
      <c r="C127" s="1077">
        <v>400090</v>
      </c>
      <c r="E127" s="1077">
        <f t="shared" si="21"/>
        <v>400.09</v>
      </c>
      <c r="G127" s="1069">
        <v>103028</v>
      </c>
      <c r="H127" s="1069" t="s">
        <v>3369</v>
      </c>
      <c r="I127" s="1069" t="s">
        <v>19175</v>
      </c>
      <c r="K127" s="1070">
        <v>0</v>
      </c>
      <c r="L127" s="1078" t="str">
        <f t="shared" si="22"/>
        <v/>
      </c>
      <c r="N127" s="1070">
        <v>0</v>
      </c>
      <c r="O127" s="1078" t="str">
        <f t="shared" si="23"/>
        <v/>
      </c>
      <c r="Q127" s="1079">
        <f t="shared" si="16"/>
        <v>0</v>
      </c>
    </row>
    <row r="128" spans="1:23" x14ac:dyDescent="0.25">
      <c r="A128" s="1076" t="s">
        <v>19176</v>
      </c>
      <c r="B128" s="1076" t="s">
        <v>19177</v>
      </c>
      <c r="C128" s="1077">
        <v>596277</v>
      </c>
      <c r="E128" s="1077">
        <f t="shared" si="21"/>
        <v>596.27700000000004</v>
      </c>
      <c r="G128" s="1069">
        <v>103029</v>
      </c>
      <c r="H128" s="1069" t="s">
        <v>3369</v>
      </c>
      <c r="I128" s="1069" t="s">
        <v>19178</v>
      </c>
      <c r="K128" s="1070">
        <v>0</v>
      </c>
      <c r="L128" s="1078" t="str">
        <f t="shared" si="22"/>
        <v/>
      </c>
      <c r="N128" s="1070">
        <v>0</v>
      </c>
      <c r="O128" s="1078" t="str">
        <f t="shared" si="23"/>
        <v/>
      </c>
      <c r="Q128" s="1079">
        <f t="shared" si="16"/>
        <v>0</v>
      </c>
    </row>
    <row r="129" spans="1:23" x14ac:dyDescent="0.25">
      <c r="A129" s="1076" t="s">
        <v>19179</v>
      </c>
      <c r="B129" s="1076" t="s">
        <v>18958</v>
      </c>
      <c r="C129" s="1077">
        <v>209894</v>
      </c>
      <c r="D129" s="1069" t="b">
        <f t="shared" ref="D129:D130" si="31">+IF(AND(L129&lt;0,O129&lt;0),TRUE,FALSE)</f>
        <v>0</v>
      </c>
      <c r="E129" s="1077">
        <f t="shared" si="21"/>
        <v>209.89400000000001</v>
      </c>
      <c r="G129" s="1069">
        <v>103030</v>
      </c>
      <c r="H129" s="1069" t="s">
        <v>3369</v>
      </c>
      <c r="I129" s="1069" t="s">
        <v>18985</v>
      </c>
      <c r="K129" s="1070">
        <v>209.34276</v>
      </c>
      <c r="L129" s="1078">
        <f t="shared" si="22"/>
        <v>-2.6262780260513097E-3</v>
      </c>
      <c r="N129" s="1070">
        <v>0</v>
      </c>
      <c r="O129" s="1078" t="str">
        <f t="shared" si="23"/>
        <v/>
      </c>
      <c r="Q129" s="1079">
        <f t="shared" si="16"/>
        <v>209.34013372197396</v>
      </c>
      <c r="W129" s="1080"/>
    </row>
    <row r="130" spans="1:23" x14ac:dyDescent="0.25">
      <c r="A130" s="1076" t="s">
        <v>19180</v>
      </c>
      <c r="B130" s="1076" t="s">
        <v>18958</v>
      </c>
      <c r="C130" s="1077">
        <v>187530</v>
      </c>
      <c r="D130" s="1069" t="b">
        <f t="shared" si="31"/>
        <v>0</v>
      </c>
      <c r="E130" s="1077">
        <f t="shared" si="21"/>
        <v>187.53</v>
      </c>
      <c r="G130" s="1069">
        <v>103031</v>
      </c>
      <c r="H130" s="1069" t="s">
        <v>3369</v>
      </c>
      <c r="I130" s="1081" t="s">
        <v>18988</v>
      </c>
      <c r="K130" s="1070">
        <v>186.0460525</v>
      </c>
      <c r="L130" s="1078">
        <f t="shared" si="22"/>
        <v>-7.9131205673759197E-3</v>
      </c>
      <c r="N130" s="1070">
        <v>0</v>
      </c>
      <c r="O130" s="1078" t="str">
        <f t="shared" si="23"/>
        <v/>
      </c>
      <c r="Q130" s="1079">
        <f t="shared" si="16"/>
        <v>186.03813937943264</v>
      </c>
      <c r="S130" s="1081"/>
      <c r="T130" s="1081"/>
      <c r="W130" s="1080"/>
    </row>
    <row r="131" spans="1:23" x14ac:dyDescent="0.25">
      <c r="A131" s="1076" t="s">
        <v>19181</v>
      </c>
      <c r="B131" s="1076" t="s">
        <v>19182</v>
      </c>
      <c r="C131" s="1077">
        <v>225726</v>
      </c>
      <c r="E131" s="1077">
        <f t="shared" si="21"/>
        <v>225.726</v>
      </c>
      <c r="G131" s="1069">
        <v>103032</v>
      </c>
      <c r="H131" s="1069" t="s">
        <v>3369</v>
      </c>
      <c r="I131" s="1069" t="s">
        <v>19183</v>
      </c>
      <c r="K131" s="1070">
        <v>0</v>
      </c>
      <c r="L131" s="1078" t="str">
        <f t="shared" si="22"/>
        <v/>
      </c>
      <c r="N131" s="1070">
        <v>0</v>
      </c>
      <c r="O131" s="1078" t="str">
        <f t="shared" si="23"/>
        <v/>
      </c>
      <c r="Q131" s="1079">
        <f t="shared" si="16"/>
        <v>0</v>
      </c>
    </row>
    <row r="132" spans="1:23" x14ac:dyDescent="0.25">
      <c r="A132" s="1076" t="s">
        <v>19184</v>
      </c>
      <c r="B132" s="1076" t="s">
        <v>18958</v>
      </c>
      <c r="C132" s="1077">
        <v>282820</v>
      </c>
      <c r="D132" s="1069" t="b">
        <f t="shared" ref="D132" si="32">+IF(AND(L132&lt;0,O132&lt;0),TRUE,FALSE)</f>
        <v>0</v>
      </c>
      <c r="E132" s="1077">
        <f t="shared" si="21"/>
        <v>282.82</v>
      </c>
      <c r="G132" s="1069">
        <v>103033</v>
      </c>
      <c r="H132" s="1069" t="s">
        <v>3369</v>
      </c>
      <c r="I132" s="1081" t="s">
        <v>18991</v>
      </c>
      <c r="J132" s="1069" t="s">
        <v>18989</v>
      </c>
      <c r="K132" s="1070">
        <v>265.18181249999998</v>
      </c>
      <c r="L132" s="1078">
        <f t="shared" si="22"/>
        <v>-6.2365417933668121E-2</v>
      </c>
      <c r="N132" s="1070">
        <v>0</v>
      </c>
      <c r="O132" s="1078" t="str">
        <f t="shared" si="23"/>
        <v/>
      </c>
      <c r="Q132" s="1079">
        <f t="shared" si="16"/>
        <v>265.1194470820663</v>
      </c>
      <c r="S132" s="1081"/>
      <c r="T132" s="1081"/>
      <c r="W132" s="1080"/>
    </row>
    <row r="133" spans="1:23" x14ac:dyDescent="0.25">
      <c r="A133" s="1076" t="s">
        <v>19185</v>
      </c>
      <c r="B133" s="1076" t="s">
        <v>19186</v>
      </c>
      <c r="C133" s="1077">
        <v>282820</v>
      </c>
      <c r="E133" s="1077">
        <f t="shared" si="21"/>
        <v>282.82</v>
      </c>
      <c r="G133" s="1069">
        <v>103034</v>
      </c>
      <c r="H133" s="1069" t="s">
        <v>3369</v>
      </c>
      <c r="I133" s="1069" t="s">
        <v>18998</v>
      </c>
      <c r="K133" s="1070">
        <v>0</v>
      </c>
      <c r="L133" s="1078" t="str">
        <f t="shared" si="22"/>
        <v/>
      </c>
      <c r="N133" s="1070">
        <v>0</v>
      </c>
      <c r="O133" s="1078" t="str">
        <f t="shared" si="23"/>
        <v/>
      </c>
      <c r="Q133" s="1079">
        <f t="shared" si="16"/>
        <v>0</v>
      </c>
    </row>
    <row r="134" spans="1:23" x14ac:dyDescent="0.25">
      <c r="A134" s="1076" t="s">
        <v>19187</v>
      </c>
      <c r="B134" s="1076" t="s">
        <v>18958</v>
      </c>
      <c r="C134" s="1077">
        <v>282820</v>
      </c>
      <c r="D134" s="1069" t="b">
        <f t="shared" ref="D134:D141" si="33">+IF(AND(L134&lt;0,O134&lt;0),TRUE,FALSE)</f>
        <v>0</v>
      </c>
      <c r="E134" s="1077">
        <f t="shared" si="21"/>
        <v>282.82</v>
      </c>
      <c r="G134" s="1069">
        <v>103035</v>
      </c>
      <c r="H134" s="1069" t="s">
        <v>3369</v>
      </c>
      <c r="I134" s="1069" t="s">
        <v>18994</v>
      </c>
      <c r="K134" s="1070">
        <v>255.68746499999997</v>
      </c>
      <c r="L134" s="1078">
        <f t="shared" si="22"/>
        <v>-9.5935701152676689E-2</v>
      </c>
      <c r="N134" s="1070">
        <v>292.84221600000001</v>
      </c>
      <c r="O134" s="1078">
        <f t="shared" si="23"/>
        <v>3.5436730075666611E-2</v>
      </c>
      <c r="Q134" s="1079">
        <f t="shared" si="16"/>
        <v>548.46918202892289</v>
      </c>
      <c r="W134" s="1080"/>
    </row>
    <row r="135" spans="1:23" x14ac:dyDescent="0.25">
      <c r="A135" s="1076" t="s">
        <v>19188</v>
      </c>
      <c r="B135" s="1076" t="s">
        <v>18958</v>
      </c>
      <c r="C135" s="1077">
        <v>329778</v>
      </c>
      <c r="D135" s="1069" t="b">
        <f t="shared" si="33"/>
        <v>0</v>
      </c>
      <c r="E135" s="1077">
        <f t="shared" si="21"/>
        <v>329.77800000000002</v>
      </c>
      <c r="G135" s="1069">
        <v>103036</v>
      </c>
      <c r="H135" s="1069" t="s">
        <v>3369</v>
      </c>
      <c r="I135" s="1069" t="s">
        <v>19189</v>
      </c>
      <c r="K135" s="1070">
        <v>0</v>
      </c>
      <c r="L135" s="1078" t="str">
        <f t="shared" si="22"/>
        <v/>
      </c>
      <c r="N135" s="1070">
        <v>451.91699999999997</v>
      </c>
      <c r="O135" s="1078">
        <f t="shared" si="23"/>
        <v>0.37036733802740018</v>
      </c>
      <c r="Q135" s="1079">
        <f t="shared" ref="Q135:Q198" si="34">+SUM(K135:O135)</f>
        <v>452.28736733802737</v>
      </c>
      <c r="W135" s="1080"/>
    </row>
    <row r="136" spans="1:23" x14ac:dyDescent="0.25">
      <c r="A136" s="1076" t="s">
        <v>19190</v>
      </c>
      <c r="B136" s="1076" t="s">
        <v>19191</v>
      </c>
      <c r="C136" s="1077">
        <v>367743</v>
      </c>
      <c r="D136" s="1069" t="b">
        <f t="shared" si="33"/>
        <v>0</v>
      </c>
      <c r="E136" s="1077">
        <f t="shared" si="21"/>
        <v>367.74299999999999</v>
      </c>
      <c r="G136" s="1069">
        <v>103037</v>
      </c>
      <c r="H136" s="1069" t="s">
        <v>3369</v>
      </c>
      <c r="I136" s="1069" t="s">
        <v>18996</v>
      </c>
      <c r="K136" s="1070">
        <v>372.00745999999998</v>
      </c>
      <c r="L136" s="1078">
        <f t="shared" si="22"/>
        <v>1.1596305028239717E-2</v>
      </c>
      <c r="N136" s="1070">
        <v>300.37456800000001</v>
      </c>
      <c r="O136" s="1078">
        <f t="shared" si="23"/>
        <v>-0.18319432864799601</v>
      </c>
      <c r="Q136" s="1079">
        <f t="shared" si="34"/>
        <v>672.21042997638017</v>
      </c>
      <c r="W136" s="1080"/>
    </row>
    <row r="137" spans="1:23" x14ac:dyDescent="0.25">
      <c r="A137" s="1076" t="s">
        <v>19192</v>
      </c>
      <c r="B137" s="1076" t="s">
        <v>19193</v>
      </c>
      <c r="C137" s="1077">
        <v>303415</v>
      </c>
      <c r="D137" s="1069" t="b">
        <f t="shared" si="33"/>
        <v>1</v>
      </c>
      <c r="E137" s="1077">
        <f t="shared" si="21"/>
        <v>303.41500000000002</v>
      </c>
      <c r="G137" s="1069">
        <v>103038</v>
      </c>
      <c r="H137" s="1069" t="s">
        <v>3369</v>
      </c>
      <c r="I137" s="1081" t="s">
        <v>19001</v>
      </c>
      <c r="K137" s="1070">
        <v>302.32424749999996</v>
      </c>
      <c r="L137" s="1078">
        <f t="shared" si="22"/>
        <v>-3.5949194996953704E-3</v>
      </c>
      <c r="N137" s="1070">
        <v>243.71150400000002</v>
      </c>
      <c r="O137" s="1078">
        <f t="shared" si="23"/>
        <v>-0.19677173508231305</v>
      </c>
      <c r="Q137" s="1079">
        <f t="shared" si="34"/>
        <v>545.83538484541805</v>
      </c>
      <c r="S137" s="1081"/>
      <c r="T137" s="1081"/>
      <c r="W137" s="1080"/>
    </row>
    <row r="138" spans="1:23" x14ac:dyDescent="0.25">
      <c r="A138" s="1076" t="s">
        <v>19194</v>
      </c>
      <c r="B138" s="1076" t="s">
        <v>19195</v>
      </c>
      <c r="C138" s="1077">
        <v>354237</v>
      </c>
      <c r="D138" s="1069" t="b">
        <f t="shared" si="33"/>
        <v>0</v>
      </c>
      <c r="E138" s="1077">
        <f t="shared" si="21"/>
        <v>354.23700000000002</v>
      </c>
      <c r="G138" s="1069">
        <v>103039</v>
      </c>
      <c r="H138" s="1069" t="s">
        <v>3369</v>
      </c>
      <c r="I138" s="1069" t="s">
        <v>19196</v>
      </c>
      <c r="K138" s="1070">
        <v>0</v>
      </c>
      <c r="L138" s="1078" t="str">
        <f t="shared" si="22"/>
        <v/>
      </c>
      <c r="N138" s="1070">
        <v>376.09800000000001</v>
      </c>
      <c r="O138" s="1078">
        <f t="shared" si="23"/>
        <v>6.1712921010509847E-2</v>
      </c>
      <c r="Q138" s="1079">
        <f t="shared" si="34"/>
        <v>376.15971292101051</v>
      </c>
      <c r="W138" s="1080"/>
    </row>
    <row r="139" spans="1:23" x14ac:dyDescent="0.25">
      <c r="A139" s="1076" t="s">
        <v>19197</v>
      </c>
      <c r="B139" s="1076" t="s">
        <v>19198</v>
      </c>
      <c r="C139" s="1077">
        <v>465443</v>
      </c>
      <c r="D139" s="1069" t="b">
        <f t="shared" si="33"/>
        <v>0</v>
      </c>
      <c r="E139" s="1077">
        <f t="shared" si="21"/>
        <v>465.44299999999998</v>
      </c>
      <c r="G139" s="1069">
        <v>103040</v>
      </c>
      <c r="H139" s="1069" t="s">
        <v>3369</v>
      </c>
      <c r="I139" s="1069" t="s">
        <v>19199</v>
      </c>
      <c r="K139" s="1070">
        <v>0</v>
      </c>
      <c r="L139" s="1078" t="str">
        <f t="shared" si="22"/>
        <v/>
      </c>
      <c r="N139" s="1070">
        <v>496.53699999999998</v>
      </c>
      <c r="O139" s="1078">
        <f t="shared" si="23"/>
        <v>6.680517270643227E-2</v>
      </c>
      <c r="Q139" s="1079">
        <f t="shared" si="34"/>
        <v>496.60380517270642</v>
      </c>
      <c r="W139" s="1080"/>
    </row>
    <row r="140" spans="1:23" x14ac:dyDescent="0.25">
      <c r="A140" s="1076" t="s">
        <v>19200</v>
      </c>
      <c r="B140" s="1076" t="s">
        <v>19201</v>
      </c>
      <c r="C140" s="1077">
        <v>115053</v>
      </c>
      <c r="D140" s="1069" t="b">
        <f t="shared" si="33"/>
        <v>0</v>
      </c>
      <c r="E140" s="1077">
        <f t="shared" si="21"/>
        <v>115.053</v>
      </c>
      <c r="G140" s="1069">
        <v>103041</v>
      </c>
      <c r="H140" s="1069" t="s">
        <v>3369</v>
      </c>
      <c r="I140" s="1069" t="s">
        <v>19202</v>
      </c>
      <c r="K140" s="1070">
        <v>0</v>
      </c>
      <c r="L140" s="1078" t="str">
        <f t="shared" si="22"/>
        <v/>
      </c>
      <c r="N140" s="1070">
        <v>115.42400000000001</v>
      </c>
      <c r="O140" s="1078">
        <f t="shared" si="23"/>
        <v>3.2246008361365153E-3</v>
      </c>
      <c r="Q140" s="1079">
        <f t="shared" si="34"/>
        <v>115.42722460083614</v>
      </c>
      <c r="W140" s="1080"/>
    </row>
    <row r="141" spans="1:23" x14ac:dyDescent="0.25">
      <c r="A141" s="1076" t="s">
        <v>19203</v>
      </c>
      <c r="B141" s="1076" t="s">
        <v>18958</v>
      </c>
      <c r="C141" s="1077">
        <v>279639</v>
      </c>
      <c r="D141" s="1069" t="b">
        <f t="shared" si="33"/>
        <v>0</v>
      </c>
      <c r="E141" s="1077">
        <f t="shared" si="21"/>
        <v>279.63900000000001</v>
      </c>
      <c r="G141" s="1069">
        <v>103042</v>
      </c>
      <c r="H141" s="1069" t="s">
        <v>3369</v>
      </c>
      <c r="I141" s="1069" t="s">
        <v>19005</v>
      </c>
      <c r="K141" s="1070">
        <v>279.02597249999997</v>
      </c>
      <c r="L141" s="1078">
        <f t="shared" si="22"/>
        <v>-2.1922103140121774E-3</v>
      </c>
      <c r="N141" s="1070">
        <v>0</v>
      </c>
      <c r="O141" s="1078" t="str">
        <f t="shared" si="23"/>
        <v/>
      </c>
      <c r="Q141" s="1079">
        <f t="shared" si="34"/>
        <v>279.02378028968593</v>
      </c>
      <c r="W141" s="1080"/>
    </row>
    <row r="142" spans="1:23" x14ac:dyDescent="0.25">
      <c r="A142" s="1076" t="s">
        <v>19204</v>
      </c>
      <c r="B142" s="1076" t="s">
        <v>19205</v>
      </c>
      <c r="C142" s="1077">
        <v>242448</v>
      </c>
      <c r="E142" s="1077">
        <f t="shared" si="21"/>
        <v>242.44800000000001</v>
      </c>
      <c r="G142" s="1069">
        <v>103043</v>
      </c>
      <c r="H142" s="1069" t="s">
        <v>3369</v>
      </c>
      <c r="I142" s="1069" t="s">
        <v>19003</v>
      </c>
      <c r="K142" s="1070">
        <v>0</v>
      </c>
      <c r="L142" s="1078" t="str">
        <f t="shared" si="22"/>
        <v/>
      </c>
      <c r="N142" s="1070">
        <v>0</v>
      </c>
      <c r="O142" s="1078" t="str">
        <f t="shared" si="23"/>
        <v/>
      </c>
      <c r="Q142" s="1079">
        <f t="shared" si="34"/>
        <v>0</v>
      </c>
    </row>
    <row r="143" spans="1:23" x14ac:dyDescent="0.25">
      <c r="A143" s="1076" t="s">
        <v>19206</v>
      </c>
      <c r="B143" s="1076" t="s">
        <v>19205</v>
      </c>
      <c r="C143" s="1077">
        <v>291722</v>
      </c>
      <c r="E143" s="1077">
        <f t="shared" si="21"/>
        <v>291.72199999999998</v>
      </c>
      <c r="G143" s="1069">
        <v>103044</v>
      </c>
      <c r="H143" s="1069" t="s">
        <v>3369</v>
      </c>
      <c r="I143" s="1069" t="s">
        <v>19207</v>
      </c>
      <c r="K143" s="1070">
        <v>0</v>
      </c>
      <c r="L143" s="1078" t="str">
        <f t="shared" si="22"/>
        <v/>
      </c>
      <c r="N143" s="1070">
        <v>0</v>
      </c>
      <c r="O143" s="1078" t="str">
        <f t="shared" si="23"/>
        <v/>
      </c>
      <c r="Q143" s="1079">
        <f t="shared" si="34"/>
        <v>0</v>
      </c>
    </row>
    <row r="144" spans="1:23" x14ac:dyDescent="0.25">
      <c r="A144" s="1076" t="s">
        <v>19208</v>
      </c>
      <c r="B144" s="1076" t="s">
        <v>18958</v>
      </c>
      <c r="C144" s="1077">
        <v>401256</v>
      </c>
      <c r="D144" s="1069" t="b">
        <f t="shared" ref="D144:D145" si="35">+IF(AND(L144&lt;0,O144&lt;0),TRUE,FALSE)</f>
        <v>0</v>
      </c>
      <c r="E144" s="1077">
        <f t="shared" si="21"/>
        <v>401.25599999999997</v>
      </c>
      <c r="G144" s="1069">
        <v>103045</v>
      </c>
      <c r="H144" s="1069" t="s">
        <v>3369</v>
      </c>
      <c r="I144" s="1069" t="s">
        <v>19008</v>
      </c>
      <c r="K144" s="1070">
        <v>0</v>
      </c>
      <c r="L144" s="1078" t="str">
        <f t="shared" si="22"/>
        <v/>
      </c>
      <c r="N144" s="1070">
        <v>243.593568</v>
      </c>
      <c r="O144" s="1078">
        <f t="shared" si="23"/>
        <v>-0.39292230396554817</v>
      </c>
      <c r="Q144" s="1079">
        <f t="shared" si="34"/>
        <v>243.20064569603446</v>
      </c>
      <c r="W144" s="1080"/>
    </row>
    <row r="145" spans="1:23" x14ac:dyDescent="0.25">
      <c r="A145" s="1076" t="s">
        <v>19209</v>
      </c>
      <c r="B145" s="1076" t="s">
        <v>18958</v>
      </c>
      <c r="C145" s="1077">
        <v>327574</v>
      </c>
      <c r="D145" s="1069" t="b">
        <f t="shared" si="35"/>
        <v>0</v>
      </c>
      <c r="E145" s="1077">
        <f t="shared" si="21"/>
        <v>327.57400000000001</v>
      </c>
      <c r="G145" s="1069">
        <v>103046</v>
      </c>
      <c r="H145" s="1069" t="s">
        <v>3369</v>
      </c>
      <c r="I145" s="1069" t="s">
        <v>19010</v>
      </c>
      <c r="K145" s="1070">
        <v>325.49555499999997</v>
      </c>
      <c r="L145" s="1078">
        <f t="shared" si="22"/>
        <v>-6.3449632754737362E-3</v>
      </c>
      <c r="N145" s="1070">
        <v>0</v>
      </c>
      <c r="O145" s="1078" t="str">
        <f t="shared" si="23"/>
        <v/>
      </c>
      <c r="Q145" s="1079">
        <f t="shared" si="34"/>
        <v>325.4892100367245</v>
      </c>
      <c r="W145" s="1080"/>
    </row>
    <row r="146" spans="1:23" x14ac:dyDescent="0.25">
      <c r="A146" s="1076" t="s">
        <v>19210</v>
      </c>
      <c r="B146" s="1076" t="s">
        <v>19211</v>
      </c>
      <c r="C146" s="1077">
        <v>131413</v>
      </c>
      <c r="E146" s="1077">
        <f t="shared" si="21"/>
        <v>131.41300000000001</v>
      </c>
      <c r="G146" s="1069">
        <v>103047</v>
      </c>
      <c r="H146" s="1069" t="s">
        <v>3369</v>
      </c>
      <c r="I146" s="1069" t="s">
        <v>19212</v>
      </c>
      <c r="K146" s="1070">
        <v>0</v>
      </c>
      <c r="L146" s="1078" t="str">
        <f t="shared" si="22"/>
        <v/>
      </c>
      <c r="N146" s="1070">
        <v>0</v>
      </c>
      <c r="O146" s="1078" t="str">
        <f t="shared" si="23"/>
        <v/>
      </c>
      <c r="Q146" s="1079">
        <f t="shared" si="34"/>
        <v>0</v>
      </c>
    </row>
    <row r="147" spans="1:23" x14ac:dyDescent="0.25">
      <c r="A147" s="1076" t="s">
        <v>19213</v>
      </c>
      <c r="B147" s="1076" t="s">
        <v>18958</v>
      </c>
      <c r="C147" s="1077">
        <v>327574</v>
      </c>
      <c r="D147" s="1069" t="b">
        <f t="shared" ref="D147" si="36">+IF(AND(L147&lt;0,O147&lt;0),TRUE,FALSE)</f>
        <v>0</v>
      </c>
      <c r="E147" s="1077">
        <f t="shared" si="21"/>
        <v>327.57400000000001</v>
      </c>
      <c r="G147" s="1069">
        <v>103048</v>
      </c>
      <c r="H147" s="1069" t="s">
        <v>3369</v>
      </c>
      <c r="I147" s="1069" t="s">
        <v>19012</v>
      </c>
      <c r="K147" s="1070">
        <v>325.49555499999997</v>
      </c>
      <c r="L147" s="1078">
        <f t="shared" si="22"/>
        <v>-6.3449632754737362E-3</v>
      </c>
      <c r="N147" s="1070">
        <v>0</v>
      </c>
      <c r="O147" s="1078" t="str">
        <f t="shared" si="23"/>
        <v/>
      </c>
      <c r="Q147" s="1079">
        <f t="shared" si="34"/>
        <v>325.4892100367245</v>
      </c>
      <c r="W147" s="1080"/>
    </row>
    <row r="148" spans="1:23" x14ac:dyDescent="0.25">
      <c r="A148" s="1076" t="s">
        <v>19214</v>
      </c>
      <c r="B148" s="1076" t="s">
        <v>18958</v>
      </c>
      <c r="C148" s="1077">
        <v>414045</v>
      </c>
      <c r="E148" s="1077">
        <f t="shared" si="21"/>
        <v>414.04500000000002</v>
      </c>
      <c r="G148" s="1069">
        <v>103049</v>
      </c>
      <c r="H148" s="1069" t="s">
        <v>3369</v>
      </c>
      <c r="I148" s="1069" t="s">
        <v>19215</v>
      </c>
      <c r="K148" s="1070">
        <v>0</v>
      </c>
      <c r="L148" s="1078" t="str">
        <f t="shared" si="22"/>
        <v/>
      </c>
      <c r="N148" s="1070">
        <v>0</v>
      </c>
      <c r="O148" s="1078" t="str">
        <f t="shared" si="23"/>
        <v/>
      </c>
      <c r="Q148" s="1079">
        <f t="shared" si="34"/>
        <v>0</v>
      </c>
    </row>
    <row r="149" spans="1:23" x14ac:dyDescent="0.25">
      <c r="A149" s="1076" t="s">
        <v>19216</v>
      </c>
      <c r="B149" s="1076" t="s">
        <v>18958</v>
      </c>
      <c r="C149" s="1077">
        <v>429512</v>
      </c>
      <c r="D149" s="1069" t="b">
        <f t="shared" ref="D149" si="37">+IF(AND(L149&lt;0,O149&lt;0),TRUE,FALSE)</f>
        <v>0</v>
      </c>
      <c r="E149" s="1077">
        <f t="shared" si="21"/>
        <v>429.512</v>
      </c>
      <c r="G149" s="1069">
        <v>103050</v>
      </c>
      <c r="H149" s="1069" t="s">
        <v>3369</v>
      </c>
      <c r="I149" s="1081" t="s">
        <v>19014</v>
      </c>
      <c r="K149" s="1070">
        <v>418.56011999999998</v>
      </c>
      <c r="L149" s="1078">
        <f t="shared" si="22"/>
        <v>-2.5498426120806883E-2</v>
      </c>
      <c r="N149" s="1070">
        <v>0</v>
      </c>
      <c r="O149" s="1078" t="str">
        <f t="shared" si="23"/>
        <v/>
      </c>
      <c r="Q149" s="1079">
        <f t="shared" si="34"/>
        <v>418.53462157387918</v>
      </c>
      <c r="S149" s="1081"/>
      <c r="T149" s="1081"/>
      <c r="W149" s="1080"/>
    </row>
    <row r="150" spans="1:23" x14ac:dyDescent="0.25">
      <c r="A150" s="1076" t="s">
        <v>19217</v>
      </c>
      <c r="B150" s="1076" t="s">
        <v>19218</v>
      </c>
      <c r="C150" s="1077">
        <v>429512</v>
      </c>
      <c r="E150" s="1077">
        <f t="shared" si="21"/>
        <v>429.512</v>
      </c>
      <c r="G150" s="1069">
        <v>103051</v>
      </c>
      <c r="H150" s="1069" t="s">
        <v>3369</v>
      </c>
      <c r="I150" s="1069" t="s">
        <v>19219</v>
      </c>
      <c r="K150" s="1070">
        <v>0</v>
      </c>
      <c r="L150" s="1078" t="str">
        <f t="shared" si="22"/>
        <v/>
      </c>
      <c r="N150" s="1070">
        <v>0</v>
      </c>
      <c r="O150" s="1078" t="str">
        <f t="shared" si="23"/>
        <v/>
      </c>
      <c r="Q150" s="1079">
        <f t="shared" si="34"/>
        <v>0</v>
      </c>
    </row>
    <row r="151" spans="1:23" x14ac:dyDescent="0.25">
      <c r="A151" s="1076" t="s">
        <v>19220</v>
      </c>
      <c r="B151" s="1076" t="s">
        <v>18958</v>
      </c>
      <c r="C151" s="1077">
        <v>429512</v>
      </c>
      <c r="E151" s="1077">
        <f t="shared" si="21"/>
        <v>429.512</v>
      </c>
      <c r="G151" s="1069">
        <v>103052</v>
      </c>
      <c r="H151" s="1069" t="s">
        <v>3369</v>
      </c>
      <c r="I151" s="1069" t="s">
        <v>19020</v>
      </c>
      <c r="K151" s="1070">
        <v>0</v>
      </c>
      <c r="L151" s="1078" t="str">
        <f t="shared" si="22"/>
        <v/>
      </c>
      <c r="N151" s="1070">
        <v>0</v>
      </c>
      <c r="O151" s="1078" t="str">
        <f t="shared" si="23"/>
        <v/>
      </c>
      <c r="Q151" s="1079">
        <f t="shared" si="34"/>
        <v>0</v>
      </c>
    </row>
    <row r="152" spans="1:23" x14ac:dyDescent="0.25">
      <c r="A152" s="1076" t="s">
        <v>19221</v>
      </c>
      <c r="B152" s="1076" t="s">
        <v>18958</v>
      </c>
      <c r="C152" s="1077">
        <v>512894</v>
      </c>
      <c r="D152" s="1069" t="b">
        <f t="shared" ref="D152" si="38">+IF(AND(L152&lt;0,O152&lt;0),TRUE,FALSE)</f>
        <v>0</v>
      </c>
      <c r="E152" s="1077">
        <f t="shared" si="21"/>
        <v>512.89400000000001</v>
      </c>
      <c r="G152" s="1069">
        <v>103053</v>
      </c>
      <c r="H152" s="1069" t="s">
        <v>3369</v>
      </c>
      <c r="I152" s="1069" t="s">
        <v>19022</v>
      </c>
      <c r="K152" s="1070">
        <v>511.49980749999997</v>
      </c>
      <c r="L152" s="1078">
        <f t="shared" si="22"/>
        <v>-2.7182858446385127E-3</v>
      </c>
      <c r="N152" s="1070">
        <v>0</v>
      </c>
      <c r="O152" s="1078" t="str">
        <f t="shared" si="23"/>
        <v/>
      </c>
      <c r="Q152" s="1079">
        <f t="shared" si="34"/>
        <v>511.49708921415532</v>
      </c>
      <c r="W152" s="1080"/>
    </row>
    <row r="153" spans="1:23" x14ac:dyDescent="0.25">
      <c r="A153" s="1076" t="s">
        <v>19222</v>
      </c>
      <c r="B153" s="1076" t="s">
        <v>18958</v>
      </c>
      <c r="C153" s="1077">
        <v>578075</v>
      </c>
      <c r="E153" s="1077">
        <f t="shared" si="21"/>
        <v>578.07500000000005</v>
      </c>
      <c r="G153" s="1069">
        <v>103054</v>
      </c>
      <c r="H153" s="1069" t="s">
        <v>3369</v>
      </c>
      <c r="I153" s="1069" t="s">
        <v>19024</v>
      </c>
      <c r="K153" s="1070">
        <v>0</v>
      </c>
      <c r="L153" s="1078" t="str">
        <f t="shared" si="22"/>
        <v/>
      </c>
      <c r="N153" s="1070">
        <v>0</v>
      </c>
      <c r="O153" s="1078" t="str">
        <f t="shared" si="23"/>
        <v/>
      </c>
      <c r="Q153" s="1079">
        <f t="shared" si="34"/>
        <v>0</v>
      </c>
    </row>
    <row r="154" spans="1:23" x14ac:dyDescent="0.25">
      <c r="A154" s="1076" t="s">
        <v>19223</v>
      </c>
      <c r="B154" s="1076" t="s">
        <v>19224</v>
      </c>
      <c r="C154" s="1077">
        <v>537274</v>
      </c>
      <c r="E154" s="1077">
        <f t="shared" si="21"/>
        <v>537.274</v>
      </c>
      <c r="G154" s="1069">
        <v>103055</v>
      </c>
      <c r="H154" s="1069" t="s">
        <v>3369</v>
      </c>
      <c r="I154" s="1069" t="s">
        <v>19225</v>
      </c>
      <c r="K154" s="1070">
        <v>0</v>
      </c>
      <c r="L154" s="1078" t="str">
        <f t="shared" si="22"/>
        <v/>
      </c>
      <c r="N154" s="1070">
        <v>0</v>
      </c>
      <c r="O154" s="1078" t="str">
        <f t="shared" si="23"/>
        <v/>
      </c>
      <c r="Q154" s="1079">
        <f t="shared" si="34"/>
        <v>0</v>
      </c>
    </row>
    <row r="155" spans="1:23" x14ac:dyDescent="0.25">
      <c r="A155" s="1076" t="s">
        <v>19226</v>
      </c>
      <c r="B155" s="1076" t="s">
        <v>18958</v>
      </c>
      <c r="C155" s="1077">
        <v>657807</v>
      </c>
      <c r="E155" s="1077">
        <f t="shared" si="21"/>
        <v>657.80700000000002</v>
      </c>
      <c r="G155" s="1069">
        <v>103056</v>
      </c>
      <c r="H155" s="1069" t="s">
        <v>3369</v>
      </c>
      <c r="I155" s="1069" t="s">
        <v>19029</v>
      </c>
      <c r="K155" s="1070">
        <v>0</v>
      </c>
      <c r="L155" s="1078" t="str">
        <f t="shared" si="22"/>
        <v/>
      </c>
      <c r="N155" s="1070">
        <v>0</v>
      </c>
      <c r="O155" s="1078" t="str">
        <f t="shared" si="23"/>
        <v/>
      </c>
      <c r="Q155" s="1079">
        <f t="shared" si="34"/>
        <v>0</v>
      </c>
    </row>
    <row r="156" spans="1:23" x14ac:dyDescent="0.25">
      <c r="A156" s="1076" t="s">
        <v>19227</v>
      </c>
      <c r="B156" s="1076" t="s">
        <v>19228</v>
      </c>
      <c r="C156" s="1077">
        <v>1271179</v>
      </c>
      <c r="E156" s="1077">
        <f t="shared" si="21"/>
        <v>1271.1790000000001</v>
      </c>
      <c r="G156" s="1069">
        <v>103057</v>
      </c>
      <c r="H156" s="1069" t="s">
        <v>3369</v>
      </c>
      <c r="I156" s="1069" t="s">
        <v>19229</v>
      </c>
      <c r="K156" s="1070">
        <v>0</v>
      </c>
      <c r="L156" s="1078" t="str">
        <f t="shared" si="22"/>
        <v/>
      </c>
      <c r="N156" s="1070">
        <v>0</v>
      </c>
      <c r="O156" s="1078" t="str">
        <f t="shared" si="23"/>
        <v/>
      </c>
      <c r="Q156" s="1079">
        <f t="shared" si="34"/>
        <v>0</v>
      </c>
    </row>
    <row r="157" spans="1:23" x14ac:dyDescent="0.25">
      <c r="A157" s="1076" t="s">
        <v>19230</v>
      </c>
      <c r="B157" s="1076" t="s">
        <v>19103</v>
      </c>
      <c r="C157" s="1077">
        <v>818075</v>
      </c>
      <c r="E157" s="1077">
        <f t="shared" si="21"/>
        <v>818.07500000000005</v>
      </c>
      <c r="G157" s="1069">
        <v>103058</v>
      </c>
      <c r="H157" s="1069" t="s">
        <v>3369</v>
      </c>
      <c r="I157" s="1069" t="s">
        <v>19031</v>
      </c>
      <c r="K157" s="1070">
        <v>0</v>
      </c>
      <c r="L157" s="1078" t="str">
        <f t="shared" si="22"/>
        <v/>
      </c>
      <c r="N157" s="1070">
        <v>0</v>
      </c>
      <c r="O157" s="1078" t="str">
        <f t="shared" si="23"/>
        <v/>
      </c>
      <c r="Q157" s="1079">
        <f t="shared" si="34"/>
        <v>0</v>
      </c>
    </row>
    <row r="158" spans="1:23" x14ac:dyDescent="0.25">
      <c r="A158" s="1076" t="s">
        <v>19231</v>
      </c>
      <c r="B158" s="1076" t="s">
        <v>19232</v>
      </c>
      <c r="C158" s="1077">
        <v>818075</v>
      </c>
      <c r="E158" s="1077">
        <f t="shared" si="21"/>
        <v>818.07500000000005</v>
      </c>
      <c r="G158" s="1069">
        <v>103059</v>
      </c>
      <c r="H158" s="1069" t="s">
        <v>3369</v>
      </c>
      <c r="I158" s="1069" t="s">
        <v>19034</v>
      </c>
      <c r="K158" s="1070">
        <v>0</v>
      </c>
      <c r="L158" s="1078" t="str">
        <f t="shared" si="22"/>
        <v/>
      </c>
      <c r="N158" s="1070">
        <v>0</v>
      </c>
      <c r="O158" s="1078" t="str">
        <f t="shared" si="23"/>
        <v/>
      </c>
      <c r="Q158" s="1079">
        <f t="shared" si="34"/>
        <v>0</v>
      </c>
    </row>
    <row r="159" spans="1:23" x14ac:dyDescent="0.25">
      <c r="A159" s="1076" t="s">
        <v>19233</v>
      </c>
      <c r="B159" s="1076" t="s">
        <v>19232</v>
      </c>
      <c r="C159" s="1077">
        <v>1215300</v>
      </c>
      <c r="E159" s="1077">
        <f t="shared" si="21"/>
        <v>1215.3</v>
      </c>
      <c r="G159" s="1069">
        <v>103060</v>
      </c>
      <c r="H159" s="1069" t="s">
        <v>3369</v>
      </c>
      <c r="I159" s="1069" t="s">
        <v>19234</v>
      </c>
      <c r="K159" s="1070">
        <v>0</v>
      </c>
      <c r="L159" s="1078" t="str">
        <f t="shared" si="22"/>
        <v/>
      </c>
      <c r="N159" s="1070">
        <v>0</v>
      </c>
      <c r="O159" s="1078" t="str">
        <f t="shared" si="23"/>
        <v/>
      </c>
      <c r="Q159" s="1079">
        <f t="shared" si="34"/>
        <v>0</v>
      </c>
    </row>
    <row r="160" spans="1:23" x14ac:dyDescent="0.25">
      <c r="A160" s="1076" t="s">
        <v>19235</v>
      </c>
      <c r="B160" s="1076" t="s">
        <v>18958</v>
      </c>
      <c r="C160" s="1077">
        <v>1028339</v>
      </c>
      <c r="E160" s="1077">
        <f t="shared" si="21"/>
        <v>1028.3389999999999</v>
      </c>
      <c r="G160" s="1069">
        <v>103061</v>
      </c>
      <c r="H160" s="1069" t="s">
        <v>3369</v>
      </c>
      <c r="I160" s="1069" t="s">
        <v>19036</v>
      </c>
      <c r="K160" s="1070">
        <v>0</v>
      </c>
      <c r="L160" s="1078" t="str">
        <f t="shared" si="22"/>
        <v/>
      </c>
      <c r="N160" s="1070">
        <v>0</v>
      </c>
      <c r="O160" s="1078" t="str">
        <f t="shared" si="23"/>
        <v/>
      </c>
      <c r="Q160" s="1079">
        <f t="shared" si="34"/>
        <v>0</v>
      </c>
    </row>
    <row r="161" spans="1:17" x14ac:dyDescent="0.25">
      <c r="A161" s="1076" t="s">
        <v>19236</v>
      </c>
      <c r="B161" s="1076" t="s">
        <v>19237</v>
      </c>
      <c r="C161" s="1077">
        <v>356404</v>
      </c>
      <c r="E161" s="1077">
        <f t="shared" si="21"/>
        <v>356.404</v>
      </c>
      <c r="G161" s="1069">
        <v>103062</v>
      </c>
      <c r="H161" s="1069" t="s">
        <v>3369</v>
      </c>
      <c r="I161" s="1069" t="s">
        <v>19238</v>
      </c>
      <c r="K161" s="1070">
        <v>0</v>
      </c>
      <c r="L161" s="1078" t="str">
        <f t="shared" si="22"/>
        <v/>
      </c>
      <c r="N161" s="1070">
        <v>0</v>
      </c>
      <c r="O161" s="1078" t="str">
        <f t="shared" si="23"/>
        <v/>
      </c>
      <c r="Q161" s="1079">
        <f t="shared" si="34"/>
        <v>0</v>
      </c>
    </row>
    <row r="162" spans="1:17" x14ac:dyDescent="0.25">
      <c r="A162" s="1076" t="s">
        <v>19239</v>
      </c>
      <c r="B162" s="1076" t="s">
        <v>19240</v>
      </c>
      <c r="C162" s="1077">
        <v>2080422</v>
      </c>
      <c r="E162" s="1077">
        <f t="shared" si="21"/>
        <v>2080.422</v>
      </c>
      <c r="G162" s="1069">
        <v>103063</v>
      </c>
      <c r="H162" s="1069" t="s">
        <v>3369</v>
      </c>
      <c r="I162" s="1069" t="s">
        <v>19241</v>
      </c>
      <c r="K162" s="1070">
        <v>0</v>
      </c>
      <c r="L162" s="1078" t="str">
        <f t="shared" si="22"/>
        <v/>
      </c>
      <c r="N162" s="1070">
        <v>0</v>
      </c>
      <c r="O162" s="1078" t="str">
        <f t="shared" si="23"/>
        <v/>
      </c>
      <c r="Q162" s="1079">
        <f t="shared" si="34"/>
        <v>0</v>
      </c>
    </row>
    <row r="163" spans="1:17" x14ac:dyDescent="0.25">
      <c r="A163" s="1076" t="s">
        <v>19242</v>
      </c>
      <c r="B163" s="1076" t="s">
        <v>18958</v>
      </c>
      <c r="C163" s="1077">
        <v>1166956</v>
      </c>
      <c r="E163" s="1077">
        <f t="shared" si="21"/>
        <v>1166.9559999999999</v>
      </c>
      <c r="G163" s="1069">
        <v>103064</v>
      </c>
      <c r="H163" s="1069" t="s">
        <v>3369</v>
      </c>
      <c r="I163" s="1069" t="s">
        <v>19038</v>
      </c>
      <c r="K163" s="1070">
        <v>0</v>
      </c>
      <c r="L163" s="1078" t="str">
        <f t="shared" si="22"/>
        <v/>
      </c>
      <c r="N163" s="1070">
        <v>0</v>
      </c>
      <c r="O163" s="1078" t="str">
        <f t="shared" si="23"/>
        <v/>
      </c>
      <c r="Q163" s="1079">
        <f t="shared" si="34"/>
        <v>0</v>
      </c>
    </row>
    <row r="164" spans="1:17" x14ac:dyDescent="0.25">
      <c r="A164" s="1076" t="s">
        <v>19243</v>
      </c>
      <c r="B164" s="1076" t="s">
        <v>18958</v>
      </c>
      <c r="C164" s="1077">
        <v>1166956</v>
      </c>
      <c r="E164" s="1077">
        <f t="shared" ref="E164:E188" si="39">+C164/1000</f>
        <v>1166.9559999999999</v>
      </c>
      <c r="G164" s="1069">
        <v>103065</v>
      </c>
      <c r="H164" s="1069" t="s">
        <v>3369</v>
      </c>
      <c r="I164" s="1069" t="s">
        <v>19040</v>
      </c>
      <c r="K164" s="1070">
        <v>0</v>
      </c>
      <c r="L164" s="1078" t="str">
        <f t="shared" ref="L164:L188" si="40">+IF(K164=0,"",K164/E164-1)</f>
        <v/>
      </c>
      <c r="N164" s="1070">
        <v>0</v>
      </c>
      <c r="O164" s="1078" t="str">
        <f t="shared" ref="O164:O188" si="41">+IF(N164=0,"",N164/E164-1)</f>
        <v/>
      </c>
      <c r="Q164" s="1079">
        <f t="shared" si="34"/>
        <v>0</v>
      </c>
    </row>
    <row r="165" spans="1:17" x14ac:dyDescent="0.25">
      <c r="A165" s="1076" t="s">
        <v>19244</v>
      </c>
      <c r="B165" s="1076" t="s">
        <v>18958</v>
      </c>
      <c r="C165" s="1077">
        <v>1365947</v>
      </c>
      <c r="E165" s="1077">
        <f t="shared" si="39"/>
        <v>1365.9469999999999</v>
      </c>
      <c r="G165" s="1069">
        <v>103066</v>
      </c>
      <c r="H165" s="1069" t="s">
        <v>3369</v>
      </c>
      <c r="I165" s="1069" t="s">
        <v>19042</v>
      </c>
      <c r="K165" s="1070">
        <v>0</v>
      </c>
      <c r="L165" s="1078" t="str">
        <f t="shared" si="40"/>
        <v/>
      </c>
      <c r="N165" s="1070">
        <v>0</v>
      </c>
      <c r="O165" s="1078" t="str">
        <f t="shared" si="41"/>
        <v/>
      </c>
      <c r="Q165" s="1079">
        <f t="shared" si="34"/>
        <v>0</v>
      </c>
    </row>
    <row r="166" spans="1:17" x14ac:dyDescent="0.25">
      <c r="A166" s="1076" t="s">
        <v>19245</v>
      </c>
      <c r="B166" s="1076" t="s">
        <v>18958</v>
      </c>
      <c r="C166" s="1077">
        <v>1398969</v>
      </c>
      <c r="E166" s="1077">
        <f t="shared" si="39"/>
        <v>1398.9690000000001</v>
      </c>
      <c r="G166" s="1069">
        <v>103067</v>
      </c>
      <c r="H166" s="1069" t="s">
        <v>3369</v>
      </c>
      <c r="I166" s="1069" t="s">
        <v>19044</v>
      </c>
      <c r="K166" s="1070">
        <v>0</v>
      </c>
      <c r="L166" s="1078" t="str">
        <f t="shared" si="40"/>
        <v/>
      </c>
      <c r="N166" s="1070">
        <v>0</v>
      </c>
      <c r="O166" s="1078" t="str">
        <f t="shared" si="41"/>
        <v/>
      </c>
      <c r="Q166" s="1079">
        <f t="shared" si="34"/>
        <v>0</v>
      </c>
    </row>
    <row r="167" spans="1:17" x14ac:dyDescent="0.25">
      <c r="A167" s="1076" t="s">
        <v>19246</v>
      </c>
      <c r="B167" s="1076" t="s">
        <v>18958</v>
      </c>
      <c r="C167" s="1077">
        <v>1492758</v>
      </c>
      <c r="E167" s="1077">
        <f t="shared" si="39"/>
        <v>1492.758</v>
      </c>
      <c r="G167" s="1069">
        <v>103068</v>
      </c>
      <c r="H167" s="1069" t="s">
        <v>3369</v>
      </c>
      <c r="I167" s="1069" t="s">
        <v>19046</v>
      </c>
      <c r="K167" s="1070">
        <v>0</v>
      </c>
      <c r="L167" s="1078" t="str">
        <f t="shared" si="40"/>
        <v/>
      </c>
      <c r="N167" s="1070">
        <v>0</v>
      </c>
      <c r="O167" s="1078" t="str">
        <f t="shared" si="41"/>
        <v/>
      </c>
      <c r="Q167" s="1079">
        <f t="shared" si="34"/>
        <v>0</v>
      </c>
    </row>
    <row r="168" spans="1:17" x14ac:dyDescent="0.25">
      <c r="A168" s="1076" t="s">
        <v>19247</v>
      </c>
      <c r="B168" s="1076" t="s">
        <v>18958</v>
      </c>
      <c r="C168" s="1077">
        <v>1534988</v>
      </c>
      <c r="E168" s="1077">
        <f t="shared" si="39"/>
        <v>1534.9880000000001</v>
      </c>
      <c r="G168" s="1069">
        <v>103069</v>
      </c>
      <c r="H168" s="1069" t="s">
        <v>3369</v>
      </c>
      <c r="I168" s="1069" t="s">
        <v>19048</v>
      </c>
      <c r="K168" s="1070">
        <v>0</v>
      </c>
      <c r="L168" s="1078" t="str">
        <f t="shared" si="40"/>
        <v/>
      </c>
      <c r="N168" s="1070">
        <v>0</v>
      </c>
      <c r="O168" s="1078" t="str">
        <f t="shared" si="41"/>
        <v/>
      </c>
      <c r="Q168" s="1079">
        <f t="shared" si="34"/>
        <v>0</v>
      </c>
    </row>
    <row r="169" spans="1:17" x14ac:dyDescent="0.25">
      <c r="A169" s="1076" t="s">
        <v>19248</v>
      </c>
      <c r="B169" s="1076" t="s">
        <v>18958</v>
      </c>
      <c r="C169" s="1077">
        <v>1909871</v>
      </c>
      <c r="E169" s="1077">
        <f t="shared" si="39"/>
        <v>1909.8710000000001</v>
      </c>
      <c r="G169" s="1069">
        <v>103070</v>
      </c>
      <c r="H169" s="1069" t="s">
        <v>3369</v>
      </c>
      <c r="I169" s="1069" t="s">
        <v>19054</v>
      </c>
      <c r="K169" s="1070">
        <v>0</v>
      </c>
      <c r="L169" s="1078" t="str">
        <f t="shared" si="40"/>
        <v/>
      </c>
      <c r="N169" s="1070">
        <v>0</v>
      </c>
      <c r="O169" s="1078" t="str">
        <f t="shared" si="41"/>
        <v/>
      </c>
      <c r="Q169" s="1079">
        <f t="shared" si="34"/>
        <v>0</v>
      </c>
    </row>
    <row r="170" spans="1:17" x14ac:dyDescent="0.25">
      <c r="A170" s="1076" t="s">
        <v>19249</v>
      </c>
      <c r="B170" s="1076" t="s">
        <v>18958</v>
      </c>
      <c r="C170" s="1077">
        <v>1654598</v>
      </c>
      <c r="E170" s="1077">
        <f t="shared" si="39"/>
        <v>1654.598</v>
      </c>
      <c r="G170" s="1069">
        <v>103071</v>
      </c>
      <c r="H170" s="1069" t="s">
        <v>3369</v>
      </c>
      <c r="I170" s="1069" t="s">
        <v>19056</v>
      </c>
      <c r="K170" s="1070">
        <v>0</v>
      </c>
      <c r="L170" s="1078" t="str">
        <f t="shared" si="40"/>
        <v/>
      </c>
      <c r="N170" s="1070">
        <v>0</v>
      </c>
      <c r="O170" s="1078" t="str">
        <f t="shared" si="41"/>
        <v/>
      </c>
      <c r="Q170" s="1079">
        <f t="shared" si="34"/>
        <v>0</v>
      </c>
    </row>
    <row r="171" spans="1:17" x14ac:dyDescent="0.25">
      <c r="A171" s="1076" t="s">
        <v>19250</v>
      </c>
      <c r="B171" s="1076" t="s">
        <v>18958</v>
      </c>
      <c r="C171" s="1077">
        <v>2026141</v>
      </c>
      <c r="E171" s="1077">
        <f t="shared" si="39"/>
        <v>2026.1410000000001</v>
      </c>
      <c r="G171" s="1069">
        <v>103072</v>
      </c>
      <c r="H171" s="1069" t="s">
        <v>3369</v>
      </c>
      <c r="I171" s="1069" t="s">
        <v>19058</v>
      </c>
      <c r="K171" s="1070">
        <v>0</v>
      </c>
      <c r="L171" s="1078" t="str">
        <f t="shared" si="40"/>
        <v/>
      </c>
      <c r="N171" s="1070">
        <v>0</v>
      </c>
      <c r="O171" s="1078" t="str">
        <f t="shared" si="41"/>
        <v/>
      </c>
      <c r="Q171" s="1079">
        <f t="shared" si="34"/>
        <v>0</v>
      </c>
    </row>
    <row r="172" spans="1:17" x14ac:dyDescent="0.25">
      <c r="A172" s="1076" t="s">
        <v>19251</v>
      </c>
      <c r="B172" s="1076" t="s">
        <v>19252</v>
      </c>
      <c r="C172" s="1077">
        <v>259588</v>
      </c>
      <c r="E172" s="1077">
        <f t="shared" si="39"/>
        <v>259.58800000000002</v>
      </c>
      <c r="G172" s="1069">
        <v>103073</v>
      </c>
      <c r="H172" s="1069" t="s">
        <v>3369</v>
      </c>
      <c r="I172" s="1069" t="s">
        <v>19253</v>
      </c>
      <c r="K172" s="1070">
        <v>0</v>
      </c>
      <c r="L172" s="1078" t="str">
        <f t="shared" si="40"/>
        <v/>
      </c>
      <c r="N172" s="1070">
        <v>0</v>
      </c>
      <c r="O172" s="1078" t="str">
        <f t="shared" si="41"/>
        <v/>
      </c>
      <c r="Q172" s="1079">
        <f t="shared" si="34"/>
        <v>0</v>
      </c>
    </row>
    <row r="173" spans="1:17" x14ac:dyDescent="0.25">
      <c r="A173" s="1076" t="s">
        <v>19254</v>
      </c>
      <c r="B173" s="1076" t="s">
        <v>19255</v>
      </c>
      <c r="C173" s="1077">
        <v>121499</v>
      </c>
      <c r="E173" s="1077">
        <f t="shared" si="39"/>
        <v>121.499</v>
      </c>
      <c r="G173" s="1069">
        <v>103074</v>
      </c>
      <c r="H173" s="1069" t="s">
        <v>3369</v>
      </c>
      <c r="I173" s="1069" t="s">
        <v>19256</v>
      </c>
      <c r="K173" s="1070">
        <v>0</v>
      </c>
      <c r="L173" s="1078" t="str">
        <f t="shared" si="40"/>
        <v/>
      </c>
      <c r="N173" s="1070">
        <v>0</v>
      </c>
      <c r="O173" s="1078" t="str">
        <f t="shared" si="41"/>
        <v/>
      </c>
      <c r="Q173" s="1079">
        <f t="shared" si="34"/>
        <v>0</v>
      </c>
    </row>
    <row r="174" spans="1:17" x14ac:dyDescent="0.25">
      <c r="A174" s="1076" t="s">
        <v>19257</v>
      </c>
      <c r="B174" s="1076" t="s">
        <v>19156</v>
      </c>
      <c r="C174" s="1077">
        <v>221536</v>
      </c>
      <c r="E174" s="1077">
        <f t="shared" si="39"/>
        <v>221.536</v>
      </c>
      <c r="G174" s="1069">
        <v>103075</v>
      </c>
      <c r="H174" s="1069" t="s">
        <v>3369</v>
      </c>
      <c r="I174" s="1069" t="s">
        <v>19258</v>
      </c>
      <c r="K174" s="1070">
        <v>0</v>
      </c>
      <c r="L174" s="1078" t="str">
        <f t="shared" si="40"/>
        <v/>
      </c>
      <c r="N174" s="1070">
        <v>0</v>
      </c>
      <c r="O174" s="1078" t="str">
        <f t="shared" si="41"/>
        <v/>
      </c>
      <c r="Q174" s="1079">
        <f t="shared" si="34"/>
        <v>0</v>
      </c>
    </row>
    <row r="175" spans="1:17" x14ac:dyDescent="0.25">
      <c r="A175" s="1076" t="s">
        <v>19259</v>
      </c>
      <c r="B175" s="1076" t="s">
        <v>18958</v>
      </c>
      <c r="C175" s="1077">
        <v>723140</v>
      </c>
      <c r="E175" s="1077">
        <f t="shared" si="39"/>
        <v>723.14</v>
      </c>
      <c r="G175" s="1069">
        <v>103076</v>
      </c>
      <c r="H175" s="1069" t="s">
        <v>3369</v>
      </c>
      <c r="I175" s="1069" t="s">
        <v>19260</v>
      </c>
      <c r="K175" s="1070">
        <v>0</v>
      </c>
      <c r="L175" s="1078" t="str">
        <f t="shared" si="40"/>
        <v/>
      </c>
      <c r="N175" s="1070">
        <v>0</v>
      </c>
      <c r="O175" s="1078" t="str">
        <f t="shared" si="41"/>
        <v/>
      </c>
      <c r="Q175" s="1079">
        <f t="shared" si="34"/>
        <v>0</v>
      </c>
    </row>
    <row r="176" spans="1:17" x14ac:dyDescent="0.25">
      <c r="A176" s="1076" t="s">
        <v>19261</v>
      </c>
      <c r="B176" s="1076" t="s">
        <v>19262</v>
      </c>
      <c r="C176" s="1077">
        <v>2161750</v>
      </c>
      <c r="E176" s="1077">
        <f t="shared" si="39"/>
        <v>2161.75</v>
      </c>
      <c r="G176" s="1069">
        <v>103077</v>
      </c>
      <c r="H176" s="1069" t="s">
        <v>19263</v>
      </c>
      <c r="I176" s="1069" t="s">
        <v>19264</v>
      </c>
      <c r="K176" s="1070">
        <v>0</v>
      </c>
      <c r="L176" s="1078" t="str">
        <f t="shared" si="40"/>
        <v/>
      </c>
      <c r="N176" s="1070">
        <v>0</v>
      </c>
      <c r="O176" s="1078" t="str">
        <f t="shared" si="41"/>
        <v/>
      </c>
      <c r="Q176" s="1079">
        <f t="shared" si="34"/>
        <v>0</v>
      </c>
    </row>
    <row r="177" spans="1:23" x14ac:dyDescent="0.25">
      <c r="A177" s="1076" t="s">
        <v>19265</v>
      </c>
      <c r="B177" s="1076" t="s">
        <v>19266</v>
      </c>
      <c r="C177" s="1077">
        <v>182195</v>
      </c>
      <c r="E177" s="1077">
        <f t="shared" si="39"/>
        <v>182.19499999999999</v>
      </c>
      <c r="G177" s="1069">
        <v>103078</v>
      </c>
      <c r="H177" s="1069" t="s">
        <v>3369</v>
      </c>
      <c r="I177" s="1069" t="s">
        <v>19267</v>
      </c>
      <c r="K177" s="1070">
        <v>0</v>
      </c>
      <c r="L177" s="1078" t="str">
        <f t="shared" si="40"/>
        <v/>
      </c>
      <c r="N177" s="1070">
        <v>0</v>
      </c>
      <c r="O177" s="1078" t="str">
        <f t="shared" si="41"/>
        <v/>
      </c>
      <c r="Q177" s="1079">
        <f t="shared" si="34"/>
        <v>0</v>
      </c>
    </row>
    <row r="178" spans="1:23" x14ac:dyDescent="0.25">
      <c r="A178" s="1076" t="s">
        <v>19268</v>
      </c>
      <c r="B178" s="1076" t="s">
        <v>19269</v>
      </c>
      <c r="C178" s="1077">
        <v>356561</v>
      </c>
      <c r="E178" s="1077">
        <f t="shared" si="39"/>
        <v>356.56099999999998</v>
      </c>
      <c r="G178" s="1069">
        <v>103079</v>
      </c>
      <c r="H178" s="1069" t="s">
        <v>3369</v>
      </c>
      <c r="I178" s="1069" t="s">
        <v>19270</v>
      </c>
      <c r="K178" s="1070">
        <v>0</v>
      </c>
      <c r="L178" s="1078" t="str">
        <f t="shared" si="40"/>
        <v/>
      </c>
      <c r="N178" s="1070">
        <v>0</v>
      </c>
      <c r="O178" s="1078" t="str">
        <f t="shared" si="41"/>
        <v/>
      </c>
      <c r="Q178" s="1079">
        <f t="shared" si="34"/>
        <v>0</v>
      </c>
    </row>
    <row r="179" spans="1:23" x14ac:dyDescent="0.25">
      <c r="A179" s="1076" t="s">
        <v>19271</v>
      </c>
      <c r="B179" s="1076"/>
      <c r="C179" s="1077">
        <v>242448</v>
      </c>
      <c r="E179" s="1077">
        <f t="shared" si="39"/>
        <v>242.44800000000001</v>
      </c>
      <c r="G179" s="1069">
        <v>103080</v>
      </c>
      <c r="H179" s="1069" t="s">
        <v>3369</v>
      </c>
      <c r="I179" s="1069" t="s">
        <v>19272</v>
      </c>
      <c r="K179" s="1070">
        <v>0</v>
      </c>
      <c r="L179" s="1078" t="str">
        <f t="shared" si="40"/>
        <v/>
      </c>
      <c r="N179" s="1070">
        <v>0</v>
      </c>
      <c r="O179" s="1078" t="str">
        <f t="shared" si="41"/>
        <v/>
      </c>
      <c r="Q179" s="1079">
        <f t="shared" si="34"/>
        <v>0</v>
      </c>
    </row>
    <row r="180" spans="1:23" x14ac:dyDescent="0.25">
      <c r="A180" s="1076" t="s">
        <v>19273</v>
      </c>
      <c r="B180" s="1076" t="s">
        <v>19274</v>
      </c>
      <c r="C180" s="1077">
        <v>356561</v>
      </c>
      <c r="E180" s="1077">
        <f t="shared" si="39"/>
        <v>356.56099999999998</v>
      </c>
      <c r="G180" s="1069">
        <v>103081</v>
      </c>
      <c r="H180" s="1069" t="s">
        <v>3369</v>
      </c>
      <c r="I180" s="1069" t="s">
        <v>19275</v>
      </c>
      <c r="K180" s="1070">
        <v>0</v>
      </c>
      <c r="L180" s="1078" t="str">
        <f t="shared" si="40"/>
        <v/>
      </c>
      <c r="N180" s="1070">
        <v>0</v>
      </c>
      <c r="O180" s="1078" t="str">
        <f t="shared" si="41"/>
        <v/>
      </c>
      <c r="Q180" s="1079">
        <f t="shared" si="34"/>
        <v>0</v>
      </c>
    </row>
    <row r="181" spans="1:23" x14ac:dyDescent="0.25">
      <c r="A181" s="1076" t="s">
        <v>19276</v>
      </c>
      <c r="B181" s="1076" t="s">
        <v>18958</v>
      </c>
      <c r="C181" s="1077">
        <v>121499</v>
      </c>
      <c r="E181" s="1077">
        <f t="shared" si="39"/>
        <v>121.499</v>
      </c>
      <c r="G181" s="1069">
        <v>103082</v>
      </c>
      <c r="H181" s="1069" t="s">
        <v>3369</v>
      </c>
      <c r="I181" s="1069" t="s">
        <v>19277</v>
      </c>
      <c r="K181" s="1070">
        <v>0</v>
      </c>
      <c r="L181" s="1078" t="str">
        <f t="shared" si="40"/>
        <v/>
      </c>
      <c r="N181" s="1070">
        <v>0</v>
      </c>
      <c r="O181" s="1078" t="str">
        <f t="shared" si="41"/>
        <v/>
      </c>
      <c r="Q181" s="1079">
        <f t="shared" si="34"/>
        <v>0</v>
      </c>
    </row>
    <row r="182" spans="1:23" x14ac:dyDescent="0.25">
      <c r="A182" s="1076" t="s">
        <v>19278</v>
      </c>
      <c r="B182" s="1076" t="s">
        <v>18958</v>
      </c>
      <c r="C182" s="1077">
        <v>284289</v>
      </c>
      <c r="E182" s="1077">
        <f t="shared" si="39"/>
        <v>284.28899999999999</v>
      </c>
      <c r="G182" s="1069">
        <v>103083</v>
      </c>
      <c r="H182" s="1069" t="s">
        <v>3369</v>
      </c>
      <c r="I182" s="1069" t="s">
        <v>19279</v>
      </c>
      <c r="K182" s="1070">
        <v>279.02600000000001</v>
      </c>
      <c r="L182" s="1078">
        <f t="shared" si="40"/>
        <v>-1.8512851359004268E-2</v>
      </c>
      <c r="N182" s="1070">
        <v>0</v>
      </c>
      <c r="O182" s="1078" t="str">
        <f t="shared" si="41"/>
        <v/>
      </c>
      <c r="Q182" s="1079">
        <f t="shared" si="34"/>
        <v>279.00748714864102</v>
      </c>
      <c r="W182" s="1080"/>
    </row>
    <row r="183" spans="1:23" x14ac:dyDescent="0.25">
      <c r="A183" s="1076" t="s">
        <v>19280</v>
      </c>
      <c r="B183" s="1076" t="s">
        <v>18958</v>
      </c>
      <c r="C183" s="1077">
        <v>303591</v>
      </c>
      <c r="E183" s="1077">
        <f t="shared" si="39"/>
        <v>303.59100000000001</v>
      </c>
      <c r="G183" s="1069">
        <v>103084</v>
      </c>
      <c r="H183" s="1069" t="s">
        <v>3369</v>
      </c>
      <c r="I183" s="1069" t="s">
        <v>19281</v>
      </c>
      <c r="K183" s="1070">
        <v>0</v>
      </c>
      <c r="L183" s="1078" t="str">
        <f t="shared" si="40"/>
        <v/>
      </c>
      <c r="N183" s="1070">
        <v>0</v>
      </c>
      <c r="O183" s="1078" t="str">
        <f t="shared" si="41"/>
        <v/>
      </c>
      <c r="Q183" s="1079">
        <f t="shared" si="34"/>
        <v>0</v>
      </c>
    </row>
    <row r="184" spans="1:23" x14ac:dyDescent="0.25">
      <c r="A184" s="1076" t="s">
        <v>19282</v>
      </c>
      <c r="B184" s="1076"/>
      <c r="C184" s="1077">
        <v>480088</v>
      </c>
      <c r="D184" s="1069" t="b">
        <f t="shared" ref="D184" si="42">+IF(AND(L184&lt;0,O184&lt;0),TRUE,FALSE)</f>
        <v>0</v>
      </c>
      <c r="E184" s="1077">
        <f t="shared" si="39"/>
        <v>480.08800000000002</v>
      </c>
      <c r="G184" s="1069">
        <v>103085</v>
      </c>
      <c r="H184" s="1069" t="s">
        <v>3369</v>
      </c>
      <c r="I184" s="1069" t="s">
        <v>19283</v>
      </c>
      <c r="K184" s="1070">
        <v>464.86302499999999</v>
      </c>
      <c r="L184" s="1078">
        <f t="shared" si="40"/>
        <v>-3.1712883887953902E-2</v>
      </c>
      <c r="N184" s="1070">
        <v>0</v>
      </c>
      <c r="O184" s="1078" t="str">
        <f t="shared" si="41"/>
        <v/>
      </c>
      <c r="Q184" s="1079">
        <f t="shared" si="34"/>
        <v>464.83131211611203</v>
      </c>
      <c r="W184" s="1080"/>
    </row>
    <row r="185" spans="1:23" x14ac:dyDescent="0.25">
      <c r="A185" s="1076" t="s">
        <v>19284</v>
      </c>
      <c r="B185" s="1076"/>
      <c r="C185" s="1077">
        <v>420243</v>
      </c>
      <c r="E185" s="1077">
        <f t="shared" si="39"/>
        <v>420.24299999999999</v>
      </c>
      <c r="G185" s="1069">
        <v>103086</v>
      </c>
      <c r="H185" s="1069" t="s">
        <v>3369</v>
      </c>
      <c r="I185" s="1069" t="s">
        <v>19285</v>
      </c>
      <c r="K185" s="1070">
        <v>0</v>
      </c>
      <c r="L185" s="1078" t="str">
        <f t="shared" si="40"/>
        <v/>
      </c>
      <c r="N185" s="1070">
        <v>0</v>
      </c>
      <c r="O185" s="1078" t="str">
        <f t="shared" si="41"/>
        <v/>
      </c>
      <c r="Q185" s="1079">
        <f t="shared" si="34"/>
        <v>0</v>
      </c>
    </row>
    <row r="186" spans="1:23" x14ac:dyDescent="0.25">
      <c r="A186" s="1076" t="s">
        <v>19286</v>
      </c>
      <c r="B186" s="1076"/>
      <c r="C186" s="1077">
        <v>979465</v>
      </c>
      <c r="E186" s="1077">
        <f t="shared" si="39"/>
        <v>979.46500000000003</v>
      </c>
      <c r="G186" s="1069">
        <v>103087</v>
      </c>
      <c r="H186" s="1069" t="s">
        <v>3369</v>
      </c>
      <c r="I186" s="1069" t="s">
        <v>19287</v>
      </c>
      <c r="K186" s="1070">
        <v>0</v>
      </c>
      <c r="L186" s="1078" t="str">
        <f t="shared" si="40"/>
        <v/>
      </c>
      <c r="N186" s="1070">
        <v>0</v>
      </c>
      <c r="O186" s="1078" t="str">
        <f t="shared" si="41"/>
        <v/>
      </c>
      <c r="Q186" s="1079">
        <f t="shared" si="34"/>
        <v>0</v>
      </c>
    </row>
    <row r="187" spans="1:23" x14ac:dyDescent="0.25">
      <c r="A187" s="1076" t="s">
        <v>19288</v>
      </c>
      <c r="B187" s="1076"/>
      <c r="C187" s="1077">
        <v>279639</v>
      </c>
      <c r="E187" s="1077">
        <f t="shared" si="39"/>
        <v>279.63900000000001</v>
      </c>
      <c r="G187" s="1069">
        <v>103088</v>
      </c>
      <c r="H187" s="1069" t="s">
        <v>3369</v>
      </c>
      <c r="I187" s="1069" t="s">
        <v>19289</v>
      </c>
      <c r="K187" s="1070">
        <v>0</v>
      </c>
      <c r="L187" s="1078" t="str">
        <f t="shared" si="40"/>
        <v/>
      </c>
      <c r="N187" s="1070">
        <v>0</v>
      </c>
      <c r="O187" s="1078" t="str">
        <f t="shared" si="41"/>
        <v/>
      </c>
      <c r="Q187" s="1079">
        <f t="shared" si="34"/>
        <v>0</v>
      </c>
    </row>
    <row r="188" spans="1:23" x14ac:dyDescent="0.25">
      <c r="A188" s="1076" t="s">
        <v>19290</v>
      </c>
      <c r="B188" s="1076" t="s">
        <v>19291</v>
      </c>
      <c r="C188" s="1077">
        <v>182195</v>
      </c>
      <c r="E188" s="1077">
        <f t="shared" si="39"/>
        <v>182.19499999999999</v>
      </c>
      <c r="G188" s="1069">
        <v>103089</v>
      </c>
      <c r="H188" s="1069" t="s">
        <v>3369</v>
      </c>
      <c r="I188" s="1069" t="s">
        <v>19292</v>
      </c>
      <c r="K188" s="1070">
        <v>0</v>
      </c>
      <c r="L188" s="1078" t="str">
        <f t="shared" si="40"/>
        <v/>
      </c>
      <c r="N188" s="1070">
        <v>0</v>
      </c>
      <c r="O188" s="1078" t="str">
        <f t="shared" si="41"/>
        <v/>
      </c>
      <c r="Q188" s="1079">
        <f t="shared" si="34"/>
        <v>0</v>
      </c>
    </row>
    <row r="189" spans="1:23" x14ac:dyDescent="0.25">
      <c r="C189" s="1070" t="s">
        <v>8353</v>
      </c>
      <c r="Q189" s="1079">
        <f t="shared" si="34"/>
        <v>0</v>
      </c>
    </row>
    <row r="190" spans="1:23" x14ac:dyDescent="0.25">
      <c r="A190" s="1066" t="s">
        <v>19293</v>
      </c>
      <c r="B190" s="1066"/>
      <c r="C190" s="1086">
        <v>0</v>
      </c>
      <c r="Q190" s="1079">
        <f t="shared" si="34"/>
        <v>0</v>
      </c>
    </row>
    <row r="191" spans="1:23" x14ac:dyDescent="0.25">
      <c r="A191" s="1562"/>
      <c r="B191" s="1562"/>
      <c r="C191" s="1085" t="s">
        <v>8353</v>
      </c>
      <c r="Q191" s="1079">
        <f t="shared" si="34"/>
        <v>0</v>
      </c>
    </row>
    <row r="192" spans="1:23" x14ac:dyDescent="0.25">
      <c r="A192" s="1076" t="s">
        <v>19294</v>
      </c>
      <c r="B192" s="1076"/>
      <c r="C192" s="1077">
        <v>760541</v>
      </c>
      <c r="E192" s="1077">
        <f t="shared" ref="E192:E255" si="43">+C192/1000</f>
        <v>760.54100000000005</v>
      </c>
      <c r="Q192" s="1079">
        <f t="shared" si="34"/>
        <v>0</v>
      </c>
    </row>
    <row r="193" spans="1:17" x14ac:dyDescent="0.25">
      <c r="A193" s="1076" t="s">
        <v>19295</v>
      </c>
      <c r="B193" s="1076"/>
      <c r="C193" s="1077">
        <v>760541</v>
      </c>
      <c r="E193" s="1077">
        <f t="shared" si="43"/>
        <v>760.54100000000005</v>
      </c>
      <c r="Q193" s="1079">
        <f t="shared" si="34"/>
        <v>0</v>
      </c>
    </row>
    <row r="194" spans="1:17" x14ac:dyDescent="0.25">
      <c r="A194" s="1076" t="s">
        <v>19296</v>
      </c>
      <c r="B194" s="1076"/>
      <c r="C194" s="1077">
        <v>760541</v>
      </c>
      <c r="E194" s="1077">
        <f t="shared" si="43"/>
        <v>760.54100000000005</v>
      </c>
      <c r="Q194" s="1079">
        <f t="shared" si="34"/>
        <v>0</v>
      </c>
    </row>
    <row r="195" spans="1:17" x14ac:dyDescent="0.25">
      <c r="A195" s="1076" t="s">
        <v>19297</v>
      </c>
      <c r="B195" s="1076"/>
      <c r="C195" s="1077">
        <v>760541</v>
      </c>
      <c r="E195" s="1077">
        <f t="shared" si="43"/>
        <v>760.54100000000005</v>
      </c>
      <c r="Q195" s="1079">
        <f t="shared" si="34"/>
        <v>0</v>
      </c>
    </row>
    <row r="196" spans="1:17" x14ac:dyDescent="0.25">
      <c r="A196" s="1076" t="s">
        <v>19298</v>
      </c>
      <c r="B196" s="1076"/>
      <c r="C196" s="1077">
        <v>760541</v>
      </c>
      <c r="E196" s="1077">
        <f t="shared" si="43"/>
        <v>760.54100000000005</v>
      </c>
      <c r="Q196" s="1079">
        <f t="shared" si="34"/>
        <v>0</v>
      </c>
    </row>
    <row r="197" spans="1:17" x14ac:dyDescent="0.25">
      <c r="A197" s="1076" t="s">
        <v>19299</v>
      </c>
      <c r="B197" s="1076"/>
      <c r="C197" s="1077">
        <v>760541</v>
      </c>
      <c r="E197" s="1077">
        <f t="shared" si="43"/>
        <v>760.54100000000005</v>
      </c>
      <c r="Q197" s="1079">
        <f t="shared" si="34"/>
        <v>0</v>
      </c>
    </row>
    <row r="198" spans="1:17" x14ac:dyDescent="0.25">
      <c r="A198" s="1076" t="s">
        <v>19300</v>
      </c>
      <c r="B198" s="1076"/>
      <c r="C198" s="1077">
        <v>760541</v>
      </c>
      <c r="E198" s="1077">
        <f t="shared" si="43"/>
        <v>760.54100000000005</v>
      </c>
      <c r="Q198" s="1079">
        <f t="shared" si="34"/>
        <v>0</v>
      </c>
    </row>
    <row r="199" spans="1:17" x14ac:dyDescent="0.25">
      <c r="A199" s="1076" t="s">
        <v>19301</v>
      </c>
      <c r="B199" s="1076"/>
      <c r="C199" s="1077">
        <v>760541</v>
      </c>
      <c r="E199" s="1077">
        <f t="shared" si="43"/>
        <v>760.54100000000005</v>
      </c>
      <c r="Q199" s="1079">
        <f t="shared" ref="Q199:Q214" si="44">+SUM(K199:O199)</f>
        <v>0</v>
      </c>
    </row>
    <row r="200" spans="1:17" x14ac:dyDescent="0.25">
      <c r="A200" s="1076" t="s">
        <v>19302</v>
      </c>
      <c r="B200" s="1076"/>
      <c r="C200" s="1077">
        <v>760541</v>
      </c>
      <c r="E200" s="1077">
        <f t="shared" si="43"/>
        <v>760.54100000000005</v>
      </c>
      <c r="Q200" s="1079">
        <f t="shared" si="44"/>
        <v>0</v>
      </c>
    </row>
    <row r="201" spans="1:17" x14ac:dyDescent="0.25">
      <c r="A201" s="1076" t="s">
        <v>19303</v>
      </c>
      <c r="B201" s="1076"/>
      <c r="C201" s="1077">
        <v>1053039</v>
      </c>
      <c r="E201" s="1077">
        <f t="shared" si="43"/>
        <v>1053.039</v>
      </c>
      <c r="Q201" s="1079">
        <f t="shared" si="44"/>
        <v>0</v>
      </c>
    </row>
    <row r="202" spans="1:17" x14ac:dyDescent="0.25">
      <c r="A202" s="1076" t="s">
        <v>19304</v>
      </c>
      <c r="B202" s="1076"/>
      <c r="C202" s="1077">
        <v>760541</v>
      </c>
      <c r="E202" s="1077">
        <f t="shared" si="43"/>
        <v>760.54100000000005</v>
      </c>
      <c r="Q202" s="1079">
        <f t="shared" si="44"/>
        <v>0</v>
      </c>
    </row>
    <row r="203" spans="1:17" x14ac:dyDescent="0.25">
      <c r="A203" s="1076" t="s">
        <v>19305</v>
      </c>
      <c r="B203" s="1076"/>
      <c r="C203" s="1077">
        <v>1053039</v>
      </c>
      <c r="E203" s="1077">
        <f t="shared" si="43"/>
        <v>1053.039</v>
      </c>
      <c r="Q203" s="1079">
        <f t="shared" si="44"/>
        <v>0</v>
      </c>
    </row>
    <row r="204" spans="1:17" x14ac:dyDescent="0.25">
      <c r="A204" s="1076" t="s">
        <v>19306</v>
      </c>
      <c r="B204" s="1076"/>
      <c r="C204" s="1077">
        <v>1053039</v>
      </c>
      <c r="E204" s="1077">
        <f t="shared" si="43"/>
        <v>1053.039</v>
      </c>
      <c r="Q204" s="1079">
        <f t="shared" si="44"/>
        <v>0</v>
      </c>
    </row>
    <row r="205" spans="1:17" x14ac:dyDescent="0.25">
      <c r="A205" s="1076" t="s">
        <v>19307</v>
      </c>
      <c r="B205" s="1076"/>
      <c r="C205" s="1077">
        <v>835709</v>
      </c>
      <c r="E205" s="1077">
        <f t="shared" si="43"/>
        <v>835.70899999999995</v>
      </c>
      <c r="Q205" s="1079">
        <f t="shared" si="44"/>
        <v>0</v>
      </c>
    </row>
    <row r="206" spans="1:17" x14ac:dyDescent="0.25">
      <c r="A206" s="1076" t="s">
        <v>19308</v>
      </c>
      <c r="B206" s="1076"/>
      <c r="C206" s="1077">
        <v>760541</v>
      </c>
      <c r="E206" s="1077">
        <f t="shared" si="43"/>
        <v>760.54100000000005</v>
      </c>
      <c r="Q206" s="1079">
        <f t="shared" si="44"/>
        <v>0</v>
      </c>
    </row>
    <row r="207" spans="1:17" x14ac:dyDescent="0.25">
      <c r="A207" s="1076" t="s">
        <v>19309</v>
      </c>
      <c r="B207" s="1076" t="s">
        <v>19310</v>
      </c>
      <c r="C207" s="1077">
        <v>312425</v>
      </c>
      <c r="E207" s="1077">
        <f t="shared" si="43"/>
        <v>312.42500000000001</v>
      </c>
      <c r="Q207" s="1079">
        <f t="shared" si="44"/>
        <v>0</v>
      </c>
    </row>
    <row r="208" spans="1:17" x14ac:dyDescent="0.25">
      <c r="A208" s="1076" t="s">
        <v>19311</v>
      </c>
      <c r="B208" s="1076" t="s">
        <v>19312</v>
      </c>
      <c r="C208" s="1077">
        <v>1536347</v>
      </c>
      <c r="E208" s="1077">
        <f t="shared" si="43"/>
        <v>1536.347</v>
      </c>
      <c r="Q208" s="1079">
        <f t="shared" si="44"/>
        <v>0</v>
      </c>
    </row>
    <row r="209" spans="1:23" x14ac:dyDescent="0.25">
      <c r="A209" s="1076" t="s">
        <v>19313</v>
      </c>
      <c r="B209" s="1076" t="s">
        <v>19312</v>
      </c>
      <c r="C209" s="1077">
        <v>2830709</v>
      </c>
      <c r="E209" s="1077">
        <f t="shared" si="43"/>
        <v>2830.7089999999998</v>
      </c>
      <c r="Q209" s="1079">
        <f t="shared" si="44"/>
        <v>0</v>
      </c>
    </row>
    <row r="210" spans="1:23" x14ac:dyDescent="0.25">
      <c r="A210" s="1076" t="s">
        <v>19314</v>
      </c>
      <c r="B210" s="1076"/>
      <c r="C210" s="1077">
        <v>237605</v>
      </c>
      <c r="E210" s="1077">
        <f t="shared" si="43"/>
        <v>237.60499999999999</v>
      </c>
      <c r="Q210" s="1079">
        <f t="shared" si="44"/>
        <v>0</v>
      </c>
    </row>
    <row r="211" spans="1:23" x14ac:dyDescent="0.25">
      <c r="A211" s="1076" t="s">
        <v>19315</v>
      </c>
      <c r="B211" s="1076" t="s">
        <v>19316</v>
      </c>
      <c r="C211" s="1077">
        <v>131370</v>
      </c>
      <c r="E211" s="1077">
        <f t="shared" si="43"/>
        <v>131.37</v>
      </c>
      <c r="Q211" s="1079">
        <f t="shared" si="44"/>
        <v>0</v>
      </c>
    </row>
    <row r="212" spans="1:23" x14ac:dyDescent="0.25">
      <c r="A212" s="1076" t="s">
        <v>19317</v>
      </c>
      <c r="B212" s="1076"/>
      <c r="C212" s="1077">
        <v>181600</v>
      </c>
      <c r="E212" s="1077">
        <f t="shared" si="43"/>
        <v>181.6</v>
      </c>
      <c r="Q212" s="1079">
        <f t="shared" si="44"/>
        <v>0</v>
      </c>
    </row>
    <row r="213" spans="1:23" x14ac:dyDescent="0.25">
      <c r="A213" s="1076" t="s">
        <v>19318</v>
      </c>
      <c r="B213" s="1076"/>
      <c r="C213" s="1077">
        <v>6879203</v>
      </c>
      <c r="E213" s="1077">
        <f t="shared" si="43"/>
        <v>6879.2030000000004</v>
      </c>
      <c r="Q213" s="1079">
        <f t="shared" si="44"/>
        <v>0</v>
      </c>
    </row>
    <row r="214" spans="1:23" x14ac:dyDescent="0.25">
      <c r="A214" s="1076" t="s">
        <v>19319</v>
      </c>
      <c r="B214" s="1076"/>
      <c r="C214" s="1077">
        <v>6196884</v>
      </c>
      <c r="E214" s="1077">
        <f t="shared" si="43"/>
        <v>6196.884</v>
      </c>
      <c r="Q214" s="1079">
        <f t="shared" si="44"/>
        <v>0</v>
      </c>
    </row>
    <row r="215" spans="1:23" x14ac:dyDescent="0.25">
      <c r="A215" s="1076" t="s">
        <v>19320</v>
      </c>
      <c r="B215" s="1076"/>
      <c r="C215" s="1077">
        <v>122328</v>
      </c>
      <c r="D215" s="1069" t="b">
        <f t="shared" ref="D215:D263" si="45">+IF(AND(L215&lt;0,O215&lt;0),TRUE,FALSE)</f>
        <v>0</v>
      </c>
      <c r="E215" s="1077">
        <f t="shared" si="43"/>
        <v>122.328</v>
      </c>
    </row>
    <row r="216" spans="1:23" x14ac:dyDescent="0.25">
      <c r="A216" s="1076" t="s">
        <v>19321</v>
      </c>
      <c r="B216" s="1076"/>
      <c r="C216" s="1077">
        <v>148307</v>
      </c>
      <c r="D216" s="1069" t="b">
        <f t="shared" si="45"/>
        <v>0</v>
      </c>
      <c r="E216" s="1077">
        <v>389.58</v>
      </c>
      <c r="G216" s="1069">
        <v>389.58</v>
      </c>
      <c r="H216" s="1069" t="s">
        <v>3369</v>
      </c>
      <c r="I216" s="1081" t="s">
        <v>19322</v>
      </c>
      <c r="S216" s="1081">
        <v>200</v>
      </c>
      <c r="T216" s="1081"/>
      <c r="W216" s="1080"/>
    </row>
    <row r="217" spans="1:23" x14ac:dyDescent="0.25">
      <c r="A217" s="1076" t="s">
        <v>19323</v>
      </c>
      <c r="B217" s="1076"/>
      <c r="C217" s="1077">
        <v>155141</v>
      </c>
      <c r="D217" s="1069" t="b">
        <f t="shared" si="45"/>
        <v>0</v>
      </c>
      <c r="E217" s="1077">
        <f t="shared" si="43"/>
        <v>155.14099999999999</v>
      </c>
    </row>
    <row r="218" spans="1:23" x14ac:dyDescent="0.25">
      <c r="A218" s="1076" t="s">
        <v>19324</v>
      </c>
      <c r="B218" s="1076"/>
      <c r="C218" s="1077">
        <v>3653931</v>
      </c>
      <c r="D218" s="1069" t="b">
        <f t="shared" si="45"/>
        <v>0</v>
      </c>
      <c r="E218" s="1077">
        <f t="shared" si="43"/>
        <v>3653.931</v>
      </c>
    </row>
    <row r="219" spans="1:23" x14ac:dyDescent="0.25">
      <c r="A219" s="1076" t="s">
        <v>19325</v>
      </c>
      <c r="B219" s="1076" t="s">
        <v>19326</v>
      </c>
      <c r="C219" s="1077">
        <v>3983409</v>
      </c>
      <c r="D219" s="1069" t="b">
        <f t="shared" si="45"/>
        <v>0</v>
      </c>
      <c r="E219" s="1077"/>
      <c r="H219" s="1069" t="s">
        <v>3369</v>
      </c>
      <c r="I219" s="1081" t="s">
        <v>19327</v>
      </c>
      <c r="S219" s="1081">
        <v>200</v>
      </c>
      <c r="T219" s="1081"/>
    </row>
    <row r="220" spans="1:23" x14ac:dyDescent="0.25">
      <c r="A220" s="1076" t="s">
        <v>19328</v>
      </c>
      <c r="B220" s="1076" t="s">
        <v>19329</v>
      </c>
      <c r="C220" s="1077">
        <v>3983409</v>
      </c>
      <c r="D220" s="1069" t="b">
        <f t="shared" si="45"/>
        <v>0</v>
      </c>
      <c r="E220" s="1077">
        <v>422.17</v>
      </c>
      <c r="G220" s="1069">
        <v>422.17</v>
      </c>
      <c r="H220" s="1069" t="s">
        <v>3369</v>
      </c>
      <c r="I220" s="1081" t="s">
        <v>19330</v>
      </c>
      <c r="S220" s="1081">
        <v>200</v>
      </c>
      <c r="T220" s="1081"/>
      <c r="W220" s="1080"/>
    </row>
    <row r="221" spans="1:23" x14ac:dyDescent="0.25">
      <c r="A221" s="1076" t="s">
        <v>19331</v>
      </c>
      <c r="B221" s="1076"/>
      <c r="C221" s="1077">
        <v>2090271</v>
      </c>
      <c r="D221" s="1069" t="b">
        <f t="shared" si="45"/>
        <v>0</v>
      </c>
      <c r="E221" s="1077">
        <f t="shared" si="43"/>
        <v>2090.2710000000002</v>
      </c>
    </row>
    <row r="222" spans="1:23" x14ac:dyDescent="0.25">
      <c r="A222" s="1076" t="s">
        <v>19332</v>
      </c>
      <c r="B222" s="1076"/>
      <c r="C222" s="1077">
        <v>2277924</v>
      </c>
      <c r="D222" s="1069" t="b">
        <f t="shared" si="45"/>
        <v>0</v>
      </c>
      <c r="E222" s="1077">
        <f t="shared" si="43"/>
        <v>2277.924</v>
      </c>
    </row>
    <row r="223" spans="1:23" x14ac:dyDescent="0.25">
      <c r="A223" s="1076" t="s">
        <v>19333</v>
      </c>
      <c r="B223" s="1076"/>
      <c r="C223" s="1077">
        <v>869572</v>
      </c>
      <c r="D223" s="1069" t="b">
        <f t="shared" si="45"/>
        <v>0</v>
      </c>
      <c r="E223" s="1077">
        <f t="shared" si="43"/>
        <v>869.572</v>
      </c>
    </row>
    <row r="224" spans="1:23" x14ac:dyDescent="0.25">
      <c r="A224" s="1076" t="s">
        <v>19334</v>
      </c>
      <c r="B224" s="1076"/>
      <c r="C224" s="1077">
        <v>1026537</v>
      </c>
      <c r="D224" s="1069" t="b">
        <f t="shared" si="45"/>
        <v>0</v>
      </c>
      <c r="E224" s="1077">
        <f t="shared" si="43"/>
        <v>1026.537</v>
      </c>
    </row>
    <row r="225" spans="1:5" x14ac:dyDescent="0.25">
      <c r="A225" s="1076" t="s">
        <v>19335</v>
      </c>
      <c r="B225" s="1076"/>
      <c r="C225" s="1077">
        <v>1341275</v>
      </c>
      <c r="D225" s="1069" t="b">
        <f t="shared" si="45"/>
        <v>0</v>
      </c>
      <c r="E225" s="1077">
        <f t="shared" si="43"/>
        <v>1341.2750000000001</v>
      </c>
    </row>
    <row r="226" spans="1:5" x14ac:dyDescent="0.25">
      <c r="A226" s="1076" t="s">
        <v>19336</v>
      </c>
      <c r="B226" s="1076"/>
      <c r="C226" s="1077">
        <v>1497738</v>
      </c>
      <c r="D226" s="1069" t="b">
        <f t="shared" si="45"/>
        <v>0</v>
      </c>
      <c r="E226" s="1077">
        <f t="shared" si="43"/>
        <v>1497.7380000000001</v>
      </c>
    </row>
    <row r="227" spans="1:5" x14ac:dyDescent="0.25">
      <c r="A227" s="1076" t="s">
        <v>19337</v>
      </c>
      <c r="B227" s="1076"/>
      <c r="C227" s="1077">
        <v>82501</v>
      </c>
      <c r="D227" s="1069" t="b">
        <f t="shared" si="45"/>
        <v>0</v>
      </c>
      <c r="E227" s="1077">
        <f t="shared" si="43"/>
        <v>82.501000000000005</v>
      </c>
    </row>
    <row r="228" spans="1:5" x14ac:dyDescent="0.25">
      <c r="A228" s="1076" t="s">
        <v>19338</v>
      </c>
      <c r="B228" s="1076"/>
      <c r="C228" s="1077">
        <v>70321</v>
      </c>
      <c r="D228" s="1069" t="b">
        <f t="shared" si="45"/>
        <v>0</v>
      </c>
      <c r="E228" s="1077">
        <f t="shared" si="43"/>
        <v>70.320999999999998</v>
      </c>
    </row>
    <row r="229" spans="1:5" x14ac:dyDescent="0.25">
      <c r="A229" s="1076" t="s">
        <v>19339</v>
      </c>
      <c r="B229" s="1076"/>
      <c r="C229" s="1077">
        <v>70321</v>
      </c>
      <c r="D229" s="1069" t="b">
        <f t="shared" si="45"/>
        <v>0</v>
      </c>
      <c r="E229" s="1077">
        <f t="shared" si="43"/>
        <v>70.320999999999998</v>
      </c>
    </row>
    <row r="230" spans="1:5" x14ac:dyDescent="0.25">
      <c r="A230" s="1076" t="s">
        <v>19340</v>
      </c>
      <c r="B230" s="1076"/>
      <c r="C230" s="1077">
        <v>128066</v>
      </c>
      <c r="D230" s="1069" t="b">
        <f t="shared" si="45"/>
        <v>0</v>
      </c>
      <c r="E230" s="1077">
        <f t="shared" si="43"/>
        <v>128.066</v>
      </c>
    </row>
    <row r="231" spans="1:5" x14ac:dyDescent="0.25">
      <c r="A231" s="1076" t="s">
        <v>19341</v>
      </c>
      <c r="B231" s="1076"/>
      <c r="C231" s="1077">
        <v>154454</v>
      </c>
      <c r="D231" s="1069" t="b">
        <f t="shared" si="45"/>
        <v>0</v>
      </c>
      <c r="E231" s="1077">
        <f t="shared" si="43"/>
        <v>154.45400000000001</v>
      </c>
    </row>
    <row r="232" spans="1:5" x14ac:dyDescent="0.25">
      <c r="A232" s="1076" t="s">
        <v>19342</v>
      </c>
      <c r="B232" s="1076"/>
      <c r="C232" s="1077">
        <v>224166</v>
      </c>
      <c r="D232" s="1069" t="b">
        <f t="shared" si="45"/>
        <v>0</v>
      </c>
      <c r="E232" s="1077">
        <f t="shared" si="43"/>
        <v>224.166</v>
      </c>
    </row>
    <row r="233" spans="1:5" x14ac:dyDescent="0.25">
      <c r="A233" s="1076" t="s">
        <v>19343</v>
      </c>
      <c r="B233" s="1076"/>
      <c r="C233" s="1077">
        <v>253150</v>
      </c>
      <c r="D233" s="1069" t="b">
        <f t="shared" si="45"/>
        <v>0</v>
      </c>
      <c r="E233" s="1077">
        <f t="shared" si="43"/>
        <v>253.15</v>
      </c>
    </row>
    <row r="234" spans="1:5" x14ac:dyDescent="0.25">
      <c r="A234" s="1076" t="s">
        <v>19344</v>
      </c>
      <c r="B234" s="1076"/>
      <c r="C234" s="1077">
        <v>285905</v>
      </c>
      <c r="D234" s="1069" t="b">
        <f t="shared" si="45"/>
        <v>0</v>
      </c>
      <c r="E234" s="1077">
        <f t="shared" si="43"/>
        <v>285.90499999999997</v>
      </c>
    </row>
    <row r="235" spans="1:5" x14ac:dyDescent="0.25">
      <c r="A235" s="1076" t="s">
        <v>19345</v>
      </c>
      <c r="B235" s="1076" t="s">
        <v>19346</v>
      </c>
      <c r="C235" s="1077">
        <v>175837</v>
      </c>
      <c r="D235" s="1069" t="b">
        <f t="shared" si="45"/>
        <v>0</v>
      </c>
      <c r="E235" s="1077">
        <f t="shared" si="43"/>
        <v>175.83699999999999</v>
      </c>
    </row>
    <row r="236" spans="1:5" x14ac:dyDescent="0.25">
      <c r="A236" s="1076" t="s">
        <v>19347</v>
      </c>
      <c r="B236" s="1076"/>
      <c r="C236" s="1077">
        <v>619714</v>
      </c>
      <c r="D236" s="1069" t="b">
        <f t="shared" si="45"/>
        <v>0</v>
      </c>
      <c r="E236" s="1077">
        <f t="shared" si="43"/>
        <v>619.71400000000006</v>
      </c>
    </row>
    <row r="237" spans="1:5" x14ac:dyDescent="0.25">
      <c r="A237" s="1076" t="s">
        <v>19348</v>
      </c>
      <c r="B237" s="1076"/>
      <c r="C237" s="1077">
        <v>430195</v>
      </c>
      <c r="D237" s="1069" t="b">
        <f t="shared" si="45"/>
        <v>0</v>
      </c>
      <c r="E237" s="1077">
        <f t="shared" si="43"/>
        <v>430.19499999999999</v>
      </c>
    </row>
    <row r="238" spans="1:5" x14ac:dyDescent="0.25">
      <c r="A238" s="1076" t="s">
        <v>19349</v>
      </c>
      <c r="B238" s="1076"/>
      <c r="C238" s="1077">
        <v>430195</v>
      </c>
      <c r="D238" s="1069" t="b">
        <f t="shared" si="45"/>
        <v>0</v>
      </c>
      <c r="E238" s="1077">
        <f t="shared" si="43"/>
        <v>430.19499999999999</v>
      </c>
    </row>
    <row r="239" spans="1:5" x14ac:dyDescent="0.25">
      <c r="A239" s="1076" t="s">
        <v>19350</v>
      </c>
      <c r="B239" s="1076"/>
      <c r="C239" s="1077">
        <v>417861</v>
      </c>
      <c r="D239" s="1069" t="b">
        <f t="shared" si="45"/>
        <v>0</v>
      </c>
      <c r="E239" s="1077">
        <f t="shared" si="43"/>
        <v>417.86099999999999</v>
      </c>
    </row>
    <row r="240" spans="1:5" x14ac:dyDescent="0.25">
      <c r="A240" s="1076" t="s">
        <v>19351</v>
      </c>
      <c r="B240" s="1076"/>
      <c r="C240" s="1077">
        <v>417861</v>
      </c>
      <c r="D240" s="1069" t="b">
        <f t="shared" si="45"/>
        <v>0</v>
      </c>
      <c r="E240" s="1077">
        <f t="shared" si="43"/>
        <v>417.86099999999999</v>
      </c>
    </row>
    <row r="241" spans="1:5" x14ac:dyDescent="0.25">
      <c r="A241" s="1076" t="s">
        <v>19352</v>
      </c>
      <c r="B241" s="1076"/>
      <c r="C241" s="1077">
        <v>417861</v>
      </c>
      <c r="D241" s="1069" t="b">
        <f t="shared" si="45"/>
        <v>0</v>
      </c>
      <c r="E241" s="1077">
        <f t="shared" si="43"/>
        <v>417.86099999999999</v>
      </c>
    </row>
    <row r="242" spans="1:5" x14ac:dyDescent="0.25">
      <c r="A242" s="1076" t="s">
        <v>19353</v>
      </c>
      <c r="B242" s="1076"/>
      <c r="C242" s="1077">
        <v>417861</v>
      </c>
      <c r="D242" s="1069" t="b">
        <f t="shared" si="45"/>
        <v>0</v>
      </c>
      <c r="E242" s="1077">
        <f t="shared" si="43"/>
        <v>417.86099999999999</v>
      </c>
    </row>
    <row r="243" spans="1:5" x14ac:dyDescent="0.25">
      <c r="A243" s="1076" t="s">
        <v>19354</v>
      </c>
      <c r="B243" s="1076"/>
      <c r="C243" s="1077">
        <v>3505982</v>
      </c>
      <c r="D243" s="1069" t="b">
        <f t="shared" si="45"/>
        <v>0</v>
      </c>
      <c r="E243" s="1077">
        <f t="shared" si="43"/>
        <v>3505.982</v>
      </c>
    </row>
    <row r="244" spans="1:5" x14ac:dyDescent="0.25">
      <c r="A244" s="1076" t="s">
        <v>19355</v>
      </c>
      <c r="B244" s="1076"/>
      <c r="C244" s="1077">
        <v>3186238</v>
      </c>
      <c r="D244" s="1069" t="b">
        <f t="shared" si="45"/>
        <v>0</v>
      </c>
      <c r="E244" s="1077">
        <f t="shared" si="43"/>
        <v>3186.2379999999998</v>
      </c>
    </row>
    <row r="245" spans="1:5" x14ac:dyDescent="0.25">
      <c r="A245" s="1076" t="s">
        <v>19356</v>
      </c>
      <c r="B245" s="1076"/>
      <c r="C245" s="1077">
        <v>40955</v>
      </c>
      <c r="D245" s="1069" t="b">
        <f t="shared" si="45"/>
        <v>0</v>
      </c>
      <c r="E245" s="1077">
        <f t="shared" si="43"/>
        <v>40.954999999999998</v>
      </c>
    </row>
    <row r="246" spans="1:5" x14ac:dyDescent="0.25">
      <c r="A246" s="1076" t="s">
        <v>19357</v>
      </c>
      <c r="B246" s="1076"/>
      <c r="C246" s="1077">
        <v>88930</v>
      </c>
      <c r="D246" s="1069" t="b">
        <f t="shared" si="45"/>
        <v>0</v>
      </c>
      <c r="E246" s="1077">
        <f t="shared" si="43"/>
        <v>88.93</v>
      </c>
    </row>
    <row r="247" spans="1:5" x14ac:dyDescent="0.25">
      <c r="A247" s="1076" t="s">
        <v>19358</v>
      </c>
      <c r="B247" s="1076"/>
      <c r="C247" s="1077">
        <v>251872</v>
      </c>
      <c r="D247" s="1069" t="b">
        <f t="shared" si="45"/>
        <v>0</v>
      </c>
      <c r="E247" s="1077">
        <f t="shared" si="43"/>
        <v>251.87200000000001</v>
      </c>
    </row>
    <row r="248" spans="1:5" x14ac:dyDescent="0.25">
      <c r="A248" s="1076" t="s">
        <v>19359</v>
      </c>
      <c r="B248" s="1076"/>
      <c r="C248" s="1077">
        <v>70321</v>
      </c>
      <c r="D248" s="1069" t="b">
        <f t="shared" si="45"/>
        <v>0</v>
      </c>
      <c r="E248" s="1077">
        <f t="shared" si="43"/>
        <v>70.320999999999998</v>
      </c>
    </row>
    <row r="249" spans="1:5" x14ac:dyDescent="0.25">
      <c r="A249" s="1076" t="s">
        <v>19360</v>
      </c>
      <c r="B249" s="1076"/>
      <c r="C249" s="1077">
        <v>41441</v>
      </c>
      <c r="D249" s="1069" t="b">
        <f t="shared" si="45"/>
        <v>0</v>
      </c>
      <c r="E249" s="1077">
        <f t="shared" si="43"/>
        <v>41.441000000000003</v>
      </c>
    </row>
    <row r="250" spans="1:5" x14ac:dyDescent="0.25">
      <c r="A250" s="1076" t="s">
        <v>19361</v>
      </c>
      <c r="B250" s="1076"/>
      <c r="C250" s="1077">
        <v>564787</v>
      </c>
      <c r="D250" s="1069" t="b">
        <f t="shared" si="45"/>
        <v>0</v>
      </c>
      <c r="E250" s="1077">
        <f t="shared" si="43"/>
        <v>564.78700000000003</v>
      </c>
    </row>
    <row r="251" spans="1:5" x14ac:dyDescent="0.25">
      <c r="A251" s="1076" t="s">
        <v>19362</v>
      </c>
      <c r="B251" s="1076"/>
      <c r="C251" s="1077">
        <v>576834</v>
      </c>
      <c r="D251" s="1069" t="b">
        <f t="shared" si="45"/>
        <v>0</v>
      </c>
      <c r="E251" s="1077">
        <f t="shared" si="43"/>
        <v>576.83399999999995</v>
      </c>
    </row>
    <row r="252" spans="1:5" x14ac:dyDescent="0.25">
      <c r="A252" s="1076" t="s">
        <v>19363</v>
      </c>
      <c r="B252" s="1076"/>
      <c r="C252" s="1077">
        <v>639676</v>
      </c>
      <c r="D252" s="1069" t="b">
        <f t="shared" si="45"/>
        <v>0</v>
      </c>
      <c r="E252" s="1077">
        <f t="shared" si="43"/>
        <v>639.67600000000004</v>
      </c>
    </row>
    <row r="253" spans="1:5" x14ac:dyDescent="0.25">
      <c r="A253" s="1076" t="s">
        <v>19364</v>
      </c>
      <c r="B253" s="1076"/>
      <c r="C253" s="1077">
        <v>704556</v>
      </c>
      <c r="D253" s="1069" t="b">
        <f t="shared" si="45"/>
        <v>0</v>
      </c>
      <c r="E253" s="1077">
        <f t="shared" si="43"/>
        <v>704.55600000000004</v>
      </c>
    </row>
    <row r="254" spans="1:5" x14ac:dyDescent="0.25">
      <c r="A254" s="1076" t="s">
        <v>19365</v>
      </c>
      <c r="B254" s="1076"/>
      <c r="C254" s="1077">
        <v>141745</v>
      </c>
      <c r="D254" s="1069" t="b">
        <f t="shared" si="45"/>
        <v>0</v>
      </c>
      <c r="E254" s="1077">
        <f t="shared" si="43"/>
        <v>141.745</v>
      </c>
    </row>
    <row r="255" spans="1:5" x14ac:dyDescent="0.25">
      <c r="A255" s="1076" t="s">
        <v>19366</v>
      </c>
      <c r="B255" s="1076"/>
      <c r="C255" s="1077">
        <v>1039524</v>
      </c>
      <c r="D255" s="1069" t="b">
        <f t="shared" si="45"/>
        <v>0</v>
      </c>
      <c r="E255" s="1077">
        <f t="shared" si="43"/>
        <v>1039.5239999999999</v>
      </c>
    </row>
    <row r="256" spans="1:5" x14ac:dyDescent="0.25">
      <c r="A256" s="1076" t="s">
        <v>19367</v>
      </c>
      <c r="B256" s="1076"/>
      <c r="C256" s="1077">
        <v>1223123</v>
      </c>
      <c r="D256" s="1069" t="b">
        <f t="shared" si="45"/>
        <v>0</v>
      </c>
      <c r="E256" s="1077">
        <f t="shared" ref="E256:E263" si="46">+C256/1000</f>
        <v>1223.123</v>
      </c>
    </row>
    <row r="257" spans="1:5" x14ac:dyDescent="0.25">
      <c r="A257" s="1076" t="s">
        <v>19368</v>
      </c>
      <c r="B257" s="1076" t="s">
        <v>18958</v>
      </c>
      <c r="C257" s="1077">
        <v>163227</v>
      </c>
      <c r="D257" s="1069" t="b">
        <f t="shared" si="45"/>
        <v>0</v>
      </c>
      <c r="E257" s="1077">
        <f t="shared" si="46"/>
        <v>163.227</v>
      </c>
    </row>
    <row r="258" spans="1:5" x14ac:dyDescent="0.25">
      <c r="A258" s="1076" t="s">
        <v>19369</v>
      </c>
      <c r="B258" s="1076" t="s">
        <v>18958</v>
      </c>
      <c r="C258" s="1077">
        <v>61226</v>
      </c>
      <c r="D258" s="1069" t="b">
        <f t="shared" si="45"/>
        <v>0</v>
      </c>
      <c r="E258" s="1077">
        <f t="shared" si="46"/>
        <v>61.225999999999999</v>
      </c>
    </row>
    <row r="259" spans="1:5" x14ac:dyDescent="0.25">
      <c r="A259" s="1076" t="s">
        <v>19370</v>
      </c>
      <c r="B259" s="1076"/>
      <c r="C259" s="1077">
        <v>70145</v>
      </c>
      <c r="D259" s="1069" t="b">
        <f t="shared" si="45"/>
        <v>0</v>
      </c>
      <c r="E259" s="1077">
        <f t="shared" si="46"/>
        <v>70.144999999999996</v>
      </c>
    </row>
    <row r="260" spans="1:5" x14ac:dyDescent="0.25">
      <c r="A260" s="1076" t="s">
        <v>19371</v>
      </c>
      <c r="B260" s="1076"/>
      <c r="C260" s="1077">
        <v>268640</v>
      </c>
      <c r="D260" s="1069" t="b">
        <f t="shared" si="45"/>
        <v>0</v>
      </c>
      <c r="E260" s="1077">
        <f t="shared" si="46"/>
        <v>268.64</v>
      </c>
    </row>
    <row r="261" spans="1:5" x14ac:dyDescent="0.25">
      <c r="A261" s="1076" t="s">
        <v>19372</v>
      </c>
      <c r="B261" s="1076"/>
      <c r="C261" s="1077">
        <v>2109413</v>
      </c>
      <c r="D261" s="1069" t="b">
        <f t="shared" si="45"/>
        <v>0</v>
      </c>
      <c r="E261" s="1077">
        <f t="shared" si="46"/>
        <v>2109.413</v>
      </c>
    </row>
    <row r="262" spans="1:5" x14ac:dyDescent="0.25">
      <c r="A262" s="1076" t="s">
        <v>19373</v>
      </c>
      <c r="B262" s="1076"/>
      <c r="C262" s="1077">
        <v>2109413</v>
      </c>
      <c r="D262" s="1069" t="b">
        <f t="shared" si="45"/>
        <v>0</v>
      </c>
      <c r="E262" s="1077">
        <f t="shared" si="46"/>
        <v>2109.413</v>
      </c>
    </row>
    <row r="263" spans="1:5" x14ac:dyDescent="0.25">
      <c r="A263" s="1076" t="s">
        <v>19374</v>
      </c>
      <c r="B263" s="1076"/>
      <c r="C263" s="1077">
        <v>76521</v>
      </c>
      <c r="D263" s="1069" t="b">
        <f t="shared" si="45"/>
        <v>0</v>
      </c>
      <c r="E263" s="1077">
        <f t="shared" si="46"/>
        <v>76.521000000000001</v>
      </c>
    </row>
  </sheetData>
  <autoFilter ref="E4:Q263" xr:uid="{D8E9AE94-F37C-45D6-895C-32B6D1898E8A}"/>
  <mergeCells count="2">
    <mergeCell ref="A191:B191"/>
    <mergeCell ref="R3:T3"/>
  </mergeCells>
  <conditionalFormatting sqref="E1:E1048576">
    <cfRule type="expression" dxfId="2" priority="1">
      <formula>+IF(AND(L1&lt;0,O1&lt;0),TRUE,FALSE)</formula>
    </cfRule>
  </conditionalFormatting>
  <pageMargins left="0.19685039370078741" right="0.15748031496062992" top="0.35433070866141736" bottom="0.27559055118110237" header="0" footer="0.23622047244094491"/>
  <pageSetup paperSize="9" orientation="portrait" horizontalDpi="4294967295" verticalDpi="4294967295"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B34C8-778F-4C8C-B768-9F810D47D796}">
  <sheetPr codeName="Hoja22">
    <tabColor rgb="FFFF0000"/>
  </sheetPr>
  <dimension ref="A1:AH464"/>
  <sheetViews>
    <sheetView view="pageBreakPreview" zoomScale="160" zoomScaleNormal="130" zoomScaleSheetLayoutView="160" workbookViewId="0">
      <pane ySplit="2" topLeftCell="A3" activePane="bottomLeft" state="frozen"/>
      <selection activeCell="G12" sqref="G12"/>
      <selection pane="bottomLeft" activeCell="B6" sqref="B6"/>
    </sheetView>
  </sheetViews>
  <sheetFormatPr baseColWidth="10" defaultColWidth="11.28515625" defaultRowHeight="12.75" x14ac:dyDescent="0.2"/>
  <cols>
    <col min="3" max="3" width="24.7109375" customWidth="1"/>
    <col min="5" max="5" width="2.28515625" customWidth="1"/>
    <col min="6" max="6" width="15" bestFit="1" customWidth="1"/>
    <col min="8" max="8" width="16.5703125" bestFit="1" customWidth="1"/>
    <col min="10" max="10" width="10.28515625" bestFit="1" customWidth="1"/>
    <col min="11" max="11" width="27" customWidth="1"/>
    <col min="12" max="14" width="10.7109375" style="1" customWidth="1"/>
    <col min="15" max="15" width="2.5703125" customWidth="1"/>
    <col min="16" max="16" width="16" bestFit="1" customWidth="1"/>
    <col min="17" max="17" width="12.28515625" bestFit="1" customWidth="1"/>
    <col min="18" max="18" width="29.7109375" bestFit="1" customWidth="1"/>
    <col min="19" max="19" width="10.5703125" style="1" hidden="1" customWidth="1"/>
    <col min="20" max="20" width="11.28515625" style="1" customWidth="1"/>
    <col min="21" max="21" width="10.5703125" bestFit="1" customWidth="1"/>
    <col min="22" max="22" width="10" customWidth="1"/>
    <col min="23" max="23" width="2" customWidth="1"/>
    <col min="24" max="24" width="19.28515625" customWidth="1"/>
    <col min="26" max="26" width="1.7109375" customWidth="1"/>
    <col min="27" max="27" width="11.28515625" customWidth="1"/>
  </cols>
  <sheetData>
    <row r="1" spans="1:34" ht="16.5" thickBot="1" x14ac:dyDescent="0.3">
      <c r="A1" s="1564" t="s">
        <v>19375</v>
      </c>
      <c r="B1" s="1565"/>
      <c r="C1" s="1565"/>
      <c r="D1" s="1566"/>
      <c r="F1" s="31" t="s">
        <v>18079</v>
      </c>
      <c r="H1" s="413">
        <f>SUM(H3:H26)</f>
        <v>52319.939999999995</v>
      </c>
      <c r="J1" s="1281" t="s">
        <v>19376</v>
      </c>
      <c r="K1" s="1282"/>
      <c r="L1" s="1282"/>
      <c r="M1" s="1282"/>
      <c r="N1" s="1283"/>
      <c r="P1" s="1281" t="s">
        <v>19377</v>
      </c>
      <c r="Q1" s="1282"/>
      <c r="R1" s="1282"/>
      <c r="S1" s="1283"/>
      <c r="T1" s="306">
        <v>0.08</v>
      </c>
      <c r="V1" s="1281" t="s">
        <v>19378</v>
      </c>
      <c r="W1" s="1282"/>
      <c r="X1" s="1282"/>
      <c r="Y1" s="1283"/>
    </row>
    <row r="2" spans="1:34" s="9" customFormat="1" ht="21.75" customHeight="1" thickBot="1" x14ac:dyDescent="0.25">
      <c r="A2" s="322" t="s">
        <v>8188</v>
      </c>
      <c r="B2" s="628" t="s">
        <v>9008</v>
      </c>
      <c r="C2" s="322" t="s">
        <v>19379</v>
      </c>
      <c r="D2" s="629" t="s">
        <v>8322</v>
      </c>
      <c r="F2" s="33" t="s">
        <v>8189</v>
      </c>
      <c r="G2" s="30" t="s">
        <v>3</v>
      </c>
      <c r="H2" s="30" t="s">
        <v>9341</v>
      </c>
      <c r="I2" s="739" t="str">
        <f>+"Al"&amp;A2</f>
        <v>AlCódigo</v>
      </c>
      <c r="J2" s="307" t="s">
        <v>8188</v>
      </c>
      <c r="K2" s="308" t="s">
        <v>19379</v>
      </c>
      <c r="L2" s="309" t="s">
        <v>19380</v>
      </c>
      <c r="M2" s="309" t="s">
        <v>19381</v>
      </c>
      <c r="N2" s="310" t="s">
        <v>19382</v>
      </c>
      <c r="P2" s="311" t="s">
        <v>1</v>
      </c>
      <c r="Q2" s="312" t="s">
        <v>2</v>
      </c>
      <c r="R2" s="312" t="s">
        <v>8756</v>
      </c>
      <c r="S2" s="313" t="s">
        <v>19383</v>
      </c>
      <c r="T2" s="314" t="s">
        <v>19384</v>
      </c>
      <c r="V2" s="315" t="s">
        <v>8188</v>
      </c>
      <c r="W2" s="316"/>
      <c r="X2" s="308" t="s">
        <v>19379</v>
      </c>
      <c r="Y2" s="310" t="s">
        <v>19384</v>
      </c>
      <c r="AA2" s="291" t="s">
        <v>19385</v>
      </c>
      <c r="AB2" s="317">
        <v>0.2</v>
      </c>
      <c r="AE2" s="9" t="s">
        <v>19386</v>
      </c>
    </row>
    <row r="3" spans="1:34" x14ac:dyDescent="0.2">
      <c r="A3" s="7" t="str">
        <f>+IFERROR(INDEX($V$1:$V$89,MATCH($F3,$Q$1:$Q$89,0),1),"-")</f>
        <v>7,5.15.3</v>
      </c>
      <c r="B3" s="34" t="s">
        <v>19386</v>
      </c>
      <c r="C3" s="34" t="str">
        <f>+VLOOKUP(A3,$J$1:$N$464,2,0)</f>
        <v>Arandelas 7,5x15x3</v>
      </c>
      <c r="D3" s="15">
        <v>50</v>
      </c>
      <c r="F3" s="1394" t="s">
        <v>19397</v>
      </c>
      <c r="G3" s="1">
        <f>+_xlfn.XLOOKUP(I3,CODIGOS_Y_COSTOS[CODIGO],CODIGOS_Y_COSTOS[COSTO],0,0)</f>
        <v>533.81399999999996</v>
      </c>
      <c r="H3" s="1">
        <f>+G3*D3</f>
        <v>26690.699999999997</v>
      </c>
      <c r="I3" t="str">
        <f>LEFT(B3,2)&amp;A3</f>
        <v>CO7,5.15.3</v>
      </c>
      <c r="J3" s="73" t="s">
        <v>19387</v>
      </c>
      <c r="K3" s="318" t="s">
        <v>19388</v>
      </c>
      <c r="L3" s="319">
        <v>2.7440000000000002</v>
      </c>
      <c r="M3" s="319">
        <v>10.68</v>
      </c>
      <c r="N3" s="74">
        <v>4.6029999999999998</v>
      </c>
      <c r="O3" t="str">
        <f>+P3&amp;Q3</f>
        <v>COBRE7,5x15x1,5</v>
      </c>
      <c r="P3" s="67" t="s">
        <v>19386</v>
      </c>
      <c r="Q3" t="s">
        <v>19389</v>
      </c>
      <c r="R3" t="s">
        <v>3373</v>
      </c>
      <c r="S3" s="64">
        <v>47.86392</v>
      </c>
      <c r="T3" s="211">
        <f t="shared" ref="T3:T66" si="0">+(1-$T$1)*S3</f>
        <v>44.034806400000001</v>
      </c>
      <c r="U3" t="s">
        <v>19387</v>
      </c>
      <c r="V3" s="1277" t="str">
        <f>+INDEX($J$1:$J$464,MATCH("Arandelas "&amp;Q3,$K$1:$K$464,0),1)</f>
        <v>7,5.15.1,5</v>
      </c>
      <c r="W3" s="1278"/>
      <c r="X3" s="1278" t="str">
        <f>+VLOOKUP(V3,$J$1:$N$464,2,0)</f>
        <v>Arandelas 7,5x15x1,5</v>
      </c>
      <c r="Y3" s="1275">
        <f>+(1-$AB$2)*VLOOKUP($V3,$J$1:$N$464,AC3,0)</f>
        <v>34.150400000000005</v>
      </c>
      <c r="AA3" s="95">
        <f>+T3/Y3-1</f>
        <v>0.28943749999999979</v>
      </c>
      <c r="AC3">
        <v>4</v>
      </c>
      <c r="AE3" t="s">
        <v>19390</v>
      </c>
      <c r="AH3" t="s">
        <v>19386</v>
      </c>
    </row>
    <row r="4" spans="1:34" x14ac:dyDescent="0.2">
      <c r="A4" s="7" t="str">
        <f t="shared" ref="A4:A32" si="1">+IFERROR(INDEX($V$1:$V$89,MATCH($F4,$Q$1:$Q$89,0),1),"-")</f>
        <v>7,5.15.1,5</v>
      </c>
      <c r="B4" s="34" t="s">
        <v>19386</v>
      </c>
      <c r="C4" s="34" t="str">
        <f t="shared" ref="C4:C32" si="2">+VLOOKUP(A4,$J$1:$N$464,2,0)</f>
        <v>Arandelas 7,5x15x1,5</v>
      </c>
      <c r="D4" s="15">
        <v>100</v>
      </c>
      <c r="F4" s="13" t="s">
        <v>19389</v>
      </c>
      <c r="G4" s="1">
        <f>+_xlfn.XLOOKUP(I4,CODIGOS_Y_COSTOS[CODIGO],CODIGOS_Y_COSTOS[COSTO],0,0)</f>
        <v>256.29239999999999</v>
      </c>
      <c r="H4" s="1">
        <f t="shared" ref="H4:H16" si="3">+G4*D4</f>
        <v>25629.239999999998</v>
      </c>
      <c r="I4" t="str">
        <f t="shared" ref="I4:I15" si="4">LEFT(B4,2)&amp;A4</f>
        <v>CO7,5.15.1,5</v>
      </c>
      <c r="J4" s="49" t="s">
        <v>19391</v>
      </c>
      <c r="K4" s="34" t="s">
        <v>19392</v>
      </c>
      <c r="L4" s="48">
        <v>0</v>
      </c>
      <c r="M4" s="48">
        <v>10.032</v>
      </c>
      <c r="N4" s="56">
        <v>0</v>
      </c>
      <c r="O4" t="str">
        <f t="shared" ref="O4:O67" si="5">+P4&amp;Q4</f>
        <v>COBRE7,5x15x2</v>
      </c>
      <c r="P4" s="67" t="s">
        <v>19386</v>
      </c>
      <c r="Q4" t="s">
        <v>19393</v>
      </c>
      <c r="R4" t="s">
        <v>3373</v>
      </c>
      <c r="S4" s="64">
        <v>59.838869999999993</v>
      </c>
      <c r="T4" s="211">
        <f t="shared" si="0"/>
        <v>55.051760399999999</v>
      </c>
      <c r="U4" t="s">
        <v>19391</v>
      </c>
      <c r="V4" s="67" t="str">
        <f t="shared" ref="V4:V31" si="6">+INDEX($J$1:$J$464,MATCH("Arandelas "&amp;Q4,$K$1:$K$464,0),1)</f>
        <v>7,5.15.2</v>
      </c>
      <c r="X4" t="str">
        <f t="shared" ref="X4:X67" si="7">+VLOOKUP(V4,$J$1:$N$464,2,0)</f>
        <v>Arandelas 7,5x15x2</v>
      </c>
      <c r="Y4" s="64">
        <f t="shared" ref="Y4:Y67" si="8">+(1-$AB$2)*VLOOKUP($V4,$J$1:$N$464,AC4,0)</f>
        <v>42.694400000000002</v>
      </c>
      <c r="AA4" s="95">
        <f t="shared" ref="AA4:AA67" si="9">+T4/Y4-1</f>
        <v>0.28943750000000001</v>
      </c>
      <c r="AC4">
        <v>4</v>
      </c>
      <c r="AE4" t="s">
        <v>19394</v>
      </c>
      <c r="AH4" t="s">
        <v>19394</v>
      </c>
    </row>
    <row r="5" spans="1:34" x14ac:dyDescent="0.2">
      <c r="A5" s="7" t="str">
        <f t="shared" si="1"/>
        <v>-</v>
      </c>
      <c r="B5" s="34"/>
      <c r="C5" s="34" t="str">
        <f t="shared" si="2"/>
        <v>-</v>
      </c>
      <c r="D5" s="15"/>
      <c r="F5" s="13"/>
      <c r="G5" s="1">
        <f>+_xlfn.XLOOKUP(I5,CODIGOS_Y_COSTOS[CODIGO],CODIGOS_Y_COSTOS[COSTO],0,0)</f>
        <v>0</v>
      </c>
      <c r="H5" s="1">
        <f t="shared" si="3"/>
        <v>0</v>
      </c>
      <c r="I5" t="str">
        <f t="shared" si="4"/>
        <v>-</v>
      </c>
      <c r="J5" s="49" t="s">
        <v>19395</v>
      </c>
      <c r="K5" s="34" t="s">
        <v>19396</v>
      </c>
      <c r="L5" s="48">
        <v>3.496</v>
      </c>
      <c r="M5" s="48">
        <v>13.36</v>
      </c>
      <c r="N5" s="56">
        <v>5.2249999999999996</v>
      </c>
      <c r="O5" t="str">
        <f t="shared" si="5"/>
        <v>COBRE7,5x15x3</v>
      </c>
      <c r="P5" s="67" t="s">
        <v>19386</v>
      </c>
      <c r="Q5" t="s">
        <v>19397</v>
      </c>
      <c r="R5" t="s">
        <v>3380</v>
      </c>
      <c r="S5" s="64">
        <v>99.692580000000007</v>
      </c>
      <c r="T5" s="211">
        <f>+(1-$T$1)*S5</f>
        <v>91.71717360000001</v>
      </c>
      <c r="U5" t="s">
        <v>19395</v>
      </c>
      <c r="V5" s="67" t="str">
        <f t="shared" si="6"/>
        <v>7,5.15.3</v>
      </c>
      <c r="X5" t="str">
        <f t="shared" si="7"/>
        <v>Arandelas 7,5x15x3</v>
      </c>
      <c r="Y5" s="64">
        <f t="shared" si="8"/>
        <v>71.129600000000011</v>
      </c>
      <c r="AA5" s="95">
        <f t="shared" si="9"/>
        <v>0.28943750000000001</v>
      </c>
      <c r="AB5" t="s">
        <v>19397</v>
      </c>
      <c r="AC5">
        <v>4</v>
      </c>
      <c r="AH5" t="s">
        <v>19390</v>
      </c>
    </row>
    <row r="6" spans="1:34" x14ac:dyDescent="0.2">
      <c r="A6" s="7" t="str">
        <f t="shared" si="1"/>
        <v>-</v>
      </c>
      <c r="B6" s="34"/>
      <c r="C6" s="34" t="str">
        <f t="shared" si="2"/>
        <v>-</v>
      </c>
      <c r="D6" s="15"/>
      <c r="F6" s="13"/>
      <c r="G6" s="1">
        <f>+_xlfn.XLOOKUP(I6,CODIGOS_Y_COSTOS[CODIGO],CODIGOS_Y_COSTOS[COSTO],0,0)</f>
        <v>0</v>
      </c>
      <c r="H6" s="1">
        <f t="shared" si="3"/>
        <v>0</v>
      </c>
      <c r="I6" t="str">
        <f t="shared" si="4"/>
        <v>-</v>
      </c>
      <c r="J6" s="49" t="s">
        <v>19398</v>
      </c>
      <c r="K6" s="34" t="s">
        <v>19399</v>
      </c>
      <c r="L6" s="48">
        <v>4.3600000000000003</v>
      </c>
      <c r="M6" s="48">
        <v>17.783999999999999</v>
      </c>
      <c r="N6" s="56">
        <v>6.2830000000000004</v>
      </c>
      <c r="O6" t="str">
        <f t="shared" si="5"/>
        <v>COBRE8x13x2,5</v>
      </c>
      <c r="P6" s="67" t="s">
        <v>19386</v>
      </c>
      <c r="Q6" t="s">
        <v>19400</v>
      </c>
      <c r="R6" t="s">
        <v>3384</v>
      </c>
      <c r="S6" s="64">
        <v>66.494609999999994</v>
      </c>
      <c r="T6" s="211">
        <f t="shared" si="0"/>
        <v>61.175041199999995</v>
      </c>
      <c r="U6" t="s">
        <v>19398</v>
      </c>
      <c r="V6" s="67" t="str">
        <f t="shared" si="6"/>
        <v>8.13.2,5</v>
      </c>
      <c r="X6" t="str">
        <f t="shared" si="7"/>
        <v>Arandelas 8x13x2,5</v>
      </c>
      <c r="Y6" s="64">
        <f t="shared" si="8"/>
        <v>47.443200000000004</v>
      </c>
      <c r="AA6" s="95">
        <f t="shared" si="9"/>
        <v>0.28943749999999979</v>
      </c>
      <c r="AB6" t="s">
        <v>19400</v>
      </c>
      <c r="AC6">
        <v>4</v>
      </c>
    </row>
    <row r="7" spans="1:34" x14ac:dyDescent="0.2">
      <c r="A7" s="7" t="str">
        <f t="shared" si="1"/>
        <v>-</v>
      </c>
      <c r="B7" s="34"/>
      <c r="C7" s="34" t="str">
        <f t="shared" si="2"/>
        <v>-</v>
      </c>
      <c r="D7" s="15"/>
      <c r="F7" s="13"/>
      <c r="G7" s="1">
        <f>+_xlfn.XLOOKUP(I7,CODIGOS_Y_COSTOS[CODIGO],CODIGOS_Y_COSTOS[COSTO],0,0)</f>
        <v>0</v>
      </c>
      <c r="H7" s="1">
        <f t="shared" si="3"/>
        <v>0</v>
      </c>
      <c r="I7" t="str">
        <f t="shared" si="4"/>
        <v>-</v>
      </c>
      <c r="J7" s="49" t="s">
        <v>19401</v>
      </c>
      <c r="K7" s="34" t="s">
        <v>19402</v>
      </c>
      <c r="L7" s="48">
        <v>0</v>
      </c>
      <c r="M7" s="48">
        <v>12.712</v>
      </c>
      <c r="N7" s="56">
        <v>0</v>
      </c>
      <c r="O7" t="str">
        <f t="shared" si="5"/>
        <v>COBRE10x19x2</v>
      </c>
      <c r="P7" s="67" t="s">
        <v>19386</v>
      </c>
      <c r="Q7" t="s">
        <v>19403</v>
      </c>
      <c r="R7" t="s">
        <v>3388</v>
      </c>
      <c r="S7" s="64">
        <v>70.38000000000001</v>
      </c>
      <c r="T7" s="211">
        <f t="shared" si="0"/>
        <v>64.749600000000015</v>
      </c>
      <c r="U7" t="s">
        <v>19401</v>
      </c>
      <c r="V7" s="67" t="str">
        <f t="shared" si="6"/>
        <v>10.19.2</v>
      </c>
      <c r="X7" t="str">
        <f t="shared" si="7"/>
        <v>Arandelas 10x19x2</v>
      </c>
      <c r="Y7" s="64">
        <f t="shared" si="8"/>
        <v>56.921600000000005</v>
      </c>
      <c r="AA7" s="95">
        <f t="shared" si="9"/>
        <v>0.13752248706993497</v>
      </c>
      <c r="AB7" t="s">
        <v>18967</v>
      </c>
      <c r="AC7">
        <v>4</v>
      </c>
    </row>
    <row r="8" spans="1:34" x14ac:dyDescent="0.2">
      <c r="A8" s="7" t="str">
        <f t="shared" si="1"/>
        <v>-</v>
      </c>
      <c r="B8" s="34"/>
      <c r="C8" s="34" t="str">
        <f t="shared" si="2"/>
        <v>-</v>
      </c>
      <c r="D8" s="15"/>
      <c r="F8" s="1065"/>
      <c r="G8" s="1">
        <f>+_xlfn.XLOOKUP(I8,CODIGOS_Y_COSTOS[CODIGO],CODIGOS_Y_COSTOS[COSTO],0,0)</f>
        <v>0</v>
      </c>
      <c r="H8" s="1">
        <f t="shared" si="3"/>
        <v>0</v>
      </c>
      <c r="I8" t="str">
        <f t="shared" si="4"/>
        <v>-</v>
      </c>
      <c r="J8" s="49" t="s">
        <v>19404</v>
      </c>
      <c r="K8" s="34" t="s">
        <v>19405</v>
      </c>
      <c r="L8" s="48">
        <v>2.7440000000000002</v>
      </c>
      <c r="M8" s="48">
        <v>0</v>
      </c>
      <c r="N8" s="56">
        <v>0</v>
      </c>
      <c r="O8" t="str">
        <f t="shared" si="5"/>
        <v>COBRE10x20x1</v>
      </c>
      <c r="P8" s="67" t="s">
        <v>19386</v>
      </c>
      <c r="Q8" t="s">
        <v>19406</v>
      </c>
      <c r="R8" t="s">
        <v>3392</v>
      </c>
      <c r="S8" s="64">
        <v>40.716000000000001</v>
      </c>
      <c r="T8" s="211">
        <f t="shared" si="0"/>
        <v>37.45872</v>
      </c>
      <c r="U8" t="s">
        <v>19404</v>
      </c>
      <c r="V8" s="67" t="str">
        <f t="shared" si="6"/>
        <v>10.20.1</v>
      </c>
      <c r="X8" t="str">
        <f t="shared" si="7"/>
        <v>Arandelas 10x20x1</v>
      </c>
      <c r="Y8" s="64">
        <f t="shared" si="8"/>
        <v>30.598399999999998</v>
      </c>
      <c r="AA8" s="95">
        <f t="shared" si="9"/>
        <v>0.22420518719933069</v>
      </c>
      <c r="AB8" t="s">
        <v>18971</v>
      </c>
      <c r="AC8">
        <v>4</v>
      </c>
    </row>
    <row r="9" spans="1:34" x14ac:dyDescent="0.2">
      <c r="A9" s="7" t="str">
        <f t="shared" si="1"/>
        <v>-</v>
      </c>
      <c r="B9" s="34"/>
      <c r="C9" s="34" t="str">
        <f t="shared" si="2"/>
        <v>-</v>
      </c>
      <c r="D9" s="15"/>
      <c r="F9" s="1065"/>
      <c r="G9" s="1">
        <f>+_xlfn.XLOOKUP(I9,CODIGOS_Y_COSTOS[CODIGO],CODIGOS_Y_COSTOS[COSTO],0,0)</f>
        <v>0</v>
      </c>
      <c r="H9" s="1">
        <f t="shared" si="3"/>
        <v>0</v>
      </c>
      <c r="I9" t="str">
        <f t="shared" si="4"/>
        <v>-</v>
      </c>
      <c r="J9" s="49" t="s">
        <v>19407</v>
      </c>
      <c r="K9" s="34" t="s">
        <v>19408</v>
      </c>
      <c r="L9" s="48">
        <v>3.72</v>
      </c>
      <c r="M9" s="48">
        <v>16.015999999999998</v>
      </c>
      <c r="N9" s="56">
        <v>5.2249999999999996</v>
      </c>
      <c r="O9" t="str">
        <f t="shared" si="5"/>
        <v>COBRE14x20x1,5</v>
      </c>
      <c r="P9" s="67" t="s">
        <v>19386</v>
      </c>
      <c r="Q9" t="s">
        <v>19409</v>
      </c>
      <c r="R9" t="s">
        <v>3396</v>
      </c>
      <c r="S9" s="64">
        <v>62.31600000000001</v>
      </c>
      <c r="T9" s="211">
        <f t="shared" si="0"/>
        <v>57.330720000000014</v>
      </c>
      <c r="U9" t="s">
        <v>19407</v>
      </c>
      <c r="V9" s="67" t="str">
        <f t="shared" si="6"/>
        <v>14.20.1,5</v>
      </c>
      <c r="X9" t="str">
        <f t="shared" si="7"/>
        <v>Arandelas 14x20x1,5</v>
      </c>
      <c r="Y9" s="64">
        <f t="shared" si="8"/>
        <v>49.8048</v>
      </c>
      <c r="AA9" s="95">
        <f t="shared" si="9"/>
        <v>0.15110832690825005</v>
      </c>
      <c r="AC9">
        <v>4</v>
      </c>
    </row>
    <row r="10" spans="1:34" x14ac:dyDescent="0.2">
      <c r="A10" s="7" t="str">
        <f t="shared" si="1"/>
        <v>-</v>
      </c>
      <c r="B10" s="34"/>
      <c r="C10" s="34" t="str">
        <f t="shared" si="2"/>
        <v>-</v>
      </c>
      <c r="D10" s="15"/>
      <c r="F10" s="13"/>
      <c r="G10" s="1">
        <f>+_xlfn.XLOOKUP(I10,CODIGOS_Y_COSTOS[CODIGO],CODIGOS_Y_COSTOS[COSTO],0,0)</f>
        <v>0</v>
      </c>
      <c r="H10" s="1">
        <f t="shared" si="3"/>
        <v>0</v>
      </c>
      <c r="I10" t="str">
        <f t="shared" si="4"/>
        <v>-</v>
      </c>
      <c r="J10" s="49" t="s">
        <v>19410</v>
      </c>
      <c r="K10" s="34" t="s">
        <v>19411</v>
      </c>
      <c r="L10" s="48">
        <v>2.7440000000000002</v>
      </c>
      <c r="M10" s="48">
        <v>10.68</v>
      </c>
      <c r="N10" s="56">
        <v>4.6029999999999998</v>
      </c>
      <c r="O10" t="str">
        <f t="shared" si="5"/>
        <v>COBRE14x20x2</v>
      </c>
      <c r="P10" s="67" t="s">
        <v>19386</v>
      </c>
      <c r="Q10" t="s">
        <v>19412</v>
      </c>
      <c r="R10" t="s">
        <v>3400</v>
      </c>
      <c r="S10" s="64">
        <v>70.38000000000001</v>
      </c>
      <c r="T10" s="211">
        <f t="shared" si="0"/>
        <v>64.749600000000015</v>
      </c>
      <c r="U10" t="s">
        <v>19410</v>
      </c>
      <c r="V10" s="67" t="str">
        <f t="shared" si="6"/>
        <v>14.20.2</v>
      </c>
      <c r="X10" t="str">
        <f t="shared" si="7"/>
        <v>Arandelas 14x20x2</v>
      </c>
      <c r="Y10" s="64">
        <f t="shared" si="8"/>
        <v>56.921600000000005</v>
      </c>
      <c r="AA10" s="95">
        <f t="shared" si="9"/>
        <v>0.13752248706993497</v>
      </c>
      <c r="AC10">
        <v>4</v>
      </c>
    </row>
    <row r="11" spans="1:34" x14ac:dyDescent="0.2">
      <c r="A11" s="7" t="str">
        <f t="shared" si="1"/>
        <v>-</v>
      </c>
      <c r="B11" s="34"/>
      <c r="C11" s="34" t="str">
        <f t="shared" si="2"/>
        <v>-</v>
      </c>
      <c r="D11" s="15"/>
      <c r="F11" s="13"/>
      <c r="G11" s="1">
        <f>+_xlfn.XLOOKUP(I11,CODIGOS_Y_COSTOS[CODIGO],CODIGOS_Y_COSTOS[COSTO],0,0)</f>
        <v>0</v>
      </c>
      <c r="H11" s="1">
        <f t="shared" si="3"/>
        <v>0</v>
      </c>
      <c r="I11" t="str">
        <f t="shared" si="4"/>
        <v>-</v>
      </c>
      <c r="J11" s="49" t="s">
        <v>19414</v>
      </c>
      <c r="K11" s="34" t="s">
        <v>19415</v>
      </c>
      <c r="L11" s="48">
        <v>8.6959999999999997</v>
      </c>
      <c r="M11" s="48">
        <v>0</v>
      </c>
      <c r="N11" s="56">
        <v>0</v>
      </c>
      <c r="O11" t="str">
        <f t="shared" si="5"/>
        <v>COBRE14,5x21x2</v>
      </c>
      <c r="P11" s="67" t="s">
        <v>19386</v>
      </c>
      <c r="Q11" t="s">
        <v>18967</v>
      </c>
      <c r="R11" t="s">
        <v>3404</v>
      </c>
      <c r="S11" s="64">
        <v>80.100000000000009</v>
      </c>
      <c r="T11" s="211">
        <f t="shared" si="0"/>
        <v>73.692000000000007</v>
      </c>
      <c r="U11" t="s">
        <v>19414</v>
      </c>
      <c r="V11" s="67" t="str">
        <f t="shared" si="6"/>
        <v>14,5.21.2</v>
      </c>
      <c r="X11" t="str">
        <f t="shared" si="7"/>
        <v>Arandelas 14,5x21x2</v>
      </c>
      <c r="Y11" s="64">
        <f t="shared" si="8"/>
        <v>64.044799999999995</v>
      </c>
      <c r="AA11" s="95">
        <f t="shared" si="9"/>
        <v>0.15063205755970843</v>
      </c>
      <c r="AC11">
        <v>4</v>
      </c>
    </row>
    <row r="12" spans="1:34" x14ac:dyDescent="0.2">
      <c r="A12" s="7" t="str">
        <f t="shared" si="1"/>
        <v>-</v>
      </c>
      <c r="B12" s="34"/>
      <c r="C12" s="34" t="str">
        <f t="shared" si="2"/>
        <v>-</v>
      </c>
      <c r="D12" s="15"/>
      <c r="F12" s="13"/>
      <c r="G12" s="1">
        <f>+_xlfn.XLOOKUP(I12,CODIGOS_Y_COSTOS[CODIGO],CODIGOS_Y_COSTOS[COSTO],0,0)</f>
        <v>0</v>
      </c>
      <c r="H12" s="1">
        <f t="shared" si="3"/>
        <v>0</v>
      </c>
      <c r="I12" t="str">
        <f t="shared" si="4"/>
        <v>-</v>
      </c>
      <c r="J12" s="49" t="s">
        <v>19416</v>
      </c>
      <c r="K12" s="34" t="s">
        <v>19417</v>
      </c>
      <c r="L12" s="48">
        <v>0</v>
      </c>
      <c r="M12" s="48">
        <v>15.135999999999999</v>
      </c>
      <c r="N12" s="56">
        <v>0</v>
      </c>
      <c r="O12" t="str">
        <f t="shared" si="5"/>
        <v>COBRE16x21x2</v>
      </c>
      <c r="P12" s="67" t="s">
        <v>19386</v>
      </c>
      <c r="Q12" t="s">
        <v>18971</v>
      </c>
      <c r="R12" t="s">
        <v>3408</v>
      </c>
      <c r="S12" s="64">
        <v>80.100000000000009</v>
      </c>
      <c r="T12" s="211">
        <f t="shared" si="0"/>
        <v>73.692000000000007</v>
      </c>
      <c r="U12" t="s">
        <v>19416</v>
      </c>
      <c r="V12" s="67" t="str">
        <f t="shared" si="6"/>
        <v>16.21.2</v>
      </c>
      <c r="X12" t="str">
        <f t="shared" si="7"/>
        <v>Arandelas 16x21x2</v>
      </c>
      <c r="Y12" s="64">
        <f t="shared" si="8"/>
        <v>64.044799999999995</v>
      </c>
      <c r="AA12" s="95">
        <f t="shared" si="9"/>
        <v>0.15063205755970843</v>
      </c>
      <c r="AC12">
        <v>4</v>
      </c>
    </row>
    <row r="13" spans="1:34" x14ac:dyDescent="0.2">
      <c r="A13" s="7" t="str">
        <f t="shared" si="1"/>
        <v>-</v>
      </c>
      <c r="B13" s="34"/>
      <c r="C13" s="34" t="str">
        <f t="shared" si="2"/>
        <v>-</v>
      </c>
      <c r="D13" s="15"/>
      <c r="F13" s="13"/>
      <c r="G13" s="1">
        <f>+_xlfn.XLOOKUP(I13,CODIGOS_Y_COSTOS[CODIGO],CODIGOS_Y_COSTOS[COSTO],0,0)</f>
        <v>0</v>
      </c>
      <c r="H13" s="1">
        <f t="shared" si="3"/>
        <v>0</v>
      </c>
      <c r="I13" t="str">
        <f t="shared" si="4"/>
        <v>-</v>
      </c>
      <c r="J13" s="49" t="s">
        <v>19419</v>
      </c>
      <c r="K13" s="34" t="s">
        <v>19420</v>
      </c>
      <c r="L13" s="48">
        <v>0</v>
      </c>
      <c r="M13" s="48">
        <v>16.015999999999998</v>
      </c>
      <c r="N13" s="56">
        <v>0</v>
      </c>
      <c r="O13" t="str">
        <f t="shared" si="5"/>
        <v>COBRE17x20x1,5</v>
      </c>
      <c r="P13" s="67" t="s">
        <v>19386</v>
      </c>
      <c r="Q13" t="s">
        <v>19421</v>
      </c>
      <c r="R13" t="s">
        <v>3412</v>
      </c>
      <c r="S13" s="64">
        <v>66.42</v>
      </c>
      <c r="T13" s="211">
        <f t="shared" si="0"/>
        <v>61.106400000000001</v>
      </c>
      <c r="U13" t="s">
        <v>19419</v>
      </c>
      <c r="V13" s="67" t="str">
        <f t="shared" si="6"/>
        <v>17.20.1,5</v>
      </c>
      <c r="X13" t="str">
        <f t="shared" si="7"/>
        <v>Arandelas 17x20x1,5</v>
      </c>
      <c r="Y13" s="64">
        <f t="shared" si="8"/>
        <v>53.363199999999999</v>
      </c>
      <c r="AA13" s="95">
        <f t="shared" si="9"/>
        <v>0.14510374190453357</v>
      </c>
      <c r="AC13">
        <v>4</v>
      </c>
    </row>
    <row r="14" spans="1:34" x14ac:dyDescent="0.2">
      <c r="A14" s="7" t="str">
        <f t="shared" si="1"/>
        <v>-</v>
      </c>
      <c r="B14" s="34"/>
      <c r="C14" s="34" t="str">
        <f t="shared" si="2"/>
        <v>-</v>
      </c>
      <c r="D14" s="15"/>
      <c r="F14" s="13"/>
      <c r="G14" s="1">
        <f>+_xlfn.XLOOKUP(I14,CODIGOS_Y_COSTOS[CODIGO],CODIGOS_Y_COSTOS[COSTO],0,0)</f>
        <v>0</v>
      </c>
      <c r="H14" s="1">
        <f t="shared" si="3"/>
        <v>0</v>
      </c>
      <c r="I14" t="str">
        <f t="shared" si="4"/>
        <v>-</v>
      </c>
      <c r="J14" s="49" t="s">
        <v>19422</v>
      </c>
      <c r="K14" s="34" t="s">
        <v>19423</v>
      </c>
      <c r="L14" s="48">
        <v>3.72</v>
      </c>
      <c r="M14" s="48">
        <v>16.904</v>
      </c>
      <c r="N14" s="56">
        <v>5.2249999999999996</v>
      </c>
      <c r="O14" t="str">
        <f t="shared" si="5"/>
        <v>COBRE6x10</v>
      </c>
      <c r="P14" s="67" t="s">
        <v>19386</v>
      </c>
      <c r="Q14" t="s">
        <v>3414</v>
      </c>
      <c r="R14" t="s">
        <v>3414</v>
      </c>
      <c r="S14" s="64">
        <v>17.71575</v>
      </c>
      <c r="T14" s="211">
        <f t="shared" si="0"/>
        <v>16.298490000000001</v>
      </c>
      <c r="U14" t="s">
        <v>19422</v>
      </c>
      <c r="V14" s="67" t="str">
        <f t="shared" si="6"/>
        <v>6.10</v>
      </c>
      <c r="X14" t="str">
        <f t="shared" si="7"/>
        <v>Arandelas 6x10</v>
      </c>
      <c r="Y14" s="64">
        <f t="shared" si="8"/>
        <v>12.1088</v>
      </c>
      <c r="AA14" s="95">
        <f t="shared" si="9"/>
        <v>0.34600373282241015</v>
      </c>
      <c r="AC14">
        <v>4</v>
      </c>
      <c r="AF14">
        <v>60</v>
      </c>
      <c r="AG14">
        <f>+AF14*1000</f>
        <v>60000</v>
      </c>
    </row>
    <row r="15" spans="1:34" x14ac:dyDescent="0.2">
      <c r="A15" s="7" t="str">
        <f t="shared" si="1"/>
        <v>-</v>
      </c>
      <c r="B15" s="34"/>
      <c r="C15" s="34" t="str">
        <f t="shared" si="2"/>
        <v>-</v>
      </c>
      <c r="D15" s="15"/>
      <c r="F15" s="1062"/>
      <c r="G15" s="1">
        <f>+_xlfn.XLOOKUP(I15,CODIGOS_Y_COSTOS[CODIGO],CODIGOS_Y_COSTOS[COSTO],0,0)</f>
        <v>0</v>
      </c>
      <c r="H15" s="1">
        <f t="shared" si="3"/>
        <v>0</v>
      </c>
      <c r="I15" t="str">
        <f t="shared" si="4"/>
        <v>-</v>
      </c>
      <c r="J15" s="49" t="s">
        <v>19424</v>
      </c>
      <c r="K15" s="34" t="s">
        <v>19425</v>
      </c>
      <c r="L15" s="48">
        <v>4.3600000000000003</v>
      </c>
      <c r="M15" s="48">
        <v>17.783999999999999</v>
      </c>
      <c r="N15" s="56">
        <v>6.2830000000000004</v>
      </c>
      <c r="O15" t="str">
        <f t="shared" si="5"/>
        <v>COBRE8x13</v>
      </c>
      <c r="P15" s="67" t="s">
        <v>19386</v>
      </c>
      <c r="Q15" t="s">
        <v>3417</v>
      </c>
      <c r="R15" t="s">
        <v>3417</v>
      </c>
      <c r="S15" s="64">
        <v>25.911209999999997</v>
      </c>
      <c r="T15" s="211">
        <f t="shared" si="0"/>
        <v>23.838313199999998</v>
      </c>
      <c r="U15" t="s">
        <v>19424</v>
      </c>
      <c r="V15" s="67" t="str">
        <f t="shared" si="6"/>
        <v>8.13</v>
      </c>
      <c r="X15" t="str">
        <f t="shared" si="7"/>
        <v>Arandelas 8x13</v>
      </c>
      <c r="Y15" s="64">
        <f t="shared" si="8"/>
        <v>15.648</v>
      </c>
      <c r="AA15" s="95">
        <f t="shared" si="9"/>
        <v>0.52340958588957043</v>
      </c>
      <c r="AC15">
        <v>4</v>
      </c>
      <c r="AF15">
        <v>120</v>
      </c>
      <c r="AG15">
        <f>+AF15*1000</f>
        <v>120000</v>
      </c>
    </row>
    <row r="16" spans="1:34" x14ac:dyDescent="0.2">
      <c r="A16" s="7" t="str">
        <f t="shared" si="1"/>
        <v>-</v>
      </c>
      <c r="B16" s="34"/>
      <c r="C16" s="34" t="str">
        <f t="shared" si="2"/>
        <v>-</v>
      </c>
      <c r="D16" s="15"/>
      <c r="F16" s="1062"/>
      <c r="G16" s="1">
        <f>+_xlfn.XLOOKUP(I16,CODIGOS_Y_COSTOS[CODIGO],CODIGOS_Y_COSTOS[COSTO],0,0)</f>
        <v>0</v>
      </c>
      <c r="H16" s="1">
        <f t="shared" si="3"/>
        <v>0</v>
      </c>
      <c r="I16" t="str">
        <f t="shared" ref="I16:I32" si="10">LEFT(B16,2)&amp;A16</f>
        <v>-</v>
      </c>
      <c r="J16" s="49" t="s">
        <v>19426</v>
      </c>
      <c r="K16" s="34" t="s">
        <v>19427</v>
      </c>
      <c r="L16" s="48">
        <v>5.6079999999999997</v>
      </c>
      <c r="M16" s="48">
        <v>22.24</v>
      </c>
      <c r="N16" s="56">
        <v>7.3159999999999998</v>
      </c>
      <c r="O16" t="str">
        <f t="shared" si="5"/>
        <v>COBRE9x14</v>
      </c>
      <c r="P16" s="67" t="s">
        <v>19386</v>
      </c>
      <c r="Q16" t="s">
        <v>3420</v>
      </c>
      <c r="R16" t="s">
        <v>3420</v>
      </c>
      <c r="S16" s="64">
        <v>39.529229999999998</v>
      </c>
      <c r="T16" s="211">
        <f t="shared" si="0"/>
        <v>36.366891600000002</v>
      </c>
      <c r="U16" t="s">
        <v>19426</v>
      </c>
      <c r="V16" s="67" t="str">
        <f t="shared" si="6"/>
        <v>9.14</v>
      </c>
      <c r="X16" t="str">
        <f t="shared" si="7"/>
        <v>Arandelas 9x14</v>
      </c>
      <c r="Y16" s="64">
        <f t="shared" si="8"/>
        <v>21.356800000000003</v>
      </c>
      <c r="AA16" s="95">
        <f t="shared" si="9"/>
        <v>0.70282493632004783</v>
      </c>
      <c r="AC16">
        <v>4</v>
      </c>
    </row>
    <row r="17" spans="1:29" x14ac:dyDescent="0.2">
      <c r="A17" s="7" t="str">
        <f t="shared" si="1"/>
        <v>-</v>
      </c>
      <c r="B17" s="34"/>
      <c r="C17" s="34" t="str">
        <f t="shared" si="2"/>
        <v>-</v>
      </c>
      <c r="D17" s="15"/>
      <c r="F17" s="1062"/>
      <c r="G17" s="1">
        <f>+_xlfn.XLOOKUP(I17,CODIGOS_Y_COSTOS[CODIGO],CODIGOS_Y_COSTOS[COSTO],0,0)</f>
        <v>0</v>
      </c>
      <c r="H17" s="1">
        <f t="shared" ref="H17:H32" si="11">+G17*D17</f>
        <v>0</v>
      </c>
      <c r="I17" t="str">
        <f t="shared" si="10"/>
        <v>-</v>
      </c>
      <c r="J17" s="49" t="s">
        <v>19428</v>
      </c>
      <c r="K17" s="34" t="s">
        <v>19429</v>
      </c>
      <c r="L17" s="48">
        <v>12.464</v>
      </c>
      <c r="M17" s="48">
        <v>66.703999999999994</v>
      </c>
      <c r="N17" s="56">
        <v>17.765999999999998</v>
      </c>
      <c r="O17" t="str">
        <f t="shared" si="5"/>
        <v>COBRE10x14</v>
      </c>
      <c r="P17" s="67" t="s">
        <v>19386</v>
      </c>
      <c r="Q17" t="s">
        <v>3423</v>
      </c>
      <c r="R17" t="s">
        <v>3423</v>
      </c>
      <c r="S17" s="64">
        <v>36.817949999999989</v>
      </c>
      <c r="T17" s="211">
        <f t="shared" si="0"/>
        <v>33.872513999999988</v>
      </c>
      <c r="U17" t="s">
        <v>19428</v>
      </c>
      <c r="V17" s="67" t="str">
        <f t="shared" si="6"/>
        <v>10.14</v>
      </c>
      <c r="X17" t="str">
        <f t="shared" si="7"/>
        <v>Arandelas 10x14</v>
      </c>
      <c r="Y17" s="64">
        <f t="shared" si="8"/>
        <v>21.356800000000003</v>
      </c>
      <c r="AA17" s="95">
        <f t="shared" si="9"/>
        <v>0.58602946134252232</v>
      </c>
      <c r="AC17">
        <v>4</v>
      </c>
    </row>
    <row r="18" spans="1:29" x14ac:dyDescent="0.2">
      <c r="A18" s="7" t="str">
        <f t="shared" si="1"/>
        <v>-</v>
      </c>
      <c r="B18" s="34"/>
      <c r="C18" s="34" t="str">
        <f t="shared" si="2"/>
        <v>-</v>
      </c>
      <c r="D18" s="15"/>
      <c r="F18" s="1065"/>
      <c r="G18" s="1">
        <f>+_xlfn.XLOOKUP(I18,CODIGOS_Y_COSTOS[CODIGO],CODIGOS_Y_COSTOS[COSTO],0,0)</f>
        <v>0</v>
      </c>
      <c r="H18" s="1">
        <f t="shared" si="11"/>
        <v>0</v>
      </c>
      <c r="I18" t="str">
        <f t="shared" si="10"/>
        <v>-</v>
      </c>
      <c r="J18" s="49" t="s">
        <v>19430</v>
      </c>
      <c r="K18" s="34" t="s">
        <v>19431</v>
      </c>
      <c r="L18" s="48">
        <v>2.7440000000000002</v>
      </c>
      <c r="M18" s="48">
        <v>0</v>
      </c>
      <c r="N18" s="56">
        <v>0</v>
      </c>
      <c r="O18" t="str">
        <f t="shared" si="5"/>
        <v>COBRE11x17</v>
      </c>
      <c r="P18" s="67" t="s">
        <v>19386</v>
      </c>
      <c r="Q18" t="s">
        <v>3426</v>
      </c>
      <c r="R18" t="s">
        <v>3426</v>
      </c>
      <c r="S18" s="64">
        <v>51.822419999999994</v>
      </c>
      <c r="T18" s="211">
        <f t="shared" si="0"/>
        <v>47.676626399999996</v>
      </c>
      <c r="U18" t="s">
        <v>19430</v>
      </c>
      <c r="V18" s="67" t="str">
        <f t="shared" si="6"/>
        <v>11.17</v>
      </c>
      <c r="X18" t="str">
        <f t="shared" si="7"/>
        <v>Arandelas 11x17</v>
      </c>
      <c r="Y18" s="64">
        <f t="shared" si="8"/>
        <v>32.032000000000004</v>
      </c>
      <c r="AA18" s="95">
        <f t="shared" si="9"/>
        <v>0.4884061688311685</v>
      </c>
      <c r="AC18">
        <v>4</v>
      </c>
    </row>
    <row r="19" spans="1:29" x14ac:dyDescent="0.2">
      <c r="A19" s="7" t="str">
        <f t="shared" si="1"/>
        <v>-</v>
      </c>
      <c r="B19" s="34"/>
      <c r="C19" s="34" t="str">
        <f t="shared" si="2"/>
        <v>-</v>
      </c>
      <c r="D19" s="15"/>
      <c r="F19" s="1065"/>
      <c r="G19" s="1">
        <f>+_xlfn.XLOOKUP(I19,CODIGOS_Y_COSTOS[CODIGO],CODIGOS_Y_COSTOS[COSTO],0,0)</f>
        <v>0</v>
      </c>
      <c r="H19" s="1">
        <f t="shared" si="11"/>
        <v>0</v>
      </c>
      <c r="I19" t="str">
        <f t="shared" si="10"/>
        <v>-</v>
      </c>
      <c r="J19" s="49" t="s">
        <v>19432</v>
      </c>
      <c r="K19" s="34" t="s">
        <v>19433</v>
      </c>
      <c r="L19" s="48">
        <v>3.1360000000000001</v>
      </c>
      <c r="M19" s="48">
        <v>12.472</v>
      </c>
      <c r="N19" s="56">
        <v>5.2249999999999996</v>
      </c>
      <c r="O19" t="str">
        <f t="shared" si="5"/>
        <v>COBRE12x17</v>
      </c>
      <c r="P19" s="67" t="s">
        <v>19386</v>
      </c>
      <c r="Q19" t="s">
        <v>3429</v>
      </c>
      <c r="R19" t="s">
        <v>3429</v>
      </c>
      <c r="S19" s="64">
        <v>51.822419999999994</v>
      </c>
      <c r="T19" s="211">
        <f t="shared" si="0"/>
        <v>47.676626399999996</v>
      </c>
      <c r="U19" t="s">
        <v>19432</v>
      </c>
      <c r="V19" s="67" t="str">
        <f t="shared" si="6"/>
        <v>12.17</v>
      </c>
      <c r="X19" t="str">
        <f t="shared" si="7"/>
        <v>Arandelas 12x17</v>
      </c>
      <c r="Y19" s="64">
        <f t="shared" si="8"/>
        <v>28.467200000000005</v>
      </c>
      <c r="AA19" s="95">
        <f t="shared" si="9"/>
        <v>0.6747915636241002</v>
      </c>
      <c r="AC19">
        <v>4</v>
      </c>
    </row>
    <row r="20" spans="1:29" x14ac:dyDescent="0.2">
      <c r="A20" s="7" t="str">
        <f t="shared" si="1"/>
        <v>-</v>
      </c>
      <c r="B20" s="34"/>
      <c r="C20" s="34" t="str">
        <f t="shared" si="2"/>
        <v>-</v>
      </c>
      <c r="D20" s="15"/>
      <c r="F20" s="1065"/>
      <c r="G20" s="1">
        <f>+_xlfn.XLOOKUP(I20,CODIGOS_Y_COSTOS[CODIGO],CODIGOS_Y_COSTOS[COSTO],0,0)</f>
        <v>0</v>
      </c>
      <c r="H20" s="1">
        <f t="shared" si="11"/>
        <v>0</v>
      </c>
      <c r="I20" t="str">
        <f t="shared" si="10"/>
        <v>-</v>
      </c>
      <c r="J20" s="49" t="s">
        <v>19434</v>
      </c>
      <c r="K20" s="34" t="s">
        <v>19435</v>
      </c>
      <c r="L20" s="48">
        <v>3.496</v>
      </c>
      <c r="M20" s="48">
        <v>14.224</v>
      </c>
      <c r="N20" s="56">
        <v>5.2249999999999996</v>
      </c>
      <c r="O20" t="str">
        <f t="shared" si="5"/>
        <v>COBRE13x20</v>
      </c>
      <c r="P20" s="67" t="s">
        <v>19386</v>
      </c>
      <c r="Q20" t="s">
        <v>3432</v>
      </c>
      <c r="R20" t="s">
        <v>3432</v>
      </c>
      <c r="S20" s="64">
        <v>68.18253</v>
      </c>
      <c r="T20" s="211">
        <f t="shared" si="0"/>
        <v>62.727927600000001</v>
      </c>
      <c r="U20" t="s">
        <v>19434</v>
      </c>
      <c r="V20" s="67" t="str">
        <f t="shared" si="6"/>
        <v>13.20</v>
      </c>
      <c r="X20" t="str">
        <f t="shared" si="7"/>
        <v>Arandelas 13x20</v>
      </c>
      <c r="Y20" s="64">
        <f t="shared" si="8"/>
        <v>40.576000000000001</v>
      </c>
      <c r="AA20" s="95">
        <f t="shared" si="9"/>
        <v>0.54593670149842266</v>
      </c>
      <c r="AC20">
        <v>4</v>
      </c>
    </row>
    <row r="21" spans="1:29" x14ac:dyDescent="0.2">
      <c r="A21" s="7" t="str">
        <f t="shared" si="1"/>
        <v>-</v>
      </c>
      <c r="B21" s="34"/>
      <c r="C21" s="34" t="str">
        <f t="shared" si="2"/>
        <v>-</v>
      </c>
      <c r="D21" s="15"/>
      <c r="F21" s="1065"/>
      <c r="G21" s="1">
        <f>+_xlfn.XLOOKUP(I21,CODIGOS_Y_COSTOS[CODIGO],CODIGOS_Y_COSTOS[COSTO],0,0)</f>
        <v>0</v>
      </c>
      <c r="H21" s="1">
        <f t="shared" si="11"/>
        <v>0</v>
      </c>
      <c r="I21" t="str">
        <f t="shared" si="10"/>
        <v>-</v>
      </c>
      <c r="J21" s="49" t="s">
        <v>19436</v>
      </c>
      <c r="K21" s="34" t="s">
        <v>19437</v>
      </c>
      <c r="L21" s="48">
        <v>3.64</v>
      </c>
      <c r="M21" s="48">
        <v>16.015999999999998</v>
      </c>
      <c r="N21" s="56">
        <v>5.2249999999999996</v>
      </c>
      <c r="O21" t="str">
        <f t="shared" si="5"/>
        <v>COBRE14x20</v>
      </c>
      <c r="P21" s="67" t="s">
        <v>19386</v>
      </c>
      <c r="Q21" t="s">
        <v>3435</v>
      </c>
      <c r="R21" t="s">
        <v>3435</v>
      </c>
      <c r="S21" s="64">
        <v>68.18253</v>
      </c>
      <c r="T21" s="211">
        <f t="shared" si="0"/>
        <v>62.727927600000001</v>
      </c>
      <c r="U21" t="s">
        <v>19436</v>
      </c>
      <c r="V21" s="67" t="str">
        <f t="shared" si="6"/>
        <v>14.20</v>
      </c>
      <c r="X21" t="str">
        <f t="shared" si="7"/>
        <v>Arandelas 14x20</v>
      </c>
      <c r="Y21" s="64">
        <f t="shared" si="8"/>
        <v>39.123200000000004</v>
      </c>
      <c r="AA21" s="95">
        <f t="shared" si="9"/>
        <v>0.60334347906101726</v>
      </c>
      <c r="AC21">
        <v>4</v>
      </c>
    </row>
    <row r="22" spans="1:29" x14ac:dyDescent="0.2">
      <c r="A22" s="7" t="str">
        <f t="shared" si="1"/>
        <v>-</v>
      </c>
      <c r="B22" s="34"/>
      <c r="C22" s="34" t="str">
        <f t="shared" si="2"/>
        <v>-</v>
      </c>
      <c r="D22" s="15"/>
      <c r="F22" s="1065"/>
      <c r="G22" s="1">
        <f>+_xlfn.XLOOKUP(I22,CODIGOS_Y_COSTOS[CODIGO],CODIGOS_Y_COSTOS[COSTO],0,0)</f>
        <v>0</v>
      </c>
      <c r="H22" s="1">
        <f t="shared" si="11"/>
        <v>0</v>
      </c>
      <c r="I22" t="str">
        <f t="shared" si="10"/>
        <v>-</v>
      </c>
      <c r="J22" s="49" t="s">
        <v>19438</v>
      </c>
      <c r="K22" s="34" t="s">
        <v>19439</v>
      </c>
      <c r="L22" s="48">
        <v>3.72</v>
      </c>
      <c r="M22" s="48">
        <v>16.904</v>
      </c>
      <c r="N22" s="56">
        <v>5.2249999999999996</v>
      </c>
      <c r="O22" t="str">
        <f t="shared" si="5"/>
        <v>COBRE15x21</v>
      </c>
      <c r="P22" s="67" t="s">
        <v>19386</v>
      </c>
      <c r="Q22" t="s">
        <v>3438</v>
      </c>
      <c r="R22" t="s">
        <v>3438</v>
      </c>
      <c r="S22" s="64">
        <v>72.249449999999982</v>
      </c>
      <c r="T22" s="211">
        <f t="shared" si="0"/>
        <v>66.469493999999983</v>
      </c>
      <c r="U22" t="s">
        <v>19438</v>
      </c>
      <c r="V22" s="67" t="str">
        <f t="shared" si="6"/>
        <v>15.21</v>
      </c>
      <c r="X22" t="str">
        <f t="shared" si="7"/>
        <v>Arandelas 15x21</v>
      </c>
      <c r="Y22" s="64">
        <f t="shared" si="8"/>
        <v>46.2592</v>
      </c>
      <c r="AA22" s="95">
        <f t="shared" si="9"/>
        <v>0.43689242356115066</v>
      </c>
      <c r="AC22">
        <v>4</v>
      </c>
    </row>
    <row r="23" spans="1:29" x14ac:dyDescent="0.2">
      <c r="A23" s="7" t="str">
        <f t="shared" si="1"/>
        <v>-</v>
      </c>
      <c r="B23" s="34"/>
      <c r="C23" s="34" t="str">
        <f t="shared" si="2"/>
        <v>-</v>
      </c>
      <c r="D23" s="15"/>
      <c r="F23" s="1065"/>
      <c r="G23" s="1">
        <f>+_xlfn.XLOOKUP(I23,CODIGOS_Y_COSTOS[CODIGO],CODIGOS_Y_COSTOS[COSTO],0,0)</f>
        <v>0</v>
      </c>
      <c r="H23" s="1">
        <f t="shared" si="11"/>
        <v>0</v>
      </c>
      <c r="I23" t="str">
        <f t="shared" si="10"/>
        <v>-</v>
      </c>
      <c r="J23" s="49" t="s">
        <v>19440</v>
      </c>
      <c r="K23" s="34" t="s">
        <v>19441</v>
      </c>
      <c r="L23" s="48">
        <v>3.72</v>
      </c>
      <c r="M23" s="48">
        <v>16.015999999999998</v>
      </c>
      <c r="N23" s="56">
        <v>5.2249999999999996</v>
      </c>
      <c r="O23" t="str">
        <f t="shared" si="5"/>
        <v>COBRE16x21</v>
      </c>
      <c r="P23" s="67" t="s">
        <v>19386</v>
      </c>
      <c r="Q23" t="s">
        <v>3441</v>
      </c>
      <c r="R23" t="s">
        <v>3441</v>
      </c>
      <c r="S23" s="64">
        <v>72.249449999999982</v>
      </c>
      <c r="T23" s="211">
        <f t="shared" si="0"/>
        <v>66.469493999999983</v>
      </c>
      <c r="U23" t="s">
        <v>19440</v>
      </c>
      <c r="V23" s="67" t="str">
        <f t="shared" si="6"/>
        <v>16.21</v>
      </c>
      <c r="X23" t="str">
        <f t="shared" si="7"/>
        <v>Arandelas 16x21</v>
      </c>
      <c r="Y23" s="64">
        <f t="shared" si="8"/>
        <v>42.694400000000002</v>
      </c>
      <c r="AA23" s="95">
        <f t="shared" si="9"/>
        <v>0.55686680220356721</v>
      </c>
      <c r="AC23">
        <v>4</v>
      </c>
    </row>
    <row r="24" spans="1:29" x14ac:dyDescent="0.2">
      <c r="A24" s="7" t="str">
        <f t="shared" si="1"/>
        <v>-</v>
      </c>
      <c r="B24" s="34"/>
      <c r="C24" s="34" t="str">
        <f t="shared" si="2"/>
        <v>-</v>
      </c>
      <c r="D24" s="15"/>
      <c r="F24" s="1065"/>
      <c r="G24" s="1">
        <f>+_xlfn.XLOOKUP(I24,CODIGOS_Y_COSTOS[CODIGO],CODIGOS_Y_COSTOS[COSTO],0,0)</f>
        <v>0</v>
      </c>
      <c r="H24" s="1">
        <f t="shared" si="11"/>
        <v>0</v>
      </c>
      <c r="I24" t="str">
        <f t="shared" si="10"/>
        <v>-</v>
      </c>
      <c r="J24" s="49" t="s">
        <v>19442</v>
      </c>
      <c r="K24" s="34" t="s">
        <v>19443</v>
      </c>
      <c r="L24" s="48">
        <v>3.72</v>
      </c>
      <c r="M24" s="48">
        <v>0</v>
      </c>
      <c r="N24" s="56">
        <v>0</v>
      </c>
      <c r="O24" t="str">
        <f t="shared" si="5"/>
        <v>COBRE17x22</v>
      </c>
      <c r="P24" s="67" t="s">
        <v>19386</v>
      </c>
      <c r="Q24" t="s">
        <v>3444</v>
      </c>
      <c r="R24" t="s">
        <v>3444</v>
      </c>
      <c r="S24" s="64">
        <v>91.351649999999978</v>
      </c>
      <c r="T24" s="211">
        <f t="shared" si="0"/>
        <v>84.043517999999978</v>
      </c>
      <c r="U24" t="s">
        <v>19442</v>
      </c>
      <c r="V24" s="67" t="str">
        <f t="shared" si="6"/>
        <v>17.22</v>
      </c>
      <c r="X24" t="str">
        <f t="shared" si="7"/>
        <v>Arandelas 17x22</v>
      </c>
      <c r="Y24" s="64">
        <f t="shared" si="8"/>
        <v>49.8048</v>
      </c>
      <c r="AA24" s="95">
        <f t="shared" si="9"/>
        <v>0.68745819680030795</v>
      </c>
      <c r="AC24">
        <v>4</v>
      </c>
    </row>
    <row r="25" spans="1:29" x14ac:dyDescent="0.2">
      <c r="A25" s="7" t="str">
        <f t="shared" si="1"/>
        <v>-</v>
      </c>
      <c r="B25" s="34"/>
      <c r="C25" s="34" t="str">
        <f t="shared" si="2"/>
        <v>-</v>
      </c>
      <c r="D25" s="15"/>
      <c r="F25" s="1065"/>
      <c r="G25" s="1">
        <f>+_xlfn.XLOOKUP(I25,CODIGOS_Y_COSTOS[CODIGO],CODIGOS_Y_COSTOS[COSTO],0,0)</f>
        <v>0</v>
      </c>
      <c r="H25" s="1">
        <f t="shared" si="11"/>
        <v>0</v>
      </c>
      <c r="I25" t="str">
        <f t="shared" si="10"/>
        <v>-</v>
      </c>
      <c r="J25" s="49" t="s">
        <v>19444</v>
      </c>
      <c r="K25" s="34" t="s">
        <v>19445</v>
      </c>
      <c r="L25" s="48">
        <v>0</v>
      </c>
      <c r="M25" s="48">
        <v>15.135999999999999</v>
      </c>
      <c r="N25" s="56">
        <v>0</v>
      </c>
      <c r="O25" t="str">
        <f t="shared" si="5"/>
        <v>COBRE18x23</v>
      </c>
      <c r="P25" s="67" t="s">
        <v>19386</v>
      </c>
      <c r="Q25" t="s">
        <v>3447</v>
      </c>
      <c r="R25" t="s">
        <v>3447</v>
      </c>
      <c r="S25" s="64">
        <v>91.351649999999978</v>
      </c>
      <c r="T25" s="211">
        <f t="shared" si="0"/>
        <v>84.043517999999978</v>
      </c>
      <c r="U25" t="s">
        <v>19444</v>
      </c>
      <c r="V25" s="67" t="str">
        <f t="shared" si="6"/>
        <v>18.23</v>
      </c>
      <c r="X25" t="str">
        <f t="shared" si="7"/>
        <v>Arandelas 18x23</v>
      </c>
      <c r="Y25" s="64">
        <f t="shared" si="8"/>
        <v>49.8048</v>
      </c>
      <c r="AA25" s="95">
        <f t="shared" si="9"/>
        <v>0.68745819680030795</v>
      </c>
      <c r="AC25">
        <v>4</v>
      </c>
    </row>
    <row r="26" spans="1:29" x14ac:dyDescent="0.2">
      <c r="A26" s="7" t="str">
        <f t="shared" si="1"/>
        <v>-</v>
      </c>
      <c r="B26" s="34"/>
      <c r="C26" s="34" t="str">
        <f t="shared" si="2"/>
        <v>-</v>
      </c>
      <c r="D26" s="15"/>
      <c r="F26" s="1065"/>
      <c r="G26" s="1">
        <f>+_xlfn.XLOOKUP(I26,CODIGOS_Y_COSTOS[CODIGO],CODIGOS_Y_COSTOS[COSTO],0,0)</f>
        <v>0</v>
      </c>
      <c r="H26" s="1">
        <f t="shared" si="11"/>
        <v>0</v>
      </c>
      <c r="I26" t="str">
        <f t="shared" si="10"/>
        <v>-</v>
      </c>
      <c r="J26" s="49" t="s">
        <v>19446</v>
      </c>
      <c r="K26" s="34" t="s">
        <v>19447</v>
      </c>
      <c r="L26" s="48">
        <v>4.3600000000000003</v>
      </c>
      <c r="M26" s="48">
        <v>0</v>
      </c>
      <c r="N26" s="56">
        <v>0</v>
      </c>
      <c r="O26" t="str">
        <f t="shared" si="5"/>
        <v>COBRE19x24</v>
      </c>
      <c r="P26" s="67" t="s">
        <v>19386</v>
      </c>
      <c r="Q26" t="s">
        <v>3450</v>
      </c>
      <c r="R26" t="s">
        <v>3450</v>
      </c>
      <c r="S26" s="64">
        <v>99.516299999999987</v>
      </c>
      <c r="T26" s="211">
        <f t="shared" si="0"/>
        <v>91.554995999999988</v>
      </c>
      <c r="U26" t="s">
        <v>19446</v>
      </c>
      <c r="V26" s="67" t="str">
        <f t="shared" si="6"/>
        <v>19.24</v>
      </c>
      <c r="X26" t="str">
        <f t="shared" si="7"/>
        <v>Arandelas 19x24</v>
      </c>
      <c r="Y26" s="64">
        <f t="shared" si="8"/>
        <v>58.342399999999998</v>
      </c>
      <c r="AA26" s="95">
        <f t="shared" si="9"/>
        <v>0.56927030770074571</v>
      </c>
      <c r="AC26">
        <v>4</v>
      </c>
    </row>
    <row r="27" spans="1:29" x14ac:dyDescent="0.2">
      <c r="A27" s="7" t="str">
        <f t="shared" si="1"/>
        <v>-</v>
      </c>
      <c r="B27" s="34"/>
      <c r="C27" s="34" t="str">
        <f t="shared" si="2"/>
        <v>-</v>
      </c>
      <c r="D27" s="15"/>
      <c r="G27" s="1">
        <f>+_xlfn.XLOOKUP(I27,CODIGOS_Y_COSTOS[CODIGO],CODIGOS_Y_COSTOS[COSTO],0,0)</f>
        <v>0</v>
      </c>
      <c r="H27" s="1">
        <f t="shared" si="11"/>
        <v>0</v>
      </c>
      <c r="I27" t="str">
        <f t="shared" si="10"/>
        <v>-</v>
      </c>
      <c r="J27" s="49" t="s">
        <v>19448</v>
      </c>
      <c r="K27" s="34" t="s">
        <v>19449</v>
      </c>
      <c r="L27" s="48">
        <v>4.3600000000000003</v>
      </c>
      <c r="M27" s="48">
        <v>18.68</v>
      </c>
      <c r="N27" s="56">
        <v>6.2830000000000004</v>
      </c>
      <c r="O27" t="str">
        <f t="shared" si="5"/>
        <v>COBRE20x26</v>
      </c>
      <c r="P27" s="67" t="s">
        <v>19386</v>
      </c>
      <c r="Q27" t="s">
        <v>3453</v>
      </c>
      <c r="R27" t="s">
        <v>3453</v>
      </c>
      <c r="S27" s="64">
        <v>103.61403</v>
      </c>
      <c r="T27" s="211">
        <f t="shared" si="0"/>
        <v>95.324907600000003</v>
      </c>
      <c r="U27" t="s">
        <v>19448</v>
      </c>
      <c r="V27" s="67" t="str">
        <f t="shared" si="6"/>
        <v>20.26</v>
      </c>
      <c r="X27" t="str">
        <f t="shared" si="7"/>
        <v>Arandelas 20x26</v>
      </c>
      <c r="Y27" s="64">
        <f t="shared" si="8"/>
        <v>64.044799999999995</v>
      </c>
      <c r="AA27" s="95">
        <f t="shared" si="9"/>
        <v>0.48840979439392451</v>
      </c>
      <c r="AC27">
        <v>4</v>
      </c>
    </row>
    <row r="28" spans="1:29" x14ac:dyDescent="0.2">
      <c r="A28" s="7" t="str">
        <f t="shared" si="1"/>
        <v>-</v>
      </c>
      <c r="B28" s="34"/>
      <c r="C28" s="34" t="str">
        <f t="shared" si="2"/>
        <v>-</v>
      </c>
      <c r="D28" s="15"/>
      <c r="G28" s="1">
        <f>+_xlfn.XLOOKUP(I28,CODIGOS_Y_COSTOS[CODIGO],CODIGOS_Y_COSTOS[COSTO],0,0)</f>
        <v>0</v>
      </c>
      <c r="H28" s="1">
        <f t="shared" si="11"/>
        <v>0</v>
      </c>
      <c r="I28" t="str">
        <f t="shared" si="10"/>
        <v>-</v>
      </c>
      <c r="J28" s="49" t="s">
        <v>19450</v>
      </c>
      <c r="K28" s="34" t="s">
        <v>19451</v>
      </c>
      <c r="L28" s="48">
        <v>4.3600000000000003</v>
      </c>
      <c r="M28" s="48">
        <v>21.344000000000001</v>
      </c>
      <c r="N28" s="56">
        <v>6.2830000000000004</v>
      </c>
      <c r="O28" t="str">
        <f t="shared" si="5"/>
        <v>COBRE21x26</v>
      </c>
      <c r="P28" s="67" t="s">
        <v>19386</v>
      </c>
      <c r="Q28" t="s">
        <v>3456</v>
      </c>
      <c r="R28" t="s">
        <v>3456</v>
      </c>
      <c r="S28" s="64">
        <v>103.61403</v>
      </c>
      <c r="T28" s="211">
        <f t="shared" si="0"/>
        <v>95.324907600000003</v>
      </c>
      <c r="U28" t="s">
        <v>19450</v>
      </c>
      <c r="V28" s="67" t="str">
        <f t="shared" si="6"/>
        <v>21.26</v>
      </c>
      <c r="X28" t="str">
        <f t="shared" si="7"/>
        <v>Arandelas 21x26</v>
      </c>
      <c r="Y28" s="64">
        <f t="shared" si="8"/>
        <v>71.129600000000011</v>
      </c>
      <c r="AA28" s="95">
        <f t="shared" si="9"/>
        <v>0.34015807202627291</v>
      </c>
      <c r="AC28">
        <v>4</v>
      </c>
    </row>
    <row r="29" spans="1:29" x14ac:dyDescent="0.2">
      <c r="A29" s="7" t="str">
        <f t="shared" si="1"/>
        <v>-</v>
      </c>
      <c r="B29" s="34"/>
      <c r="C29" s="34" t="str">
        <f t="shared" si="2"/>
        <v>-</v>
      </c>
      <c r="D29" s="15"/>
      <c r="G29" s="1">
        <f>+_xlfn.XLOOKUP(I29,CODIGOS_Y_COSTOS[CODIGO],CODIGOS_Y_COSTOS[COSTO],0,0)</f>
        <v>0</v>
      </c>
      <c r="H29" s="1">
        <f t="shared" si="11"/>
        <v>0</v>
      </c>
      <c r="I29" t="str">
        <f t="shared" si="10"/>
        <v>-</v>
      </c>
      <c r="J29" s="49" t="s">
        <v>19452</v>
      </c>
      <c r="K29" s="34" t="s">
        <v>19453</v>
      </c>
      <c r="L29" s="48">
        <v>5.6079999999999997</v>
      </c>
      <c r="M29" s="48">
        <v>24.888000000000002</v>
      </c>
      <c r="N29" s="56">
        <v>8.3829999999999991</v>
      </c>
      <c r="O29" t="str">
        <f t="shared" si="5"/>
        <v>COBRE22x28</v>
      </c>
      <c r="P29" s="67" t="s">
        <v>19386</v>
      </c>
      <c r="Q29" t="s">
        <v>3459</v>
      </c>
      <c r="R29" t="s">
        <v>3459</v>
      </c>
      <c r="S29" s="64">
        <v>124.07186999999999</v>
      </c>
      <c r="T29" s="211">
        <f t="shared" si="0"/>
        <v>114.1461204</v>
      </c>
      <c r="U29" t="s">
        <v>19452</v>
      </c>
      <c r="V29" s="67" t="str">
        <f t="shared" si="6"/>
        <v>22.28</v>
      </c>
      <c r="X29" t="str">
        <f t="shared" si="7"/>
        <v>Arandelas 22x28</v>
      </c>
      <c r="Y29" s="64">
        <f t="shared" si="8"/>
        <v>78.265600000000006</v>
      </c>
      <c r="AA29" s="95">
        <f t="shared" si="9"/>
        <v>0.45844560573227566</v>
      </c>
      <c r="AC29">
        <v>4</v>
      </c>
    </row>
    <row r="30" spans="1:29" x14ac:dyDescent="0.2">
      <c r="A30" s="7" t="str">
        <f t="shared" si="1"/>
        <v>-</v>
      </c>
      <c r="B30" s="34"/>
      <c r="C30" s="34" t="str">
        <f t="shared" si="2"/>
        <v>-</v>
      </c>
      <c r="D30" s="15"/>
      <c r="G30" s="1">
        <f>+_xlfn.XLOOKUP(I30,CODIGOS_Y_COSTOS[CODIGO],CODIGOS_Y_COSTOS[COSTO],0,0)</f>
        <v>0</v>
      </c>
      <c r="H30" s="1">
        <f t="shared" si="11"/>
        <v>0</v>
      </c>
      <c r="I30" t="str">
        <f t="shared" si="10"/>
        <v>-</v>
      </c>
      <c r="J30" s="49" t="s">
        <v>19454</v>
      </c>
      <c r="K30" s="34" t="s">
        <v>19455</v>
      </c>
      <c r="L30" s="48">
        <v>0</v>
      </c>
      <c r="M30" s="48">
        <v>23.568000000000001</v>
      </c>
      <c r="N30" s="56">
        <v>0</v>
      </c>
      <c r="O30" t="str">
        <f t="shared" si="5"/>
        <v>COBRE24x32</v>
      </c>
      <c r="P30" s="67" t="s">
        <v>19386</v>
      </c>
      <c r="Q30" t="s">
        <v>3462</v>
      </c>
      <c r="R30" t="s">
        <v>3462</v>
      </c>
      <c r="S30" s="64">
        <v>125</v>
      </c>
      <c r="T30" s="211">
        <f t="shared" si="0"/>
        <v>115</v>
      </c>
      <c r="U30" t="s">
        <v>19454</v>
      </c>
      <c r="V30" s="67" t="str">
        <f t="shared" si="6"/>
        <v>24.32</v>
      </c>
      <c r="X30" t="str">
        <f t="shared" si="7"/>
        <v>Arandelas 24x32</v>
      </c>
      <c r="Y30" s="64">
        <f t="shared" si="8"/>
        <v>99.596800000000002</v>
      </c>
      <c r="AA30" s="95">
        <f t="shared" si="9"/>
        <v>0.15465557126333374</v>
      </c>
      <c r="AC30">
        <v>4</v>
      </c>
    </row>
    <row r="31" spans="1:29" x14ac:dyDescent="0.2">
      <c r="A31" s="7" t="str">
        <f t="shared" si="1"/>
        <v>-</v>
      </c>
      <c r="B31" s="34"/>
      <c r="C31" s="34" t="str">
        <f t="shared" si="2"/>
        <v>-</v>
      </c>
      <c r="D31" s="15"/>
      <c r="G31" s="1">
        <f>+_xlfn.XLOOKUP(I31,CODIGOS_Y_COSTOS[CODIGO],CODIGOS_Y_COSTOS[COSTO],0,0)</f>
        <v>0</v>
      </c>
      <c r="H31" s="1">
        <f t="shared" si="11"/>
        <v>0</v>
      </c>
      <c r="I31" t="str">
        <f t="shared" si="10"/>
        <v>-</v>
      </c>
      <c r="J31" s="49" t="s">
        <v>19456</v>
      </c>
      <c r="K31" s="34" t="s">
        <v>19457</v>
      </c>
      <c r="L31" s="48">
        <v>4.6159999999999997</v>
      </c>
      <c r="M31" s="48">
        <v>0</v>
      </c>
      <c r="N31" s="56">
        <v>0</v>
      </c>
      <c r="O31" t="str">
        <f t="shared" si="5"/>
        <v>COBRE26x34</v>
      </c>
      <c r="P31" s="67" t="s">
        <v>19386</v>
      </c>
      <c r="Q31" t="s">
        <v>3465</v>
      </c>
      <c r="R31" t="s">
        <v>3465</v>
      </c>
      <c r="S31" s="64">
        <v>128</v>
      </c>
      <c r="T31" s="211">
        <f t="shared" si="0"/>
        <v>117.76</v>
      </c>
      <c r="U31" t="s">
        <v>19456</v>
      </c>
      <c r="V31" s="67" t="str">
        <f t="shared" si="6"/>
        <v>26.34</v>
      </c>
      <c r="X31" t="str">
        <f t="shared" si="7"/>
        <v>Arandelas 26x34</v>
      </c>
      <c r="Y31" s="64">
        <f t="shared" si="8"/>
        <v>106.72000000000001</v>
      </c>
      <c r="AA31" s="95">
        <f t="shared" si="9"/>
        <v>0.10344827586206895</v>
      </c>
      <c r="AC31">
        <v>4</v>
      </c>
    </row>
    <row r="32" spans="1:29" ht="13.5" thickBot="1" x14ac:dyDescent="0.25">
      <c r="A32" s="7" t="str">
        <f t="shared" si="1"/>
        <v>-</v>
      </c>
      <c r="B32" s="34"/>
      <c r="C32" s="34" t="str">
        <f t="shared" si="2"/>
        <v>-</v>
      </c>
      <c r="D32" s="16"/>
      <c r="G32" s="1">
        <f>+_xlfn.XLOOKUP(I32,CODIGOS_Y_COSTOS[CODIGO],CODIGOS_Y_COSTOS[COSTO],0,0)</f>
        <v>0</v>
      </c>
      <c r="H32" s="1">
        <f t="shared" si="11"/>
        <v>0</v>
      </c>
      <c r="I32" t="str">
        <f t="shared" si="10"/>
        <v>-</v>
      </c>
      <c r="J32" s="49" t="s">
        <v>19458</v>
      </c>
      <c r="K32" s="34" t="s">
        <v>19459</v>
      </c>
      <c r="L32" s="48">
        <v>6.8559999999999999</v>
      </c>
      <c r="M32" s="48">
        <v>31.135999999999999</v>
      </c>
      <c r="N32" s="56">
        <v>10.45</v>
      </c>
      <c r="O32" t="str">
        <f t="shared" si="5"/>
        <v>ALUMINIO1/8  3,5x8</v>
      </c>
      <c r="P32" s="67" t="s">
        <v>19394</v>
      </c>
      <c r="Q32" t="s">
        <v>19460</v>
      </c>
      <c r="R32" s="169" t="s">
        <v>19461</v>
      </c>
      <c r="S32" s="64">
        <v>8.7808499999999992</v>
      </c>
      <c r="T32" s="211">
        <f t="shared" si="0"/>
        <v>8.0783819999999995</v>
      </c>
      <c r="U32" t="s">
        <v>19458</v>
      </c>
      <c r="V32" s="67" t="str">
        <f>+INDEX($J$1:$J$464,MATCH("*"&amp;R32&amp;"*",$K$1:$K$464,0),1)</f>
        <v>3,5.8</v>
      </c>
      <c r="X32" t="str">
        <f t="shared" si="7"/>
        <v>Arandelas 3,5x8 1/8</v>
      </c>
      <c r="Y32" s="64">
        <f t="shared" si="8"/>
        <v>2.7968000000000002</v>
      </c>
      <c r="AA32" s="95">
        <f t="shared" si="9"/>
        <v>1.8884374999999998</v>
      </c>
      <c r="AC32">
        <v>3</v>
      </c>
    </row>
    <row r="33" spans="4:29" x14ac:dyDescent="0.2">
      <c r="J33" s="49" t="s">
        <v>19462</v>
      </c>
      <c r="K33" s="34" t="s">
        <v>19463</v>
      </c>
      <c r="L33" s="48">
        <v>7.48</v>
      </c>
      <c r="M33" s="48">
        <v>37.36</v>
      </c>
      <c r="N33" s="56">
        <v>11.5</v>
      </c>
      <c r="O33" t="str">
        <f t="shared" si="5"/>
        <v>ALUMINIO5/32 4x10</v>
      </c>
      <c r="P33" s="67" t="s">
        <v>19394</v>
      </c>
      <c r="Q33" t="s">
        <v>3472</v>
      </c>
      <c r="R33" s="169" t="s">
        <v>19464</v>
      </c>
      <c r="S33" s="64">
        <v>9.8283899999999988</v>
      </c>
      <c r="T33" s="211">
        <f t="shared" si="0"/>
        <v>9.042118799999999</v>
      </c>
      <c r="U33" t="s">
        <v>19462</v>
      </c>
      <c r="V33" s="67" t="str">
        <f t="shared" ref="V33:V38" si="12">+INDEX($J$1:$J$464,MATCH("*"&amp;R33&amp;"*",$K$1:$K$464,0),1)</f>
        <v>4.10</v>
      </c>
      <c r="X33" t="str">
        <f t="shared" si="7"/>
        <v>Arandelas 4x10 5/32</v>
      </c>
      <c r="Y33" s="64">
        <f t="shared" si="8"/>
        <v>2.9760000000000004</v>
      </c>
      <c r="AA33" s="95">
        <f t="shared" si="9"/>
        <v>2.0383463709677412</v>
      </c>
      <c r="AC33">
        <v>3</v>
      </c>
    </row>
    <row r="34" spans="4:29" x14ac:dyDescent="0.2">
      <c r="J34" s="49" t="s">
        <v>19465</v>
      </c>
      <c r="K34" s="34" t="s">
        <v>19466</v>
      </c>
      <c r="L34" s="48">
        <v>8.1039999999999992</v>
      </c>
      <c r="M34" s="48">
        <v>40.04</v>
      </c>
      <c r="N34" s="56">
        <v>12.138</v>
      </c>
      <c r="O34" t="str">
        <f t="shared" si="5"/>
        <v>ALUMINIO3/16  5x12</v>
      </c>
      <c r="P34" s="67" t="s">
        <v>19394</v>
      </c>
      <c r="Q34" t="s">
        <v>3475</v>
      </c>
      <c r="R34" s="169" t="s">
        <v>19467</v>
      </c>
      <c r="S34" s="64">
        <v>11.245649999999998</v>
      </c>
      <c r="T34" s="211">
        <f t="shared" si="0"/>
        <v>10.345997999999998</v>
      </c>
      <c r="U34" t="s">
        <v>19465</v>
      </c>
      <c r="V34" s="67" t="str">
        <f t="shared" si="12"/>
        <v>5.12</v>
      </c>
      <c r="X34" t="str">
        <f t="shared" si="7"/>
        <v>Arandelas 5x12</v>
      </c>
      <c r="Y34" s="64">
        <f t="shared" si="8"/>
        <v>3.4880000000000004</v>
      </c>
      <c r="AA34" s="95">
        <f t="shared" si="9"/>
        <v>1.9661691513761457</v>
      </c>
      <c r="AC34">
        <v>3</v>
      </c>
    </row>
    <row r="35" spans="4:29" x14ac:dyDescent="0.2">
      <c r="D35">
        <v>101</v>
      </c>
      <c r="F35" t="s">
        <v>19397</v>
      </c>
      <c r="J35" s="49" t="s">
        <v>19468</v>
      </c>
      <c r="K35" s="34" t="s">
        <v>19469</v>
      </c>
      <c r="L35" s="48">
        <v>108</v>
      </c>
      <c r="M35" s="48">
        <v>0</v>
      </c>
      <c r="N35" s="56">
        <v>0</v>
      </c>
      <c r="O35" t="str">
        <f t="shared" si="5"/>
        <v>ALUMINIO1/4  6,5x14</v>
      </c>
      <c r="P35" s="67" t="s">
        <v>19394</v>
      </c>
      <c r="Q35" t="s">
        <v>3478</v>
      </c>
      <c r="R35" s="169" t="s">
        <v>18168</v>
      </c>
      <c r="S35" s="64">
        <v>12.046709999999999</v>
      </c>
      <c r="T35" s="211">
        <f t="shared" si="0"/>
        <v>11.0829732</v>
      </c>
      <c r="U35" t="s">
        <v>19468</v>
      </c>
      <c r="V35" s="67" t="str">
        <f t="shared" si="12"/>
        <v>6,5.13</v>
      </c>
      <c r="X35" t="str">
        <f t="shared" si="7"/>
        <v>Arandelas 6,5x13 1/4</v>
      </c>
      <c r="Y35" s="64">
        <f t="shared" si="8"/>
        <v>4.3776000000000002</v>
      </c>
      <c r="AA35" s="95">
        <f t="shared" si="9"/>
        <v>1.5317464364035085</v>
      </c>
      <c r="AC35">
        <v>3</v>
      </c>
    </row>
    <row r="36" spans="4:29" x14ac:dyDescent="0.2">
      <c r="D36">
        <v>102</v>
      </c>
      <c r="F36" t="s">
        <v>19400</v>
      </c>
      <c r="J36" s="49" t="s">
        <v>19470</v>
      </c>
      <c r="K36" s="34" t="s">
        <v>19471</v>
      </c>
      <c r="L36" s="48">
        <v>17.440000000000001</v>
      </c>
      <c r="M36" s="48">
        <v>80.055999999999997</v>
      </c>
      <c r="N36" s="56">
        <v>27.166</v>
      </c>
      <c r="O36" t="str">
        <f t="shared" si="5"/>
        <v>ALUMINIO5/16  8x16</v>
      </c>
      <c r="P36" s="67" t="s">
        <v>19394</v>
      </c>
      <c r="Q36" t="s">
        <v>3481</v>
      </c>
      <c r="R36" s="169" t="s">
        <v>18171</v>
      </c>
      <c r="S36" s="64">
        <v>16.729829999999996</v>
      </c>
      <c r="T36" s="211">
        <f t="shared" si="0"/>
        <v>15.391443599999997</v>
      </c>
      <c r="U36" t="s">
        <v>19470</v>
      </c>
      <c r="V36" s="67" t="str">
        <f t="shared" si="12"/>
        <v>8.20</v>
      </c>
      <c r="X36" t="str">
        <f t="shared" si="7"/>
        <v>Arandelas 8x20 5/16</v>
      </c>
      <c r="Y36" s="64">
        <f t="shared" si="8"/>
        <v>8.6592000000000002</v>
      </c>
      <c r="AA36" s="95">
        <f t="shared" si="9"/>
        <v>0.77746715631929009</v>
      </c>
      <c r="AC36">
        <v>3</v>
      </c>
    </row>
    <row r="37" spans="4:29" x14ac:dyDescent="0.2">
      <c r="D37">
        <v>103</v>
      </c>
      <c r="F37" t="s">
        <v>18967</v>
      </c>
      <c r="J37" s="49" t="s">
        <v>19472</v>
      </c>
      <c r="K37" s="34" t="s">
        <v>19473</v>
      </c>
      <c r="L37" s="48">
        <v>3.496</v>
      </c>
      <c r="M37" s="48">
        <v>0</v>
      </c>
      <c r="N37" s="56">
        <v>5.2249999999999996</v>
      </c>
      <c r="O37" t="str">
        <f t="shared" si="5"/>
        <v>ALUMINIO3/8  10x18</v>
      </c>
      <c r="P37" s="67" t="s">
        <v>19394</v>
      </c>
      <c r="Q37" t="s">
        <v>3484</v>
      </c>
      <c r="R37" s="169" t="s">
        <v>19474</v>
      </c>
      <c r="S37" s="64">
        <v>18.085469999999997</v>
      </c>
      <c r="T37" s="211">
        <f t="shared" si="0"/>
        <v>16.638632399999999</v>
      </c>
      <c r="U37" t="s">
        <v>19472</v>
      </c>
      <c r="V37" s="67" t="str">
        <f t="shared" si="12"/>
        <v>10.21</v>
      </c>
      <c r="X37" t="str">
        <f t="shared" si="7"/>
        <v>Arandelas 10x21 3/8</v>
      </c>
      <c r="Y37" s="64">
        <f t="shared" si="8"/>
        <v>8.6592000000000002</v>
      </c>
      <c r="AA37" s="95">
        <f t="shared" si="9"/>
        <v>0.92149764412416824</v>
      </c>
      <c r="AC37">
        <v>3</v>
      </c>
    </row>
    <row r="38" spans="4:29" x14ac:dyDescent="0.2">
      <c r="D38">
        <v>104</v>
      </c>
      <c r="F38" t="s">
        <v>18971</v>
      </c>
      <c r="J38" s="49" t="s">
        <v>19475</v>
      </c>
      <c r="K38" s="34" t="s">
        <v>19476</v>
      </c>
      <c r="L38" s="48">
        <v>3.496</v>
      </c>
      <c r="M38" s="48">
        <v>13.36</v>
      </c>
      <c r="N38" s="56">
        <v>5.2249999999999996</v>
      </c>
      <c r="O38" t="str">
        <f t="shared" si="5"/>
        <v>ALUMINIO1/2  13x24</v>
      </c>
      <c r="P38" s="67" t="s">
        <v>19394</v>
      </c>
      <c r="Q38" t="s">
        <v>3487</v>
      </c>
      <c r="R38" s="169" t="s">
        <v>19477</v>
      </c>
      <c r="S38" s="64">
        <v>21.412949999999999</v>
      </c>
      <c r="T38" s="211">
        <f t="shared" si="0"/>
        <v>19.699914</v>
      </c>
      <c r="U38" t="s">
        <v>19475</v>
      </c>
      <c r="V38" s="67" t="str">
        <f t="shared" si="12"/>
        <v>13.24</v>
      </c>
      <c r="X38" t="str">
        <f t="shared" si="7"/>
        <v>Arandelas 13x24 1/2</v>
      </c>
      <c r="Y38" s="64">
        <f t="shared" si="8"/>
        <v>10.956800000000001</v>
      </c>
      <c r="AA38" s="95">
        <f t="shared" si="9"/>
        <v>0.79796236127336417</v>
      </c>
      <c r="AC38">
        <v>3</v>
      </c>
    </row>
    <row r="39" spans="4:29" x14ac:dyDescent="0.2">
      <c r="J39" s="49" t="s">
        <v>19478</v>
      </c>
      <c r="K39" s="34" t="s">
        <v>19479</v>
      </c>
      <c r="L39" s="48">
        <v>3.64</v>
      </c>
      <c r="M39" s="48">
        <v>15.135999999999999</v>
      </c>
      <c r="N39" s="56">
        <v>5.2249999999999996</v>
      </c>
      <c r="O39" t="str">
        <f t="shared" si="5"/>
        <v>ALUMINIO6x10</v>
      </c>
      <c r="P39" s="67" t="s">
        <v>19394</v>
      </c>
      <c r="Q39" t="s">
        <v>3414</v>
      </c>
      <c r="R39" t="s">
        <v>3414</v>
      </c>
      <c r="S39" s="64">
        <v>9.8283899999999988</v>
      </c>
      <c r="T39" s="211">
        <f t="shared" si="0"/>
        <v>9.042118799999999</v>
      </c>
      <c r="U39" t="s">
        <v>19478</v>
      </c>
      <c r="V39" s="67" t="str">
        <f>+INDEX($J$1:$J$464,MATCH("Arandelas "&amp;Q39,$K$1:$K$464,0),1)</f>
        <v>6.10</v>
      </c>
      <c r="X39" t="str">
        <f t="shared" si="7"/>
        <v>Arandelas 6x10</v>
      </c>
      <c r="Y39" s="64">
        <f t="shared" si="8"/>
        <v>2.5088000000000004</v>
      </c>
      <c r="AA39" s="95">
        <f t="shared" si="9"/>
        <v>2.604160873724489</v>
      </c>
      <c r="AC39">
        <v>3</v>
      </c>
    </row>
    <row r="40" spans="4:29" x14ac:dyDescent="0.2">
      <c r="J40" s="49" t="s">
        <v>19480</v>
      </c>
      <c r="K40" s="34" t="s">
        <v>19481</v>
      </c>
      <c r="L40" s="48">
        <v>0</v>
      </c>
      <c r="M40" s="48">
        <v>18.68</v>
      </c>
      <c r="N40" s="56">
        <v>0</v>
      </c>
      <c r="O40" t="str">
        <f t="shared" si="5"/>
        <v>ALUMINIO8x13</v>
      </c>
      <c r="P40" s="67" t="s">
        <v>19394</v>
      </c>
      <c r="Q40" t="s">
        <v>3417</v>
      </c>
      <c r="R40" t="s">
        <v>3417</v>
      </c>
      <c r="S40" s="64">
        <v>11.368889999999999</v>
      </c>
      <c r="T40" s="211">
        <f t="shared" si="0"/>
        <v>10.4593788</v>
      </c>
      <c r="U40" t="s">
        <v>19480</v>
      </c>
      <c r="V40" s="67" t="str">
        <f t="shared" ref="V40:V58" si="13">+INDEX($J$1:$J$464,MATCH("Arandelas "&amp;Q40,$K$1:$K$464,0),1)</f>
        <v>8.13</v>
      </c>
      <c r="X40" t="str">
        <f t="shared" si="7"/>
        <v>Arandelas 8x13</v>
      </c>
      <c r="Y40" s="64">
        <f t="shared" si="8"/>
        <v>2.72</v>
      </c>
      <c r="AA40" s="95">
        <f t="shared" si="9"/>
        <v>2.8453598529411761</v>
      </c>
      <c r="AC40">
        <v>3</v>
      </c>
    </row>
    <row r="41" spans="4:29" x14ac:dyDescent="0.2">
      <c r="J41" s="49" t="s">
        <v>19482</v>
      </c>
      <c r="K41" s="34" t="s">
        <v>19483</v>
      </c>
      <c r="L41" s="48">
        <v>3.72</v>
      </c>
      <c r="M41" s="48">
        <v>0</v>
      </c>
      <c r="N41" s="56">
        <v>5.2249999999999996</v>
      </c>
      <c r="O41" t="str">
        <f t="shared" si="5"/>
        <v>ALUMINIO9x14</v>
      </c>
      <c r="P41" s="67" t="s">
        <v>19394</v>
      </c>
      <c r="Q41" t="s">
        <v>3420</v>
      </c>
      <c r="R41" t="s">
        <v>3420</v>
      </c>
      <c r="S41" s="64">
        <v>16.729829999999996</v>
      </c>
      <c r="T41" s="211">
        <f t="shared" si="0"/>
        <v>15.391443599999997</v>
      </c>
      <c r="U41" t="s">
        <v>19482</v>
      </c>
      <c r="V41" s="67" t="str">
        <f t="shared" si="13"/>
        <v>9.14</v>
      </c>
      <c r="X41" t="str">
        <f t="shared" si="7"/>
        <v>Arandelas 9x14</v>
      </c>
      <c r="Y41" s="64">
        <f t="shared" si="8"/>
        <v>4.3776000000000002</v>
      </c>
      <c r="AA41" s="95">
        <f t="shared" si="9"/>
        <v>2.5159547697368412</v>
      </c>
      <c r="AC41">
        <v>3</v>
      </c>
    </row>
    <row r="42" spans="4:29" x14ac:dyDescent="0.2">
      <c r="J42" s="49" t="s">
        <v>19484</v>
      </c>
      <c r="K42" s="34" t="s">
        <v>19485</v>
      </c>
      <c r="L42" s="48">
        <v>0</v>
      </c>
      <c r="M42" s="48">
        <v>0</v>
      </c>
      <c r="N42" s="56">
        <v>6.2830000000000004</v>
      </c>
      <c r="O42" t="str">
        <f t="shared" si="5"/>
        <v>ALUMINIO10x14</v>
      </c>
      <c r="P42" s="67" t="s">
        <v>19394</v>
      </c>
      <c r="Q42" t="s">
        <v>3423</v>
      </c>
      <c r="R42" t="s">
        <v>3423</v>
      </c>
      <c r="S42" s="64">
        <v>16.729829999999996</v>
      </c>
      <c r="T42" s="211">
        <f t="shared" si="0"/>
        <v>15.391443599999997</v>
      </c>
      <c r="U42" t="s">
        <v>19484</v>
      </c>
      <c r="V42" s="67" t="str">
        <f t="shared" si="13"/>
        <v>10.14</v>
      </c>
      <c r="X42" t="str">
        <f t="shared" si="7"/>
        <v>Arandelas 10x14</v>
      </c>
      <c r="Y42" s="64">
        <f t="shared" si="8"/>
        <v>3.9808000000000003</v>
      </c>
      <c r="AA42" s="95">
        <f t="shared" si="9"/>
        <v>2.8664197146302239</v>
      </c>
      <c r="AC42">
        <v>3</v>
      </c>
    </row>
    <row r="43" spans="4:29" x14ac:dyDescent="0.2">
      <c r="J43" s="49" t="s">
        <v>19486</v>
      </c>
      <c r="K43" s="34" t="s">
        <v>19487</v>
      </c>
      <c r="L43" s="48">
        <v>6.2320000000000002</v>
      </c>
      <c r="M43" s="48">
        <v>0</v>
      </c>
      <c r="N43" s="56">
        <v>0</v>
      </c>
      <c r="O43" t="str">
        <f t="shared" si="5"/>
        <v>ALUMINIO11x17</v>
      </c>
      <c r="P43" s="67" t="s">
        <v>19394</v>
      </c>
      <c r="Q43" t="s">
        <v>3426</v>
      </c>
      <c r="R43" t="s">
        <v>3426</v>
      </c>
      <c r="S43" s="64">
        <v>18.732479999999999</v>
      </c>
      <c r="T43" s="211">
        <f t="shared" si="0"/>
        <v>17.2338816</v>
      </c>
      <c r="U43" t="s">
        <v>19486</v>
      </c>
      <c r="V43" s="67" t="str">
        <f t="shared" si="13"/>
        <v>11.17</v>
      </c>
      <c r="X43" t="str">
        <f t="shared" si="7"/>
        <v>Arandelas 11x17</v>
      </c>
      <c r="Y43" s="64">
        <f t="shared" si="8"/>
        <v>5.7856000000000005</v>
      </c>
      <c r="AA43" s="95">
        <f t="shared" si="9"/>
        <v>1.978754424778761</v>
      </c>
      <c r="AC43">
        <v>3</v>
      </c>
    </row>
    <row r="44" spans="4:29" x14ac:dyDescent="0.2">
      <c r="J44" s="49" t="s">
        <v>19488</v>
      </c>
      <c r="K44" s="34" t="s">
        <v>19489</v>
      </c>
      <c r="L44" s="48">
        <v>3.72</v>
      </c>
      <c r="M44" s="48">
        <v>16.904</v>
      </c>
      <c r="N44" s="56">
        <v>5.2249999999999996</v>
      </c>
      <c r="O44" t="str">
        <f t="shared" si="5"/>
        <v>ALUMINIO12x17</v>
      </c>
      <c r="P44" s="67" t="s">
        <v>19394</v>
      </c>
      <c r="Q44" t="s">
        <v>3429</v>
      </c>
      <c r="R44" t="s">
        <v>3429</v>
      </c>
      <c r="S44" s="64">
        <v>18.732479999999999</v>
      </c>
      <c r="T44" s="211">
        <f t="shared" si="0"/>
        <v>17.2338816</v>
      </c>
      <c r="U44" t="s">
        <v>19488</v>
      </c>
      <c r="V44" s="67" t="str">
        <f t="shared" si="13"/>
        <v>12.17</v>
      </c>
      <c r="X44" t="str">
        <f t="shared" si="7"/>
        <v>Arandelas 12x17</v>
      </c>
      <c r="Y44" s="64">
        <f t="shared" si="8"/>
        <v>5.4847999999999999</v>
      </c>
      <c r="AA44" s="95">
        <f t="shared" si="9"/>
        <v>2.1421166861143526</v>
      </c>
      <c r="AC44">
        <v>3</v>
      </c>
    </row>
    <row r="45" spans="4:29" x14ac:dyDescent="0.2">
      <c r="J45" s="49" t="s">
        <v>19490</v>
      </c>
      <c r="K45" s="34" t="s">
        <v>19491</v>
      </c>
      <c r="L45" s="48">
        <v>4.6159999999999997</v>
      </c>
      <c r="M45" s="48">
        <v>20.463999999999999</v>
      </c>
      <c r="N45" s="56">
        <v>6.2830000000000004</v>
      </c>
      <c r="O45" t="str">
        <f t="shared" si="5"/>
        <v>ALUMINIO13x20</v>
      </c>
      <c r="P45" s="67" t="s">
        <v>19394</v>
      </c>
      <c r="Q45" t="s">
        <v>3432</v>
      </c>
      <c r="R45" t="s">
        <v>3432</v>
      </c>
      <c r="S45" s="64">
        <v>21.412949999999999</v>
      </c>
      <c r="T45" s="211">
        <f t="shared" si="0"/>
        <v>19.699914</v>
      </c>
      <c r="U45" t="s">
        <v>19490</v>
      </c>
      <c r="V45" s="67" t="str">
        <f t="shared" si="13"/>
        <v>13.20</v>
      </c>
      <c r="X45" t="str">
        <f t="shared" si="7"/>
        <v>Arandelas 13x20</v>
      </c>
      <c r="Y45" s="64">
        <f t="shared" si="8"/>
        <v>6.4832000000000001</v>
      </c>
      <c r="AA45" s="95">
        <f t="shared" si="9"/>
        <v>2.0386096372161893</v>
      </c>
      <c r="AC45">
        <v>3</v>
      </c>
    </row>
    <row r="46" spans="4:29" x14ac:dyDescent="0.2">
      <c r="J46" s="49" t="s">
        <v>19492</v>
      </c>
      <c r="K46" s="34" t="s">
        <v>19493</v>
      </c>
      <c r="L46" s="48">
        <v>0</v>
      </c>
      <c r="M46" s="48">
        <v>23.568000000000001</v>
      </c>
      <c r="N46" s="56">
        <v>0</v>
      </c>
      <c r="O46" t="str">
        <f t="shared" si="5"/>
        <v>ALUMINIO14x20</v>
      </c>
      <c r="P46" s="67" t="s">
        <v>19394</v>
      </c>
      <c r="Q46" t="s">
        <v>3435</v>
      </c>
      <c r="R46" t="s">
        <v>3435</v>
      </c>
      <c r="S46" s="64">
        <v>21.412949999999999</v>
      </c>
      <c r="T46" s="211">
        <f t="shared" si="0"/>
        <v>19.699914</v>
      </c>
      <c r="U46" t="s">
        <v>19492</v>
      </c>
      <c r="V46" s="67" t="str">
        <f t="shared" si="13"/>
        <v>14.20</v>
      </c>
      <c r="X46" t="str">
        <f t="shared" si="7"/>
        <v>Arandelas 14x20</v>
      </c>
      <c r="Y46" s="64">
        <f t="shared" si="8"/>
        <v>5.9840000000000009</v>
      </c>
      <c r="AA46" s="95">
        <f t="shared" si="9"/>
        <v>2.292097927807486</v>
      </c>
      <c r="AC46">
        <v>3</v>
      </c>
    </row>
    <row r="47" spans="4:29" x14ac:dyDescent="0.2">
      <c r="J47" s="49" t="s">
        <v>19494</v>
      </c>
      <c r="K47" s="34" t="s">
        <v>19495</v>
      </c>
      <c r="L47" s="48">
        <v>5.4720000000000004</v>
      </c>
      <c r="M47" s="48">
        <v>24.888000000000002</v>
      </c>
      <c r="N47" s="56">
        <v>7.7450000000000001</v>
      </c>
      <c r="O47" t="str">
        <f t="shared" si="5"/>
        <v>ALUMINIO15x21</v>
      </c>
      <c r="P47" s="67" t="s">
        <v>19394</v>
      </c>
      <c r="Q47" t="s">
        <v>3438</v>
      </c>
      <c r="R47" t="s">
        <v>3438</v>
      </c>
      <c r="S47" s="64">
        <v>23.415599999999994</v>
      </c>
      <c r="T47" s="211">
        <f t="shared" si="0"/>
        <v>21.542351999999994</v>
      </c>
      <c r="U47" t="s">
        <v>19494</v>
      </c>
      <c r="V47" s="67" t="str">
        <f t="shared" si="13"/>
        <v>15.21</v>
      </c>
      <c r="X47" t="str">
        <f t="shared" si="7"/>
        <v>Arandelas 15x21</v>
      </c>
      <c r="Y47" s="64">
        <f t="shared" si="8"/>
        <v>8.4608000000000008</v>
      </c>
      <c r="AA47" s="95">
        <f t="shared" si="9"/>
        <v>1.5461365355521925</v>
      </c>
      <c r="AC47">
        <v>3</v>
      </c>
    </row>
    <row r="48" spans="4:29" x14ac:dyDescent="0.2">
      <c r="J48" s="49" t="s">
        <v>19496</v>
      </c>
      <c r="K48" s="34" t="s">
        <v>19497</v>
      </c>
      <c r="L48" s="48">
        <v>8.1039999999999992</v>
      </c>
      <c r="M48" s="48">
        <v>39.143999999999998</v>
      </c>
      <c r="N48" s="56">
        <v>12.138</v>
      </c>
      <c r="O48" t="str">
        <f t="shared" si="5"/>
        <v>ALUMINIO16x21</v>
      </c>
      <c r="P48" s="67" t="s">
        <v>19394</v>
      </c>
      <c r="Q48" t="s">
        <v>3441</v>
      </c>
      <c r="R48" t="s">
        <v>3441</v>
      </c>
      <c r="S48" s="64">
        <v>23.415599999999994</v>
      </c>
      <c r="T48" s="211">
        <f t="shared" si="0"/>
        <v>21.542351999999994</v>
      </c>
      <c r="U48" t="s">
        <v>19496</v>
      </c>
      <c r="V48" s="67" t="str">
        <f t="shared" si="13"/>
        <v>16.21</v>
      </c>
      <c r="X48" t="str">
        <f t="shared" si="7"/>
        <v>Arandelas 16x21</v>
      </c>
      <c r="Y48" s="64">
        <f t="shared" si="8"/>
        <v>7.9616000000000007</v>
      </c>
      <c r="AA48" s="95">
        <f t="shared" si="9"/>
        <v>1.7057817524115744</v>
      </c>
      <c r="AC48">
        <v>3</v>
      </c>
    </row>
    <row r="49" spans="10:29" x14ac:dyDescent="0.2">
      <c r="J49" s="49" t="s">
        <v>19498</v>
      </c>
      <c r="K49" s="34" t="s">
        <v>19499</v>
      </c>
      <c r="L49" s="48">
        <v>10.576000000000001</v>
      </c>
      <c r="M49" s="48">
        <v>53.368000000000002</v>
      </c>
      <c r="N49" s="56">
        <v>15.673999999999999</v>
      </c>
      <c r="O49" t="str">
        <f t="shared" si="5"/>
        <v>ALUMINIO17x22</v>
      </c>
      <c r="P49" s="67" t="s">
        <v>19394</v>
      </c>
      <c r="Q49" t="s">
        <v>3444</v>
      </c>
      <c r="R49" t="s">
        <v>3444</v>
      </c>
      <c r="S49" s="64">
        <v>25.449059999999999</v>
      </c>
      <c r="T49" s="211">
        <f t="shared" si="0"/>
        <v>23.413135199999999</v>
      </c>
      <c r="U49" t="s">
        <v>19498</v>
      </c>
      <c r="V49" s="67" t="str">
        <f t="shared" si="13"/>
        <v>17.22</v>
      </c>
      <c r="X49" t="str">
        <f t="shared" si="7"/>
        <v>Arandelas 17x22</v>
      </c>
      <c r="Y49" s="64">
        <f t="shared" si="8"/>
        <v>8.9664000000000001</v>
      </c>
      <c r="AA49" s="95">
        <f t="shared" si="9"/>
        <v>1.6112079764453959</v>
      </c>
      <c r="AC49">
        <v>3</v>
      </c>
    </row>
    <row r="50" spans="10:29" x14ac:dyDescent="0.2">
      <c r="J50" s="49" t="s">
        <v>19500</v>
      </c>
      <c r="K50" s="34" t="s">
        <v>19501</v>
      </c>
      <c r="L50" s="48">
        <v>3.72</v>
      </c>
      <c r="M50" s="48">
        <v>16.904</v>
      </c>
      <c r="N50" s="56">
        <v>5.2249999999999996</v>
      </c>
      <c r="O50" t="str">
        <f t="shared" si="5"/>
        <v>ALUMINIO18x23</v>
      </c>
      <c r="P50" s="67" t="s">
        <v>19394</v>
      </c>
      <c r="Q50" t="s">
        <v>3447</v>
      </c>
      <c r="R50" t="s">
        <v>3447</v>
      </c>
      <c r="S50" s="64">
        <v>28.098719999999997</v>
      </c>
      <c r="T50" s="211">
        <f t="shared" si="0"/>
        <v>25.850822399999998</v>
      </c>
      <c r="U50" t="s">
        <v>19500</v>
      </c>
      <c r="V50" s="67" t="str">
        <f t="shared" si="13"/>
        <v>18.23</v>
      </c>
      <c r="X50" t="str">
        <f t="shared" si="7"/>
        <v>Arandelas 18x23</v>
      </c>
      <c r="Y50" s="64">
        <f t="shared" si="8"/>
        <v>8.9664000000000001</v>
      </c>
      <c r="AA50" s="95">
        <f t="shared" si="9"/>
        <v>1.8830770877944323</v>
      </c>
      <c r="AC50">
        <v>3</v>
      </c>
    </row>
    <row r="51" spans="10:29" x14ac:dyDescent="0.2">
      <c r="J51" s="49" t="s">
        <v>19502</v>
      </c>
      <c r="K51" s="34" t="s">
        <v>19503</v>
      </c>
      <c r="L51" s="48">
        <v>4.4880000000000004</v>
      </c>
      <c r="M51" s="48">
        <v>0</v>
      </c>
      <c r="N51" s="56">
        <v>10.45</v>
      </c>
      <c r="O51" t="str">
        <f t="shared" si="5"/>
        <v>ALUMINIO19x24</v>
      </c>
      <c r="P51" s="67" t="s">
        <v>19394</v>
      </c>
      <c r="Q51" t="s">
        <v>3450</v>
      </c>
      <c r="R51" t="s">
        <v>3450</v>
      </c>
      <c r="S51" s="64">
        <v>28.098719999999997</v>
      </c>
      <c r="T51" s="211">
        <f t="shared" si="0"/>
        <v>25.850822399999998</v>
      </c>
      <c r="U51" t="s">
        <v>19502</v>
      </c>
      <c r="V51" s="67" t="str">
        <f t="shared" si="13"/>
        <v>19.24</v>
      </c>
      <c r="X51" t="str">
        <f t="shared" si="7"/>
        <v>Arandelas 19x24</v>
      </c>
      <c r="Y51" s="64">
        <f t="shared" si="8"/>
        <v>9.9712000000000014</v>
      </c>
      <c r="AA51" s="95">
        <f t="shared" si="9"/>
        <v>1.5925487804878045</v>
      </c>
      <c r="AC51">
        <v>3</v>
      </c>
    </row>
    <row r="52" spans="10:29" x14ac:dyDescent="0.2">
      <c r="J52" s="49" t="s">
        <v>19504</v>
      </c>
      <c r="K52" s="34" t="s">
        <v>19505</v>
      </c>
      <c r="L52" s="48">
        <v>3.496</v>
      </c>
      <c r="M52" s="48">
        <v>16.015999999999998</v>
      </c>
      <c r="N52" s="56">
        <v>5.2249999999999996</v>
      </c>
      <c r="O52" t="str">
        <f t="shared" si="5"/>
        <v>ALUMINIO20x26</v>
      </c>
      <c r="P52" s="67" t="s">
        <v>19394</v>
      </c>
      <c r="Q52" t="s">
        <v>3453</v>
      </c>
      <c r="R52" t="s">
        <v>3453</v>
      </c>
      <c r="S52" s="64">
        <v>32.781839999999995</v>
      </c>
      <c r="T52" s="211">
        <f t="shared" si="0"/>
        <v>30.159292799999996</v>
      </c>
      <c r="U52" t="s">
        <v>19504</v>
      </c>
      <c r="V52" s="67" t="str">
        <f t="shared" si="13"/>
        <v>20.26</v>
      </c>
      <c r="X52" t="str">
        <f t="shared" si="7"/>
        <v>Arandelas 20x26</v>
      </c>
      <c r="Y52" s="64">
        <f t="shared" si="8"/>
        <v>10.956800000000001</v>
      </c>
      <c r="AA52" s="95">
        <f t="shared" si="9"/>
        <v>1.7525639602803733</v>
      </c>
      <c r="AC52">
        <v>3</v>
      </c>
    </row>
    <row r="53" spans="10:29" x14ac:dyDescent="0.2">
      <c r="J53" s="49" t="s">
        <v>19506</v>
      </c>
      <c r="K53" s="417" t="s">
        <v>19507</v>
      </c>
      <c r="L53" s="48">
        <v>3.1360000000000001</v>
      </c>
      <c r="M53" s="48">
        <v>15.135999999999999</v>
      </c>
      <c r="N53" s="56">
        <v>5.2249999999999996</v>
      </c>
      <c r="O53" t="str">
        <f t="shared" si="5"/>
        <v>ALUMINIO21x26</v>
      </c>
      <c r="P53" s="67" t="s">
        <v>19394</v>
      </c>
      <c r="Q53" t="s">
        <v>3456</v>
      </c>
      <c r="R53" t="s">
        <v>3456</v>
      </c>
      <c r="S53" s="64">
        <v>32.781839999999995</v>
      </c>
      <c r="T53" s="211">
        <f t="shared" si="0"/>
        <v>30.159292799999996</v>
      </c>
      <c r="U53" t="s">
        <v>19506</v>
      </c>
      <c r="V53" s="67" t="str">
        <f t="shared" si="13"/>
        <v>21.26</v>
      </c>
      <c r="X53" t="str">
        <f t="shared" si="7"/>
        <v>Arandelas 21x26</v>
      </c>
      <c r="Y53" s="64">
        <f t="shared" si="8"/>
        <v>11.942400000000001</v>
      </c>
      <c r="AA53" s="95">
        <f t="shared" si="9"/>
        <v>1.5253963022508032</v>
      </c>
      <c r="AC53">
        <v>3</v>
      </c>
    </row>
    <row r="54" spans="10:29" x14ac:dyDescent="0.2">
      <c r="J54" s="49" t="s">
        <v>19508</v>
      </c>
      <c r="K54" s="34" t="s">
        <v>19509</v>
      </c>
      <c r="L54" s="48">
        <v>0</v>
      </c>
      <c r="M54" s="48">
        <v>53.368000000000002</v>
      </c>
      <c r="N54" s="56">
        <v>0</v>
      </c>
      <c r="O54" t="str">
        <f t="shared" si="5"/>
        <v>ALUMINIO22x28</v>
      </c>
      <c r="P54" s="67" t="s">
        <v>19394</v>
      </c>
      <c r="Q54" t="s">
        <v>3459</v>
      </c>
      <c r="R54" t="s">
        <v>3459</v>
      </c>
      <c r="S54" s="64">
        <v>43.503719999999994</v>
      </c>
      <c r="T54" s="211">
        <f t="shared" si="0"/>
        <v>40.023422399999994</v>
      </c>
      <c r="U54" t="s">
        <v>19508</v>
      </c>
      <c r="V54" s="67" t="str">
        <f t="shared" si="13"/>
        <v>22.28</v>
      </c>
      <c r="X54" t="str">
        <f t="shared" si="7"/>
        <v>Arandelas 22x28</v>
      </c>
      <c r="Y54" s="64">
        <f t="shared" si="8"/>
        <v>12.947200000000002</v>
      </c>
      <c r="AA54" s="95">
        <f t="shared" si="9"/>
        <v>2.0912801532377645</v>
      </c>
      <c r="AC54">
        <v>3</v>
      </c>
    </row>
    <row r="55" spans="10:29" x14ac:dyDescent="0.2">
      <c r="J55" s="49" t="s">
        <v>19510</v>
      </c>
      <c r="K55" s="34" t="s">
        <v>19511</v>
      </c>
      <c r="L55" s="48">
        <v>7.2320000000000002</v>
      </c>
      <c r="M55" s="48">
        <v>32.024000000000001</v>
      </c>
      <c r="N55" s="56">
        <v>0</v>
      </c>
      <c r="O55" t="str">
        <f t="shared" si="5"/>
        <v>ALUMINIO24x30</v>
      </c>
      <c r="P55" s="67" t="s">
        <v>19394</v>
      </c>
      <c r="Q55" t="s">
        <v>3522</v>
      </c>
      <c r="R55" t="s">
        <v>3522</v>
      </c>
      <c r="S55" s="64">
        <v>46.862009999999998</v>
      </c>
      <c r="T55" s="211">
        <f t="shared" si="0"/>
        <v>43.113049199999999</v>
      </c>
      <c r="U55" t="s">
        <v>19510</v>
      </c>
      <c r="V55" s="67" t="str">
        <f t="shared" si="13"/>
        <v>24.30</v>
      </c>
      <c r="X55" t="str">
        <f t="shared" si="7"/>
        <v>Arandelas 24x30</v>
      </c>
      <c r="Y55" s="64">
        <f t="shared" si="8"/>
        <v>13.952000000000002</v>
      </c>
      <c r="AA55" s="95">
        <f t="shared" si="9"/>
        <v>2.0900981364678897</v>
      </c>
      <c r="AC55">
        <v>3</v>
      </c>
    </row>
    <row r="56" spans="10:29" x14ac:dyDescent="0.2">
      <c r="J56" s="49" t="s">
        <v>19512</v>
      </c>
      <c r="K56" s="34" t="s">
        <v>19513</v>
      </c>
      <c r="L56" s="48">
        <v>4.4880000000000004</v>
      </c>
      <c r="M56" s="48">
        <v>20.463999999999999</v>
      </c>
      <c r="N56" s="56">
        <v>6.2830000000000004</v>
      </c>
      <c r="O56" t="str">
        <f t="shared" si="5"/>
        <v>ALUMINIO26x34</v>
      </c>
      <c r="P56" s="67" t="s">
        <v>19394</v>
      </c>
      <c r="Q56" t="s">
        <v>3465</v>
      </c>
      <c r="R56" t="s">
        <v>3465</v>
      </c>
      <c r="S56" s="64">
        <v>52.869959999999999</v>
      </c>
      <c r="T56" s="211">
        <f t="shared" si="0"/>
        <v>48.640363200000003</v>
      </c>
      <c r="U56" t="s">
        <v>19512</v>
      </c>
      <c r="V56" s="67" t="str">
        <f t="shared" si="13"/>
        <v>26.34</v>
      </c>
      <c r="X56" t="str">
        <f t="shared" si="7"/>
        <v>Arandelas 26x34</v>
      </c>
      <c r="Y56" s="64">
        <f t="shared" si="8"/>
        <v>17.919999999999998</v>
      </c>
      <c r="AA56" s="95">
        <f t="shared" si="9"/>
        <v>1.7143059821428577</v>
      </c>
      <c r="AC56">
        <v>3</v>
      </c>
    </row>
    <row r="57" spans="10:29" x14ac:dyDescent="0.2">
      <c r="J57" s="49" t="s">
        <v>19514</v>
      </c>
      <c r="K57" s="34" t="s">
        <v>19515</v>
      </c>
      <c r="L57" s="48">
        <v>0</v>
      </c>
      <c r="M57" s="48">
        <v>80.055999999999997</v>
      </c>
      <c r="N57" s="56">
        <v>0</v>
      </c>
      <c r="O57" t="str">
        <f t="shared" si="5"/>
        <v>ALUMINIO28x36</v>
      </c>
      <c r="P57" s="67" t="s">
        <v>19394</v>
      </c>
      <c r="Q57" t="s">
        <v>3527</v>
      </c>
      <c r="R57" t="s">
        <v>3527</v>
      </c>
      <c r="S57" s="64">
        <v>62.23619999999999</v>
      </c>
      <c r="T57" s="211">
        <f t="shared" si="0"/>
        <v>57.257303999999991</v>
      </c>
      <c r="U57" t="s">
        <v>19514</v>
      </c>
      <c r="V57" s="67" t="str">
        <f t="shared" si="13"/>
        <v>28.36</v>
      </c>
      <c r="X57" t="str">
        <f t="shared" si="7"/>
        <v>Arandelas 28x36</v>
      </c>
      <c r="Y57" s="64">
        <f t="shared" si="8"/>
        <v>19.916800000000002</v>
      </c>
      <c r="AA57" s="95">
        <f t="shared" si="9"/>
        <v>1.8748244697943437</v>
      </c>
      <c r="AC57">
        <v>3</v>
      </c>
    </row>
    <row r="58" spans="10:29" x14ac:dyDescent="0.2">
      <c r="J58" s="49" t="s">
        <v>19516</v>
      </c>
      <c r="K58" s="34" t="s">
        <v>19517</v>
      </c>
      <c r="L58" s="48">
        <v>5.4720000000000004</v>
      </c>
      <c r="M58" s="48">
        <v>0</v>
      </c>
      <c r="N58" s="56">
        <v>0</v>
      </c>
      <c r="O58" t="str">
        <f t="shared" si="5"/>
        <v>ALUMINIO30x40</v>
      </c>
      <c r="P58" s="67" t="s">
        <v>19394</v>
      </c>
      <c r="Q58" t="s">
        <v>3530</v>
      </c>
      <c r="R58" t="s">
        <v>3530</v>
      </c>
      <c r="S58" s="64">
        <v>80.321669999999997</v>
      </c>
      <c r="T58" s="211">
        <f t="shared" si="0"/>
        <v>73.895936399999997</v>
      </c>
      <c r="U58" t="s">
        <v>19516</v>
      </c>
      <c r="V58" s="67" t="str">
        <f t="shared" si="13"/>
        <v>30.40</v>
      </c>
      <c r="X58" t="str">
        <f t="shared" si="7"/>
        <v>Arandelas 30x40</v>
      </c>
      <c r="Y58" s="64">
        <f t="shared" si="8"/>
        <v>24.889600000000002</v>
      </c>
      <c r="AA58" s="95">
        <f t="shared" si="9"/>
        <v>1.968948331833376</v>
      </c>
      <c r="AC58">
        <v>3</v>
      </c>
    </row>
    <row r="59" spans="10:29" x14ac:dyDescent="0.2">
      <c r="J59" s="49" t="s">
        <v>19518</v>
      </c>
      <c r="K59" s="34" t="s">
        <v>19519</v>
      </c>
      <c r="L59" s="48">
        <v>12.464</v>
      </c>
      <c r="M59" s="48">
        <v>0</v>
      </c>
      <c r="N59" s="56">
        <v>0</v>
      </c>
      <c r="O59" t="str">
        <f t="shared" si="5"/>
        <v>FIBRA1/8 3x8</v>
      </c>
      <c r="P59" s="67" t="s">
        <v>19390</v>
      </c>
      <c r="Q59" t="s">
        <v>3469</v>
      </c>
      <c r="R59" t="s">
        <v>19461</v>
      </c>
      <c r="S59" s="64">
        <v>9.8592000000000013</v>
      </c>
      <c r="T59" s="211">
        <f t="shared" si="0"/>
        <v>9.0704640000000012</v>
      </c>
      <c r="U59" t="s">
        <v>19518</v>
      </c>
      <c r="V59" s="67" t="str">
        <f>+INDEX($J$1:$J$464,MATCH("*"&amp;R59&amp;"*",$K$1:$K$464,0),1)</f>
        <v>3,5.8</v>
      </c>
      <c r="X59" t="str">
        <f t="shared" si="7"/>
        <v>Arandelas 3,5x8 1/8</v>
      </c>
      <c r="Y59" s="64">
        <f t="shared" si="8"/>
        <v>4.18</v>
      </c>
      <c r="AA59" s="95">
        <f t="shared" si="9"/>
        <v>1.169967464114833</v>
      </c>
      <c r="AC59">
        <v>5</v>
      </c>
    </row>
    <row r="60" spans="10:29" x14ac:dyDescent="0.2">
      <c r="J60" s="49" t="s">
        <v>19520</v>
      </c>
      <c r="K60" s="34" t="s">
        <v>19521</v>
      </c>
      <c r="L60" s="48">
        <v>6.2320000000000002</v>
      </c>
      <c r="M60" s="48">
        <v>30.24</v>
      </c>
      <c r="N60" s="56">
        <v>8.8119999999999994</v>
      </c>
      <c r="O60" t="str">
        <f t="shared" si="5"/>
        <v>FIBRA5/32 4x10</v>
      </c>
      <c r="P60" s="67" t="s">
        <v>19390</v>
      </c>
      <c r="Q60" t="s">
        <v>3472</v>
      </c>
      <c r="R60" t="s">
        <v>19464</v>
      </c>
      <c r="S60" s="64">
        <v>12.385619999999998</v>
      </c>
      <c r="T60" s="211">
        <f t="shared" si="0"/>
        <v>11.394770399999999</v>
      </c>
      <c r="U60" t="s">
        <v>19520</v>
      </c>
      <c r="V60" s="67" t="str">
        <f t="shared" ref="V60:V65" si="14">+INDEX($J$1:$J$464,MATCH("*"&amp;R60&amp;"*",$K$1:$K$464,0),1)</f>
        <v>4.10</v>
      </c>
      <c r="X60" t="str">
        <f t="shared" si="7"/>
        <v>Arandelas 4x10 5/32</v>
      </c>
      <c r="Y60" s="64">
        <f t="shared" si="8"/>
        <v>4.18</v>
      </c>
      <c r="AA60" s="95">
        <f t="shared" si="9"/>
        <v>1.7260216267942581</v>
      </c>
      <c r="AC60">
        <v>5</v>
      </c>
    </row>
    <row r="61" spans="10:29" x14ac:dyDescent="0.2">
      <c r="J61" s="49" t="s">
        <v>19522</v>
      </c>
      <c r="K61" s="34" t="s">
        <v>19523</v>
      </c>
      <c r="L61" s="48">
        <v>9.952</v>
      </c>
      <c r="M61" s="48">
        <v>46.24</v>
      </c>
      <c r="N61" s="56">
        <v>14.641</v>
      </c>
      <c r="O61" t="str">
        <f t="shared" si="5"/>
        <v>FIBRA3/16  5x12</v>
      </c>
      <c r="P61" s="67" t="s">
        <v>19390</v>
      </c>
      <c r="Q61" t="s">
        <v>3475</v>
      </c>
      <c r="R61" t="s">
        <v>19467</v>
      </c>
      <c r="S61" s="64">
        <v>14.049359999999998</v>
      </c>
      <c r="T61" s="211">
        <f t="shared" si="0"/>
        <v>12.925411199999999</v>
      </c>
      <c r="U61" t="s">
        <v>19522</v>
      </c>
      <c r="V61" s="67" t="str">
        <f t="shared" si="14"/>
        <v>5.12</v>
      </c>
      <c r="X61" t="str">
        <f t="shared" si="7"/>
        <v>Arandelas 5x12</v>
      </c>
      <c r="Y61" s="64">
        <f t="shared" si="8"/>
        <v>5.0264000000000006</v>
      </c>
      <c r="AA61" s="95">
        <f t="shared" si="9"/>
        <v>1.5715046952092946</v>
      </c>
      <c r="AC61">
        <v>5</v>
      </c>
    </row>
    <row r="62" spans="10:29" x14ac:dyDescent="0.2">
      <c r="J62" s="49" t="s">
        <v>19524</v>
      </c>
      <c r="K62" s="34" t="s">
        <v>19525</v>
      </c>
      <c r="L62" s="48">
        <v>3.496</v>
      </c>
      <c r="M62" s="48">
        <v>13.36</v>
      </c>
      <c r="N62" s="56">
        <v>5.2249999999999996</v>
      </c>
      <c r="O62" t="str">
        <f t="shared" si="5"/>
        <v>FIBRA1/4  6,5x14</v>
      </c>
      <c r="P62" s="67" t="s">
        <v>19390</v>
      </c>
      <c r="Q62" t="s">
        <v>3478</v>
      </c>
      <c r="R62" t="s">
        <v>18168</v>
      </c>
      <c r="S62" s="64">
        <v>14.881229999999999</v>
      </c>
      <c r="T62" s="211">
        <f t="shared" si="0"/>
        <v>13.690731599999999</v>
      </c>
      <c r="U62" t="s">
        <v>19524</v>
      </c>
      <c r="V62" s="67" t="str">
        <f t="shared" si="14"/>
        <v>6,5.13</v>
      </c>
      <c r="X62" t="str">
        <f t="shared" si="7"/>
        <v>Arandelas 6,5x13 1/4</v>
      </c>
      <c r="Y62" s="64">
        <f t="shared" si="8"/>
        <v>6.1960000000000006</v>
      </c>
      <c r="AA62" s="95">
        <f t="shared" si="9"/>
        <v>1.2096080697224014</v>
      </c>
      <c r="AC62">
        <v>5</v>
      </c>
    </row>
    <row r="63" spans="10:29" x14ac:dyDescent="0.2">
      <c r="J63" s="49" t="s">
        <v>19526</v>
      </c>
      <c r="K63" s="34" t="s">
        <v>19527</v>
      </c>
      <c r="L63" s="48">
        <v>3.496</v>
      </c>
      <c r="M63" s="48">
        <v>8.9120000000000008</v>
      </c>
      <c r="N63" s="56">
        <v>5.2249999999999996</v>
      </c>
      <c r="O63" t="str">
        <f t="shared" si="5"/>
        <v>FIBRA5/16  8x16</v>
      </c>
      <c r="P63" s="67" t="s">
        <v>19390</v>
      </c>
      <c r="Q63" t="s">
        <v>3481</v>
      </c>
      <c r="R63" t="s">
        <v>18171</v>
      </c>
      <c r="S63" s="64">
        <v>20.673509999999997</v>
      </c>
      <c r="T63" s="211">
        <f t="shared" si="0"/>
        <v>19.019629199999997</v>
      </c>
      <c r="U63" t="s">
        <v>19526</v>
      </c>
      <c r="V63" s="67" t="str">
        <f t="shared" si="14"/>
        <v>8.20</v>
      </c>
      <c r="X63" t="str">
        <f t="shared" si="7"/>
        <v>Arandelas 8x20 5/16</v>
      </c>
      <c r="Y63" s="64">
        <f t="shared" si="8"/>
        <v>11.712800000000001</v>
      </c>
      <c r="AA63" s="95">
        <f t="shared" si="9"/>
        <v>0.62383283245679899</v>
      </c>
      <c r="AC63">
        <v>5</v>
      </c>
    </row>
    <row r="64" spans="10:29" x14ac:dyDescent="0.2">
      <c r="J64" s="49" t="s">
        <v>19528</v>
      </c>
      <c r="K64" s="34" t="s">
        <v>19529</v>
      </c>
      <c r="L64" s="48">
        <v>3.64</v>
      </c>
      <c r="M64" s="48">
        <v>0</v>
      </c>
      <c r="N64" s="56">
        <v>5.2249999999999996</v>
      </c>
      <c r="O64" t="str">
        <f t="shared" si="5"/>
        <v>FIBRA3/8  10x18</v>
      </c>
      <c r="P64" s="67" t="s">
        <v>19390</v>
      </c>
      <c r="Q64" t="s">
        <v>3484</v>
      </c>
      <c r="R64" t="s">
        <v>19474</v>
      </c>
      <c r="S64" s="64">
        <v>22.306439999999998</v>
      </c>
      <c r="T64" s="211">
        <f t="shared" si="0"/>
        <v>20.521924800000001</v>
      </c>
      <c r="U64" t="s">
        <v>19528</v>
      </c>
      <c r="V64" s="67" t="str">
        <f t="shared" si="14"/>
        <v>10.21</v>
      </c>
      <c r="X64" t="str">
        <f t="shared" si="7"/>
        <v>Arandelas 10x21 3/8</v>
      </c>
      <c r="Y64" s="64">
        <f t="shared" si="8"/>
        <v>13.372800000000002</v>
      </c>
      <c r="AA64" s="95">
        <f t="shared" si="9"/>
        <v>0.53460193826274205</v>
      </c>
      <c r="AC64">
        <v>5</v>
      </c>
    </row>
    <row r="65" spans="9:29" x14ac:dyDescent="0.2">
      <c r="J65" s="49" t="s">
        <v>19530</v>
      </c>
      <c r="K65" s="34" t="s">
        <v>19531</v>
      </c>
      <c r="L65" s="48">
        <v>3.64</v>
      </c>
      <c r="M65" s="48">
        <v>16.015999999999998</v>
      </c>
      <c r="N65" s="56">
        <v>5.2249999999999996</v>
      </c>
      <c r="O65" t="str">
        <f t="shared" si="5"/>
        <v>FIBRA1/2  13x24</v>
      </c>
      <c r="P65" s="67" t="s">
        <v>19390</v>
      </c>
      <c r="Q65" t="s">
        <v>3487</v>
      </c>
      <c r="R65" t="s">
        <v>19477</v>
      </c>
      <c r="S65" s="64">
        <v>26.465789999999998</v>
      </c>
      <c r="T65" s="211">
        <f t="shared" si="0"/>
        <v>24.348526799999998</v>
      </c>
      <c r="U65" t="s">
        <v>19530</v>
      </c>
      <c r="V65" s="67" t="str">
        <f t="shared" si="14"/>
        <v>13.24</v>
      </c>
      <c r="X65" t="str">
        <f t="shared" si="7"/>
        <v>Arandelas 13x24 1/2</v>
      </c>
      <c r="Y65" s="64">
        <f t="shared" si="8"/>
        <v>16.726400000000002</v>
      </c>
      <c r="AA65" s="95">
        <f t="shared" si="9"/>
        <v>0.45569439927300537</v>
      </c>
      <c r="AC65">
        <v>5</v>
      </c>
    </row>
    <row r="66" spans="9:29" x14ac:dyDescent="0.2">
      <c r="J66" s="49" t="s">
        <v>19532</v>
      </c>
      <c r="K66" s="34" t="s">
        <v>19533</v>
      </c>
      <c r="L66" s="48">
        <v>3.1360000000000001</v>
      </c>
      <c r="M66" s="48">
        <v>0</v>
      </c>
      <c r="N66" s="56">
        <v>6.2830000000000004</v>
      </c>
      <c r="O66" t="str">
        <f t="shared" si="5"/>
        <v>FIBRA6x10</v>
      </c>
      <c r="P66" s="67" t="s">
        <v>19390</v>
      </c>
      <c r="Q66" t="s">
        <v>3414</v>
      </c>
      <c r="R66" t="s">
        <v>3414</v>
      </c>
      <c r="S66" s="64">
        <v>12.385619999999998</v>
      </c>
      <c r="T66" s="211">
        <f t="shared" si="0"/>
        <v>11.394770399999999</v>
      </c>
      <c r="U66" t="s">
        <v>19532</v>
      </c>
      <c r="V66" s="67" t="str">
        <f>+INDEX(J1:J464,MATCH("Arandelas "&amp;Q66,K1:K464,0),1)</f>
        <v>6.10</v>
      </c>
      <c r="X66" t="str">
        <f t="shared" si="7"/>
        <v>Arandelas 6x10</v>
      </c>
      <c r="Y66" s="64">
        <f t="shared" si="8"/>
        <v>4.18</v>
      </c>
      <c r="AA66" s="95">
        <f t="shared" si="9"/>
        <v>1.7260216267942581</v>
      </c>
      <c r="AC66">
        <v>5</v>
      </c>
    </row>
    <row r="67" spans="9:29" x14ac:dyDescent="0.2">
      <c r="J67" s="49" t="s">
        <v>19534</v>
      </c>
      <c r="K67" s="34" t="s">
        <v>19535</v>
      </c>
      <c r="L67" s="48">
        <v>0</v>
      </c>
      <c r="M67" s="48">
        <v>66.703999999999994</v>
      </c>
      <c r="N67" s="56">
        <v>0</v>
      </c>
      <c r="O67" t="str">
        <f t="shared" si="5"/>
        <v>FIBRA7x10</v>
      </c>
      <c r="P67" s="67" t="s">
        <v>19390</v>
      </c>
      <c r="Q67" t="s">
        <v>3550</v>
      </c>
      <c r="R67" t="s">
        <v>3550</v>
      </c>
      <c r="S67" s="64">
        <v>12.385619999999998</v>
      </c>
      <c r="T67" s="211">
        <f t="shared" ref="T67:T89" si="15">+(1-$T$1)*S67</f>
        <v>11.394770399999999</v>
      </c>
      <c r="U67" t="s">
        <v>19534</v>
      </c>
      <c r="V67" s="67" t="str">
        <f t="shared" ref="V67:V89" si="16">+INDEX(J2:J465,MATCH("Arandelas "&amp;Q67,K2:K465,0),1)</f>
        <v>7.10</v>
      </c>
      <c r="X67" t="str">
        <f t="shared" si="7"/>
        <v>Arandelas 7x10</v>
      </c>
      <c r="Y67" s="64">
        <f t="shared" si="8"/>
        <v>4.18</v>
      </c>
      <c r="AA67" s="95">
        <f t="shared" si="9"/>
        <v>1.7260216267942581</v>
      </c>
      <c r="AC67">
        <v>5</v>
      </c>
    </row>
    <row r="68" spans="9:29" x14ac:dyDescent="0.2">
      <c r="I68">
        <v>101</v>
      </c>
      <c r="J68" s="49" t="s">
        <v>19536</v>
      </c>
      <c r="K68" s="34" t="s">
        <v>19537</v>
      </c>
      <c r="L68" s="48">
        <v>0</v>
      </c>
      <c r="M68" s="48">
        <v>88.912000000000006</v>
      </c>
      <c r="N68" s="56">
        <v>0</v>
      </c>
      <c r="O68" t="str">
        <f t="shared" ref="O68:O89" si="17">+P68&amp;Q68</f>
        <v>FIBRA8x13</v>
      </c>
      <c r="P68" s="67" t="s">
        <v>19390</v>
      </c>
      <c r="Q68" t="s">
        <v>3417</v>
      </c>
      <c r="R68" t="s">
        <v>3417</v>
      </c>
      <c r="S68" s="64">
        <v>14.480700000000001</v>
      </c>
      <c r="T68" s="211">
        <f t="shared" si="15"/>
        <v>13.322244000000001</v>
      </c>
      <c r="U68" t="s">
        <v>19536</v>
      </c>
      <c r="V68" s="67" t="str">
        <f t="shared" si="16"/>
        <v>8.13</v>
      </c>
      <c r="X68" t="str">
        <f t="shared" ref="X68:X89" si="18">+VLOOKUP(V68,$J$1:$N$464,2,0)</f>
        <v>Arandelas 8x13</v>
      </c>
      <c r="Y68" s="64">
        <f t="shared" ref="Y68:Y89" si="19">+(1-$AB$2)*VLOOKUP($V68,$J$1:$N$464,AC68,0)</f>
        <v>5.8528000000000002</v>
      </c>
      <c r="AA68" s="95">
        <f t="shared" ref="AA68:AA89" si="20">+T68/Y68-1</f>
        <v>1.2762171951886279</v>
      </c>
      <c r="AC68">
        <v>5</v>
      </c>
    </row>
    <row r="69" spans="9:29" x14ac:dyDescent="0.2">
      <c r="J69" s="49" t="s">
        <v>19538</v>
      </c>
      <c r="K69" s="34" t="s">
        <v>19539</v>
      </c>
      <c r="L69" s="48">
        <v>0</v>
      </c>
      <c r="M69" s="48">
        <v>42.688000000000002</v>
      </c>
      <c r="N69" s="56">
        <v>0</v>
      </c>
      <c r="O69" t="str">
        <f t="shared" si="17"/>
        <v>FIBRA9x14</v>
      </c>
      <c r="P69" s="67" t="s">
        <v>19390</v>
      </c>
      <c r="Q69" t="s">
        <v>3420</v>
      </c>
      <c r="R69" t="s">
        <v>3420</v>
      </c>
      <c r="S69" s="64">
        <v>20.673509999999997</v>
      </c>
      <c r="T69" s="211">
        <f t="shared" si="15"/>
        <v>19.019629199999997</v>
      </c>
      <c r="U69" t="s">
        <v>19538</v>
      </c>
      <c r="V69" s="67" t="str">
        <f t="shared" si="16"/>
        <v>9.14</v>
      </c>
      <c r="X69" t="str">
        <f t="shared" si="18"/>
        <v>Arandelas 9x14</v>
      </c>
      <c r="Y69" s="64">
        <f t="shared" si="19"/>
        <v>6.0280000000000005</v>
      </c>
      <c r="AA69" s="95">
        <f t="shared" si="20"/>
        <v>2.1552138686131381</v>
      </c>
      <c r="AC69">
        <v>5</v>
      </c>
    </row>
    <row r="70" spans="9:29" x14ac:dyDescent="0.2">
      <c r="J70" s="49" t="s">
        <v>19540</v>
      </c>
      <c r="K70" s="34" t="s">
        <v>19541</v>
      </c>
      <c r="L70" s="48">
        <v>0</v>
      </c>
      <c r="M70" s="48">
        <v>53.368000000000002</v>
      </c>
      <c r="N70" s="56">
        <v>0</v>
      </c>
      <c r="O70" t="str">
        <f t="shared" si="17"/>
        <v>FIBRA10x14</v>
      </c>
      <c r="P70" s="67" t="s">
        <v>19390</v>
      </c>
      <c r="Q70" t="s">
        <v>3423</v>
      </c>
      <c r="R70" t="s">
        <v>3423</v>
      </c>
      <c r="S70" s="64">
        <v>20.673509999999997</v>
      </c>
      <c r="T70" s="211">
        <f t="shared" si="15"/>
        <v>19.019629199999997</v>
      </c>
      <c r="U70" t="s">
        <v>19540</v>
      </c>
      <c r="V70" s="67" t="str">
        <f t="shared" si="16"/>
        <v>10.14</v>
      </c>
      <c r="X70" t="str">
        <f t="shared" si="18"/>
        <v>Arandelas 10x14</v>
      </c>
      <c r="Y70" s="64">
        <f t="shared" si="19"/>
        <v>5.8528000000000002</v>
      </c>
      <c r="AA70" s="95">
        <f t="shared" si="20"/>
        <v>2.2496632722799337</v>
      </c>
      <c r="AC70">
        <v>5</v>
      </c>
    </row>
    <row r="71" spans="9:29" x14ac:dyDescent="0.2">
      <c r="J71" s="49" t="s">
        <v>19542</v>
      </c>
      <c r="K71" s="34" t="s">
        <v>19543</v>
      </c>
      <c r="L71" s="48">
        <v>0</v>
      </c>
      <c r="M71" s="48">
        <v>50.4</v>
      </c>
      <c r="N71" s="56">
        <v>0</v>
      </c>
      <c r="O71" t="str">
        <f t="shared" si="17"/>
        <v>FIBRA11x17</v>
      </c>
      <c r="P71" s="67" t="s">
        <v>19390</v>
      </c>
      <c r="Q71" t="s">
        <v>3426</v>
      </c>
      <c r="R71" t="s">
        <v>3426</v>
      </c>
      <c r="S71" s="64">
        <v>23.138310000000001</v>
      </c>
      <c r="T71" s="211">
        <f t="shared" si="15"/>
        <v>21.287245200000001</v>
      </c>
      <c r="U71" t="s">
        <v>19542</v>
      </c>
      <c r="V71" s="67" t="str">
        <f t="shared" si="16"/>
        <v>11.17</v>
      </c>
      <c r="X71" t="str">
        <f t="shared" si="18"/>
        <v>Arandelas 11x17</v>
      </c>
      <c r="Y71" s="64">
        <f t="shared" si="19"/>
        <v>8.36</v>
      </c>
      <c r="AA71" s="95">
        <f t="shared" si="20"/>
        <v>1.5463211961722489</v>
      </c>
      <c r="AC71">
        <v>5</v>
      </c>
    </row>
    <row r="72" spans="9:29" x14ac:dyDescent="0.2">
      <c r="J72" s="49" t="s">
        <v>19544</v>
      </c>
      <c r="K72" s="34" t="s">
        <v>19545</v>
      </c>
      <c r="L72" s="48">
        <v>0</v>
      </c>
      <c r="M72" s="48">
        <v>42</v>
      </c>
      <c r="N72" s="56">
        <v>0</v>
      </c>
      <c r="O72" t="str">
        <f t="shared" si="17"/>
        <v>FIBRA12x17</v>
      </c>
      <c r="P72" s="67" t="s">
        <v>19390</v>
      </c>
      <c r="Q72" t="s">
        <v>3429</v>
      </c>
      <c r="R72" t="s">
        <v>3429</v>
      </c>
      <c r="S72" s="64">
        <v>23.138310000000001</v>
      </c>
      <c r="T72" s="211">
        <f t="shared" si="15"/>
        <v>21.287245200000001</v>
      </c>
      <c r="U72" t="s">
        <v>19544</v>
      </c>
      <c r="V72" s="67" t="str">
        <f t="shared" si="16"/>
        <v>12.17</v>
      </c>
      <c r="X72" t="str">
        <f t="shared" si="18"/>
        <v>Arandelas 12x17</v>
      </c>
      <c r="Y72" s="64">
        <f t="shared" si="19"/>
        <v>8.36</v>
      </c>
      <c r="AA72" s="95">
        <f t="shared" si="20"/>
        <v>1.5463211961722489</v>
      </c>
      <c r="AC72">
        <v>5</v>
      </c>
    </row>
    <row r="73" spans="9:29" x14ac:dyDescent="0.2">
      <c r="J73" s="49" t="s">
        <v>19546</v>
      </c>
      <c r="K73" s="34" t="s">
        <v>19547</v>
      </c>
      <c r="L73" s="48">
        <v>3.72</v>
      </c>
      <c r="M73" s="48">
        <v>0</v>
      </c>
      <c r="N73" s="56">
        <v>5.2249999999999996</v>
      </c>
      <c r="O73" t="str">
        <f t="shared" si="17"/>
        <v>FIBRA13x20</v>
      </c>
      <c r="P73" s="67" t="s">
        <v>19390</v>
      </c>
      <c r="Q73" t="s">
        <v>3432</v>
      </c>
      <c r="R73" t="s">
        <v>3432</v>
      </c>
      <c r="S73" s="64">
        <v>26.465789999999998</v>
      </c>
      <c r="T73" s="211">
        <f t="shared" si="15"/>
        <v>24.348526799999998</v>
      </c>
      <c r="U73" t="s">
        <v>19546</v>
      </c>
      <c r="V73" s="67" t="str">
        <f t="shared" si="16"/>
        <v>13.20</v>
      </c>
      <c r="X73" t="str">
        <f t="shared" si="18"/>
        <v>Arandelas 13x20</v>
      </c>
      <c r="Y73" s="64">
        <f t="shared" si="19"/>
        <v>10.8728</v>
      </c>
      <c r="AA73" s="95">
        <f t="shared" si="20"/>
        <v>1.2393980207490252</v>
      </c>
      <c r="AC73">
        <v>5</v>
      </c>
    </row>
    <row r="74" spans="9:29" x14ac:dyDescent="0.2">
      <c r="J74" s="49" t="s">
        <v>19548</v>
      </c>
      <c r="K74" s="34" t="s">
        <v>19549</v>
      </c>
      <c r="L74" s="48">
        <v>3.1360000000000001</v>
      </c>
      <c r="M74" s="48">
        <v>0</v>
      </c>
      <c r="N74" s="56">
        <v>0</v>
      </c>
      <c r="O74" t="str">
        <f t="shared" si="17"/>
        <v>FIBRA14x20</v>
      </c>
      <c r="P74" s="67" t="s">
        <v>19390</v>
      </c>
      <c r="Q74" t="s">
        <v>3435</v>
      </c>
      <c r="R74" t="s">
        <v>3435</v>
      </c>
      <c r="S74" s="64">
        <v>26.465789999999998</v>
      </c>
      <c r="T74" s="211">
        <f t="shared" si="15"/>
        <v>24.348526799999998</v>
      </c>
      <c r="U74" t="s">
        <v>19548</v>
      </c>
      <c r="V74" s="67" t="str">
        <f t="shared" si="16"/>
        <v>14.20</v>
      </c>
      <c r="X74" t="str">
        <f t="shared" si="18"/>
        <v>Arandelas 14x20</v>
      </c>
      <c r="Y74" s="64">
        <f t="shared" si="19"/>
        <v>10.8728</v>
      </c>
      <c r="AA74" s="95">
        <f t="shared" si="20"/>
        <v>1.2393980207490252</v>
      </c>
      <c r="AC74">
        <v>5</v>
      </c>
    </row>
    <row r="75" spans="9:29" x14ac:dyDescent="0.2">
      <c r="J75" s="49" t="s">
        <v>19550</v>
      </c>
      <c r="K75" s="34" t="s">
        <v>19551</v>
      </c>
      <c r="L75" s="48">
        <v>4.4880000000000004</v>
      </c>
      <c r="M75" s="48">
        <v>0</v>
      </c>
      <c r="N75" s="56">
        <v>0</v>
      </c>
      <c r="O75" t="str">
        <f t="shared" si="17"/>
        <v>FIBRA15x21</v>
      </c>
      <c r="P75" s="67" t="s">
        <v>19390</v>
      </c>
      <c r="Q75" t="s">
        <v>3438</v>
      </c>
      <c r="R75" t="s">
        <v>3438</v>
      </c>
      <c r="S75" s="64">
        <v>28.930589999999999</v>
      </c>
      <c r="T75" s="211">
        <f t="shared" si="15"/>
        <v>26.616142799999999</v>
      </c>
      <c r="U75" t="s">
        <v>19550</v>
      </c>
      <c r="V75" s="67" t="str">
        <f t="shared" si="16"/>
        <v>15.21</v>
      </c>
      <c r="X75" t="str">
        <f t="shared" si="18"/>
        <v>Arandelas 15x21</v>
      </c>
      <c r="Y75" s="64">
        <f t="shared" si="19"/>
        <v>13.0304</v>
      </c>
      <c r="AA75" s="95">
        <f t="shared" si="20"/>
        <v>1.0426190139980354</v>
      </c>
      <c r="AC75">
        <v>5</v>
      </c>
    </row>
    <row r="76" spans="9:29" x14ac:dyDescent="0.2">
      <c r="J76" s="49" t="s">
        <v>19413</v>
      </c>
      <c r="K76" s="34" t="s">
        <v>19552</v>
      </c>
      <c r="L76" s="48">
        <v>3.72</v>
      </c>
      <c r="M76" s="48">
        <v>17.783999999999999</v>
      </c>
      <c r="N76" s="56">
        <v>5.2249999999999996</v>
      </c>
      <c r="O76" t="str">
        <f t="shared" si="17"/>
        <v>FIBRA16x19</v>
      </c>
      <c r="P76" s="67" t="s">
        <v>19390</v>
      </c>
      <c r="Q76" t="s">
        <v>3569</v>
      </c>
      <c r="R76" t="s">
        <v>3569</v>
      </c>
      <c r="S76" s="64">
        <v>26.866320000000002</v>
      </c>
      <c r="T76" s="211">
        <f t="shared" si="15"/>
        <v>24.717014400000004</v>
      </c>
      <c r="U76" t="s">
        <v>19413</v>
      </c>
      <c r="V76" s="67" t="str">
        <f t="shared" si="16"/>
        <v>16.19</v>
      </c>
      <c r="X76" t="str">
        <f t="shared" si="18"/>
        <v>Arandelas 16x19</v>
      </c>
      <c r="Y76" s="64">
        <f t="shared" si="19"/>
        <v>12.056000000000001</v>
      </c>
      <c r="AA76" s="95">
        <f t="shared" si="20"/>
        <v>1.0501836761778369</v>
      </c>
      <c r="AC76">
        <v>5</v>
      </c>
    </row>
    <row r="77" spans="9:29" x14ac:dyDescent="0.2">
      <c r="J77" s="49" t="s">
        <v>19553</v>
      </c>
      <c r="K77" s="34" t="s">
        <v>19554</v>
      </c>
      <c r="L77" s="48">
        <v>3.72</v>
      </c>
      <c r="M77" s="48">
        <v>0</v>
      </c>
      <c r="N77" s="56">
        <v>5.2249999999999996</v>
      </c>
      <c r="O77" t="str">
        <f t="shared" si="17"/>
        <v>FIBRA16x21</v>
      </c>
      <c r="P77" s="67" t="s">
        <v>19390</v>
      </c>
      <c r="Q77" t="s">
        <v>3441</v>
      </c>
      <c r="R77" t="s">
        <v>3441</v>
      </c>
      <c r="S77" s="64">
        <v>28.992209999999996</v>
      </c>
      <c r="T77" s="211">
        <f t="shared" si="15"/>
        <v>26.672833199999999</v>
      </c>
      <c r="U77" t="s">
        <v>19553</v>
      </c>
      <c r="V77" s="67" t="str">
        <f t="shared" si="16"/>
        <v>16.21</v>
      </c>
      <c r="X77" t="str">
        <f t="shared" si="18"/>
        <v>Arandelas 16x21</v>
      </c>
      <c r="Y77" s="64">
        <f t="shared" si="19"/>
        <v>13.372800000000002</v>
      </c>
      <c r="AA77" s="95">
        <f t="shared" si="20"/>
        <v>0.9945585965541992</v>
      </c>
      <c r="AC77">
        <v>5</v>
      </c>
    </row>
    <row r="78" spans="9:29" x14ac:dyDescent="0.2">
      <c r="J78" s="49" t="s">
        <v>19555</v>
      </c>
      <c r="K78" s="34" t="s">
        <v>19556</v>
      </c>
      <c r="L78" s="48">
        <v>9.3520000000000003</v>
      </c>
      <c r="M78" s="48">
        <v>0</v>
      </c>
      <c r="N78" s="56">
        <v>0</v>
      </c>
      <c r="O78" t="str">
        <f t="shared" si="17"/>
        <v>FIBRA16x24</v>
      </c>
      <c r="P78" s="67" t="s">
        <v>19390</v>
      </c>
      <c r="Q78" t="s">
        <v>3574</v>
      </c>
      <c r="R78" t="s">
        <v>3574</v>
      </c>
      <c r="S78" s="64">
        <v>34.72287</v>
      </c>
      <c r="T78" s="211">
        <f t="shared" si="15"/>
        <v>31.945040400000003</v>
      </c>
      <c r="U78" t="s">
        <v>19555</v>
      </c>
      <c r="V78" s="67" t="str">
        <f t="shared" si="16"/>
        <v>16.24</v>
      </c>
      <c r="X78" t="str">
        <f t="shared" si="18"/>
        <v>Arandelas 16x24</v>
      </c>
      <c r="Y78" s="64">
        <f t="shared" si="19"/>
        <v>15.408799999999999</v>
      </c>
      <c r="AA78" s="95">
        <f t="shared" si="20"/>
        <v>1.0731686049530142</v>
      </c>
      <c r="AC78">
        <v>5</v>
      </c>
    </row>
    <row r="79" spans="9:29" x14ac:dyDescent="0.2">
      <c r="J79" s="49" t="s">
        <v>19557</v>
      </c>
      <c r="K79" s="34" t="s">
        <v>19558</v>
      </c>
      <c r="L79" s="48">
        <v>4.3600000000000003</v>
      </c>
      <c r="M79" s="48">
        <v>20.463999999999999</v>
      </c>
      <c r="N79" s="56">
        <v>6.2830000000000004</v>
      </c>
      <c r="O79" t="str">
        <f t="shared" si="17"/>
        <v>FIBRA17x22</v>
      </c>
      <c r="P79" s="67" t="s">
        <v>19390</v>
      </c>
      <c r="Q79" t="s">
        <v>3444</v>
      </c>
      <c r="R79" t="s">
        <v>3444</v>
      </c>
      <c r="S79" s="64">
        <v>31.426199999999994</v>
      </c>
      <c r="T79" s="211">
        <f t="shared" si="15"/>
        <v>28.912103999999996</v>
      </c>
      <c r="U79" t="s">
        <v>19557</v>
      </c>
      <c r="V79" s="67" t="str">
        <f t="shared" si="16"/>
        <v>17.22</v>
      </c>
      <c r="X79" t="str">
        <f t="shared" si="18"/>
        <v>Arandelas 17x22</v>
      </c>
      <c r="Y79" s="64">
        <f t="shared" si="19"/>
        <v>14.542400000000001</v>
      </c>
      <c r="AA79" s="95">
        <f t="shared" si="20"/>
        <v>0.98812465617779699</v>
      </c>
      <c r="AC79">
        <v>5</v>
      </c>
    </row>
    <row r="80" spans="9:29" x14ac:dyDescent="0.2">
      <c r="J80" s="49" t="s">
        <v>19559</v>
      </c>
      <c r="K80" s="34" t="s">
        <v>19560</v>
      </c>
      <c r="L80" s="48">
        <v>8.1039999999999992</v>
      </c>
      <c r="M80" s="48">
        <v>0</v>
      </c>
      <c r="N80" s="56">
        <v>0</v>
      </c>
      <c r="O80" t="str">
        <f t="shared" si="17"/>
        <v>FIBRA18x23</v>
      </c>
      <c r="P80" s="67" t="s">
        <v>19390</v>
      </c>
      <c r="Q80" t="s">
        <v>3447</v>
      </c>
      <c r="R80" t="s">
        <v>3447</v>
      </c>
      <c r="S80" s="64">
        <v>34.72287</v>
      </c>
      <c r="T80" s="211">
        <f t="shared" si="15"/>
        <v>31.945040400000003</v>
      </c>
      <c r="U80" t="s">
        <v>19559</v>
      </c>
      <c r="V80" s="67" t="str">
        <f t="shared" si="16"/>
        <v>18.23</v>
      </c>
      <c r="X80" t="str">
        <f t="shared" si="18"/>
        <v>Arandelas 18x23</v>
      </c>
      <c r="Y80" s="64">
        <f t="shared" si="19"/>
        <v>14.542400000000001</v>
      </c>
      <c r="AA80" s="95">
        <f t="shared" si="20"/>
        <v>1.1966828308944879</v>
      </c>
      <c r="AC80">
        <v>5</v>
      </c>
    </row>
    <row r="81" spans="10:29" x14ac:dyDescent="0.2">
      <c r="J81" s="49" t="s">
        <v>19561</v>
      </c>
      <c r="K81" s="34" t="s">
        <v>19562</v>
      </c>
      <c r="L81" s="48">
        <v>0</v>
      </c>
      <c r="M81" s="48">
        <v>57.823999999999998</v>
      </c>
      <c r="N81" s="56">
        <v>0</v>
      </c>
      <c r="O81" t="str">
        <f t="shared" si="17"/>
        <v>FIBRA19x24</v>
      </c>
      <c r="P81" s="67" t="s">
        <v>19390</v>
      </c>
      <c r="Q81" t="s">
        <v>3450</v>
      </c>
      <c r="R81" t="s">
        <v>3450</v>
      </c>
      <c r="S81" s="64">
        <v>34.72287</v>
      </c>
      <c r="T81" s="211">
        <f t="shared" si="15"/>
        <v>31.945040400000003</v>
      </c>
      <c r="U81" t="s">
        <v>19561</v>
      </c>
      <c r="V81" s="67" t="str">
        <f t="shared" si="16"/>
        <v>19.24</v>
      </c>
      <c r="X81" t="str">
        <f t="shared" si="18"/>
        <v>Arandelas 19x24</v>
      </c>
      <c r="Y81" s="64">
        <f t="shared" si="19"/>
        <v>15.9064</v>
      </c>
      <c r="AA81" s="95">
        <f t="shared" si="20"/>
        <v>1.0083136599104767</v>
      </c>
      <c r="AC81">
        <v>5</v>
      </c>
    </row>
    <row r="82" spans="10:29" x14ac:dyDescent="0.2">
      <c r="J82" s="49" t="s">
        <v>19563</v>
      </c>
      <c r="K82" s="34" t="s">
        <v>19564</v>
      </c>
      <c r="L82" s="48">
        <v>4.6159999999999997</v>
      </c>
      <c r="M82" s="48">
        <v>21.344000000000001</v>
      </c>
      <c r="N82" s="56">
        <v>6.7119999999999997</v>
      </c>
      <c r="O82" t="str">
        <f t="shared" si="17"/>
        <v>FIBRA20x26</v>
      </c>
      <c r="P82" s="67" t="s">
        <v>19390</v>
      </c>
      <c r="Q82" t="s">
        <v>3453</v>
      </c>
      <c r="R82" t="s">
        <v>3453</v>
      </c>
      <c r="S82" s="64">
        <v>40.515149999999998</v>
      </c>
      <c r="T82" s="211">
        <f t="shared" si="15"/>
        <v>37.273938000000001</v>
      </c>
      <c r="U82" t="s">
        <v>19563</v>
      </c>
      <c r="V82" s="67" t="str">
        <f t="shared" si="16"/>
        <v>20.26</v>
      </c>
      <c r="X82" t="str">
        <f t="shared" si="18"/>
        <v>Arandelas 20x26</v>
      </c>
      <c r="Y82" s="64">
        <f t="shared" si="19"/>
        <v>18.3992</v>
      </c>
      <c r="AA82" s="95">
        <f t="shared" si="20"/>
        <v>1.0258455802426192</v>
      </c>
      <c r="AC82">
        <v>5</v>
      </c>
    </row>
    <row r="83" spans="10:29" x14ac:dyDescent="0.2">
      <c r="J83" s="49" t="s">
        <v>19565</v>
      </c>
      <c r="K83" s="34" t="s">
        <v>19566</v>
      </c>
      <c r="L83" s="48">
        <v>5.4720000000000004</v>
      </c>
      <c r="M83" s="48">
        <v>24.024000000000001</v>
      </c>
      <c r="N83" s="56">
        <v>7.7450000000000001</v>
      </c>
      <c r="O83" t="str">
        <f t="shared" si="17"/>
        <v>FIBRA21x26</v>
      </c>
      <c r="P83" s="67" t="s">
        <v>19390</v>
      </c>
      <c r="Q83" t="s">
        <v>3456</v>
      </c>
      <c r="R83" t="s">
        <v>3456</v>
      </c>
      <c r="S83" s="64">
        <v>40.515149999999998</v>
      </c>
      <c r="T83" s="211">
        <f t="shared" si="15"/>
        <v>37.273938000000001</v>
      </c>
      <c r="U83" t="s">
        <v>19565</v>
      </c>
      <c r="V83" s="67" t="str">
        <f t="shared" si="16"/>
        <v>21.26</v>
      </c>
      <c r="X83" t="str">
        <f t="shared" si="18"/>
        <v>Arandelas 21x26</v>
      </c>
      <c r="Y83" s="64">
        <f t="shared" si="19"/>
        <v>18.3992</v>
      </c>
      <c r="AA83" s="95">
        <f t="shared" si="20"/>
        <v>1.0258455802426192</v>
      </c>
      <c r="AC83">
        <v>5</v>
      </c>
    </row>
    <row r="84" spans="10:29" x14ac:dyDescent="0.2">
      <c r="J84" s="49" t="s">
        <v>19567</v>
      </c>
      <c r="K84" s="34" t="s">
        <v>19568</v>
      </c>
      <c r="L84" s="48">
        <v>5.6079999999999997</v>
      </c>
      <c r="M84" s="48">
        <v>0</v>
      </c>
      <c r="N84" s="56">
        <v>0</v>
      </c>
      <c r="O84" t="str">
        <f t="shared" si="17"/>
        <v>FIBRA22x28</v>
      </c>
      <c r="P84" s="67" t="s">
        <v>19390</v>
      </c>
      <c r="Q84" t="s">
        <v>3459</v>
      </c>
      <c r="R84" t="s">
        <v>3459</v>
      </c>
      <c r="S84" s="64">
        <v>53.732640000000004</v>
      </c>
      <c r="T84" s="211">
        <f t="shared" si="15"/>
        <v>49.434028800000007</v>
      </c>
      <c r="U84" t="s">
        <v>19567</v>
      </c>
      <c r="V84" s="67" t="str">
        <f t="shared" si="16"/>
        <v>22.28</v>
      </c>
      <c r="X84" t="str">
        <f t="shared" si="18"/>
        <v>Arandelas 22x28</v>
      </c>
      <c r="Y84" s="64">
        <f t="shared" si="19"/>
        <v>20.072800000000001</v>
      </c>
      <c r="AA84" s="95">
        <f t="shared" si="20"/>
        <v>1.4627370770395762</v>
      </c>
      <c r="AC84">
        <v>5</v>
      </c>
    </row>
    <row r="85" spans="10:29" x14ac:dyDescent="0.2">
      <c r="J85" s="49" t="s">
        <v>19569</v>
      </c>
      <c r="K85" s="34" t="s">
        <v>19570</v>
      </c>
      <c r="L85" s="48">
        <v>6.2320000000000002</v>
      </c>
      <c r="M85" s="48">
        <v>30.24</v>
      </c>
      <c r="N85" s="56">
        <v>8.8119999999999994</v>
      </c>
      <c r="O85" t="str">
        <f t="shared" si="17"/>
        <v>FIBRA24x30</v>
      </c>
      <c r="P85" s="67" t="s">
        <v>19390</v>
      </c>
      <c r="Q85" t="s">
        <v>3522</v>
      </c>
      <c r="R85" t="s">
        <v>3522</v>
      </c>
      <c r="S85" s="64">
        <v>57.861179999999997</v>
      </c>
      <c r="T85" s="211">
        <f t="shared" si="15"/>
        <v>53.232285599999997</v>
      </c>
      <c r="U85" t="s">
        <v>19569</v>
      </c>
      <c r="V85" s="67" t="str">
        <f t="shared" si="16"/>
        <v>24.30</v>
      </c>
      <c r="X85" t="str">
        <f t="shared" si="18"/>
        <v>Arandelas 24x30</v>
      </c>
      <c r="Y85" s="64">
        <f t="shared" si="19"/>
        <v>21.732800000000001</v>
      </c>
      <c r="AA85" s="95">
        <f t="shared" si="20"/>
        <v>1.4493984024147828</v>
      </c>
      <c r="AC85">
        <v>5</v>
      </c>
    </row>
    <row r="86" spans="10:29" x14ac:dyDescent="0.2">
      <c r="J86" s="49" t="s">
        <v>19571</v>
      </c>
      <c r="K86" s="34" t="s">
        <v>19572</v>
      </c>
      <c r="L86" s="48">
        <v>5.6079999999999997</v>
      </c>
      <c r="M86" s="48">
        <v>0</v>
      </c>
      <c r="N86" s="56">
        <v>0</v>
      </c>
      <c r="O86" t="str">
        <f t="shared" si="17"/>
        <v>FIBRA26x34</v>
      </c>
      <c r="P86" s="67" t="s">
        <v>19390</v>
      </c>
      <c r="Q86" t="s">
        <v>3465</v>
      </c>
      <c r="R86" t="s">
        <v>3465</v>
      </c>
      <c r="S86" s="64">
        <v>66.118259999999992</v>
      </c>
      <c r="T86" s="211">
        <f t="shared" si="15"/>
        <v>60.828799199999999</v>
      </c>
      <c r="U86" t="s">
        <v>19571</v>
      </c>
      <c r="V86" s="67" t="str">
        <f t="shared" si="16"/>
        <v>26.34</v>
      </c>
      <c r="X86" t="str">
        <f t="shared" si="18"/>
        <v>Arandelas 26x34</v>
      </c>
      <c r="Y86" s="64">
        <f t="shared" si="19"/>
        <v>26.765600000000003</v>
      </c>
      <c r="AA86" s="95">
        <f t="shared" si="20"/>
        <v>1.2726484442717516</v>
      </c>
      <c r="AC86">
        <v>5</v>
      </c>
    </row>
    <row r="87" spans="10:29" x14ac:dyDescent="0.2">
      <c r="J87" s="49" t="s">
        <v>19573</v>
      </c>
      <c r="K87" s="34" t="s">
        <v>19574</v>
      </c>
      <c r="L87" s="48">
        <v>0</v>
      </c>
      <c r="M87" s="48">
        <v>42.688000000000002</v>
      </c>
      <c r="N87" s="56">
        <v>0</v>
      </c>
      <c r="O87" t="str">
        <f t="shared" si="17"/>
        <v>FIBRA28x36</v>
      </c>
      <c r="P87" s="67" t="s">
        <v>19390</v>
      </c>
      <c r="Q87" t="s">
        <v>3527</v>
      </c>
      <c r="R87" t="s">
        <v>3527</v>
      </c>
      <c r="S87" s="64">
        <v>78.534689999999998</v>
      </c>
      <c r="T87" s="211">
        <f t="shared" si="15"/>
        <v>72.251914799999994</v>
      </c>
      <c r="U87" t="s">
        <v>19573</v>
      </c>
      <c r="V87" s="67" t="str">
        <f t="shared" si="16"/>
        <v>28.36</v>
      </c>
      <c r="X87" t="str">
        <f t="shared" si="18"/>
        <v>Arandelas 28x36</v>
      </c>
      <c r="Y87" s="64">
        <f t="shared" si="19"/>
        <v>30.092000000000002</v>
      </c>
      <c r="AA87" s="95">
        <f t="shared" si="20"/>
        <v>1.4010339891000925</v>
      </c>
      <c r="AC87">
        <v>5</v>
      </c>
    </row>
    <row r="88" spans="10:29" x14ac:dyDescent="0.2">
      <c r="J88" s="49" t="s">
        <v>19575</v>
      </c>
      <c r="K88" s="34" t="s">
        <v>19576</v>
      </c>
      <c r="L88" s="48">
        <v>6.4720000000000004</v>
      </c>
      <c r="M88" s="48">
        <v>37.36</v>
      </c>
      <c r="N88" s="56">
        <v>9.4250000000000007</v>
      </c>
      <c r="O88" t="str">
        <f t="shared" si="17"/>
        <v>FIBRA30x40</v>
      </c>
      <c r="P88" s="67" t="s">
        <v>19390</v>
      </c>
      <c r="Q88" t="s">
        <v>3530</v>
      </c>
      <c r="R88" t="s">
        <v>3530</v>
      </c>
      <c r="S88" s="64">
        <v>99.208200000000005</v>
      </c>
      <c r="T88" s="211">
        <f t="shared" si="15"/>
        <v>91.271544000000006</v>
      </c>
      <c r="U88" t="s">
        <v>19575</v>
      </c>
      <c r="V88" s="67" t="str">
        <f t="shared" si="16"/>
        <v>30.40</v>
      </c>
      <c r="X88" t="str">
        <f t="shared" si="18"/>
        <v>Arandelas 30x40</v>
      </c>
      <c r="Y88" s="64">
        <f t="shared" si="19"/>
        <v>36.798400000000001</v>
      </c>
      <c r="AA88" s="95">
        <f t="shared" si="20"/>
        <v>1.4803128396886822</v>
      </c>
      <c r="AC88">
        <v>5</v>
      </c>
    </row>
    <row r="89" spans="10:29" ht="13.5" thickBot="1" x14ac:dyDescent="0.25">
      <c r="J89" s="49" t="s">
        <v>19577</v>
      </c>
      <c r="K89" s="34" t="s">
        <v>19578</v>
      </c>
      <c r="L89" s="48">
        <v>0</v>
      </c>
      <c r="M89" s="48">
        <v>53.368000000000002</v>
      </c>
      <c r="N89" s="56">
        <v>0</v>
      </c>
      <c r="O89" t="str">
        <f t="shared" si="17"/>
        <v>FIBRA32x40</v>
      </c>
      <c r="P89" s="66" t="s">
        <v>19390</v>
      </c>
      <c r="Q89" s="190" t="s">
        <v>3597</v>
      </c>
      <c r="R89" s="190" t="s">
        <v>3597</v>
      </c>
      <c r="S89" s="65">
        <v>99.208200000000005</v>
      </c>
      <c r="T89" s="212">
        <f t="shared" si="15"/>
        <v>91.271544000000006</v>
      </c>
      <c r="U89" t="s">
        <v>19577</v>
      </c>
      <c r="V89" s="66" t="str">
        <f t="shared" si="16"/>
        <v>32.40</v>
      </c>
      <c r="W89" s="190"/>
      <c r="X89" s="190" t="str">
        <f t="shared" si="18"/>
        <v>Arandelas 32x40</v>
      </c>
      <c r="Y89" s="65">
        <f t="shared" si="19"/>
        <v>33.445600000000006</v>
      </c>
      <c r="AA89" s="95">
        <f t="shared" si="20"/>
        <v>1.7289551988901377</v>
      </c>
      <c r="AC89">
        <v>5</v>
      </c>
    </row>
    <row r="90" spans="10:29" x14ac:dyDescent="0.2">
      <c r="J90" s="49" t="s">
        <v>19579</v>
      </c>
      <c r="K90" s="34" t="s">
        <v>19580</v>
      </c>
      <c r="L90" s="48">
        <v>0</v>
      </c>
      <c r="M90" s="48">
        <v>90</v>
      </c>
      <c r="N90" s="56">
        <v>0</v>
      </c>
      <c r="U90" t="s">
        <v>19579</v>
      </c>
    </row>
    <row r="91" spans="10:29" x14ac:dyDescent="0.2">
      <c r="J91" s="49" t="s">
        <v>19581</v>
      </c>
      <c r="K91" s="34" t="s">
        <v>19582</v>
      </c>
      <c r="L91" s="48">
        <v>0</v>
      </c>
      <c r="M91" s="48">
        <v>51.584000000000003</v>
      </c>
      <c r="N91" s="56">
        <v>0</v>
      </c>
      <c r="U91" t="s">
        <v>19581</v>
      </c>
    </row>
    <row r="92" spans="10:29" x14ac:dyDescent="0.2">
      <c r="J92" s="49" t="s">
        <v>19583</v>
      </c>
      <c r="K92" s="34" t="s">
        <v>19584</v>
      </c>
      <c r="L92" s="48">
        <v>0</v>
      </c>
      <c r="M92" s="48">
        <v>31.135999999999999</v>
      </c>
      <c r="N92" s="56">
        <v>0</v>
      </c>
      <c r="U92" t="s">
        <v>19583</v>
      </c>
    </row>
    <row r="93" spans="10:29" x14ac:dyDescent="0.2">
      <c r="J93" s="49" t="s">
        <v>19585</v>
      </c>
      <c r="K93" s="34" t="s">
        <v>19586</v>
      </c>
      <c r="L93" s="48">
        <v>0</v>
      </c>
      <c r="M93" s="48">
        <v>64</v>
      </c>
      <c r="N93" s="56">
        <v>0</v>
      </c>
      <c r="U93" t="s">
        <v>19585</v>
      </c>
    </row>
    <row r="94" spans="10:29" x14ac:dyDescent="0.2">
      <c r="J94" s="49" t="s">
        <v>19587</v>
      </c>
      <c r="K94" s="34" t="s">
        <v>19588</v>
      </c>
      <c r="L94" s="48">
        <v>8.6959999999999997</v>
      </c>
      <c r="M94" s="48">
        <v>44.472000000000001</v>
      </c>
      <c r="N94" s="56">
        <v>12.523999999999999</v>
      </c>
      <c r="U94" t="s">
        <v>19587</v>
      </c>
    </row>
    <row r="95" spans="10:29" x14ac:dyDescent="0.2">
      <c r="J95" s="49" t="s">
        <v>19589</v>
      </c>
      <c r="K95" s="34" t="s">
        <v>19590</v>
      </c>
      <c r="L95" s="48">
        <v>9.08</v>
      </c>
      <c r="M95" s="48">
        <v>47.16</v>
      </c>
      <c r="N95" s="56">
        <v>13.590999999999999</v>
      </c>
      <c r="U95" t="s">
        <v>19589</v>
      </c>
    </row>
    <row r="96" spans="10:29" x14ac:dyDescent="0.2">
      <c r="J96" s="49" t="s">
        <v>19591</v>
      </c>
      <c r="K96" s="34" t="s">
        <v>19592</v>
      </c>
      <c r="L96" s="48">
        <v>0</v>
      </c>
      <c r="M96" s="48">
        <v>0</v>
      </c>
      <c r="N96" s="56">
        <v>16.716000000000001</v>
      </c>
      <c r="U96" t="s">
        <v>19591</v>
      </c>
    </row>
    <row r="97" spans="10:21" x14ac:dyDescent="0.2">
      <c r="J97" s="49" t="s">
        <v>19593</v>
      </c>
      <c r="K97" s="34" t="s">
        <v>19594</v>
      </c>
      <c r="L97" s="48">
        <v>10.576000000000001</v>
      </c>
      <c r="M97" s="48">
        <v>53.368000000000002</v>
      </c>
      <c r="N97" s="56">
        <v>15.673999999999999</v>
      </c>
      <c r="U97" t="s">
        <v>19593</v>
      </c>
    </row>
    <row r="98" spans="10:21" x14ac:dyDescent="0.2">
      <c r="J98" s="49" t="s">
        <v>19595</v>
      </c>
      <c r="K98" s="34" t="s">
        <v>19596</v>
      </c>
      <c r="L98" s="48">
        <v>6.2320000000000002</v>
      </c>
      <c r="M98" s="48">
        <v>28.48</v>
      </c>
      <c r="N98" s="56">
        <v>8.9960000000000004</v>
      </c>
      <c r="U98" t="s">
        <v>19595</v>
      </c>
    </row>
    <row r="99" spans="10:21" x14ac:dyDescent="0.2">
      <c r="J99" s="49">
        <v>1</v>
      </c>
      <c r="K99" s="34" t="s">
        <v>19597</v>
      </c>
      <c r="L99" s="48">
        <v>4.4880000000000004</v>
      </c>
      <c r="M99" s="48">
        <v>0</v>
      </c>
      <c r="N99" s="56">
        <v>5.83</v>
      </c>
      <c r="U99" t="s">
        <v>19598</v>
      </c>
    </row>
    <row r="100" spans="10:21" x14ac:dyDescent="0.2">
      <c r="J100" s="49" t="s">
        <v>19599</v>
      </c>
      <c r="K100" s="34" t="s">
        <v>19600</v>
      </c>
      <c r="L100" s="48">
        <v>4.4880000000000004</v>
      </c>
      <c r="M100" s="48">
        <v>18.68</v>
      </c>
      <c r="N100" s="56">
        <v>5.83</v>
      </c>
      <c r="U100" t="s">
        <v>19599</v>
      </c>
    </row>
    <row r="101" spans="10:21" x14ac:dyDescent="0.2">
      <c r="J101" s="49" t="s">
        <v>19601</v>
      </c>
      <c r="K101" s="34" t="s">
        <v>19602</v>
      </c>
      <c r="L101" s="48">
        <v>4.6159999999999997</v>
      </c>
      <c r="M101" s="48">
        <v>18.68</v>
      </c>
      <c r="N101" s="56">
        <v>6.2830000000000004</v>
      </c>
      <c r="U101" t="s">
        <v>19601</v>
      </c>
    </row>
    <row r="102" spans="10:21" x14ac:dyDescent="0.2">
      <c r="J102" s="49" t="s">
        <v>19603</v>
      </c>
      <c r="K102" s="34" t="s">
        <v>19604</v>
      </c>
      <c r="L102" s="48">
        <v>3.72</v>
      </c>
      <c r="M102" s="48">
        <v>0</v>
      </c>
      <c r="N102" s="56">
        <v>0</v>
      </c>
      <c r="U102" t="s">
        <v>19603</v>
      </c>
    </row>
    <row r="103" spans="10:21" x14ac:dyDescent="0.2">
      <c r="J103" s="49" t="s">
        <v>19605</v>
      </c>
      <c r="K103" s="34" t="s">
        <v>19606</v>
      </c>
      <c r="L103" s="48">
        <v>4.6159999999999997</v>
      </c>
      <c r="M103" s="48">
        <v>0</v>
      </c>
      <c r="N103" s="56">
        <v>6.2830000000000004</v>
      </c>
      <c r="U103" t="s">
        <v>19605</v>
      </c>
    </row>
    <row r="104" spans="10:21" x14ac:dyDescent="0.2">
      <c r="J104" s="49" t="s">
        <v>19607</v>
      </c>
      <c r="K104" s="34" t="s">
        <v>19608</v>
      </c>
      <c r="L104" s="48">
        <v>4.6159999999999997</v>
      </c>
      <c r="M104" s="48">
        <v>17.783999999999999</v>
      </c>
      <c r="N104" s="56">
        <v>0</v>
      </c>
      <c r="U104" t="s">
        <v>19607</v>
      </c>
    </row>
    <row r="105" spans="10:21" x14ac:dyDescent="0.2">
      <c r="J105" s="49" t="s">
        <v>19609</v>
      </c>
      <c r="K105" s="34" t="s">
        <v>19610</v>
      </c>
      <c r="L105" s="48">
        <v>4.3600000000000003</v>
      </c>
      <c r="M105" s="48">
        <v>0</v>
      </c>
      <c r="N105" s="56">
        <v>0</v>
      </c>
      <c r="U105" t="s">
        <v>19609</v>
      </c>
    </row>
    <row r="106" spans="10:21" x14ac:dyDescent="0.2">
      <c r="J106" s="49" t="s">
        <v>19611</v>
      </c>
      <c r="K106" s="34" t="s">
        <v>19612</v>
      </c>
      <c r="L106" s="48">
        <v>0</v>
      </c>
      <c r="M106" s="48">
        <v>0</v>
      </c>
      <c r="N106" s="56">
        <v>5.048</v>
      </c>
      <c r="U106" t="s">
        <v>19611</v>
      </c>
    </row>
    <row r="107" spans="10:21" x14ac:dyDescent="0.2">
      <c r="J107" s="49" t="s">
        <v>19613</v>
      </c>
      <c r="K107" s="34" t="s">
        <v>19614</v>
      </c>
      <c r="L107" s="48">
        <v>5.36</v>
      </c>
      <c r="M107" s="48">
        <v>21.344000000000001</v>
      </c>
      <c r="N107" s="56">
        <v>7.3159999999999998</v>
      </c>
      <c r="U107" t="s">
        <v>19613</v>
      </c>
    </row>
    <row r="108" spans="10:21" x14ac:dyDescent="0.2">
      <c r="J108" s="49" t="s">
        <v>19615</v>
      </c>
      <c r="K108" s="34" t="s">
        <v>19616</v>
      </c>
      <c r="L108" s="48">
        <v>4.72</v>
      </c>
      <c r="M108" s="48">
        <v>19.559999999999999</v>
      </c>
      <c r="N108" s="56">
        <v>6.2830000000000004</v>
      </c>
      <c r="U108" t="s">
        <v>19615</v>
      </c>
    </row>
    <row r="109" spans="10:21" x14ac:dyDescent="0.2">
      <c r="J109" s="49" t="s">
        <v>19617</v>
      </c>
      <c r="K109" s="34" t="s">
        <v>19618</v>
      </c>
      <c r="L109" s="48">
        <v>4.72</v>
      </c>
      <c r="M109" s="48">
        <v>20.463999999999999</v>
      </c>
      <c r="N109" s="56">
        <v>6.2830000000000004</v>
      </c>
      <c r="U109" t="s">
        <v>19617</v>
      </c>
    </row>
    <row r="110" spans="10:21" x14ac:dyDescent="0.2">
      <c r="J110" s="49" t="s">
        <v>19619</v>
      </c>
      <c r="K110" s="34" t="s">
        <v>19620</v>
      </c>
      <c r="L110" s="48">
        <v>14.928000000000001</v>
      </c>
      <c r="M110" s="48">
        <v>57.823999999999998</v>
      </c>
      <c r="N110" s="56">
        <v>0</v>
      </c>
      <c r="U110" t="s">
        <v>19619</v>
      </c>
    </row>
    <row r="111" spans="10:21" x14ac:dyDescent="0.2">
      <c r="J111" s="49" t="s">
        <v>19621</v>
      </c>
      <c r="K111" s="34" t="s">
        <v>19622</v>
      </c>
      <c r="L111" s="48">
        <v>6.2320000000000002</v>
      </c>
      <c r="M111" s="48">
        <v>24.456</v>
      </c>
      <c r="N111" s="56">
        <v>0</v>
      </c>
      <c r="U111" t="s">
        <v>19621</v>
      </c>
    </row>
    <row r="112" spans="10:21" x14ac:dyDescent="0.2">
      <c r="J112" s="49" t="s">
        <v>19623</v>
      </c>
      <c r="K112" s="34" t="s">
        <v>19624</v>
      </c>
      <c r="L112" s="48">
        <v>9.3520000000000003</v>
      </c>
      <c r="M112" s="48">
        <v>44.472000000000001</v>
      </c>
      <c r="N112" s="56">
        <v>0</v>
      </c>
      <c r="U112" t="s">
        <v>19623</v>
      </c>
    </row>
    <row r="113" spans="9:21" x14ac:dyDescent="0.2">
      <c r="J113" s="49" t="s">
        <v>19625</v>
      </c>
      <c r="K113" s="34" t="s">
        <v>19626</v>
      </c>
      <c r="L113" s="48">
        <v>4.72</v>
      </c>
      <c r="M113" s="48">
        <v>0</v>
      </c>
      <c r="N113" s="56">
        <v>0</v>
      </c>
      <c r="U113" t="s">
        <v>19625</v>
      </c>
    </row>
    <row r="114" spans="9:21" x14ac:dyDescent="0.2">
      <c r="J114" s="49" t="s">
        <v>19627</v>
      </c>
      <c r="K114" s="34" t="s">
        <v>19628</v>
      </c>
      <c r="L114" s="48">
        <v>4.72</v>
      </c>
      <c r="M114" s="48">
        <v>19.559999999999999</v>
      </c>
      <c r="N114" s="56">
        <v>7.3159999999999998</v>
      </c>
      <c r="U114" t="s">
        <v>19627</v>
      </c>
    </row>
    <row r="115" spans="9:21" x14ac:dyDescent="0.2">
      <c r="J115" s="49" t="s">
        <v>19629</v>
      </c>
      <c r="K115" s="34" t="s">
        <v>19630</v>
      </c>
      <c r="L115" s="48">
        <v>3.4</v>
      </c>
      <c r="M115" s="48">
        <v>19.559999999999999</v>
      </c>
      <c r="N115" s="56">
        <v>7.3159999999999998</v>
      </c>
      <c r="U115" t="s">
        <v>19629</v>
      </c>
    </row>
    <row r="116" spans="9:21" x14ac:dyDescent="0.2">
      <c r="J116" s="49" t="s">
        <v>19631</v>
      </c>
      <c r="K116" s="34" t="s">
        <v>19632</v>
      </c>
      <c r="L116" s="48">
        <v>0</v>
      </c>
      <c r="M116" s="48">
        <v>0</v>
      </c>
      <c r="N116" s="56">
        <v>5.2249999999999996</v>
      </c>
      <c r="U116" t="s">
        <v>19631</v>
      </c>
    </row>
    <row r="117" spans="9:21" x14ac:dyDescent="0.2">
      <c r="I117">
        <v>102</v>
      </c>
      <c r="J117" s="49" t="s">
        <v>19633</v>
      </c>
      <c r="K117" s="34" t="s">
        <v>19634</v>
      </c>
      <c r="L117" s="48">
        <v>0</v>
      </c>
      <c r="M117" s="48">
        <v>59.304000000000002</v>
      </c>
      <c r="N117" s="56">
        <v>0</v>
      </c>
      <c r="U117" t="s">
        <v>19633</v>
      </c>
    </row>
    <row r="118" spans="9:21" x14ac:dyDescent="0.2">
      <c r="J118" s="49" t="s">
        <v>19635</v>
      </c>
      <c r="K118" s="34" t="s">
        <v>19636</v>
      </c>
      <c r="L118" s="48">
        <v>6.2320000000000002</v>
      </c>
      <c r="M118" s="48">
        <v>28.48</v>
      </c>
      <c r="N118" s="56">
        <v>8.9960000000000004</v>
      </c>
      <c r="U118" t="s">
        <v>19635</v>
      </c>
    </row>
    <row r="119" spans="9:21" x14ac:dyDescent="0.2">
      <c r="J119" s="49" t="s">
        <v>19637</v>
      </c>
      <c r="K119" s="34" t="s">
        <v>19638</v>
      </c>
      <c r="L119" s="48">
        <v>5.4720000000000004</v>
      </c>
      <c r="M119" s="48">
        <v>19.559999999999999</v>
      </c>
      <c r="N119" s="56">
        <v>0</v>
      </c>
      <c r="U119" t="s">
        <v>19637</v>
      </c>
    </row>
    <row r="120" spans="9:21" x14ac:dyDescent="0.2">
      <c r="J120" s="49" t="s">
        <v>19639</v>
      </c>
      <c r="K120" s="34" t="s">
        <v>19640</v>
      </c>
      <c r="L120" s="48">
        <v>0</v>
      </c>
      <c r="M120" s="48">
        <v>74.111999999999995</v>
      </c>
      <c r="N120" s="56">
        <v>0</v>
      </c>
      <c r="U120" t="s">
        <v>19639</v>
      </c>
    </row>
    <row r="121" spans="9:21" x14ac:dyDescent="0.2">
      <c r="J121" s="49" t="s">
        <v>19641</v>
      </c>
      <c r="K121" s="34" t="s">
        <v>19642</v>
      </c>
      <c r="L121" s="48">
        <v>11.208</v>
      </c>
      <c r="M121" s="48">
        <v>0</v>
      </c>
      <c r="N121" s="56">
        <v>0</v>
      </c>
      <c r="U121" t="s">
        <v>19641</v>
      </c>
    </row>
    <row r="122" spans="9:21" x14ac:dyDescent="0.2">
      <c r="J122" s="49" t="s">
        <v>19643</v>
      </c>
      <c r="K122" s="34" t="s">
        <v>19644</v>
      </c>
      <c r="L122" s="48">
        <v>6.2320000000000002</v>
      </c>
      <c r="M122" s="48">
        <v>0</v>
      </c>
      <c r="N122" s="56">
        <v>0</v>
      </c>
      <c r="U122" t="s">
        <v>19643</v>
      </c>
    </row>
    <row r="123" spans="9:21" x14ac:dyDescent="0.2">
      <c r="J123" s="49" t="s">
        <v>19645</v>
      </c>
      <c r="K123" s="34" t="s">
        <v>19646</v>
      </c>
      <c r="L123" s="48">
        <v>6.8559999999999999</v>
      </c>
      <c r="M123" s="48">
        <v>37.36</v>
      </c>
      <c r="N123" s="56">
        <v>10.45</v>
      </c>
      <c r="U123" t="s">
        <v>19645</v>
      </c>
    </row>
    <row r="124" spans="9:21" x14ac:dyDescent="0.2">
      <c r="J124" s="49" t="s">
        <v>19647</v>
      </c>
      <c r="K124" s="34" t="s">
        <v>19648</v>
      </c>
      <c r="L124" s="48">
        <v>0</v>
      </c>
      <c r="M124" s="48">
        <v>0</v>
      </c>
      <c r="N124" s="56">
        <v>18.832999999999998</v>
      </c>
      <c r="U124" t="s">
        <v>19647</v>
      </c>
    </row>
    <row r="125" spans="9:21" x14ac:dyDescent="0.2">
      <c r="J125" s="49" t="s">
        <v>19649</v>
      </c>
      <c r="K125" s="34" t="s">
        <v>19650</v>
      </c>
      <c r="L125" s="48">
        <v>9.952</v>
      </c>
      <c r="M125" s="48">
        <v>40.911999999999999</v>
      </c>
      <c r="N125" s="56">
        <v>13.590999999999999</v>
      </c>
      <c r="U125" t="s">
        <v>19649</v>
      </c>
    </row>
    <row r="126" spans="9:21" x14ac:dyDescent="0.2">
      <c r="J126" s="49" t="s">
        <v>19651</v>
      </c>
      <c r="K126" s="34" t="s">
        <v>19652</v>
      </c>
      <c r="L126" s="48">
        <v>18.664000000000001</v>
      </c>
      <c r="M126" s="48">
        <v>80.055999999999997</v>
      </c>
      <c r="N126" s="56">
        <v>0</v>
      </c>
      <c r="U126" t="s">
        <v>19651</v>
      </c>
    </row>
    <row r="127" spans="9:21" x14ac:dyDescent="0.2">
      <c r="J127" s="49" t="s">
        <v>19653</v>
      </c>
      <c r="K127" s="34" t="s">
        <v>19654</v>
      </c>
      <c r="L127" s="48">
        <v>54.991999999999997</v>
      </c>
      <c r="M127" s="48">
        <v>0</v>
      </c>
      <c r="N127" s="56">
        <v>0</v>
      </c>
      <c r="U127" t="s">
        <v>19653</v>
      </c>
    </row>
    <row r="128" spans="9:21" x14ac:dyDescent="0.2">
      <c r="J128" s="49" t="s">
        <v>19655</v>
      </c>
      <c r="K128" s="34" t="s">
        <v>19656</v>
      </c>
      <c r="L128" s="48">
        <v>10.824</v>
      </c>
      <c r="M128" s="48">
        <v>55.16</v>
      </c>
      <c r="N128" s="56">
        <v>14.641</v>
      </c>
      <c r="U128" t="s">
        <v>19655</v>
      </c>
    </row>
    <row r="129" spans="10:21" x14ac:dyDescent="0.2">
      <c r="J129" s="49" t="s">
        <v>19657</v>
      </c>
      <c r="K129" s="34" t="s">
        <v>19658</v>
      </c>
      <c r="L129" s="48">
        <v>0</v>
      </c>
      <c r="M129" s="48">
        <v>88.912000000000006</v>
      </c>
      <c r="N129" s="56">
        <v>0</v>
      </c>
      <c r="U129" t="s">
        <v>19657</v>
      </c>
    </row>
    <row r="130" spans="10:21" x14ac:dyDescent="0.2">
      <c r="J130" s="49" t="s">
        <v>19659</v>
      </c>
      <c r="K130" s="34" t="s">
        <v>19660</v>
      </c>
      <c r="L130" s="48">
        <v>0</v>
      </c>
      <c r="M130" s="48">
        <v>0</v>
      </c>
      <c r="N130" s="56">
        <v>20.908000000000001</v>
      </c>
      <c r="U130" t="s">
        <v>19659</v>
      </c>
    </row>
    <row r="131" spans="10:21" x14ac:dyDescent="0.2">
      <c r="J131" s="49" t="s">
        <v>19661</v>
      </c>
      <c r="K131" s="34" t="s">
        <v>19662</v>
      </c>
      <c r="L131" s="48">
        <v>0</v>
      </c>
      <c r="M131" s="48">
        <v>57.823999999999998</v>
      </c>
      <c r="N131" s="56">
        <v>0</v>
      </c>
      <c r="U131" t="s">
        <v>19661</v>
      </c>
    </row>
    <row r="132" spans="10:21" x14ac:dyDescent="0.2">
      <c r="J132" s="49" t="s">
        <v>19663</v>
      </c>
      <c r="K132" s="34" t="s">
        <v>19664</v>
      </c>
      <c r="L132" s="48">
        <v>0</v>
      </c>
      <c r="M132" s="48">
        <v>42.688000000000002</v>
      </c>
      <c r="N132" s="56">
        <v>0</v>
      </c>
      <c r="U132" t="s">
        <v>19663</v>
      </c>
    </row>
    <row r="133" spans="10:21" x14ac:dyDescent="0.2">
      <c r="J133" s="49" t="s">
        <v>19665</v>
      </c>
      <c r="K133" s="34" t="s">
        <v>19666</v>
      </c>
      <c r="L133" s="48">
        <v>5.4720000000000004</v>
      </c>
      <c r="M133" s="48">
        <v>22.24</v>
      </c>
      <c r="N133" s="56">
        <v>7.5350000000000001</v>
      </c>
      <c r="U133" t="s">
        <v>19665</v>
      </c>
    </row>
    <row r="134" spans="10:21" x14ac:dyDescent="0.2">
      <c r="J134" s="49" t="s">
        <v>19667</v>
      </c>
      <c r="K134" s="34" t="s">
        <v>19668</v>
      </c>
      <c r="L134" s="48">
        <v>6.2320000000000002</v>
      </c>
      <c r="M134" s="48">
        <v>26.696000000000002</v>
      </c>
      <c r="N134" s="56">
        <v>8.9960000000000004</v>
      </c>
      <c r="U134" t="s">
        <v>19667</v>
      </c>
    </row>
    <row r="135" spans="10:21" x14ac:dyDescent="0.2">
      <c r="J135" s="49" t="s">
        <v>19669</v>
      </c>
      <c r="K135" s="34" t="s">
        <v>19670</v>
      </c>
      <c r="L135" s="48">
        <v>0</v>
      </c>
      <c r="M135" s="48">
        <v>17.783999999999999</v>
      </c>
      <c r="N135" s="56">
        <v>0</v>
      </c>
      <c r="U135" t="s">
        <v>19669</v>
      </c>
    </row>
    <row r="136" spans="10:21" x14ac:dyDescent="0.2">
      <c r="J136" s="49" t="s">
        <v>19671</v>
      </c>
      <c r="K136" s="34" t="s">
        <v>19672</v>
      </c>
      <c r="L136" s="48">
        <v>11.208</v>
      </c>
      <c r="M136" s="48">
        <v>44.472000000000001</v>
      </c>
      <c r="N136" s="56">
        <v>0</v>
      </c>
      <c r="U136" t="s">
        <v>19671</v>
      </c>
    </row>
    <row r="137" spans="10:21" x14ac:dyDescent="0.2">
      <c r="J137" s="49" t="s">
        <v>19673</v>
      </c>
      <c r="K137" s="34" t="s">
        <v>19674</v>
      </c>
      <c r="L137" s="48">
        <v>6.2320000000000002</v>
      </c>
      <c r="M137" s="48">
        <v>0</v>
      </c>
      <c r="N137" s="56">
        <v>8.9960000000000004</v>
      </c>
      <c r="U137" t="s">
        <v>19673</v>
      </c>
    </row>
    <row r="138" spans="10:21" x14ac:dyDescent="0.2">
      <c r="J138" s="49" t="s">
        <v>19675</v>
      </c>
      <c r="K138" s="34" t="s">
        <v>19676</v>
      </c>
      <c r="L138" s="48">
        <v>10.824</v>
      </c>
      <c r="M138" s="48">
        <v>53.368000000000002</v>
      </c>
      <c r="N138" s="56">
        <v>15.238</v>
      </c>
      <c r="U138" t="s">
        <v>19675</v>
      </c>
    </row>
    <row r="139" spans="10:21" x14ac:dyDescent="0.2">
      <c r="J139" s="49" t="s">
        <v>19677</v>
      </c>
      <c r="K139" s="34" t="s">
        <v>19678</v>
      </c>
      <c r="L139" s="48">
        <v>8.1039999999999992</v>
      </c>
      <c r="M139" s="48">
        <v>32.024000000000001</v>
      </c>
      <c r="N139" s="56">
        <v>0</v>
      </c>
      <c r="U139" t="s">
        <v>19677</v>
      </c>
    </row>
    <row r="140" spans="10:21" x14ac:dyDescent="0.2">
      <c r="J140" s="49" t="s">
        <v>19679</v>
      </c>
      <c r="K140" s="34" t="s">
        <v>19680</v>
      </c>
      <c r="L140" s="48">
        <v>18.664000000000001</v>
      </c>
      <c r="M140" s="48">
        <v>80.055999999999997</v>
      </c>
      <c r="N140" s="56">
        <v>0</v>
      </c>
      <c r="U140" t="s">
        <v>19679</v>
      </c>
    </row>
    <row r="141" spans="10:21" x14ac:dyDescent="0.2">
      <c r="J141" s="49" t="s">
        <v>19681</v>
      </c>
      <c r="K141" s="34" t="s">
        <v>19682</v>
      </c>
      <c r="L141" s="48">
        <v>8.1039999999999992</v>
      </c>
      <c r="M141" s="48">
        <v>40.911999999999999</v>
      </c>
      <c r="N141" s="56">
        <v>12.138</v>
      </c>
      <c r="U141" t="s">
        <v>19681</v>
      </c>
    </row>
    <row r="142" spans="10:21" x14ac:dyDescent="0.2">
      <c r="J142" s="49" t="s">
        <v>19683</v>
      </c>
      <c r="K142" s="34" t="s">
        <v>19684</v>
      </c>
      <c r="L142" s="48">
        <v>8.1039999999999992</v>
      </c>
      <c r="M142" s="48">
        <v>38.247999999999998</v>
      </c>
      <c r="N142" s="56">
        <v>12.138</v>
      </c>
      <c r="U142" t="s">
        <v>19683</v>
      </c>
    </row>
    <row r="143" spans="10:21" x14ac:dyDescent="0.2">
      <c r="J143" s="49" t="s">
        <v>19685</v>
      </c>
      <c r="K143" s="34" t="s">
        <v>19686</v>
      </c>
      <c r="L143" s="48">
        <v>4.6159999999999997</v>
      </c>
      <c r="M143" s="48">
        <v>20.463999999999999</v>
      </c>
      <c r="N143" s="56">
        <v>6.2830000000000004</v>
      </c>
      <c r="U143" t="s">
        <v>19685</v>
      </c>
    </row>
    <row r="144" spans="10:21" x14ac:dyDescent="0.2">
      <c r="J144" s="49" t="s">
        <v>19687</v>
      </c>
      <c r="K144" s="34" t="s">
        <v>19688</v>
      </c>
      <c r="L144" s="48">
        <v>4.72</v>
      </c>
      <c r="M144" s="48">
        <v>21.344000000000001</v>
      </c>
      <c r="N144" s="56">
        <v>6.9130000000000003</v>
      </c>
      <c r="U144" t="s">
        <v>19687</v>
      </c>
    </row>
    <row r="145" spans="10:21" x14ac:dyDescent="0.2">
      <c r="J145" s="49" t="s">
        <v>19689</v>
      </c>
      <c r="K145" s="34" t="s">
        <v>19690</v>
      </c>
      <c r="L145" s="48">
        <v>4.4880000000000004</v>
      </c>
      <c r="M145" s="48">
        <v>21.344000000000001</v>
      </c>
      <c r="N145" s="56">
        <v>6.2830000000000004</v>
      </c>
      <c r="U145" t="s">
        <v>19689</v>
      </c>
    </row>
    <row r="146" spans="10:21" x14ac:dyDescent="0.2">
      <c r="J146" s="49" t="s">
        <v>19691</v>
      </c>
      <c r="K146" s="34" t="s">
        <v>19692</v>
      </c>
      <c r="L146" s="48">
        <v>4.4880000000000004</v>
      </c>
      <c r="M146" s="48">
        <v>0</v>
      </c>
      <c r="N146" s="56">
        <v>6.2830000000000004</v>
      </c>
      <c r="U146" t="s">
        <v>19691</v>
      </c>
    </row>
    <row r="147" spans="10:21" x14ac:dyDescent="0.2">
      <c r="J147" s="49" t="s">
        <v>19693</v>
      </c>
      <c r="K147" s="34" t="s">
        <v>19694</v>
      </c>
      <c r="L147" s="48">
        <v>9.952</v>
      </c>
      <c r="M147" s="48">
        <v>0</v>
      </c>
      <c r="N147" s="56">
        <v>0</v>
      </c>
      <c r="U147" t="s">
        <v>19693</v>
      </c>
    </row>
    <row r="148" spans="10:21" x14ac:dyDescent="0.2">
      <c r="J148" s="49" t="s">
        <v>19695</v>
      </c>
      <c r="K148" s="34" t="s">
        <v>19696</v>
      </c>
      <c r="L148" s="48">
        <v>5.4720000000000004</v>
      </c>
      <c r="M148" s="48">
        <v>26.696000000000002</v>
      </c>
      <c r="N148" s="56">
        <v>7.5350000000000001</v>
      </c>
      <c r="U148" t="s">
        <v>19695</v>
      </c>
    </row>
    <row r="149" spans="10:21" x14ac:dyDescent="0.2">
      <c r="J149" s="49" t="s">
        <v>19697</v>
      </c>
      <c r="K149" s="34" t="s">
        <v>19698</v>
      </c>
      <c r="L149" s="48">
        <v>6.2320000000000002</v>
      </c>
      <c r="M149" s="48">
        <v>0</v>
      </c>
      <c r="N149" s="56">
        <v>0</v>
      </c>
      <c r="U149" t="s">
        <v>19697</v>
      </c>
    </row>
    <row r="150" spans="10:21" x14ac:dyDescent="0.2">
      <c r="J150" s="49" t="s">
        <v>19699</v>
      </c>
      <c r="K150" s="34" t="s">
        <v>19700</v>
      </c>
      <c r="L150" s="48">
        <v>56</v>
      </c>
      <c r="M150" s="48">
        <v>0</v>
      </c>
      <c r="N150" s="56">
        <v>0</v>
      </c>
      <c r="U150" t="s">
        <v>19699</v>
      </c>
    </row>
    <row r="151" spans="10:21" x14ac:dyDescent="0.2">
      <c r="J151" s="49" t="s">
        <v>19701</v>
      </c>
      <c r="K151" s="34" t="s">
        <v>19702</v>
      </c>
      <c r="L151" s="48">
        <v>5.4720000000000004</v>
      </c>
      <c r="M151" s="48">
        <v>0</v>
      </c>
      <c r="N151" s="56">
        <v>7.5350000000000001</v>
      </c>
      <c r="U151" t="s">
        <v>19701</v>
      </c>
    </row>
    <row r="152" spans="10:21" x14ac:dyDescent="0.2">
      <c r="J152" s="49" t="s">
        <v>19703</v>
      </c>
      <c r="K152" s="34" t="s">
        <v>19704</v>
      </c>
      <c r="L152" s="48">
        <v>5.4720000000000004</v>
      </c>
      <c r="M152" s="48">
        <v>22.24</v>
      </c>
      <c r="N152" s="56">
        <v>7.5350000000000001</v>
      </c>
      <c r="U152" t="s">
        <v>19703</v>
      </c>
    </row>
    <row r="153" spans="10:21" x14ac:dyDescent="0.2">
      <c r="J153" s="49" t="s">
        <v>19705</v>
      </c>
      <c r="K153" s="34" t="s">
        <v>19706</v>
      </c>
      <c r="L153" s="48">
        <v>4.976</v>
      </c>
      <c r="M153" s="48">
        <v>26.696000000000002</v>
      </c>
      <c r="N153" s="56">
        <v>7.3159999999999998</v>
      </c>
      <c r="U153" t="s">
        <v>19705</v>
      </c>
    </row>
    <row r="154" spans="10:21" x14ac:dyDescent="0.2">
      <c r="J154" s="49" t="s">
        <v>19707</v>
      </c>
      <c r="K154" s="34" t="s">
        <v>19708</v>
      </c>
      <c r="L154" s="48">
        <v>4.976</v>
      </c>
      <c r="M154" s="48">
        <v>0</v>
      </c>
      <c r="N154" s="56">
        <v>7.3159999999999998</v>
      </c>
      <c r="U154" t="s">
        <v>19707</v>
      </c>
    </row>
    <row r="155" spans="10:21" x14ac:dyDescent="0.2">
      <c r="J155" s="49" t="s">
        <v>19709</v>
      </c>
      <c r="K155" s="34" t="s">
        <v>19710</v>
      </c>
      <c r="L155" s="48">
        <v>6.8559999999999999</v>
      </c>
      <c r="M155" s="48">
        <v>0</v>
      </c>
      <c r="N155" s="56">
        <v>0</v>
      </c>
      <c r="U155" t="s">
        <v>19709</v>
      </c>
    </row>
    <row r="156" spans="10:21" x14ac:dyDescent="0.2">
      <c r="J156" s="49" t="s">
        <v>19711</v>
      </c>
      <c r="K156" s="34" t="s">
        <v>19712</v>
      </c>
      <c r="L156" s="48">
        <v>10.576000000000001</v>
      </c>
      <c r="M156" s="48">
        <v>0</v>
      </c>
      <c r="N156" s="56">
        <v>0</v>
      </c>
      <c r="U156" t="s">
        <v>19711</v>
      </c>
    </row>
    <row r="157" spans="10:21" x14ac:dyDescent="0.2">
      <c r="J157" s="49" t="s">
        <v>19713</v>
      </c>
      <c r="K157" s="34" t="s">
        <v>19714</v>
      </c>
      <c r="L157" s="48">
        <v>6.2320000000000002</v>
      </c>
      <c r="M157" s="48">
        <v>31.135999999999999</v>
      </c>
      <c r="N157" s="56">
        <v>8.9960000000000004</v>
      </c>
      <c r="U157" t="s">
        <v>19713</v>
      </c>
    </row>
    <row r="158" spans="10:21" x14ac:dyDescent="0.2">
      <c r="J158" s="49" t="s">
        <v>19715</v>
      </c>
      <c r="K158" s="34" t="s">
        <v>19716</v>
      </c>
      <c r="L158" s="48">
        <v>6.8559999999999999</v>
      </c>
      <c r="M158" s="48">
        <v>35.584000000000003</v>
      </c>
      <c r="N158" s="56">
        <v>10.45</v>
      </c>
      <c r="U158" t="s">
        <v>19715</v>
      </c>
    </row>
    <row r="159" spans="10:21" x14ac:dyDescent="0.2">
      <c r="J159" s="49" t="s">
        <v>19717</v>
      </c>
      <c r="K159" s="34" t="s">
        <v>19718</v>
      </c>
      <c r="L159" s="48">
        <v>0</v>
      </c>
      <c r="M159" s="48">
        <v>0</v>
      </c>
      <c r="N159" s="56">
        <v>10.45</v>
      </c>
      <c r="U159" t="s">
        <v>19717</v>
      </c>
    </row>
    <row r="160" spans="10:21" x14ac:dyDescent="0.2">
      <c r="J160" s="49" t="s">
        <v>19719</v>
      </c>
      <c r="K160" s="34" t="s">
        <v>19720</v>
      </c>
      <c r="L160" s="48">
        <v>7.2320000000000002</v>
      </c>
      <c r="M160" s="48">
        <v>38.247999999999998</v>
      </c>
      <c r="N160" s="56">
        <v>10.885999999999999</v>
      </c>
      <c r="U160" t="s">
        <v>19719</v>
      </c>
    </row>
    <row r="161" spans="10:21" x14ac:dyDescent="0.2">
      <c r="J161" s="49" t="s">
        <v>19721</v>
      </c>
      <c r="K161" s="34" t="s">
        <v>19722</v>
      </c>
      <c r="L161" s="48">
        <v>7.2320000000000002</v>
      </c>
      <c r="M161" s="48">
        <v>0</v>
      </c>
      <c r="N161" s="56">
        <v>0</v>
      </c>
      <c r="U161" t="s">
        <v>19721</v>
      </c>
    </row>
    <row r="162" spans="10:21" x14ac:dyDescent="0.2">
      <c r="J162" s="49" t="s">
        <v>19723</v>
      </c>
      <c r="K162" s="34" t="s">
        <v>19724</v>
      </c>
      <c r="L162" s="48">
        <v>8.1039999999999992</v>
      </c>
      <c r="M162" s="48">
        <v>44.472000000000001</v>
      </c>
      <c r="N162" s="56">
        <v>12.138</v>
      </c>
      <c r="U162" t="s">
        <v>19723</v>
      </c>
    </row>
    <row r="163" spans="10:21" x14ac:dyDescent="0.2">
      <c r="J163" s="49" t="s">
        <v>19725</v>
      </c>
      <c r="K163" s="34" t="s">
        <v>19726</v>
      </c>
      <c r="L163" s="48">
        <v>9.952</v>
      </c>
      <c r="M163" s="48">
        <v>47.16</v>
      </c>
      <c r="N163" s="56">
        <v>14.641</v>
      </c>
      <c r="U163" t="s">
        <v>19725</v>
      </c>
    </row>
    <row r="164" spans="10:21" x14ac:dyDescent="0.2">
      <c r="J164" s="49" t="s">
        <v>19727</v>
      </c>
      <c r="K164" s="34" t="s">
        <v>19728</v>
      </c>
      <c r="L164" s="48">
        <v>17.440000000000001</v>
      </c>
      <c r="M164" s="48">
        <v>71.152000000000001</v>
      </c>
      <c r="N164" s="56">
        <v>0</v>
      </c>
      <c r="U164" t="s">
        <v>19727</v>
      </c>
    </row>
    <row r="165" spans="10:21" x14ac:dyDescent="0.2">
      <c r="J165" s="49" t="s">
        <v>19729</v>
      </c>
      <c r="K165" s="34" t="s">
        <v>19730</v>
      </c>
      <c r="L165" s="48">
        <v>0</v>
      </c>
      <c r="M165" s="48">
        <v>53.368000000000002</v>
      </c>
      <c r="N165" s="56">
        <v>0</v>
      </c>
      <c r="U165" t="s">
        <v>19729</v>
      </c>
    </row>
    <row r="166" spans="10:21" x14ac:dyDescent="0.2">
      <c r="J166" s="49" t="s">
        <v>19731</v>
      </c>
      <c r="K166" s="34" t="s">
        <v>19732</v>
      </c>
      <c r="L166" s="48">
        <v>0</v>
      </c>
      <c r="M166" s="48">
        <v>31.135999999999999</v>
      </c>
      <c r="N166" s="56">
        <v>0</v>
      </c>
      <c r="U166" t="s">
        <v>19731</v>
      </c>
    </row>
    <row r="167" spans="10:21" x14ac:dyDescent="0.2">
      <c r="J167" s="49" t="s">
        <v>19733</v>
      </c>
      <c r="K167" s="34" t="s">
        <v>19734</v>
      </c>
      <c r="L167" s="48">
        <v>0</v>
      </c>
      <c r="M167" s="48">
        <v>80.055999999999997</v>
      </c>
      <c r="N167" s="56">
        <v>0</v>
      </c>
      <c r="U167" t="s">
        <v>19733</v>
      </c>
    </row>
    <row r="168" spans="10:21" x14ac:dyDescent="0.2">
      <c r="J168" s="49" t="s">
        <v>19735</v>
      </c>
      <c r="K168" s="34" t="s">
        <v>19736</v>
      </c>
      <c r="L168" s="48">
        <v>10.576000000000001</v>
      </c>
      <c r="M168" s="48">
        <v>56.031999999999996</v>
      </c>
      <c r="N168" s="56">
        <v>15.07</v>
      </c>
      <c r="U168" t="s">
        <v>19735</v>
      </c>
    </row>
    <row r="169" spans="10:21" x14ac:dyDescent="0.2">
      <c r="J169" s="49" t="s">
        <v>19737</v>
      </c>
      <c r="K169" s="34" t="s">
        <v>19738</v>
      </c>
      <c r="L169" s="48">
        <v>8.9760000000000009</v>
      </c>
      <c r="M169" s="48">
        <v>38.247999999999998</v>
      </c>
      <c r="N169" s="56">
        <v>0</v>
      </c>
      <c r="U169" t="s">
        <v>19737</v>
      </c>
    </row>
    <row r="170" spans="10:21" x14ac:dyDescent="0.2">
      <c r="J170" s="49" t="s">
        <v>19739</v>
      </c>
      <c r="K170" s="34" t="s">
        <v>19740</v>
      </c>
      <c r="L170" s="48">
        <v>10.824</v>
      </c>
      <c r="M170" s="48">
        <v>57.823999999999998</v>
      </c>
      <c r="N170" s="56">
        <v>16.716000000000001</v>
      </c>
      <c r="U170" t="s">
        <v>19739</v>
      </c>
    </row>
    <row r="171" spans="10:21" x14ac:dyDescent="0.2">
      <c r="J171" s="49" t="s">
        <v>19741</v>
      </c>
      <c r="K171" s="34" t="s">
        <v>19742</v>
      </c>
      <c r="L171" s="48">
        <v>5.4720000000000004</v>
      </c>
      <c r="M171" s="48">
        <v>35.584000000000003</v>
      </c>
      <c r="N171" s="56">
        <v>0</v>
      </c>
      <c r="U171" t="s">
        <v>19741</v>
      </c>
    </row>
    <row r="172" spans="10:21" x14ac:dyDescent="0.2">
      <c r="J172" s="49" t="s">
        <v>19743</v>
      </c>
      <c r="K172" s="34" t="s">
        <v>19744</v>
      </c>
      <c r="L172" s="48">
        <v>18.664000000000001</v>
      </c>
      <c r="M172" s="48">
        <v>84.504000000000005</v>
      </c>
      <c r="N172" s="56">
        <v>0</v>
      </c>
      <c r="U172" t="s">
        <v>19743</v>
      </c>
    </row>
    <row r="173" spans="10:21" x14ac:dyDescent="0.2">
      <c r="J173" s="49" t="s">
        <v>19745</v>
      </c>
      <c r="K173" s="34" t="s">
        <v>19746</v>
      </c>
      <c r="L173" s="48">
        <v>13.696</v>
      </c>
      <c r="M173" s="48">
        <v>80.055999999999997</v>
      </c>
      <c r="N173" s="56">
        <v>20.908000000000001</v>
      </c>
      <c r="U173" t="s">
        <v>19745</v>
      </c>
    </row>
    <row r="174" spans="10:21" x14ac:dyDescent="0.2">
      <c r="J174" s="49" t="s">
        <v>19747</v>
      </c>
      <c r="K174" s="34" t="s">
        <v>19748</v>
      </c>
      <c r="L174" s="48">
        <v>24.896000000000001</v>
      </c>
      <c r="M174" s="48">
        <v>115.6</v>
      </c>
      <c r="N174" s="56">
        <v>0</v>
      </c>
      <c r="U174" t="s">
        <v>19747</v>
      </c>
    </row>
    <row r="175" spans="10:21" x14ac:dyDescent="0.2">
      <c r="J175" s="49" t="s">
        <v>19749</v>
      </c>
      <c r="K175" s="34" t="s">
        <v>19750</v>
      </c>
      <c r="L175" s="48">
        <v>13.696</v>
      </c>
      <c r="M175" s="48">
        <v>84.504000000000005</v>
      </c>
      <c r="N175" s="56">
        <v>20.908000000000001</v>
      </c>
      <c r="U175" t="s">
        <v>19749</v>
      </c>
    </row>
    <row r="176" spans="10:21" x14ac:dyDescent="0.2">
      <c r="J176" s="49" t="s">
        <v>19751</v>
      </c>
      <c r="K176" s="34" t="s">
        <v>19752</v>
      </c>
      <c r="L176" s="48">
        <v>16.184000000000001</v>
      </c>
      <c r="M176" s="48">
        <v>88.912000000000006</v>
      </c>
      <c r="N176" s="56">
        <v>22.998999999999999</v>
      </c>
      <c r="U176" t="s">
        <v>19751</v>
      </c>
    </row>
    <row r="177" spans="10:21" x14ac:dyDescent="0.2">
      <c r="J177" s="49" t="s">
        <v>19753</v>
      </c>
      <c r="K177" s="34" t="s">
        <v>19754</v>
      </c>
      <c r="L177" s="48">
        <v>11.824</v>
      </c>
      <c r="M177" s="48">
        <v>75.591999999999999</v>
      </c>
      <c r="N177" s="56">
        <v>16.716000000000001</v>
      </c>
      <c r="U177" t="s">
        <v>19753</v>
      </c>
    </row>
    <row r="178" spans="10:21" x14ac:dyDescent="0.2">
      <c r="J178" s="49" t="s">
        <v>19755</v>
      </c>
      <c r="K178" s="34" t="s">
        <v>19756</v>
      </c>
      <c r="L178" s="48">
        <v>7.2320000000000002</v>
      </c>
      <c r="M178" s="48">
        <v>35.584000000000003</v>
      </c>
      <c r="N178" s="56">
        <v>10.45</v>
      </c>
      <c r="U178" t="s">
        <v>19755</v>
      </c>
    </row>
    <row r="179" spans="10:21" x14ac:dyDescent="0.2">
      <c r="J179" s="49" t="s">
        <v>19757</v>
      </c>
      <c r="K179" s="34" t="s">
        <v>19758</v>
      </c>
      <c r="L179" s="48">
        <v>7.6</v>
      </c>
      <c r="M179" s="48">
        <v>44.472000000000001</v>
      </c>
      <c r="N179" s="56">
        <v>12.138</v>
      </c>
      <c r="U179" t="s">
        <v>19757</v>
      </c>
    </row>
    <row r="180" spans="10:21" x14ac:dyDescent="0.2">
      <c r="J180" s="49" t="s">
        <v>19759</v>
      </c>
      <c r="K180" s="34" t="s">
        <v>19760</v>
      </c>
      <c r="L180" s="48">
        <v>0</v>
      </c>
      <c r="M180" s="48">
        <v>84.504000000000005</v>
      </c>
      <c r="N180" s="56">
        <v>0</v>
      </c>
      <c r="U180" t="s">
        <v>19759</v>
      </c>
    </row>
    <row r="181" spans="10:21" x14ac:dyDescent="0.2">
      <c r="J181" s="49" t="s">
        <v>19761</v>
      </c>
      <c r="K181" s="34" t="s">
        <v>19762</v>
      </c>
      <c r="L181" s="48">
        <v>14.928000000000001</v>
      </c>
      <c r="M181" s="48">
        <v>88.912000000000006</v>
      </c>
      <c r="N181" s="56">
        <v>17.765999999999998</v>
      </c>
      <c r="U181" t="s">
        <v>19761</v>
      </c>
    </row>
    <row r="182" spans="10:21" x14ac:dyDescent="0.2">
      <c r="J182" s="49" t="s">
        <v>19763</v>
      </c>
      <c r="K182" s="34" t="s">
        <v>19764</v>
      </c>
      <c r="L182" s="48">
        <v>7.2320000000000002</v>
      </c>
      <c r="M182" s="48">
        <v>0</v>
      </c>
      <c r="N182" s="56">
        <v>0</v>
      </c>
      <c r="U182" t="s">
        <v>19763</v>
      </c>
    </row>
    <row r="183" spans="10:21" x14ac:dyDescent="0.2">
      <c r="J183" s="49" t="s">
        <v>19765</v>
      </c>
      <c r="K183" s="34" t="s">
        <v>19766</v>
      </c>
      <c r="L183" s="48">
        <v>6.2320000000000002</v>
      </c>
      <c r="M183" s="48">
        <v>29.36</v>
      </c>
      <c r="N183" s="56">
        <v>8.9960000000000004</v>
      </c>
      <c r="U183" t="s">
        <v>19765</v>
      </c>
    </row>
    <row r="184" spans="10:21" x14ac:dyDescent="0.2">
      <c r="J184" s="49" t="s">
        <v>19767</v>
      </c>
      <c r="K184" s="34" t="s">
        <v>19768</v>
      </c>
      <c r="L184" s="48">
        <v>6.2320000000000002</v>
      </c>
      <c r="M184" s="48">
        <v>0</v>
      </c>
      <c r="N184" s="56">
        <v>8.9960000000000004</v>
      </c>
      <c r="U184" t="s">
        <v>19767</v>
      </c>
    </row>
    <row r="185" spans="10:21" x14ac:dyDescent="0.2">
      <c r="J185" s="49" t="s">
        <v>19769</v>
      </c>
      <c r="K185" s="34" t="s">
        <v>19770</v>
      </c>
      <c r="L185" s="48">
        <v>6.2320000000000002</v>
      </c>
      <c r="M185" s="48">
        <v>31.135999999999999</v>
      </c>
      <c r="N185" s="56">
        <v>8.9960000000000004</v>
      </c>
      <c r="U185" t="s">
        <v>19769</v>
      </c>
    </row>
    <row r="186" spans="10:21" x14ac:dyDescent="0.2">
      <c r="J186" s="49" t="s">
        <v>19771</v>
      </c>
      <c r="K186" s="34" t="s">
        <v>19772</v>
      </c>
      <c r="L186" s="48">
        <v>6.2320000000000002</v>
      </c>
      <c r="M186" s="48">
        <v>0</v>
      </c>
      <c r="N186" s="56">
        <v>8.9960000000000004</v>
      </c>
      <c r="U186" t="s">
        <v>19771</v>
      </c>
    </row>
    <row r="187" spans="10:21" x14ac:dyDescent="0.2">
      <c r="J187" s="49" t="s">
        <v>19773</v>
      </c>
      <c r="K187" s="34" t="s">
        <v>19774</v>
      </c>
      <c r="L187" s="48">
        <v>12.464</v>
      </c>
      <c r="M187" s="48">
        <v>0</v>
      </c>
      <c r="N187" s="56">
        <v>0</v>
      </c>
      <c r="U187" t="s">
        <v>19773</v>
      </c>
    </row>
    <row r="188" spans="10:21" x14ac:dyDescent="0.2">
      <c r="J188" s="49" t="s">
        <v>19775</v>
      </c>
      <c r="K188" s="34" t="s">
        <v>19776</v>
      </c>
      <c r="L188" s="48">
        <v>7.2320000000000002</v>
      </c>
      <c r="M188" s="48">
        <v>35.584000000000003</v>
      </c>
      <c r="N188" s="56">
        <v>10.45</v>
      </c>
      <c r="U188" t="s">
        <v>19775</v>
      </c>
    </row>
    <row r="189" spans="10:21" x14ac:dyDescent="0.2">
      <c r="J189" s="49" t="s">
        <v>19777</v>
      </c>
      <c r="K189" s="34" t="s">
        <v>19778</v>
      </c>
      <c r="L189" s="48">
        <v>7.2320000000000002</v>
      </c>
      <c r="M189" s="48">
        <v>0</v>
      </c>
      <c r="N189" s="56">
        <v>10.45</v>
      </c>
      <c r="U189" t="s">
        <v>19777</v>
      </c>
    </row>
    <row r="190" spans="10:21" x14ac:dyDescent="0.2">
      <c r="J190" s="49" t="s">
        <v>19779</v>
      </c>
      <c r="K190" s="34" t="s">
        <v>19780</v>
      </c>
      <c r="L190" s="48">
        <v>0</v>
      </c>
      <c r="M190" s="48">
        <v>48</v>
      </c>
      <c r="N190" s="56">
        <v>0</v>
      </c>
      <c r="U190" t="s">
        <v>19779</v>
      </c>
    </row>
    <row r="191" spans="10:21" x14ac:dyDescent="0.2">
      <c r="J191" s="49" t="s">
        <v>19781</v>
      </c>
      <c r="K191" s="34" t="s">
        <v>19782</v>
      </c>
      <c r="L191" s="48">
        <v>7.2320000000000002</v>
      </c>
      <c r="M191" s="48">
        <v>40.04</v>
      </c>
      <c r="N191" s="56">
        <v>10.45</v>
      </c>
      <c r="U191" t="s">
        <v>19781</v>
      </c>
    </row>
    <row r="192" spans="10:21" x14ac:dyDescent="0.2">
      <c r="J192" s="49" t="s">
        <v>19783</v>
      </c>
      <c r="K192" s="34" t="s">
        <v>19784</v>
      </c>
      <c r="L192" s="48">
        <v>8.1039999999999992</v>
      </c>
      <c r="M192" s="48">
        <v>44.472000000000001</v>
      </c>
      <c r="N192" s="56">
        <v>12.138</v>
      </c>
      <c r="U192" t="s">
        <v>19783</v>
      </c>
    </row>
    <row r="193" spans="10:21" x14ac:dyDescent="0.2">
      <c r="J193" s="49" t="s">
        <v>19785</v>
      </c>
      <c r="K193" s="34" t="s">
        <v>19786</v>
      </c>
      <c r="L193" s="48">
        <v>9.08</v>
      </c>
      <c r="M193" s="48">
        <v>48.92</v>
      </c>
      <c r="N193" s="56">
        <v>13.590999999999999</v>
      </c>
      <c r="U193" t="s">
        <v>19785</v>
      </c>
    </row>
    <row r="194" spans="10:21" x14ac:dyDescent="0.2">
      <c r="J194" s="49" t="s">
        <v>19787</v>
      </c>
      <c r="K194" s="34" t="s">
        <v>19788</v>
      </c>
      <c r="L194" s="48">
        <v>8.1039999999999992</v>
      </c>
      <c r="M194" s="48">
        <v>0</v>
      </c>
      <c r="N194" s="56">
        <v>0</v>
      </c>
      <c r="U194" t="s">
        <v>19787</v>
      </c>
    </row>
    <row r="195" spans="10:21" x14ac:dyDescent="0.2">
      <c r="J195" s="49" t="s">
        <v>19789</v>
      </c>
      <c r="K195" s="34" t="s">
        <v>19790</v>
      </c>
      <c r="L195" s="48">
        <v>10.576000000000001</v>
      </c>
      <c r="M195" s="48">
        <v>56.031999999999996</v>
      </c>
      <c r="N195" s="56">
        <v>15.07</v>
      </c>
      <c r="U195" t="s">
        <v>19789</v>
      </c>
    </row>
    <row r="196" spans="10:21" x14ac:dyDescent="0.2">
      <c r="J196" s="49" t="s">
        <v>19791</v>
      </c>
      <c r="K196" s="34" t="s">
        <v>19792</v>
      </c>
      <c r="L196" s="48">
        <v>7.2320000000000002</v>
      </c>
      <c r="M196" s="48">
        <v>35.584000000000003</v>
      </c>
      <c r="N196" s="56">
        <v>10.45</v>
      </c>
      <c r="U196" t="s">
        <v>19791</v>
      </c>
    </row>
    <row r="197" spans="10:21" x14ac:dyDescent="0.2">
      <c r="J197" s="49" t="s">
        <v>19793</v>
      </c>
      <c r="K197" s="34" t="s">
        <v>19794</v>
      </c>
      <c r="L197" s="48">
        <v>8.1039999999999992</v>
      </c>
      <c r="M197" s="48">
        <v>0</v>
      </c>
      <c r="N197" s="56">
        <v>0</v>
      </c>
      <c r="U197" t="s">
        <v>19793</v>
      </c>
    </row>
    <row r="198" spans="10:21" x14ac:dyDescent="0.2">
      <c r="J198" s="49" t="s">
        <v>19795</v>
      </c>
      <c r="K198" s="34" t="s">
        <v>19796</v>
      </c>
      <c r="L198" s="48">
        <v>9.952</v>
      </c>
      <c r="M198" s="48">
        <v>56.031999999999996</v>
      </c>
      <c r="N198" s="56">
        <v>15.07</v>
      </c>
      <c r="U198" t="s">
        <v>19795</v>
      </c>
    </row>
    <row r="199" spans="10:21" x14ac:dyDescent="0.2">
      <c r="J199" s="49" t="s">
        <v>19797</v>
      </c>
      <c r="K199" s="34" t="s">
        <v>19798</v>
      </c>
      <c r="L199" s="48">
        <v>9.3520000000000003</v>
      </c>
      <c r="M199" s="48">
        <v>0</v>
      </c>
      <c r="N199" s="56">
        <v>0</v>
      </c>
      <c r="U199" t="s">
        <v>19797</v>
      </c>
    </row>
    <row r="200" spans="10:21" x14ac:dyDescent="0.2">
      <c r="J200" s="49" t="s">
        <v>19799</v>
      </c>
      <c r="K200" s="34" t="s">
        <v>19800</v>
      </c>
      <c r="L200" s="48">
        <v>8.1039999999999992</v>
      </c>
      <c r="M200" s="48">
        <v>44.472000000000001</v>
      </c>
      <c r="N200" s="56">
        <v>12.138</v>
      </c>
      <c r="U200" t="s">
        <v>19799</v>
      </c>
    </row>
    <row r="201" spans="10:21" x14ac:dyDescent="0.2">
      <c r="J201" s="49" t="s">
        <v>19801</v>
      </c>
      <c r="K201" s="34" t="s">
        <v>19802</v>
      </c>
      <c r="L201" s="48">
        <v>7.2320000000000002</v>
      </c>
      <c r="M201" s="48">
        <v>0</v>
      </c>
      <c r="N201" s="56">
        <v>10.45</v>
      </c>
      <c r="U201" t="s">
        <v>19801</v>
      </c>
    </row>
    <row r="202" spans="10:21" x14ac:dyDescent="0.2">
      <c r="J202" s="49" t="s">
        <v>19803</v>
      </c>
      <c r="K202" s="34" t="s">
        <v>19804</v>
      </c>
      <c r="L202" s="48">
        <v>6.2320000000000002</v>
      </c>
      <c r="M202" s="48">
        <v>29.36</v>
      </c>
      <c r="N202" s="56">
        <v>8.9960000000000004</v>
      </c>
      <c r="U202" t="s">
        <v>19803</v>
      </c>
    </row>
    <row r="203" spans="10:21" x14ac:dyDescent="0.2">
      <c r="J203" s="49" t="s">
        <v>19805</v>
      </c>
      <c r="K203" s="34" t="s">
        <v>19806</v>
      </c>
      <c r="L203" s="48">
        <v>6.2320000000000002</v>
      </c>
      <c r="M203" s="48">
        <v>0</v>
      </c>
      <c r="N203" s="56">
        <v>8.9960000000000004</v>
      </c>
      <c r="U203" t="s">
        <v>19805</v>
      </c>
    </row>
    <row r="204" spans="10:21" x14ac:dyDescent="0.2">
      <c r="J204" s="49" t="s">
        <v>19807</v>
      </c>
      <c r="K204" s="34" t="s">
        <v>19808</v>
      </c>
      <c r="L204" s="48">
        <v>6.2320000000000002</v>
      </c>
      <c r="M204" s="48">
        <v>31.135999999999999</v>
      </c>
      <c r="N204" s="56">
        <v>8.9960000000000004</v>
      </c>
      <c r="U204" t="s">
        <v>19807</v>
      </c>
    </row>
    <row r="205" spans="10:21" x14ac:dyDescent="0.2">
      <c r="J205" s="49" t="s">
        <v>19809</v>
      </c>
      <c r="K205" s="34" t="s">
        <v>19810</v>
      </c>
      <c r="L205" s="48">
        <v>7.2320000000000002</v>
      </c>
      <c r="M205" s="48">
        <v>33.799999999999997</v>
      </c>
      <c r="N205" s="56">
        <v>10.45</v>
      </c>
      <c r="U205" t="s">
        <v>19809</v>
      </c>
    </row>
    <row r="206" spans="10:21" x14ac:dyDescent="0.2">
      <c r="J206" s="49" t="s">
        <v>19811</v>
      </c>
      <c r="K206" s="34" t="s">
        <v>19812</v>
      </c>
      <c r="L206" s="48">
        <v>7.2320000000000002</v>
      </c>
      <c r="M206" s="48">
        <v>0</v>
      </c>
      <c r="N206" s="56">
        <v>10.45</v>
      </c>
      <c r="U206" t="s">
        <v>19811</v>
      </c>
    </row>
    <row r="207" spans="10:21" x14ac:dyDescent="0.2">
      <c r="J207" s="49" t="s">
        <v>19813</v>
      </c>
      <c r="K207" s="34" t="s">
        <v>19814</v>
      </c>
      <c r="L207" s="48">
        <v>8.6959999999999997</v>
      </c>
      <c r="M207" s="48">
        <v>40.04</v>
      </c>
      <c r="N207" s="56">
        <v>0</v>
      </c>
      <c r="U207" t="s">
        <v>19813</v>
      </c>
    </row>
    <row r="208" spans="10:21" x14ac:dyDescent="0.2">
      <c r="J208" s="49" t="s">
        <v>19815</v>
      </c>
      <c r="K208" s="34" t="s">
        <v>19816</v>
      </c>
      <c r="L208" s="48">
        <v>9.032</v>
      </c>
      <c r="M208" s="48">
        <v>0</v>
      </c>
      <c r="N208" s="56">
        <v>0</v>
      </c>
      <c r="U208" t="s">
        <v>19815</v>
      </c>
    </row>
    <row r="209" spans="10:21" x14ac:dyDescent="0.2">
      <c r="J209" s="49" t="s">
        <v>19817</v>
      </c>
      <c r="K209" s="34" t="s">
        <v>19818</v>
      </c>
      <c r="L209" s="48">
        <v>6.8559999999999999</v>
      </c>
      <c r="M209" s="48">
        <v>35.584000000000003</v>
      </c>
      <c r="N209" s="56">
        <v>10.45</v>
      </c>
      <c r="U209" t="s">
        <v>19817</v>
      </c>
    </row>
    <row r="210" spans="10:21" x14ac:dyDescent="0.2">
      <c r="J210" s="49" t="s">
        <v>19819</v>
      </c>
      <c r="K210" s="34" t="s">
        <v>19820</v>
      </c>
      <c r="L210" s="48">
        <v>13.696</v>
      </c>
      <c r="M210" s="48">
        <v>60.472000000000001</v>
      </c>
      <c r="N210" s="56">
        <v>0</v>
      </c>
      <c r="U210" t="s">
        <v>19819</v>
      </c>
    </row>
    <row r="211" spans="10:21" x14ac:dyDescent="0.2">
      <c r="J211" s="49" t="s">
        <v>19821</v>
      </c>
      <c r="K211" s="34" t="s">
        <v>19822</v>
      </c>
      <c r="L211" s="48">
        <v>18.664000000000001</v>
      </c>
      <c r="M211" s="48">
        <v>106.72799999999999</v>
      </c>
      <c r="N211" s="56">
        <v>0</v>
      </c>
      <c r="U211" t="s">
        <v>19821</v>
      </c>
    </row>
    <row r="212" spans="10:21" x14ac:dyDescent="0.2">
      <c r="J212" s="49" t="s">
        <v>19823</v>
      </c>
      <c r="K212" s="34" t="s">
        <v>19824</v>
      </c>
      <c r="L212" s="48">
        <v>9.7279999999999998</v>
      </c>
      <c r="M212" s="48">
        <v>53.368000000000002</v>
      </c>
      <c r="N212" s="56">
        <v>12.138</v>
      </c>
      <c r="U212" t="s">
        <v>19823</v>
      </c>
    </row>
    <row r="213" spans="10:21" x14ac:dyDescent="0.2">
      <c r="J213" s="49" t="s">
        <v>19825</v>
      </c>
      <c r="K213" s="34" t="s">
        <v>19826</v>
      </c>
      <c r="L213" s="48">
        <v>8.1039999999999992</v>
      </c>
      <c r="M213" s="48">
        <v>44.472000000000001</v>
      </c>
      <c r="N213" s="56">
        <v>12.138</v>
      </c>
      <c r="U213" t="s">
        <v>19825</v>
      </c>
    </row>
    <row r="214" spans="10:21" x14ac:dyDescent="0.2">
      <c r="J214" s="49" t="s">
        <v>19827</v>
      </c>
      <c r="K214" s="34" t="s">
        <v>19828</v>
      </c>
      <c r="L214" s="48">
        <v>0</v>
      </c>
      <c r="M214" s="48">
        <v>69.384</v>
      </c>
      <c r="N214" s="56">
        <v>0</v>
      </c>
      <c r="U214" t="s">
        <v>19827</v>
      </c>
    </row>
    <row r="215" spans="10:21" x14ac:dyDescent="0.2">
      <c r="J215" s="49" t="s">
        <v>19829</v>
      </c>
      <c r="K215" s="34" t="s">
        <v>19830</v>
      </c>
      <c r="L215" s="48">
        <v>9.08</v>
      </c>
      <c r="M215" s="48">
        <v>48.904000000000003</v>
      </c>
      <c r="N215" s="56">
        <v>13.590999999999999</v>
      </c>
      <c r="U215" t="s">
        <v>19829</v>
      </c>
    </row>
    <row r="216" spans="10:21" x14ac:dyDescent="0.2">
      <c r="J216" s="49" t="s">
        <v>19831</v>
      </c>
      <c r="K216" s="34" t="s">
        <v>19832</v>
      </c>
      <c r="L216" s="48">
        <v>9.08</v>
      </c>
      <c r="M216" s="48">
        <v>0</v>
      </c>
      <c r="N216" s="56">
        <v>0</v>
      </c>
      <c r="U216" t="s">
        <v>19831</v>
      </c>
    </row>
    <row r="217" spans="10:21" x14ac:dyDescent="0.2">
      <c r="J217" s="49" t="s">
        <v>19833</v>
      </c>
      <c r="K217" s="34" t="s">
        <v>19834</v>
      </c>
      <c r="L217" s="48">
        <v>10.576000000000001</v>
      </c>
      <c r="M217" s="48">
        <v>56.031999999999996</v>
      </c>
      <c r="N217" s="56">
        <v>15.07</v>
      </c>
      <c r="U217" t="s">
        <v>19833</v>
      </c>
    </row>
    <row r="218" spans="10:21" x14ac:dyDescent="0.2">
      <c r="J218" s="49" t="s">
        <v>19835</v>
      </c>
      <c r="K218" s="34" t="s">
        <v>19836</v>
      </c>
      <c r="L218" s="48">
        <v>8.1039999999999992</v>
      </c>
      <c r="M218" s="48">
        <v>0</v>
      </c>
      <c r="N218" s="56">
        <v>0</v>
      </c>
      <c r="U218" t="s">
        <v>19835</v>
      </c>
    </row>
    <row r="219" spans="10:21" x14ac:dyDescent="0.2">
      <c r="J219" s="49" t="s">
        <v>19837</v>
      </c>
      <c r="K219" s="34" t="s">
        <v>19838</v>
      </c>
      <c r="L219" s="48">
        <v>12.464</v>
      </c>
      <c r="M219" s="48">
        <v>71.152000000000001</v>
      </c>
      <c r="N219" s="56">
        <v>18.832999999999998</v>
      </c>
      <c r="U219" t="s">
        <v>19837</v>
      </c>
    </row>
    <row r="220" spans="10:21" x14ac:dyDescent="0.2">
      <c r="J220" s="49" t="s">
        <v>19839</v>
      </c>
      <c r="K220" s="34" t="s">
        <v>19840</v>
      </c>
      <c r="L220" s="48">
        <v>12.464</v>
      </c>
      <c r="M220" s="48">
        <v>0</v>
      </c>
      <c r="N220" s="56">
        <v>0</v>
      </c>
      <c r="U220" t="s">
        <v>19839</v>
      </c>
    </row>
    <row r="221" spans="10:21" x14ac:dyDescent="0.2">
      <c r="J221" s="49" t="s">
        <v>19841</v>
      </c>
      <c r="K221" s="34" t="s">
        <v>19842</v>
      </c>
      <c r="L221" s="48">
        <v>13.696</v>
      </c>
      <c r="M221" s="48">
        <v>80.055999999999997</v>
      </c>
      <c r="N221" s="56">
        <v>20.908000000000001</v>
      </c>
      <c r="U221" t="s">
        <v>19841</v>
      </c>
    </row>
    <row r="222" spans="10:21" x14ac:dyDescent="0.2">
      <c r="J222" s="49" t="s">
        <v>19843</v>
      </c>
      <c r="K222" s="34" t="s">
        <v>19844</v>
      </c>
      <c r="L222" s="48">
        <v>14.928000000000001</v>
      </c>
      <c r="M222" s="48">
        <v>88.912000000000006</v>
      </c>
      <c r="N222" s="56">
        <v>22.998999999999999</v>
      </c>
      <c r="U222" t="s">
        <v>19843</v>
      </c>
    </row>
    <row r="223" spans="10:21" x14ac:dyDescent="0.2">
      <c r="J223" s="49" t="s">
        <v>19845</v>
      </c>
      <c r="K223" s="34" t="s">
        <v>19846</v>
      </c>
      <c r="L223" s="48">
        <v>17.440000000000001</v>
      </c>
      <c r="M223" s="48">
        <v>106.72799999999999</v>
      </c>
      <c r="N223" s="56">
        <v>25.091000000000001</v>
      </c>
      <c r="U223" t="s">
        <v>19845</v>
      </c>
    </row>
    <row r="224" spans="10:21" x14ac:dyDescent="0.2">
      <c r="J224" s="49" t="s">
        <v>19847</v>
      </c>
      <c r="K224" s="34" t="s">
        <v>19848</v>
      </c>
      <c r="L224" s="48">
        <v>9.08</v>
      </c>
      <c r="M224" s="48">
        <v>55.16</v>
      </c>
      <c r="N224" s="56">
        <v>13.590999999999999</v>
      </c>
      <c r="U224" t="s">
        <v>19847</v>
      </c>
    </row>
    <row r="225" spans="10:21" x14ac:dyDescent="0.2">
      <c r="J225" s="49" t="s">
        <v>19849</v>
      </c>
      <c r="K225" s="34" t="s">
        <v>19850</v>
      </c>
      <c r="L225" s="48">
        <v>5.7359999999999998</v>
      </c>
      <c r="M225" s="48">
        <v>0</v>
      </c>
      <c r="N225" s="56">
        <v>0</v>
      </c>
      <c r="U225" t="s">
        <v>19849</v>
      </c>
    </row>
    <row r="226" spans="10:21" x14ac:dyDescent="0.2">
      <c r="J226" s="49" t="s">
        <v>19851</v>
      </c>
      <c r="K226" s="34" t="s">
        <v>19852</v>
      </c>
      <c r="L226" s="48">
        <v>6.2320000000000002</v>
      </c>
      <c r="M226" s="48">
        <v>0</v>
      </c>
      <c r="N226" s="56">
        <v>0</v>
      </c>
      <c r="U226" t="s">
        <v>19851</v>
      </c>
    </row>
    <row r="227" spans="10:21" x14ac:dyDescent="0.2">
      <c r="J227" s="49" t="s">
        <v>19853</v>
      </c>
      <c r="K227" s="34" t="s">
        <v>19854</v>
      </c>
      <c r="L227" s="48">
        <v>7.2320000000000002</v>
      </c>
      <c r="M227" s="48">
        <v>33.799999999999997</v>
      </c>
      <c r="N227" s="56">
        <v>10.45</v>
      </c>
      <c r="U227" t="s">
        <v>19853</v>
      </c>
    </row>
    <row r="228" spans="10:21" x14ac:dyDescent="0.2">
      <c r="J228" s="49" t="s">
        <v>19855</v>
      </c>
      <c r="K228" s="34" t="s">
        <v>19856</v>
      </c>
      <c r="L228" s="48">
        <v>0</v>
      </c>
      <c r="M228" s="48">
        <v>53.368000000000002</v>
      </c>
      <c r="N228" s="56">
        <v>0</v>
      </c>
      <c r="U228" t="s">
        <v>19855</v>
      </c>
    </row>
    <row r="229" spans="10:21" x14ac:dyDescent="0.2">
      <c r="J229" s="49" t="s">
        <v>19857</v>
      </c>
      <c r="K229" s="34" t="s">
        <v>19858</v>
      </c>
      <c r="L229" s="48">
        <v>8.1039999999999992</v>
      </c>
      <c r="M229" s="48">
        <v>42.688000000000002</v>
      </c>
      <c r="N229" s="56">
        <v>12.138</v>
      </c>
      <c r="U229" t="s">
        <v>19857</v>
      </c>
    </row>
    <row r="230" spans="10:21" x14ac:dyDescent="0.2">
      <c r="J230" s="49" t="s">
        <v>19859</v>
      </c>
      <c r="K230" s="34" t="s">
        <v>19860</v>
      </c>
      <c r="L230" s="48">
        <v>14.928000000000001</v>
      </c>
      <c r="M230" s="48">
        <v>0</v>
      </c>
      <c r="N230" s="56">
        <v>0</v>
      </c>
      <c r="U230" t="s">
        <v>19859</v>
      </c>
    </row>
    <row r="231" spans="10:21" x14ac:dyDescent="0.2">
      <c r="J231" s="49" t="s">
        <v>19861</v>
      </c>
      <c r="K231" s="34" t="s">
        <v>19862</v>
      </c>
      <c r="L231" s="48">
        <v>8.1039999999999992</v>
      </c>
      <c r="M231" s="48">
        <v>44.472000000000001</v>
      </c>
      <c r="N231" s="56">
        <v>12.138</v>
      </c>
      <c r="U231" t="s">
        <v>19861</v>
      </c>
    </row>
    <row r="232" spans="10:21" x14ac:dyDescent="0.2">
      <c r="J232" s="49" t="s">
        <v>19863</v>
      </c>
      <c r="K232" s="34" t="s">
        <v>19864</v>
      </c>
      <c r="L232" s="48">
        <v>9.08</v>
      </c>
      <c r="M232" s="48">
        <v>0</v>
      </c>
      <c r="N232" s="56">
        <v>13.590999999999999</v>
      </c>
      <c r="U232" t="s">
        <v>19863</v>
      </c>
    </row>
    <row r="233" spans="10:21" x14ac:dyDescent="0.2">
      <c r="J233" s="49" t="s">
        <v>19865</v>
      </c>
      <c r="K233" s="34" t="s">
        <v>19866</v>
      </c>
      <c r="L233" s="48">
        <v>7.48</v>
      </c>
      <c r="M233" s="48">
        <v>0</v>
      </c>
      <c r="N233" s="56">
        <v>0</v>
      </c>
      <c r="U233" t="s">
        <v>19865</v>
      </c>
    </row>
    <row r="234" spans="10:21" x14ac:dyDescent="0.2">
      <c r="J234" s="49" t="s">
        <v>19867</v>
      </c>
      <c r="K234" s="34" t="s">
        <v>19868</v>
      </c>
      <c r="L234" s="48">
        <v>9.08</v>
      </c>
      <c r="M234" s="48">
        <v>55.16</v>
      </c>
      <c r="N234" s="56">
        <v>13.590999999999999</v>
      </c>
      <c r="U234" t="s">
        <v>19867</v>
      </c>
    </row>
    <row r="235" spans="10:21" x14ac:dyDescent="0.2">
      <c r="J235" s="49" t="s">
        <v>19869</v>
      </c>
      <c r="K235" s="34" t="s">
        <v>19870</v>
      </c>
      <c r="L235" s="48">
        <v>13.696</v>
      </c>
      <c r="M235" s="48">
        <v>0</v>
      </c>
      <c r="N235" s="56">
        <v>0</v>
      </c>
      <c r="U235" t="s">
        <v>19869</v>
      </c>
    </row>
    <row r="236" spans="10:21" x14ac:dyDescent="0.2">
      <c r="J236" s="49" t="s">
        <v>19871</v>
      </c>
      <c r="K236" s="34" t="s">
        <v>19872</v>
      </c>
      <c r="L236" s="48">
        <v>16.184000000000001</v>
      </c>
      <c r="M236" s="48">
        <v>84.504000000000005</v>
      </c>
      <c r="N236" s="56">
        <v>0</v>
      </c>
      <c r="U236" t="s">
        <v>19871</v>
      </c>
    </row>
    <row r="237" spans="10:21" x14ac:dyDescent="0.2">
      <c r="J237" s="49" t="s">
        <v>19873</v>
      </c>
      <c r="K237" s="34" t="s">
        <v>19874</v>
      </c>
      <c r="L237" s="48">
        <v>8.1039999999999992</v>
      </c>
      <c r="M237" s="48">
        <v>50.72</v>
      </c>
      <c r="N237" s="56">
        <v>13.590999999999999</v>
      </c>
      <c r="U237" t="s">
        <v>19873</v>
      </c>
    </row>
    <row r="238" spans="10:21" x14ac:dyDescent="0.2">
      <c r="J238" s="49" t="s">
        <v>19875</v>
      </c>
      <c r="K238" s="34" t="s">
        <v>19876</v>
      </c>
      <c r="L238" s="48">
        <v>9.952</v>
      </c>
      <c r="M238" s="48">
        <v>0</v>
      </c>
      <c r="N238" s="56">
        <v>14.212999999999999</v>
      </c>
      <c r="U238" t="s">
        <v>19875</v>
      </c>
    </row>
    <row r="239" spans="10:21" x14ac:dyDescent="0.2">
      <c r="J239" s="49" t="s">
        <v>19877</v>
      </c>
      <c r="K239" s="34" t="s">
        <v>19878</v>
      </c>
      <c r="L239" s="48">
        <v>8.9760000000000009</v>
      </c>
      <c r="M239" s="48">
        <v>0</v>
      </c>
      <c r="N239" s="56">
        <v>0</v>
      </c>
      <c r="U239" t="s">
        <v>19877</v>
      </c>
    </row>
    <row r="240" spans="10:21" x14ac:dyDescent="0.2">
      <c r="J240" s="49" t="s">
        <v>19879</v>
      </c>
      <c r="K240" s="34" t="s">
        <v>19880</v>
      </c>
      <c r="L240" s="48">
        <v>13.696</v>
      </c>
      <c r="M240" s="48">
        <v>80.055999999999997</v>
      </c>
      <c r="N240" s="56">
        <v>20.908000000000001</v>
      </c>
      <c r="U240" t="s">
        <v>19879</v>
      </c>
    </row>
    <row r="241" spans="9:21" x14ac:dyDescent="0.2">
      <c r="J241" s="49" t="s">
        <v>19881</v>
      </c>
      <c r="K241" s="34" t="s">
        <v>19882</v>
      </c>
      <c r="L241" s="48">
        <v>49.768000000000001</v>
      </c>
      <c r="M241" s="48">
        <v>0</v>
      </c>
      <c r="N241" s="56">
        <v>0</v>
      </c>
      <c r="U241" t="s">
        <v>19881</v>
      </c>
    </row>
    <row r="242" spans="9:21" x14ac:dyDescent="0.2">
      <c r="J242" s="49" t="s">
        <v>19883</v>
      </c>
      <c r="K242" s="34" t="s">
        <v>19884</v>
      </c>
      <c r="L242" s="48">
        <v>0</v>
      </c>
      <c r="M242" s="48">
        <v>75.591999999999999</v>
      </c>
      <c r="N242" s="56">
        <v>0</v>
      </c>
      <c r="U242" t="s">
        <v>19883</v>
      </c>
    </row>
    <row r="243" spans="9:21" x14ac:dyDescent="0.2">
      <c r="J243" s="49" t="s">
        <v>19885</v>
      </c>
      <c r="K243" s="34" t="s">
        <v>19886</v>
      </c>
      <c r="L243" s="48">
        <v>16.184000000000001</v>
      </c>
      <c r="M243" s="48">
        <v>88.912000000000006</v>
      </c>
      <c r="N243" s="56">
        <v>22.998999999999999</v>
      </c>
      <c r="U243" t="s">
        <v>19885</v>
      </c>
    </row>
    <row r="244" spans="9:21" x14ac:dyDescent="0.2">
      <c r="J244" s="49" t="s">
        <v>19887</v>
      </c>
      <c r="K244" s="34" t="s">
        <v>19888</v>
      </c>
      <c r="L244" s="48">
        <v>17.440000000000001</v>
      </c>
      <c r="M244" s="48">
        <v>106.72799999999999</v>
      </c>
      <c r="N244" s="56">
        <v>27.166</v>
      </c>
      <c r="U244" t="s">
        <v>19887</v>
      </c>
    </row>
    <row r="245" spans="9:21" x14ac:dyDescent="0.2">
      <c r="J245" s="49" t="s">
        <v>19889</v>
      </c>
      <c r="K245" s="34" t="s">
        <v>19890</v>
      </c>
      <c r="L245" s="48">
        <v>0</v>
      </c>
      <c r="M245" s="48">
        <v>102.27200000000001</v>
      </c>
      <c r="N245" s="56">
        <v>0</v>
      </c>
      <c r="U245" t="s">
        <v>19889</v>
      </c>
    </row>
    <row r="246" spans="9:21" x14ac:dyDescent="0.2">
      <c r="J246" s="49" t="s">
        <v>19891</v>
      </c>
      <c r="K246" s="34" t="s">
        <v>19892</v>
      </c>
      <c r="L246" s="48">
        <v>9.952</v>
      </c>
      <c r="M246" s="48">
        <v>53.368000000000002</v>
      </c>
      <c r="N246" s="56">
        <v>15.07</v>
      </c>
      <c r="U246" t="s">
        <v>19891</v>
      </c>
    </row>
    <row r="247" spans="9:21" x14ac:dyDescent="0.2">
      <c r="J247" s="49" t="s">
        <v>19893</v>
      </c>
      <c r="K247" s="34" t="s">
        <v>19894</v>
      </c>
      <c r="L247" s="48">
        <v>11.208</v>
      </c>
      <c r="M247" s="48">
        <v>57.823999999999998</v>
      </c>
      <c r="N247" s="56">
        <v>16.716000000000001</v>
      </c>
      <c r="U247" t="s">
        <v>19893</v>
      </c>
    </row>
    <row r="248" spans="9:21" x14ac:dyDescent="0.2">
      <c r="J248" s="49" t="s">
        <v>19895</v>
      </c>
      <c r="K248" s="34" t="s">
        <v>19896</v>
      </c>
      <c r="L248" s="48">
        <v>16.184000000000001</v>
      </c>
      <c r="M248" s="48">
        <v>0</v>
      </c>
      <c r="N248" s="56">
        <v>0</v>
      </c>
      <c r="U248" t="s">
        <v>19895</v>
      </c>
    </row>
    <row r="249" spans="9:21" x14ac:dyDescent="0.2">
      <c r="I249">
        <v>103</v>
      </c>
      <c r="J249" s="49" t="s">
        <v>19897</v>
      </c>
      <c r="K249" s="34" t="s">
        <v>19898</v>
      </c>
      <c r="L249" s="48">
        <v>0</v>
      </c>
      <c r="M249" s="48">
        <v>80.055999999999997</v>
      </c>
      <c r="N249" s="56">
        <v>0</v>
      </c>
      <c r="U249" t="s">
        <v>19897</v>
      </c>
    </row>
    <row r="250" spans="9:21" x14ac:dyDescent="0.2">
      <c r="J250" s="49" t="s">
        <v>19899</v>
      </c>
      <c r="K250" s="34" t="s">
        <v>19900</v>
      </c>
      <c r="L250" s="48">
        <v>14.928000000000001</v>
      </c>
      <c r="M250" s="48">
        <v>66.703999999999994</v>
      </c>
      <c r="N250" s="56">
        <v>0</v>
      </c>
      <c r="U250" t="s">
        <v>19899</v>
      </c>
    </row>
    <row r="251" spans="9:21" x14ac:dyDescent="0.2">
      <c r="J251" s="49" t="s">
        <v>19901</v>
      </c>
      <c r="K251" s="34" t="s">
        <v>19902</v>
      </c>
      <c r="L251" s="48">
        <v>8.1039999999999992</v>
      </c>
      <c r="M251" s="48">
        <v>40.04</v>
      </c>
      <c r="N251" s="56">
        <v>12.138</v>
      </c>
      <c r="U251" t="s">
        <v>19901</v>
      </c>
    </row>
    <row r="252" spans="9:21" x14ac:dyDescent="0.2">
      <c r="J252" s="49" t="s">
        <v>19903</v>
      </c>
      <c r="K252" s="34" t="s">
        <v>19904</v>
      </c>
      <c r="L252" s="48">
        <v>8.1039999999999992</v>
      </c>
      <c r="M252" s="48">
        <v>44.472000000000001</v>
      </c>
      <c r="N252" s="56">
        <v>12.138</v>
      </c>
      <c r="U252" t="s">
        <v>19903</v>
      </c>
    </row>
    <row r="253" spans="9:21" x14ac:dyDescent="0.2">
      <c r="J253" s="49" t="s">
        <v>19905</v>
      </c>
      <c r="K253" s="34" t="s">
        <v>19906</v>
      </c>
      <c r="L253" s="48">
        <v>8.1039999999999992</v>
      </c>
      <c r="M253" s="48">
        <v>0</v>
      </c>
      <c r="N253" s="56">
        <v>12.138</v>
      </c>
      <c r="U253" t="s">
        <v>19905</v>
      </c>
    </row>
    <row r="254" spans="9:21" x14ac:dyDescent="0.2">
      <c r="J254" s="49" t="s">
        <v>19907</v>
      </c>
      <c r="K254" s="34" t="s">
        <v>19908</v>
      </c>
      <c r="L254" s="48">
        <v>10.576000000000001</v>
      </c>
      <c r="M254" s="48">
        <v>53.368000000000002</v>
      </c>
      <c r="N254" s="56">
        <v>0</v>
      </c>
      <c r="U254" t="s">
        <v>19907</v>
      </c>
    </row>
    <row r="255" spans="9:21" x14ac:dyDescent="0.2">
      <c r="J255" s="49" t="s">
        <v>19909</v>
      </c>
      <c r="K255" s="34" t="s">
        <v>19910</v>
      </c>
      <c r="L255" s="48">
        <v>68.432000000000002</v>
      </c>
      <c r="M255" s="48">
        <v>0</v>
      </c>
      <c r="N255" s="56">
        <v>0</v>
      </c>
      <c r="U255" t="s">
        <v>19909</v>
      </c>
    </row>
    <row r="256" spans="9:21" x14ac:dyDescent="0.2">
      <c r="J256" s="49" t="s">
        <v>19911</v>
      </c>
      <c r="K256" s="34" t="s">
        <v>19912</v>
      </c>
      <c r="L256" s="48">
        <v>9.08</v>
      </c>
      <c r="M256" s="48">
        <v>55.16</v>
      </c>
      <c r="N256" s="56">
        <v>13.590999999999999</v>
      </c>
      <c r="U256" t="s">
        <v>19911</v>
      </c>
    </row>
    <row r="257" spans="10:21" x14ac:dyDescent="0.2">
      <c r="J257" s="49" t="s">
        <v>19913</v>
      </c>
      <c r="K257" s="34" t="s">
        <v>19914</v>
      </c>
      <c r="L257" s="48">
        <v>14.928000000000001</v>
      </c>
      <c r="M257" s="48">
        <v>0</v>
      </c>
      <c r="N257" s="56">
        <v>0</v>
      </c>
      <c r="U257" t="s">
        <v>19913</v>
      </c>
    </row>
    <row r="258" spans="10:21" x14ac:dyDescent="0.2">
      <c r="J258" s="49" t="s">
        <v>19915</v>
      </c>
      <c r="K258" s="34" t="s">
        <v>19916</v>
      </c>
      <c r="L258" s="48">
        <v>0</v>
      </c>
      <c r="M258" s="48">
        <v>0</v>
      </c>
      <c r="N258" s="56">
        <v>13.590999999999999</v>
      </c>
      <c r="U258" t="s">
        <v>19915</v>
      </c>
    </row>
    <row r="259" spans="10:21" x14ac:dyDescent="0.2">
      <c r="J259" s="49" t="s">
        <v>19917</v>
      </c>
      <c r="K259" s="34" t="s">
        <v>19918</v>
      </c>
      <c r="L259" s="48">
        <v>13.696</v>
      </c>
      <c r="M259" s="48">
        <v>62.256</v>
      </c>
      <c r="N259" s="56">
        <v>0</v>
      </c>
      <c r="U259" t="s">
        <v>19917</v>
      </c>
    </row>
    <row r="260" spans="10:21" x14ac:dyDescent="0.2">
      <c r="J260" s="49" t="s">
        <v>19919</v>
      </c>
      <c r="K260" s="34" t="s">
        <v>19920</v>
      </c>
      <c r="L260" s="48">
        <v>16.184000000000001</v>
      </c>
      <c r="M260" s="48">
        <v>71.152000000000001</v>
      </c>
      <c r="N260" s="56">
        <v>0</v>
      </c>
      <c r="U260" t="s">
        <v>19919</v>
      </c>
    </row>
    <row r="261" spans="10:21" x14ac:dyDescent="0.2">
      <c r="J261" s="49" t="s">
        <v>19921</v>
      </c>
      <c r="K261" s="34" t="s">
        <v>19922</v>
      </c>
      <c r="L261" s="48">
        <v>7.48</v>
      </c>
      <c r="M261" s="48">
        <v>48.904000000000003</v>
      </c>
      <c r="N261" s="56">
        <v>13.590999999999999</v>
      </c>
      <c r="U261" t="s">
        <v>19921</v>
      </c>
    </row>
    <row r="262" spans="10:21" x14ac:dyDescent="0.2">
      <c r="J262" s="49" t="s">
        <v>19923</v>
      </c>
      <c r="K262" s="34" t="s">
        <v>19924</v>
      </c>
      <c r="L262" s="48">
        <v>10.576000000000001</v>
      </c>
      <c r="M262" s="48">
        <v>0</v>
      </c>
      <c r="N262" s="56">
        <v>0</v>
      </c>
      <c r="U262" t="s">
        <v>19923</v>
      </c>
    </row>
    <row r="263" spans="10:21" x14ac:dyDescent="0.2">
      <c r="J263" s="49" t="s">
        <v>19925</v>
      </c>
      <c r="K263" s="34" t="s">
        <v>19926</v>
      </c>
      <c r="L263" s="48">
        <v>11.824</v>
      </c>
      <c r="M263" s="48">
        <v>69.384</v>
      </c>
      <c r="N263" s="56">
        <v>17.765999999999998</v>
      </c>
      <c r="U263" t="s">
        <v>19925</v>
      </c>
    </row>
    <row r="264" spans="10:21" x14ac:dyDescent="0.2">
      <c r="J264" s="49" t="s">
        <v>19927</v>
      </c>
      <c r="K264" s="34" t="s">
        <v>19928</v>
      </c>
      <c r="L264" s="48">
        <v>20</v>
      </c>
      <c r="M264" s="48">
        <v>106.72799999999999</v>
      </c>
      <c r="N264" s="56">
        <v>0</v>
      </c>
      <c r="U264" t="s">
        <v>19927</v>
      </c>
    </row>
    <row r="265" spans="10:21" x14ac:dyDescent="0.2">
      <c r="J265" s="49" t="s">
        <v>19929</v>
      </c>
      <c r="K265" s="34" t="s">
        <v>19930</v>
      </c>
      <c r="L265" s="48">
        <v>13.696</v>
      </c>
      <c r="M265" s="48">
        <v>80.055999999999997</v>
      </c>
      <c r="N265" s="56">
        <v>20.908000000000001</v>
      </c>
      <c r="U265" t="s">
        <v>19929</v>
      </c>
    </row>
    <row r="266" spans="10:21" x14ac:dyDescent="0.2">
      <c r="J266" s="49" t="s">
        <v>19931</v>
      </c>
      <c r="K266" s="34" t="s">
        <v>19932</v>
      </c>
      <c r="L266" s="48">
        <v>13.696</v>
      </c>
      <c r="M266" s="48">
        <v>84.504000000000005</v>
      </c>
      <c r="N266" s="56">
        <v>20.908000000000001</v>
      </c>
      <c r="U266" t="s">
        <v>19931</v>
      </c>
    </row>
    <row r="267" spans="10:21" x14ac:dyDescent="0.2">
      <c r="J267" s="49" t="s">
        <v>19933</v>
      </c>
      <c r="K267" s="34" t="s">
        <v>19934</v>
      </c>
      <c r="L267" s="48">
        <v>22.4</v>
      </c>
      <c r="M267" s="48">
        <v>124.496</v>
      </c>
      <c r="N267" s="56">
        <v>33.457000000000001</v>
      </c>
      <c r="U267" t="s">
        <v>19933</v>
      </c>
    </row>
    <row r="268" spans="10:21" x14ac:dyDescent="0.2">
      <c r="J268" s="49" t="s">
        <v>19935</v>
      </c>
      <c r="K268" s="34" t="s">
        <v>19936</v>
      </c>
      <c r="L268" s="48">
        <v>19.911999999999999</v>
      </c>
      <c r="M268" s="48">
        <v>84.504000000000005</v>
      </c>
      <c r="N268" s="56">
        <v>0</v>
      </c>
      <c r="U268" t="s">
        <v>19935</v>
      </c>
    </row>
    <row r="269" spans="10:21" x14ac:dyDescent="0.2">
      <c r="J269" s="49" t="s">
        <v>19937</v>
      </c>
      <c r="K269" s="34" t="s">
        <v>19938</v>
      </c>
      <c r="L269" s="48">
        <v>11.208</v>
      </c>
      <c r="M269" s="48">
        <v>62.256</v>
      </c>
      <c r="N269" s="56">
        <v>16.716000000000001</v>
      </c>
      <c r="U269" t="s">
        <v>19937</v>
      </c>
    </row>
    <row r="270" spans="10:21" x14ac:dyDescent="0.2">
      <c r="J270" s="49" t="s">
        <v>19939</v>
      </c>
      <c r="K270" s="34" t="s">
        <v>19940</v>
      </c>
      <c r="L270" s="48">
        <v>8.9760000000000009</v>
      </c>
      <c r="M270" s="48">
        <v>47.16</v>
      </c>
      <c r="N270" s="56">
        <v>13.590999999999999</v>
      </c>
      <c r="U270" t="s">
        <v>19939</v>
      </c>
    </row>
    <row r="271" spans="10:21" x14ac:dyDescent="0.2">
      <c r="J271" s="49" t="s">
        <v>19941</v>
      </c>
      <c r="K271" s="34" t="s">
        <v>19942</v>
      </c>
      <c r="L271" s="48">
        <v>9.952</v>
      </c>
      <c r="M271" s="48">
        <v>53.368000000000002</v>
      </c>
      <c r="N271" s="56">
        <v>15.07</v>
      </c>
      <c r="U271" t="s">
        <v>19941</v>
      </c>
    </row>
    <row r="272" spans="10:21" x14ac:dyDescent="0.2">
      <c r="J272" s="49" t="s">
        <v>19943</v>
      </c>
      <c r="K272" s="34" t="s">
        <v>19944</v>
      </c>
      <c r="L272" s="48">
        <v>17.440000000000001</v>
      </c>
      <c r="M272" s="48">
        <v>0</v>
      </c>
      <c r="N272" s="56">
        <v>0</v>
      </c>
      <c r="U272" t="s">
        <v>19943</v>
      </c>
    </row>
    <row r="273" spans="9:21" x14ac:dyDescent="0.2">
      <c r="J273" s="49" t="s">
        <v>19945</v>
      </c>
      <c r="K273" s="34" t="s">
        <v>19946</v>
      </c>
      <c r="L273" s="48">
        <v>9.952</v>
      </c>
      <c r="M273" s="48">
        <v>54.264000000000003</v>
      </c>
      <c r="N273" s="56">
        <v>15.07</v>
      </c>
      <c r="U273" t="s">
        <v>19945</v>
      </c>
    </row>
    <row r="274" spans="9:21" x14ac:dyDescent="0.2">
      <c r="J274" s="49" t="s">
        <v>19947</v>
      </c>
      <c r="K274" s="34" t="s">
        <v>19948</v>
      </c>
      <c r="L274" s="48">
        <v>10.576000000000001</v>
      </c>
      <c r="M274" s="48">
        <v>0</v>
      </c>
      <c r="N274" s="56">
        <v>0</v>
      </c>
      <c r="U274" t="s">
        <v>19947</v>
      </c>
    </row>
    <row r="275" spans="9:21" x14ac:dyDescent="0.2">
      <c r="J275" s="49" t="s">
        <v>19949</v>
      </c>
      <c r="K275" s="34" t="s">
        <v>19950</v>
      </c>
      <c r="L275" s="48">
        <v>13.696</v>
      </c>
      <c r="M275" s="48">
        <v>67.584000000000003</v>
      </c>
      <c r="N275" s="56">
        <v>0</v>
      </c>
      <c r="U275" t="s">
        <v>19949</v>
      </c>
    </row>
    <row r="276" spans="9:21" x14ac:dyDescent="0.2">
      <c r="J276" s="49" t="s">
        <v>19951</v>
      </c>
      <c r="K276" s="34" t="s">
        <v>19952</v>
      </c>
      <c r="L276" s="48">
        <v>10.576000000000001</v>
      </c>
      <c r="M276" s="48">
        <v>57.823999999999998</v>
      </c>
      <c r="N276" s="56">
        <v>16.288</v>
      </c>
      <c r="U276" t="s">
        <v>19951</v>
      </c>
    </row>
    <row r="277" spans="9:21" x14ac:dyDescent="0.2">
      <c r="J277" s="49" t="s">
        <v>19953</v>
      </c>
      <c r="K277" s="34" t="s">
        <v>19954</v>
      </c>
      <c r="L277" s="48">
        <v>18.664000000000001</v>
      </c>
      <c r="M277" s="48">
        <v>80.055999999999997</v>
      </c>
      <c r="N277" s="56">
        <v>0</v>
      </c>
      <c r="U277" t="s">
        <v>19953</v>
      </c>
    </row>
    <row r="278" spans="9:21" x14ac:dyDescent="0.2">
      <c r="J278" s="49" t="s">
        <v>19955</v>
      </c>
      <c r="K278" s="34" t="s">
        <v>19956</v>
      </c>
      <c r="L278" s="48">
        <v>11.208</v>
      </c>
      <c r="M278" s="48">
        <v>0</v>
      </c>
      <c r="N278" s="56">
        <v>0</v>
      </c>
      <c r="U278" t="s">
        <v>19955</v>
      </c>
    </row>
    <row r="279" spans="9:21" x14ac:dyDescent="0.2">
      <c r="J279" s="49" t="s">
        <v>19957</v>
      </c>
      <c r="K279" s="34" t="s">
        <v>19958</v>
      </c>
      <c r="L279" s="48">
        <v>12.464</v>
      </c>
      <c r="M279" s="48">
        <v>75.591999999999999</v>
      </c>
      <c r="N279" s="56">
        <v>18.832999999999998</v>
      </c>
      <c r="U279" t="s">
        <v>19957</v>
      </c>
    </row>
    <row r="280" spans="9:21" x14ac:dyDescent="0.2">
      <c r="J280" s="49" t="s">
        <v>19959</v>
      </c>
      <c r="K280" s="34" t="s">
        <v>19960</v>
      </c>
      <c r="L280" s="48">
        <v>21.16</v>
      </c>
      <c r="M280" s="48">
        <v>124.496</v>
      </c>
      <c r="N280" s="56">
        <v>31.373999999999999</v>
      </c>
      <c r="U280" t="s">
        <v>19959</v>
      </c>
    </row>
    <row r="281" spans="9:21" x14ac:dyDescent="0.2">
      <c r="J281" s="49" t="s">
        <v>19961</v>
      </c>
      <c r="K281" s="34" t="s">
        <v>19962</v>
      </c>
      <c r="L281" s="48">
        <v>18.664000000000001</v>
      </c>
      <c r="M281" s="48">
        <v>0</v>
      </c>
      <c r="N281" s="56">
        <v>0</v>
      </c>
      <c r="U281" t="s">
        <v>19961</v>
      </c>
    </row>
    <row r="282" spans="9:21" x14ac:dyDescent="0.2">
      <c r="J282" s="49" t="s">
        <v>19963</v>
      </c>
      <c r="K282" s="34" t="s">
        <v>19964</v>
      </c>
      <c r="L282" s="48">
        <v>17.440000000000001</v>
      </c>
      <c r="M282" s="48">
        <v>106.72799999999999</v>
      </c>
      <c r="N282" s="56">
        <v>27.166</v>
      </c>
      <c r="U282" t="s">
        <v>19963</v>
      </c>
    </row>
    <row r="283" spans="9:21" x14ac:dyDescent="0.2">
      <c r="J283" s="49" t="s">
        <v>19965</v>
      </c>
      <c r="K283" s="34" t="s">
        <v>19966</v>
      </c>
      <c r="L283" s="48">
        <v>16.184000000000001</v>
      </c>
      <c r="M283" s="48">
        <v>97.831999999999994</v>
      </c>
      <c r="N283" s="56">
        <v>25.091000000000001</v>
      </c>
      <c r="U283" t="s">
        <v>19965</v>
      </c>
    </row>
    <row r="284" spans="9:21" x14ac:dyDescent="0.2">
      <c r="J284" s="49" t="s">
        <v>19967</v>
      </c>
      <c r="K284" s="34" t="s">
        <v>19968</v>
      </c>
      <c r="L284" s="48">
        <v>0</v>
      </c>
      <c r="M284" s="48">
        <v>0</v>
      </c>
      <c r="N284" s="56">
        <v>15.07</v>
      </c>
      <c r="U284" t="s">
        <v>19967</v>
      </c>
    </row>
    <row r="285" spans="9:21" x14ac:dyDescent="0.2">
      <c r="J285" s="49" t="s">
        <v>19969</v>
      </c>
      <c r="K285" s="34" t="s">
        <v>19970</v>
      </c>
      <c r="L285" s="48">
        <v>9.3520000000000003</v>
      </c>
      <c r="M285" s="48">
        <v>44.472000000000001</v>
      </c>
      <c r="N285" s="56">
        <v>15.07</v>
      </c>
      <c r="U285" t="s">
        <v>19969</v>
      </c>
    </row>
    <row r="286" spans="9:21" x14ac:dyDescent="0.2">
      <c r="J286" s="49" t="s">
        <v>19971</v>
      </c>
      <c r="K286" s="34" t="s">
        <v>19972</v>
      </c>
      <c r="L286" s="48">
        <v>9.952</v>
      </c>
      <c r="M286" s="48">
        <v>0</v>
      </c>
      <c r="N286" s="56">
        <v>15.07</v>
      </c>
      <c r="U286" t="s">
        <v>19971</v>
      </c>
    </row>
    <row r="287" spans="9:21" x14ac:dyDescent="0.2">
      <c r="J287" s="49" t="s">
        <v>19973</v>
      </c>
      <c r="K287" s="34" t="s">
        <v>19974</v>
      </c>
      <c r="L287" s="48">
        <v>9.952</v>
      </c>
      <c r="M287" s="48">
        <v>53.368000000000002</v>
      </c>
      <c r="N287" s="56">
        <v>15.07</v>
      </c>
      <c r="U287" t="s">
        <v>19973</v>
      </c>
    </row>
    <row r="288" spans="9:21" x14ac:dyDescent="0.2">
      <c r="I288">
        <v>104</v>
      </c>
      <c r="J288" s="49" t="s">
        <v>19418</v>
      </c>
      <c r="K288" s="34" t="s">
        <v>19975</v>
      </c>
      <c r="L288" s="48">
        <v>18.664000000000001</v>
      </c>
      <c r="M288" s="48">
        <v>80.055999999999997</v>
      </c>
      <c r="N288" s="56">
        <v>0</v>
      </c>
      <c r="U288" t="s">
        <v>19418</v>
      </c>
    </row>
    <row r="289" spans="10:21" x14ac:dyDescent="0.2">
      <c r="J289" s="49" t="s">
        <v>19976</v>
      </c>
      <c r="K289" s="34" t="s">
        <v>19977</v>
      </c>
      <c r="L289" s="48">
        <v>9.952</v>
      </c>
      <c r="M289" s="48">
        <v>53.368000000000002</v>
      </c>
      <c r="N289" s="56">
        <v>16.716000000000001</v>
      </c>
      <c r="U289" t="s">
        <v>19976</v>
      </c>
    </row>
    <row r="290" spans="10:21" x14ac:dyDescent="0.2">
      <c r="J290" s="49" t="s">
        <v>19978</v>
      </c>
      <c r="K290" s="34" t="s">
        <v>19979</v>
      </c>
      <c r="L290" s="48">
        <v>9.952</v>
      </c>
      <c r="M290" s="48">
        <v>0</v>
      </c>
      <c r="N290" s="56">
        <v>16.716000000000001</v>
      </c>
      <c r="U290" t="s">
        <v>19978</v>
      </c>
    </row>
    <row r="291" spans="10:21" x14ac:dyDescent="0.2">
      <c r="J291" s="49" t="s">
        <v>19980</v>
      </c>
      <c r="K291" s="34" t="s">
        <v>19981</v>
      </c>
      <c r="L291" s="48">
        <v>14.336</v>
      </c>
      <c r="M291" s="48">
        <v>0</v>
      </c>
      <c r="N291" s="56">
        <v>0</v>
      </c>
      <c r="U291" t="s">
        <v>19980</v>
      </c>
    </row>
    <row r="292" spans="10:21" x14ac:dyDescent="0.2">
      <c r="J292" s="49" t="s">
        <v>19982</v>
      </c>
      <c r="K292" s="34" t="s">
        <v>19983</v>
      </c>
      <c r="L292" s="48">
        <v>80.88</v>
      </c>
      <c r="M292" s="48">
        <v>0</v>
      </c>
      <c r="N292" s="56">
        <v>0</v>
      </c>
      <c r="U292" t="s">
        <v>19982</v>
      </c>
    </row>
    <row r="293" spans="10:21" x14ac:dyDescent="0.2">
      <c r="J293" s="49" t="s">
        <v>19984</v>
      </c>
      <c r="K293" s="34" t="s">
        <v>19985</v>
      </c>
      <c r="L293" s="48">
        <v>11.824</v>
      </c>
      <c r="M293" s="48">
        <v>60.472000000000001</v>
      </c>
      <c r="N293" s="56">
        <v>18.178000000000001</v>
      </c>
      <c r="U293" t="s">
        <v>19984</v>
      </c>
    </row>
    <row r="294" spans="10:21" x14ac:dyDescent="0.2">
      <c r="J294" s="49" t="s">
        <v>19986</v>
      </c>
      <c r="K294" s="34" t="s">
        <v>19987</v>
      </c>
      <c r="L294" s="48">
        <v>11.824</v>
      </c>
      <c r="M294" s="48">
        <v>62.256</v>
      </c>
      <c r="N294" s="56">
        <v>18.178000000000001</v>
      </c>
      <c r="U294" t="s">
        <v>19986</v>
      </c>
    </row>
    <row r="295" spans="10:21" x14ac:dyDescent="0.2">
      <c r="J295" s="49" t="s">
        <v>19988</v>
      </c>
      <c r="K295" s="34" t="s">
        <v>19989</v>
      </c>
      <c r="L295" s="48">
        <v>15.263999999999999</v>
      </c>
      <c r="M295" s="48">
        <v>0</v>
      </c>
      <c r="N295" s="56">
        <v>0</v>
      </c>
      <c r="U295" t="s">
        <v>19988</v>
      </c>
    </row>
    <row r="296" spans="10:21" x14ac:dyDescent="0.2">
      <c r="J296" s="49" t="s">
        <v>19990</v>
      </c>
      <c r="K296" s="34" t="s">
        <v>19991</v>
      </c>
      <c r="L296" s="48">
        <v>12.464</v>
      </c>
      <c r="M296" s="48">
        <v>76.488</v>
      </c>
      <c r="N296" s="56">
        <v>19.260999999999999</v>
      </c>
      <c r="U296" t="s">
        <v>19990</v>
      </c>
    </row>
    <row r="297" spans="10:21" x14ac:dyDescent="0.2">
      <c r="J297" s="49" t="s">
        <v>19992</v>
      </c>
      <c r="K297" s="34" t="s">
        <v>19993</v>
      </c>
      <c r="L297" s="48">
        <v>11.208</v>
      </c>
      <c r="M297" s="48">
        <v>0</v>
      </c>
      <c r="N297" s="56">
        <v>0</v>
      </c>
      <c r="U297" t="s">
        <v>19992</v>
      </c>
    </row>
    <row r="298" spans="10:21" x14ac:dyDescent="0.2">
      <c r="J298" s="49" t="s">
        <v>19994</v>
      </c>
      <c r="K298" s="34" t="s">
        <v>19995</v>
      </c>
      <c r="L298" s="48">
        <v>16.184000000000001</v>
      </c>
      <c r="M298" s="48">
        <v>0</v>
      </c>
      <c r="N298" s="56">
        <v>0</v>
      </c>
      <c r="U298" t="s">
        <v>19994</v>
      </c>
    </row>
    <row r="299" spans="10:21" x14ac:dyDescent="0.2">
      <c r="J299" s="49" t="s">
        <v>19996</v>
      </c>
      <c r="K299" s="34" t="s">
        <v>19997</v>
      </c>
      <c r="L299" s="48">
        <v>23.648</v>
      </c>
      <c r="M299" s="48">
        <v>133.4</v>
      </c>
      <c r="N299" s="56">
        <v>33.457000000000001</v>
      </c>
      <c r="U299" t="s">
        <v>19996</v>
      </c>
    </row>
    <row r="300" spans="10:21" x14ac:dyDescent="0.2">
      <c r="J300" s="49" t="s">
        <v>19998</v>
      </c>
      <c r="K300" s="34" t="s">
        <v>19999</v>
      </c>
      <c r="L300" s="48">
        <v>0</v>
      </c>
      <c r="M300" s="48">
        <v>126.712</v>
      </c>
      <c r="N300" s="56">
        <v>0</v>
      </c>
      <c r="U300" t="s">
        <v>19998</v>
      </c>
    </row>
    <row r="301" spans="10:21" x14ac:dyDescent="0.2">
      <c r="J301" s="49" t="s">
        <v>20000</v>
      </c>
      <c r="K301" s="34" t="s">
        <v>20001</v>
      </c>
      <c r="L301" s="48">
        <v>9.952</v>
      </c>
      <c r="M301" s="48">
        <v>55.16</v>
      </c>
      <c r="N301" s="56">
        <v>15.07</v>
      </c>
      <c r="U301" t="s">
        <v>20000</v>
      </c>
    </row>
    <row r="302" spans="10:21" x14ac:dyDescent="0.2">
      <c r="J302" s="49" t="s">
        <v>20002</v>
      </c>
      <c r="K302" s="34" t="s">
        <v>20003</v>
      </c>
      <c r="L302" s="48">
        <v>0</v>
      </c>
      <c r="M302" s="48">
        <v>66.703999999999994</v>
      </c>
      <c r="N302" s="56">
        <v>0</v>
      </c>
      <c r="U302" t="s">
        <v>20002</v>
      </c>
    </row>
    <row r="303" spans="10:21" x14ac:dyDescent="0.2">
      <c r="J303" s="49" t="s">
        <v>20004</v>
      </c>
      <c r="K303" s="34" t="s">
        <v>20005</v>
      </c>
      <c r="L303" s="48">
        <v>10.824</v>
      </c>
      <c r="M303" s="48">
        <v>62.256</v>
      </c>
      <c r="N303" s="56">
        <v>16.716000000000001</v>
      </c>
      <c r="U303" t="s">
        <v>20004</v>
      </c>
    </row>
    <row r="304" spans="10:21" x14ac:dyDescent="0.2">
      <c r="J304" s="49" t="s">
        <v>20006</v>
      </c>
      <c r="K304" s="34" t="s">
        <v>20007</v>
      </c>
      <c r="L304" s="48">
        <v>0</v>
      </c>
      <c r="M304" s="48">
        <v>74.695999999999998</v>
      </c>
      <c r="N304" s="56">
        <v>0</v>
      </c>
      <c r="U304" t="s">
        <v>20006</v>
      </c>
    </row>
    <row r="305" spans="10:21" x14ac:dyDescent="0.2">
      <c r="J305" s="49" t="s">
        <v>20008</v>
      </c>
      <c r="K305" s="34" t="s">
        <v>20009</v>
      </c>
      <c r="L305" s="48">
        <v>11.208</v>
      </c>
      <c r="M305" s="48">
        <v>62.256</v>
      </c>
      <c r="N305" s="56">
        <v>18.178000000000001</v>
      </c>
      <c r="U305" t="s">
        <v>20008</v>
      </c>
    </row>
    <row r="306" spans="10:21" x14ac:dyDescent="0.2">
      <c r="J306" s="49" t="s">
        <v>20010</v>
      </c>
      <c r="K306" s="34" t="s">
        <v>20011</v>
      </c>
      <c r="L306" s="48">
        <v>11.208</v>
      </c>
      <c r="M306" s="48">
        <v>0</v>
      </c>
      <c r="N306" s="56">
        <v>0</v>
      </c>
      <c r="U306" t="s">
        <v>20010</v>
      </c>
    </row>
    <row r="307" spans="10:21" x14ac:dyDescent="0.2">
      <c r="J307" s="49" t="s">
        <v>20012</v>
      </c>
      <c r="K307" s="34" t="s">
        <v>20013</v>
      </c>
      <c r="L307" s="48">
        <v>19.911999999999999</v>
      </c>
      <c r="M307" s="48">
        <v>0</v>
      </c>
      <c r="N307" s="56">
        <v>0</v>
      </c>
      <c r="U307" t="s">
        <v>20012</v>
      </c>
    </row>
    <row r="308" spans="10:21" x14ac:dyDescent="0.2">
      <c r="J308" s="49" t="s">
        <v>20014</v>
      </c>
      <c r="K308" s="34" t="s">
        <v>20015</v>
      </c>
      <c r="L308" s="48">
        <v>0</v>
      </c>
      <c r="M308" s="48">
        <v>0</v>
      </c>
      <c r="N308" s="56">
        <v>17.765999999999998</v>
      </c>
      <c r="U308" t="s">
        <v>20014</v>
      </c>
    </row>
    <row r="309" spans="10:21" x14ac:dyDescent="0.2">
      <c r="J309" s="49" t="s">
        <v>20016</v>
      </c>
      <c r="K309" s="34" t="s">
        <v>20017</v>
      </c>
      <c r="L309" s="48">
        <v>12.464</v>
      </c>
      <c r="M309" s="48">
        <v>71.152000000000001</v>
      </c>
      <c r="N309" s="56">
        <v>19.260999999999999</v>
      </c>
      <c r="U309" t="s">
        <v>20016</v>
      </c>
    </row>
    <row r="310" spans="10:21" x14ac:dyDescent="0.2">
      <c r="J310" s="49" t="s">
        <v>20018</v>
      </c>
      <c r="K310" s="34" t="s">
        <v>20019</v>
      </c>
      <c r="L310" s="48">
        <v>13.696</v>
      </c>
      <c r="M310" s="48">
        <v>75.591999999999999</v>
      </c>
      <c r="N310" s="56">
        <v>19.882999999999999</v>
      </c>
      <c r="U310" t="s">
        <v>20018</v>
      </c>
    </row>
    <row r="311" spans="10:21" x14ac:dyDescent="0.2">
      <c r="J311" s="49" t="s">
        <v>20020</v>
      </c>
      <c r="K311" s="34" t="s">
        <v>20021</v>
      </c>
      <c r="L311" s="48">
        <v>14.336</v>
      </c>
      <c r="M311" s="48">
        <v>80.055999999999997</v>
      </c>
      <c r="N311" s="56">
        <v>19.260999999999999</v>
      </c>
      <c r="U311" t="s">
        <v>20020</v>
      </c>
    </row>
    <row r="312" spans="10:21" x14ac:dyDescent="0.2">
      <c r="J312" s="49" t="s">
        <v>20022</v>
      </c>
      <c r="K312" s="34" t="s">
        <v>20023</v>
      </c>
      <c r="L312" s="48">
        <v>12.464</v>
      </c>
      <c r="M312" s="48">
        <v>0</v>
      </c>
      <c r="N312" s="56">
        <v>0</v>
      </c>
      <c r="U312" t="s">
        <v>20022</v>
      </c>
    </row>
    <row r="313" spans="10:21" x14ac:dyDescent="0.2">
      <c r="J313" s="49" t="s">
        <v>20024</v>
      </c>
      <c r="K313" s="34" t="s">
        <v>20025</v>
      </c>
      <c r="L313" s="48">
        <v>24.896000000000001</v>
      </c>
      <c r="M313" s="48">
        <v>142.28</v>
      </c>
      <c r="N313" s="56">
        <v>37.615000000000002</v>
      </c>
      <c r="U313" t="s">
        <v>20024</v>
      </c>
    </row>
    <row r="314" spans="10:21" x14ac:dyDescent="0.2">
      <c r="J314" s="49" t="s">
        <v>20026</v>
      </c>
      <c r="K314" s="34" t="s">
        <v>20027</v>
      </c>
      <c r="L314" s="48">
        <v>11.208</v>
      </c>
      <c r="M314" s="48">
        <v>62.256</v>
      </c>
      <c r="N314" s="56">
        <v>15.673999999999999</v>
      </c>
      <c r="U314" t="s">
        <v>20026</v>
      </c>
    </row>
    <row r="315" spans="10:21" x14ac:dyDescent="0.2">
      <c r="J315" s="49" t="s">
        <v>20028</v>
      </c>
      <c r="K315" s="34" t="s">
        <v>20029</v>
      </c>
      <c r="L315" s="48">
        <v>19.911999999999999</v>
      </c>
      <c r="M315" s="48">
        <v>0</v>
      </c>
      <c r="N315" s="56">
        <v>0</v>
      </c>
      <c r="U315" t="s">
        <v>20028</v>
      </c>
    </row>
    <row r="316" spans="10:21" x14ac:dyDescent="0.2">
      <c r="J316" s="49" t="s">
        <v>20030</v>
      </c>
      <c r="K316" s="34" t="s">
        <v>20031</v>
      </c>
      <c r="L316" s="48">
        <v>14.928000000000001</v>
      </c>
      <c r="M316" s="48">
        <v>0</v>
      </c>
      <c r="N316" s="56">
        <v>0</v>
      </c>
      <c r="U316" t="s">
        <v>20030</v>
      </c>
    </row>
    <row r="317" spans="10:21" x14ac:dyDescent="0.2">
      <c r="J317" s="49" t="s">
        <v>20032</v>
      </c>
      <c r="K317" s="34" t="s">
        <v>20033</v>
      </c>
      <c r="L317" s="48">
        <v>11.208</v>
      </c>
      <c r="M317" s="48">
        <v>62.256</v>
      </c>
      <c r="N317" s="56">
        <v>18.178000000000001</v>
      </c>
      <c r="U317" t="s">
        <v>20032</v>
      </c>
    </row>
    <row r="318" spans="10:21" x14ac:dyDescent="0.2">
      <c r="J318" s="49" t="s">
        <v>20034</v>
      </c>
      <c r="K318" s="34" t="s">
        <v>20035</v>
      </c>
      <c r="L318" s="48">
        <v>16.184000000000001</v>
      </c>
      <c r="M318" s="48">
        <v>0</v>
      </c>
      <c r="N318" s="56">
        <v>0</v>
      </c>
      <c r="U318" t="s">
        <v>20034</v>
      </c>
    </row>
    <row r="319" spans="10:21" x14ac:dyDescent="0.2">
      <c r="J319" s="49" t="s">
        <v>20036</v>
      </c>
      <c r="K319" s="34" t="s">
        <v>20037</v>
      </c>
      <c r="L319" s="48">
        <v>12.464</v>
      </c>
      <c r="M319" s="48">
        <v>72.927999999999997</v>
      </c>
      <c r="N319" s="56">
        <v>19.260999999999999</v>
      </c>
      <c r="U319" t="s">
        <v>20036</v>
      </c>
    </row>
    <row r="320" spans="10:21" x14ac:dyDescent="0.2">
      <c r="J320" s="49" t="s">
        <v>20038</v>
      </c>
      <c r="K320" s="34" t="s">
        <v>20039</v>
      </c>
      <c r="L320" s="48">
        <v>87.12</v>
      </c>
      <c r="M320" s="48">
        <v>0</v>
      </c>
      <c r="N320" s="56">
        <v>0</v>
      </c>
      <c r="U320" t="s">
        <v>20038</v>
      </c>
    </row>
    <row r="321" spans="10:21" x14ac:dyDescent="0.2">
      <c r="J321" s="49" t="s">
        <v>20040</v>
      </c>
      <c r="K321" s="34" t="s">
        <v>20041</v>
      </c>
      <c r="L321" s="48">
        <v>12.464</v>
      </c>
      <c r="M321" s="48">
        <v>80.055999999999997</v>
      </c>
      <c r="N321" s="56">
        <v>19.260999999999999</v>
      </c>
      <c r="U321" t="s">
        <v>20040</v>
      </c>
    </row>
    <row r="322" spans="10:21" x14ac:dyDescent="0.2">
      <c r="J322" s="49" t="s">
        <v>20042</v>
      </c>
      <c r="K322" s="34" t="s">
        <v>20043</v>
      </c>
      <c r="L322" s="48">
        <v>12.464</v>
      </c>
      <c r="M322" s="48">
        <v>0</v>
      </c>
      <c r="N322" s="56">
        <v>0</v>
      </c>
      <c r="U322" t="s">
        <v>20042</v>
      </c>
    </row>
    <row r="323" spans="10:21" x14ac:dyDescent="0.2">
      <c r="J323" s="49" t="s">
        <v>20044</v>
      </c>
      <c r="K323" s="34" t="s">
        <v>20045</v>
      </c>
      <c r="L323" s="48">
        <v>14.928000000000001</v>
      </c>
      <c r="M323" s="48">
        <v>88.912000000000006</v>
      </c>
      <c r="N323" s="56">
        <v>20.908000000000001</v>
      </c>
      <c r="U323" t="s">
        <v>20044</v>
      </c>
    </row>
    <row r="324" spans="10:21" x14ac:dyDescent="0.2">
      <c r="J324" s="49" t="s">
        <v>20046</v>
      </c>
      <c r="K324" s="34" t="s">
        <v>20047</v>
      </c>
      <c r="L324" s="48">
        <v>12.464</v>
      </c>
      <c r="M324" s="48">
        <v>71.152000000000001</v>
      </c>
      <c r="N324" s="56">
        <v>19.882999999999999</v>
      </c>
      <c r="U324" t="s">
        <v>20046</v>
      </c>
    </row>
    <row r="325" spans="10:21" x14ac:dyDescent="0.2">
      <c r="J325" s="49" t="s">
        <v>20048</v>
      </c>
      <c r="K325" s="34" t="s">
        <v>20049</v>
      </c>
      <c r="L325" s="48">
        <v>12.464</v>
      </c>
      <c r="M325" s="48">
        <v>72.927999999999997</v>
      </c>
      <c r="N325" s="56">
        <v>19.882999999999999</v>
      </c>
      <c r="U325" t="s">
        <v>20048</v>
      </c>
    </row>
    <row r="326" spans="10:21" x14ac:dyDescent="0.2">
      <c r="J326" s="49" t="s">
        <v>20050</v>
      </c>
      <c r="K326" s="34" t="s">
        <v>20051</v>
      </c>
      <c r="L326" s="48">
        <v>22.4</v>
      </c>
      <c r="M326" s="48">
        <v>0</v>
      </c>
      <c r="N326" s="56">
        <v>0</v>
      </c>
      <c r="U326" t="s">
        <v>20050</v>
      </c>
    </row>
    <row r="327" spans="10:21" x14ac:dyDescent="0.2">
      <c r="J327" s="49" t="s">
        <v>20052</v>
      </c>
      <c r="K327" s="34" t="s">
        <v>20053</v>
      </c>
      <c r="L327" s="48">
        <v>14.928000000000001</v>
      </c>
      <c r="M327" s="48">
        <v>84.504000000000005</v>
      </c>
      <c r="N327" s="56">
        <v>22.998999999999999</v>
      </c>
      <c r="U327" t="s">
        <v>20052</v>
      </c>
    </row>
    <row r="328" spans="10:21" x14ac:dyDescent="0.2">
      <c r="J328" s="49" t="s">
        <v>20054</v>
      </c>
      <c r="K328" s="34" t="s">
        <v>20055</v>
      </c>
      <c r="L328" s="48">
        <v>13.696</v>
      </c>
      <c r="M328" s="48">
        <v>0</v>
      </c>
      <c r="N328" s="56">
        <v>0</v>
      </c>
      <c r="U328" t="s">
        <v>20054</v>
      </c>
    </row>
    <row r="329" spans="10:21" x14ac:dyDescent="0.2">
      <c r="J329" s="49" t="s">
        <v>20056</v>
      </c>
      <c r="K329" s="34" t="s">
        <v>20057</v>
      </c>
      <c r="L329" s="48">
        <v>14.928000000000001</v>
      </c>
      <c r="M329" s="48">
        <v>97.831999999999994</v>
      </c>
      <c r="N329" s="56">
        <v>22.998999999999999</v>
      </c>
      <c r="U329" t="s">
        <v>20056</v>
      </c>
    </row>
    <row r="330" spans="10:21" x14ac:dyDescent="0.2">
      <c r="J330" s="49" t="s">
        <v>20058</v>
      </c>
      <c r="K330" s="34" t="s">
        <v>20059</v>
      </c>
      <c r="L330" s="48">
        <v>24.896000000000001</v>
      </c>
      <c r="M330" s="48">
        <v>0</v>
      </c>
      <c r="N330" s="56">
        <v>0</v>
      </c>
      <c r="U330" t="s">
        <v>20058</v>
      </c>
    </row>
    <row r="331" spans="10:21" x14ac:dyDescent="0.2">
      <c r="J331" s="49" t="s">
        <v>20060</v>
      </c>
      <c r="K331" s="34" t="s">
        <v>20061</v>
      </c>
      <c r="L331" s="48">
        <v>0</v>
      </c>
      <c r="M331" s="48">
        <v>186.768</v>
      </c>
      <c r="N331" s="56">
        <v>0</v>
      </c>
      <c r="U331" t="s">
        <v>20060</v>
      </c>
    </row>
    <row r="332" spans="10:21" x14ac:dyDescent="0.2">
      <c r="J332" s="49" t="s">
        <v>20062</v>
      </c>
      <c r="K332" s="34" t="s">
        <v>20063</v>
      </c>
      <c r="L332" s="48">
        <v>27.391999999999999</v>
      </c>
      <c r="M332" s="48">
        <v>195.648</v>
      </c>
      <c r="N332" s="56">
        <v>39.731999999999999</v>
      </c>
      <c r="U332" t="s">
        <v>20062</v>
      </c>
    </row>
    <row r="333" spans="10:21" x14ac:dyDescent="0.2">
      <c r="J333" s="49" t="s">
        <v>20064</v>
      </c>
      <c r="K333" s="34" t="s">
        <v>20065</v>
      </c>
      <c r="L333" s="48">
        <v>12.464</v>
      </c>
      <c r="M333" s="48">
        <v>72.927999999999997</v>
      </c>
      <c r="N333" s="56">
        <v>19.882999999999999</v>
      </c>
      <c r="U333" t="s">
        <v>20064</v>
      </c>
    </row>
    <row r="334" spans="10:21" x14ac:dyDescent="0.2">
      <c r="J334" s="49" t="s">
        <v>20066</v>
      </c>
      <c r="K334" s="34" t="s">
        <v>20067</v>
      </c>
      <c r="L334" s="48">
        <v>23.648</v>
      </c>
      <c r="M334" s="48">
        <v>0</v>
      </c>
      <c r="N334" s="56">
        <v>0</v>
      </c>
      <c r="U334" t="s">
        <v>20066</v>
      </c>
    </row>
    <row r="335" spans="10:21" x14ac:dyDescent="0.2">
      <c r="J335" s="49" t="s">
        <v>20068</v>
      </c>
      <c r="K335" s="34" t="s">
        <v>20069</v>
      </c>
      <c r="L335" s="48">
        <v>13.696</v>
      </c>
      <c r="M335" s="48">
        <v>80.055999999999997</v>
      </c>
      <c r="N335" s="56">
        <v>20.908000000000001</v>
      </c>
      <c r="U335" t="s">
        <v>20068</v>
      </c>
    </row>
    <row r="336" spans="10:21" x14ac:dyDescent="0.2">
      <c r="J336" s="49" t="s">
        <v>20070</v>
      </c>
      <c r="K336" s="34" t="s">
        <v>20071</v>
      </c>
      <c r="L336" s="48">
        <v>13.696</v>
      </c>
      <c r="M336" s="48">
        <v>80.055999999999997</v>
      </c>
      <c r="N336" s="56">
        <v>22.998999999999999</v>
      </c>
      <c r="U336" t="s">
        <v>20070</v>
      </c>
    </row>
    <row r="337" spans="10:21" x14ac:dyDescent="0.2">
      <c r="J337" s="49" t="s">
        <v>20072</v>
      </c>
      <c r="K337" s="34" t="s">
        <v>20073</v>
      </c>
      <c r="L337" s="48">
        <v>17.440000000000001</v>
      </c>
      <c r="M337" s="48">
        <v>0</v>
      </c>
      <c r="N337" s="56">
        <v>0</v>
      </c>
      <c r="U337" t="s">
        <v>20072</v>
      </c>
    </row>
    <row r="338" spans="10:21" x14ac:dyDescent="0.2">
      <c r="J338" s="49" t="s">
        <v>20074</v>
      </c>
      <c r="K338" s="34" t="s">
        <v>20075</v>
      </c>
      <c r="L338" s="48">
        <v>16.184000000000001</v>
      </c>
      <c r="M338" s="48">
        <v>88.912000000000006</v>
      </c>
      <c r="N338" s="56">
        <v>25.091000000000001</v>
      </c>
      <c r="U338" t="s">
        <v>20074</v>
      </c>
    </row>
    <row r="339" spans="10:21" x14ac:dyDescent="0.2">
      <c r="J339" s="49" t="s">
        <v>20076</v>
      </c>
      <c r="K339" s="34" t="s">
        <v>20077</v>
      </c>
      <c r="L339" s="48">
        <v>14.928000000000001</v>
      </c>
      <c r="M339" s="48">
        <v>84.504000000000005</v>
      </c>
      <c r="N339" s="56">
        <v>0</v>
      </c>
      <c r="U339" t="s">
        <v>20076</v>
      </c>
    </row>
    <row r="340" spans="10:21" x14ac:dyDescent="0.2">
      <c r="J340" s="49" t="s">
        <v>20078</v>
      </c>
      <c r="K340" s="34" t="s">
        <v>20079</v>
      </c>
      <c r="L340" s="48">
        <v>18.664000000000001</v>
      </c>
      <c r="M340" s="48">
        <v>115.6</v>
      </c>
      <c r="N340" s="56">
        <v>27.166</v>
      </c>
      <c r="U340" t="s">
        <v>20078</v>
      </c>
    </row>
    <row r="341" spans="10:21" x14ac:dyDescent="0.2">
      <c r="J341" s="49" t="s">
        <v>20080</v>
      </c>
      <c r="K341" s="34" t="s">
        <v>20081</v>
      </c>
      <c r="L341" s="48">
        <v>27.391999999999999</v>
      </c>
      <c r="M341" s="48">
        <v>195.648</v>
      </c>
      <c r="N341" s="56">
        <v>39.731999999999999</v>
      </c>
      <c r="U341" t="s">
        <v>20080</v>
      </c>
    </row>
    <row r="342" spans="10:21" x14ac:dyDescent="0.2">
      <c r="J342" s="49" t="s">
        <v>20082</v>
      </c>
      <c r="K342" s="34" t="s">
        <v>20083</v>
      </c>
      <c r="L342" s="48">
        <v>22.4</v>
      </c>
      <c r="M342" s="48">
        <v>124.496</v>
      </c>
      <c r="N342" s="56">
        <v>33.457000000000001</v>
      </c>
      <c r="U342" t="s">
        <v>20082</v>
      </c>
    </row>
    <row r="343" spans="10:21" x14ac:dyDescent="0.2">
      <c r="J343" s="49" t="s">
        <v>20084</v>
      </c>
      <c r="K343" s="34" t="s">
        <v>20085</v>
      </c>
      <c r="L343" s="48">
        <v>14.928000000000001</v>
      </c>
      <c r="M343" s="48">
        <v>80.055999999999997</v>
      </c>
      <c r="N343" s="56">
        <v>22.998999999999999</v>
      </c>
      <c r="U343" t="s">
        <v>20084</v>
      </c>
    </row>
    <row r="344" spans="10:21" x14ac:dyDescent="0.2">
      <c r="J344" s="49" t="s">
        <v>20086</v>
      </c>
      <c r="K344" s="34" t="s">
        <v>20087</v>
      </c>
      <c r="L344" s="48">
        <v>14.928000000000001</v>
      </c>
      <c r="M344" s="48">
        <v>88.912000000000006</v>
      </c>
      <c r="N344" s="56">
        <v>22.998999999999999</v>
      </c>
      <c r="U344" t="s">
        <v>20086</v>
      </c>
    </row>
    <row r="345" spans="10:21" x14ac:dyDescent="0.2">
      <c r="J345" s="49" t="s">
        <v>20088</v>
      </c>
      <c r="K345" s="34" t="s">
        <v>20089</v>
      </c>
      <c r="L345" s="48">
        <v>26.128</v>
      </c>
      <c r="M345" s="48">
        <v>0</v>
      </c>
      <c r="N345" s="56">
        <v>0</v>
      </c>
      <c r="U345" t="s">
        <v>20088</v>
      </c>
    </row>
    <row r="346" spans="10:21" x14ac:dyDescent="0.2">
      <c r="J346" s="49" t="s">
        <v>20090</v>
      </c>
      <c r="K346" s="34" t="s">
        <v>20091</v>
      </c>
      <c r="L346" s="48">
        <v>16.184000000000001</v>
      </c>
      <c r="M346" s="48">
        <v>97.831999999999994</v>
      </c>
      <c r="N346" s="56">
        <v>25.091000000000001</v>
      </c>
      <c r="U346" t="s">
        <v>20090</v>
      </c>
    </row>
    <row r="347" spans="10:21" x14ac:dyDescent="0.2">
      <c r="J347" s="49" t="s">
        <v>20092</v>
      </c>
      <c r="K347" s="34" t="s">
        <v>20093</v>
      </c>
      <c r="L347" s="48">
        <v>18.664000000000001</v>
      </c>
      <c r="M347" s="48">
        <v>115.6</v>
      </c>
      <c r="N347" s="56">
        <v>27.166</v>
      </c>
      <c r="U347" t="s">
        <v>20092</v>
      </c>
    </row>
    <row r="348" spans="10:21" x14ac:dyDescent="0.2">
      <c r="J348" s="49" t="s">
        <v>20094</v>
      </c>
      <c r="K348" s="34" t="s">
        <v>20095</v>
      </c>
      <c r="L348" s="48">
        <v>16.184000000000001</v>
      </c>
      <c r="M348" s="48">
        <v>0</v>
      </c>
      <c r="N348" s="56">
        <v>0</v>
      </c>
      <c r="U348" t="s">
        <v>20094</v>
      </c>
    </row>
    <row r="349" spans="10:21" x14ac:dyDescent="0.2">
      <c r="J349" s="49" t="s">
        <v>20096</v>
      </c>
      <c r="K349" s="34" t="s">
        <v>20097</v>
      </c>
      <c r="L349" s="48">
        <v>32</v>
      </c>
      <c r="M349" s="48">
        <v>0</v>
      </c>
      <c r="N349" s="56">
        <v>0</v>
      </c>
      <c r="U349" t="s">
        <v>20096</v>
      </c>
    </row>
    <row r="350" spans="10:21" x14ac:dyDescent="0.2">
      <c r="J350" s="49" t="s">
        <v>20098</v>
      </c>
      <c r="K350" s="34" t="s">
        <v>20099</v>
      </c>
      <c r="L350" s="48">
        <v>18.664000000000001</v>
      </c>
      <c r="M350" s="48">
        <v>115.6</v>
      </c>
      <c r="N350" s="56">
        <v>27.166</v>
      </c>
      <c r="U350" t="s">
        <v>20098</v>
      </c>
    </row>
    <row r="351" spans="10:21" x14ac:dyDescent="0.2">
      <c r="J351" s="49" t="s">
        <v>20100</v>
      </c>
      <c r="K351" s="34" t="s">
        <v>20101</v>
      </c>
      <c r="L351" s="48">
        <v>24.896000000000001</v>
      </c>
      <c r="M351" s="48">
        <v>177.864</v>
      </c>
      <c r="N351" s="56">
        <v>37.615000000000002</v>
      </c>
      <c r="U351" t="s">
        <v>20100</v>
      </c>
    </row>
    <row r="352" spans="10:21" x14ac:dyDescent="0.2">
      <c r="J352" s="49" t="s">
        <v>20102</v>
      </c>
      <c r="K352" s="34" t="s">
        <v>20103</v>
      </c>
      <c r="L352" s="48">
        <v>31.111999999999998</v>
      </c>
      <c r="M352" s="48">
        <v>160.08000000000001</v>
      </c>
      <c r="N352" s="56">
        <v>0</v>
      </c>
      <c r="U352" t="s">
        <v>20102</v>
      </c>
    </row>
    <row r="353" spans="10:21" x14ac:dyDescent="0.2">
      <c r="J353" s="49" t="s">
        <v>20104</v>
      </c>
      <c r="K353" s="34" t="s">
        <v>20105</v>
      </c>
      <c r="L353" s="48">
        <v>12.464</v>
      </c>
      <c r="M353" s="48">
        <v>71.152000000000001</v>
      </c>
      <c r="N353" s="56">
        <v>20.908000000000001</v>
      </c>
      <c r="O353" t="s">
        <v>8945</v>
      </c>
      <c r="U353" t="s">
        <v>20104</v>
      </c>
    </row>
    <row r="354" spans="10:21" x14ac:dyDescent="0.2">
      <c r="J354" s="49" t="s">
        <v>20106</v>
      </c>
      <c r="K354" s="34" t="s">
        <v>20107</v>
      </c>
      <c r="L354" s="48">
        <v>19.911999999999999</v>
      </c>
      <c r="M354" s="48">
        <v>97.831999999999994</v>
      </c>
      <c r="N354" s="56">
        <v>25.091000000000001</v>
      </c>
      <c r="U354" t="s">
        <v>20106</v>
      </c>
    </row>
    <row r="355" spans="10:21" x14ac:dyDescent="0.2">
      <c r="J355" s="49" t="s">
        <v>20108</v>
      </c>
      <c r="K355" s="34" t="s">
        <v>20109</v>
      </c>
      <c r="L355" s="48">
        <v>27.391999999999999</v>
      </c>
      <c r="M355" s="48">
        <v>0</v>
      </c>
      <c r="N355" s="56">
        <v>0</v>
      </c>
      <c r="U355" t="s">
        <v>20108</v>
      </c>
    </row>
    <row r="356" spans="10:21" x14ac:dyDescent="0.2">
      <c r="J356" s="49" t="s">
        <v>20110</v>
      </c>
      <c r="K356" s="34" t="s">
        <v>20111</v>
      </c>
      <c r="L356" s="48">
        <v>16.184000000000001</v>
      </c>
      <c r="M356" s="48">
        <v>82.72</v>
      </c>
      <c r="N356" s="56">
        <v>25.091000000000001</v>
      </c>
      <c r="U356" t="s">
        <v>20110</v>
      </c>
    </row>
    <row r="357" spans="10:21" x14ac:dyDescent="0.2">
      <c r="J357" s="49" t="s">
        <v>20112</v>
      </c>
      <c r="K357" s="34" t="s">
        <v>20113</v>
      </c>
      <c r="L357" s="48">
        <v>21.16</v>
      </c>
      <c r="M357" s="48">
        <v>0</v>
      </c>
      <c r="N357" s="56">
        <v>0</v>
      </c>
      <c r="U357" t="s">
        <v>20112</v>
      </c>
    </row>
    <row r="358" spans="10:21" x14ac:dyDescent="0.2">
      <c r="J358" s="49" t="s">
        <v>20114</v>
      </c>
      <c r="K358" s="34" t="s">
        <v>20115</v>
      </c>
      <c r="L358" s="48">
        <v>16.184000000000001</v>
      </c>
      <c r="M358" s="48">
        <v>97.831999999999994</v>
      </c>
      <c r="N358" s="56">
        <v>25.091000000000001</v>
      </c>
      <c r="U358" t="s">
        <v>20114</v>
      </c>
    </row>
    <row r="359" spans="10:21" x14ac:dyDescent="0.2">
      <c r="J359" s="49" t="s">
        <v>20116</v>
      </c>
      <c r="K359" s="34" t="s">
        <v>20117</v>
      </c>
      <c r="L359" s="48">
        <v>18.664000000000001</v>
      </c>
      <c r="M359" s="48">
        <v>115.6</v>
      </c>
      <c r="N359" s="56">
        <v>27.166</v>
      </c>
      <c r="U359" t="s">
        <v>20116</v>
      </c>
    </row>
    <row r="360" spans="10:21" x14ac:dyDescent="0.2">
      <c r="J360" s="49" t="s">
        <v>20118</v>
      </c>
      <c r="K360" s="34" t="s">
        <v>20119</v>
      </c>
      <c r="L360" s="48">
        <v>18.664000000000001</v>
      </c>
      <c r="M360" s="48">
        <v>106.72799999999999</v>
      </c>
      <c r="N360" s="56">
        <v>27.166</v>
      </c>
      <c r="U360" t="s">
        <v>20118</v>
      </c>
    </row>
    <row r="361" spans="10:21" x14ac:dyDescent="0.2">
      <c r="J361" s="49" t="s">
        <v>20120</v>
      </c>
      <c r="K361" s="34" t="s">
        <v>20121</v>
      </c>
      <c r="L361" s="48">
        <v>17.440000000000001</v>
      </c>
      <c r="M361" s="48">
        <v>0</v>
      </c>
      <c r="N361" s="56">
        <v>0</v>
      </c>
      <c r="U361" t="s">
        <v>20120</v>
      </c>
    </row>
    <row r="362" spans="10:21" x14ac:dyDescent="0.2">
      <c r="J362" s="49" t="s">
        <v>20122</v>
      </c>
      <c r="K362" s="34" t="s">
        <v>20123</v>
      </c>
      <c r="L362" s="48">
        <v>19.911999999999999</v>
      </c>
      <c r="M362" s="48">
        <v>124.496</v>
      </c>
      <c r="N362" s="56">
        <v>29.265999999999998</v>
      </c>
      <c r="U362" t="s">
        <v>20122</v>
      </c>
    </row>
    <row r="363" spans="10:21" x14ac:dyDescent="0.2">
      <c r="J363" s="49" t="s">
        <v>20124</v>
      </c>
      <c r="K363" s="34" t="s">
        <v>20125</v>
      </c>
      <c r="L363" s="48">
        <v>16.184000000000001</v>
      </c>
      <c r="M363" s="48">
        <v>97.831999999999994</v>
      </c>
      <c r="N363" s="56">
        <v>22.998999999999999</v>
      </c>
      <c r="U363" t="s">
        <v>20124</v>
      </c>
    </row>
    <row r="364" spans="10:21" x14ac:dyDescent="0.2">
      <c r="J364" s="49" t="s">
        <v>20126</v>
      </c>
      <c r="K364" s="34" t="s">
        <v>20127</v>
      </c>
      <c r="L364" s="48">
        <v>28.616</v>
      </c>
      <c r="M364" s="48">
        <v>0</v>
      </c>
      <c r="N364" s="56">
        <v>0</v>
      </c>
      <c r="U364" t="s">
        <v>20126</v>
      </c>
    </row>
    <row r="365" spans="10:21" x14ac:dyDescent="0.2">
      <c r="J365" s="49" t="s">
        <v>20128</v>
      </c>
      <c r="K365" s="34" t="s">
        <v>20129</v>
      </c>
      <c r="L365" s="48">
        <v>19.911999999999999</v>
      </c>
      <c r="M365" s="48">
        <v>133.4</v>
      </c>
      <c r="N365" s="56">
        <v>29.265999999999998</v>
      </c>
      <c r="U365" t="s">
        <v>20128</v>
      </c>
    </row>
    <row r="366" spans="10:21" x14ac:dyDescent="0.2">
      <c r="J366" s="49" t="s">
        <v>20130</v>
      </c>
      <c r="K366" s="34" t="s">
        <v>20131</v>
      </c>
      <c r="L366" s="48">
        <v>18.664000000000001</v>
      </c>
      <c r="M366" s="48">
        <v>0</v>
      </c>
      <c r="N366" s="56">
        <v>0</v>
      </c>
      <c r="U366" t="s">
        <v>20130</v>
      </c>
    </row>
    <row r="367" spans="10:21" x14ac:dyDescent="0.2">
      <c r="J367" s="49" t="s">
        <v>20132</v>
      </c>
      <c r="K367" s="34" t="s">
        <v>20133</v>
      </c>
      <c r="L367" s="48">
        <v>24.896000000000001</v>
      </c>
      <c r="M367" s="48">
        <v>177.864</v>
      </c>
      <c r="N367" s="56">
        <v>37.615000000000002</v>
      </c>
      <c r="U367" t="s">
        <v>20132</v>
      </c>
    </row>
    <row r="368" spans="10:21" x14ac:dyDescent="0.2">
      <c r="J368" s="49" t="s">
        <v>20134</v>
      </c>
      <c r="K368" s="34" t="s">
        <v>20135</v>
      </c>
      <c r="L368" s="48">
        <v>43.536000000000001</v>
      </c>
      <c r="M368" s="48">
        <v>284.56799999999998</v>
      </c>
      <c r="N368" s="56">
        <v>58.548000000000002</v>
      </c>
      <c r="U368" t="s">
        <v>20134</v>
      </c>
    </row>
    <row r="369" spans="10:21" x14ac:dyDescent="0.2">
      <c r="J369" s="49" t="s">
        <v>20136</v>
      </c>
      <c r="K369" s="34" t="s">
        <v>20137</v>
      </c>
      <c r="L369" s="48">
        <v>0</v>
      </c>
      <c r="M369" s="48">
        <v>266.76799999999997</v>
      </c>
      <c r="N369" s="56">
        <v>0</v>
      </c>
      <c r="U369" t="s">
        <v>20136</v>
      </c>
    </row>
    <row r="370" spans="10:21" x14ac:dyDescent="0.2">
      <c r="J370" s="49" t="s">
        <v>20138</v>
      </c>
      <c r="K370" s="34" t="s">
        <v>20139</v>
      </c>
      <c r="L370" s="48">
        <v>16.184000000000001</v>
      </c>
      <c r="M370" s="48">
        <v>88.912000000000006</v>
      </c>
      <c r="N370" s="56">
        <v>22.998999999999999</v>
      </c>
      <c r="U370" t="s">
        <v>20138</v>
      </c>
    </row>
    <row r="371" spans="10:21" x14ac:dyDescent="0.2">
      <c r="J371" s="49" t="s">
        <v>20140</v>
      </c>
      <c r="K371" s="34" t="s">
        <v>20141</v>
      </c>
      <c r="L371" s="48">
        <v>31.111999999999998</v>
      </c>
      <c r="M371" s="48">
        <v>151.184</v>
      </c>
      <c r="N371" s="56">
        <v>0</v>
      </c>
      <c r="U371" t="s">
        <v>20140</v>
      </c>
    </row>
    <row r="372" spans="10:21" x14ac:dyDescent="0.2">
      <c r="J372" s="49" t="s">
        <v>20142</v>
      </c>
      <c r="K372" s="34" t="s">
        <v>20143</v>
      </c>
      <c r="L372" s="48">
        <v>17.440000000000001</v>
      </c>
      <c r="M372" s="48">
        <v>97.831999999999994</v>
      </c>
      <c r="N372" s="56">
        <v>25.091000000000001</v>
      </c>
      <c r="U372" t="s">
        <v>20142</v>
      </c>
    </row>
    <row r="373" spans="10:21" x14ac:dyDescent="0.2">
      <c r="J373" s="49" t="s">
        <v>20144</v>
      </c>
      <c r="K373" s="34" t="s">
        <v>20145</v>
      </c>
      <c r="L373" s="48">
        <v>17.440000000000001</v>
      </c>
      <c r="M373" s="48">
        <v>106.72799999999999</v>
      </c>
      <c r="N373" s="56">
        <v>27.166</v>
      </c>
      <c r="U373" t="s">
        <v>20144</v>
      </c>
    </row>
    <row r="374" spans="10:21" x14ac:dyDescent="0.2">
      <c r="J374" s="49" t="s">
        <v>20146</v>
      </c>
      <c r="K374" s="34" t="s">
        <v>20147</v>
      </c>
      <c r="L374" s="48">
        <v>17.440000000000001</v>
      </c>
      <c r="M374" s="48">
        <v>0</v>
      </c>
      <c r="N374" s="56">
        <v>0</v>
      </c>
      <c r="U374" t="s">
        <v>20146</v>
      </c>
    </row>
    <row r="375" spans="10:21" x14ac:dyDescent="0.2">
      <c r="J375" s="49" t="s">
        <v>20148</v>
      </c>
      <c r="K375" s="34" t="s">
        <v>20149</v>
      </c>
      <c r="L375" s="48">
        <v>19.911999999999999</v>
      </c>
      <c r="M375" s="48">
        <v>124.496</v>
      </c>
      <c r="N375" s="56">
        <v>29.265999999999998</v>
      </c>
      <c r="U375" t="s">
        <v>20148</v>
      </c>
    </row>
    <row r="376" spans="10:21" x14ac:dyDescent="0.2">
      <c r="J376" s="49" t="s">
        <v>20150</v>
      </c>
      <c r="K376" s="34" t="s">
        <v>20151</v>
      </c>
      <c r="L376" s="48">
        <v>23.648</v>
      </c>
      <c r="M376" s="48">
        <v>168.96799999999999</v>
      </c>
      <c r="N376" s="56">
        <v>35.548999999999999</v>
      </c>
      <c r="U376" t="s">
        <v>20150</v>
      </c>
    </row>
    <row r="377" spans="10:21" x14ac:dyDescent="0.2">
      <c r="J377" s="49" t="s">
        <v>20152</v>
      </c>
      <c r="K377" s="34" t="s">
        <v>20153</v>
      </c>
      <c r="L377" s="48">
        <v>17.440000000000001</v>
      </c>
      <c r="M377" s="48">
        <v>106.72799999999999</v>
      </c>
      <c r="N377" s="56">
        <v>27.166</v>
      </c>
      <c r="U377" t="s">
        <v>20152</v>
      </c>
    </row>
    <row r="378" spans="10:21" x14ac:dyDescent="0.2">
      <c r="J378" s="49" t="s">
        <v>20154</v>
      </c>
      <c r="K378" s="34" t="s">
        <v>20155</v>
      </c>
      <c r="L378" s="48">
        <v>17.440000000000001</v>
      </c>
      <c r="M378" s="48">
        <v>106.72799999999999</v>
      </c>
      <c r="N378" s="56">
        <v>27.166</v>
      </c>
      <c r="U378" t="s">
        <v>20154</v>
      </c>
    </row>
    <row r="379" spans="10:21" x14ac:dyDescent="0.2">
      <c r="J379" s="49" t="s">
        <v>20156</v>
      </c>
      <c r="K379" s="34" t="s">
        <v>20157</v>
      </c>
      <c r="L379" s="48">
        <v>31.111999999999998</v>
      </c>
      <c r="M379" s="48">
        <v>151.184</v>
      </c>
      <c r="N379" s="56">
        <v>0</v>
      </c>
      <c r="U379" t="s">
        <v>20156</v>
      </c>
    </row>
    <row r="380" spans="10:21" x14ac:dyDescent="0.2">
      <c r="J380" s="49" t="s">
        <v>20158</v>
      </c>
      <c r="K380" s="34" t="s">
        <v>20159</v>
      </c>
      <c r="L380" s="48">
        <v>32.36</v>
      </c>
      <c r="M380" s="48">
        <v>160.08000000000001</v>
      </c>
      <c r="N380" s="56">
        <v>0</v>
      </c>
      <c r="U380" t="s">
        <v>20158</v>
      </c>
    </row>
    <row r="381" spans="10:21" x14ac:dyDescent="0.2">
      <c r="J381" s="49" t="s">
        <v>20160</v>
      </c>
      <c r="K381" s="34" t="s">
        <v>20161</v>
      </c>
      <c r="L381" s="48">
        <v>17.440000000000001</v>
      </c>
      <c r="M381" s="48">
        <v>106.72799999999999</v>
      </c>
      <c r="N381" s="56">
        <v>27.166</v>
      </c>
      <c r="U381" t="s">
        <v>20160</v>
      </c>
    </row>
    <row r="382" spans="10:21" x14ac:dyDescent="0.2">
      <c r="J382" s="49" t="s">
        <v>20162</v>
      </c>
      <c r="K382" s="34" t="s">
        <v>20163</v>
      </c>
      <c r="L382" s="48">
        <v>0</v>
      </c>
      <c r="M382" s="48">
        <v>100</v>
      </c>
      <c r="N382" s="56">
        <v>0</v>
      </c>
      <c r="U382" t="s">
        <v>20162</v>
      </c>
    </row>
    <row r="383" spans="10:21" x14ac:dyDescent="0.2">
      <c r="J383" s="49" t="s">
        <v>20164</v>
      </c>
      <c r="K383" s="34" t="s">
        <v>20165</v>
      </c>
      <c r="L383" s="48">
        <v>19.911999999999999</v>
      </c>
      <c r="M383" s="48">
        <v>0</v>
      </c>
      <c r="N383" s="56">
        <v>0</v>
      </c>
      <c r="U383" t="s">
        <v>20164</v>
      </c>
    </row>
    <row r="384" spans="10:21" x14ac:dyDescent="0.2">
      <c r="J384" s="49" t="s">
        <v>20166</v>
      </c>
      <c r="K384" s="34" t="s">
        <v>20167</v>
      </c>
      <c r="L384" s="48">
        <v>21.16</v>
      </c>
      <c r="M384" s="48">
        <v>133.4</v>
      </c>
      <c r="N384" s="56">
        <v>31.373999999999999</v>
      </c>
      <c r="U384" t="s">
        <v>20166</v>
      </c>
    </row>
    <row r="385" spans="10:21" x14ac:dyDescent="0.2">
      <c r="J385" s="49" t="s">
        <v>20168</v>
      </c>
      <c r="K385" s="34" t="s">
        <v>20169</v>
      </c>
      <c r="L385" s="48">
        <v>17.440000000000001</v>
      </c>
      <c r="M385" s="48">
        <v>106.72799999999999</v>
      </c>
      <c r="N385" s="56">
        <v>27.166</v>
      </c>
      <c r="U385" t="s">
        <v>20168</v>
      </c>
    </row>
    <row r="386" spans="10:21" x14ac:dyDescent="0.2">
      <c r="J386" s="49" t="s">
        <v>20170</v>
      </c>
      <c r="K386" s="34" t="s">
        <v>20171</v>
      </c>
      <c r="L386" s="48">
        <v>18.664000000000001</v>
      </c>
      <c r="M386" s="48">
        <v>124.496</v>
      </c>
      <c r="N386" s="56">
        <v>29.265999999999998</v>
      </c>
      <c r="U386" t="s">
        <v>20170</v>
      </c>
    </row>
    <row r="387" spans="10:21" x14ac:dyDescent="0.2">
      <c r="J387" s="49" t="s">
        <v>20172</v>
      </c>
      <c r="K387" s="34" t="s">
        <v>20173</v>
      </c>
      <c r="L387" s="48">
        <v>32.36</v>
      </c>
      <c r="M387" s="48">
        <v>0</v>
      </c>
      <c r="N387" s="56">
        <v>0</v>
      </c>
      <c r="U387" t="s">
        <v>20172</v>
      </c>
    </row>
    <row r="388" spans="10:21" x14ac:dyDescent="0.2">
      <c r="J388" s="49" t="s">
        <v>20174</v>
      </c>
      <c r="K388" s="34" t="s">
        <v>20175</v>
      </c>
      <c r="L388" s="48">
        <v>19.911999999999999</v>
      </c>
      <c r="M388" s="48">
        <v>115.6</v>
      </c>
      <c r="N388" s="56">
        <v>29.265999999999998</v>
      </c>
      <c r="U388" t="s">
        <v>20174</v>
      </c>
    </row>
    <row r="389" spans="10:21" x14ac:dyDescent="0.2">
      <c r="J389" s="49" t="s">
        <v>20176</v>
      </c>
      <c r="K389" s="34" t="s">
        <v>20177</v>
      </c>
      <c r="L389" s="48">
        <v>33.6</v>
      </c>
      <c r="M389" s="48">
        <v>177.864</v>
      </c>
      <c r="N389" s="56">
        <v>0</v>
      </c>
      <c r="U389" t="s">
        <v>20176</v>
      </c>
    </row>
    <row r="390" spans="10:21" x14ac:dyDescent="0.2">
      <c r="J390" s="49" t="s">
        <v>20178</v>
      </c>
      <c r="K390" s="34" t="s">
        <v>20179</v>
      </c>
      <c r="L390" s="48">
        <v>21.16</v>
      </c>
      <c r="M390" s="48">
        <v>0</v>
      </c>
      <c r="N390" s="56">
        <v>0</v>
      </c>
      <c r="U390" t="s">
        <v>20178</v>
      </c>
    </row>
    <row r="391" spans="10:21" x14ac:dyDescent="0.2">
      <c r="J391" s="49" t="s">
        <v>20180</v>
      </c>
      <c r="K391" s="34" t="s">
        <v>20181</v>
      </c>
      <c r="L391" s="48">
        <v>22.4</v>
      </c>
      <c r="M391" s="48">
        <v>133.4</v>
      </c>
      <c r="N391" s="56">
        <v>33.457000000000001</v>
      </c>
      <c r="U391" t="s">
        <v>20180</v>
      </c>
    </row>
    <row r="392" spans="10:21" x14ac:dyDescent="0.2">
      <c r="J392" s="49" t="s">
        <v>20182</v>
      </c>
      <c r="K392" s="34" t="s">
        <v>20183</v>
      </c>
      <c r="L392" s="48">
        <v>24.896000000000001</v>
      </c>
      <c r="M392" s="48">
        <v>151.184</v>
      </c>
      <c r="N392" s="56">
        <v>37.615000000000002</v>
      </c>
      <c r="U392" t="s">
        <v>20182</v>
      </c>
    </row>
    <row r="393" spans="10:21" x14ac:dyDescent="0.2">
      <c r="J393" s="49" t="s">
        <v>20184</v>
      </c>
      <c r="K393" s="34" t="s">
        <v>20185</v>
      </c>
      <c r="L393" s="48">
        <v>41.088000000000001</v>
      </c>
      <c r="M393" s="48">
        <v>249.00800000000001</v>
      </c>
      <c r="N393" s="56">
        <v>54.34</v>
      </c>
      <c r="U393" t="s">
        <v>20184</v>
      </c>
    </row>
    <row r="394" spans="10:21" x14ac:dyDescent="0.2">
      <c r="J394" s="49" t="s">
        <v>20186</v>
      </c>
      <c r="K394" s="34" t="s">
        <v>20187</v>
      </c>
      <c r="L394" s="48">
        <v>0</v>
      </c>
      <c r="M394" s="48">
        <v>235.68799999999999</v>
      </c>
      <c r="N394" s="56">
        <v>0</v>
      </c>
      <c r="U394" t="s">
        <v>20186</v>
      </c>
    </row>
    <row r="395" spans="10:21" x14ac:dyDescent="0.2">
      <c r="J395" s="49" t="s">
        <v>20188</v>
      </c>
      <c r="K395" s="34" t="s">
        <v>20189</v>
      </c>
      <c r="L395" s="48">
        <v>21.16</v>
      </c>
      <c r="M395" s="48">
        <v>124.496</v>
      </c>
      <c r="N395" s="56">
        <v>31.373999999999999</v>
      </c>
      <c r="U395" t="s">
        <v>20188</v>
      </c>
    </row>
    <row r="396" spans="10:21" x14ac:dyDescent="0.2">
      <c r="J396" s="49" t="s">
        <v>20190</v>
      </c>
      <c r="K396" s="34" t="s">
        <v>20191</v>
      </c>
      <c r="L396" s="48">
        <v>33.6</v>
      </c>
      <c r="M396" s="48">
        <v>0</v>
      </c>
      <c r="N396" s="56">
        <v>0</v>
      </c>
      <c r="U396" t="s">
        <v>20190</v>
      </c>
    </row>
    <row r="397" spans="10:21" x14ac:dyDescent="0.2">
      <c r="J397" s="49" t="s">
        <v>20192</v>
      </c>
      <c r="K397" s="34" t="s">
        <v>20193</v>
      </c>
      <c r="L397" s="48">
        <v>23.648</v>
      </c>
      <c r="M397" s="48">
        <v>0</v>
      </c>
      <c r="N397" s="56">
        <v>0</v>
      </c>
      <c r="U397" t="s">
        <v>20192</v>
      </c>
    </row>
    <row r="398" spans="10:21" x14ac:dyDescent="0.2">
      <c r="J398" s="49" t="s">
        <v>20194</v>
      </c>
      <c r="K398" s="34" t="s">
        <v>20195</v>
      </c>
      <c r="L398" s="48">
        <v>24.896000000000001</v>
      </c>
      <c r="M398" s="48">
        <v>151.184</v>
      </c>
      <c r="N398" s="56">
        <v>35.548999999999999</v>
      </c>
      <c r="U398" t="s">
        <v>20194</v>
      </c>
    </row>
    <row r="399" spans="10:21" x14ac:dyDescent="0.2">
      <c r="J399" s="49" t="s">
        <v>20196</v>
      </c>
      <c r="K399" s="34" t="s">
        <v>20197</v>
      </c>
      <c r="L399" s="48">
        <v>27.391999999999999</v>
      </c>
      <c r="M399" s="48">
        <v>160.08000000000001</v>
      </c>
      <c r="N399" s="56">
        <v>39.731999999999999</v>
      </c>
      <c r="U399" t="s">
        <v>20196</v>
      </c>
    </row>
    <row r="400" spans="10:21" x14ac:dyDescent="0.2">
      <c r="J400" s="49" t="s">
        <v>20198</v>
      </c>
      <c r="K400" s="34" t="s">
        <v>20199</v>
      </c>
      <c r="L400" s="48">
        <v>28.616</v>
      </c>
      <c r="M400" s="48">
        <v>177.864</v>
      </c>
      <c r="N400" s="56">
        <v>41.807000000000002</v>
      </c>
      <c r="U400" t="s">
        <v>20198</v>
      </c>
    </row>
    <row r="401" spans="10:21" x14ac:dyDescent="0.2">
      <c r="J401" s="49" t="s">
        <v>20200</v>
      </c>
      <c r="K401" s="34" t="s">
        <v>20201</v>
      </c>
      <c r="L401" s="48">
        <v>49.768000000000001</v>
      </c>
      <c r="M401" s="48">
        <v>337.93599999999998</v>
      </c>
      <c r="N401" s="56">
        <v>66.897999999999996</v>
      </c>
      <c r="U401" t="s">
        <v>20200</v>
      </c>
    </row>
    <row r="402" spans="10:21" x14ac:dyDescent="0.2">
      <c r="J402" s="49" t="s">
        <v>20202</v>
      </c>
      <c r="K402" s="34" t="s">
        <v>20203</v>
      </c>
      <c r="L402" s="48">
        <v>28.616</v>
      </c>
      <c r="M402" s="48">
        <v>177.864</v>
      </c>
      <c r="N402" s="56">
        <v>41.807000000000002</v>
      </c>
      <c r="U402" t="s">
        <v>20202</v>
      </c>
    </row>
    <row r="403" spans="10:21" x14ac:dyDescent="0.2">
      <c r="J403" s="49" t="s">
        <v>20204</v>
      </c>
      <c r="K403" s="34" t="s">
        <v>20205</v>
      </c>
      <c r="L403" s="48">
        <v>19.911999999999999</v>
      </c>
      <c r="M403" s="48">
        <v>115.6</v>
      </c>
      <c r="N403" s="56">
        <v>29.265999999999998</v>
      </c>
      <c r="U403" t="s">
        <v>20204</v>
      </c>
    </row>
    <row r="404" spans="10:21" x14ac:dyDescent="0.2">
      <c r="J404" s="49" t="s">
        <v>20206</v>
      </c>
      <c r="K404" s="34" t="s">
        <v>20207</v>
      </c>
      <c r="L404" s="48">
        <v>36.095999999999997</v>
      </c>
      <c r="M404" s="48">
        <v>0</v>
      </c>
      <c r="N404" s="56">
        <v>0</v>
      </c>
      <c r="U404" t="s">
        <v>20206</v>
      </c>
    </row>
    <row r="405" spans="10:21" x14ac:dyDescent="0.2">
      <c r="J405" s="49" t="s">
        <v>20208</v>
      </c>
      <c r="K405" s="34" t="s">
        <v>20209</v>
      </c>
      <c r="L405" s="48">
        <v>21.16</v>
      </c>
      <c r="M405" s="48">
        <v>124.496</v>
      </c>
      <c r="N405" s="56">
        <v>31.373999999999999</v>
      </c>
      <c r="U405" t="s">
        <v>20208</v>
      </c>
    </row>
    <row r="406" spans="10:21" x14ac:dyDescent="0.2">
      <c r="J406" s="49" t="s">
        <v>20210</v>
      </c>
      <c r="K406" s="34" t="s">
        <v>20211</v>
      </c>
      <c r="L406" s="48">
        <v>23.648</v>
      </c>
      <c r="M406" s="48">
        <v>142.28</v>
      </c>
      <c r="N406" s="56">
        <v>33.457000000000001</v>
      </c>
      <c r="U406" t="s">
        <v>20210</v>
      </c>
    </row>
    <row r="407" spans="10:21" x14ac:dyDescent="0.2">
      <c r="J407" s="49" t="s">
        <v>20212</v>
      </c>
      <c r="K407" s="34" t="s">
        <v>20213</v>
      </c>
      <c r="L407" s="48">
        <v>64</v>
      </c>
      <c r="M407" s="48">
        <v>0</v>
      </c>
      <c r="N407" s="56">
        <v>0</v>
      </c>
      <c r="U407" t="s">
        <v>20212</v>
      </c>
    </row>
    <row r="408" spans="10:21" x14ac:dyDescent="0.2">
      <c r="J408" s="49" t="s">
        <v>20214</v>
      </c>
      <c r="K408" s="34" t="s">
        <v>20215</v>
      </c>
      <c r="L408" s="48">
        <v>24.896000000000001</v>
      </c>
      <c r="M408" s="48">
        <v>160.08000000000001</v>
      </c>
      <c r="N408" s="56">
        <v>37.615000000000002</v>
      </c>
      <c r="U408" t="s">
        <v>20214</v>
      </c>
    </row>
    <row r="409" spans="10:21" x14ac:dyDescent="0.2">
      <c r="J409" s="49" t="s">
        <v>20216</v>
      </c>
      <c r="K409" s="34" t="s">
        <v>20217</v>
      </c>
      <c r="L409" s="48">
        <v>23.648</v>
      </c>
      <c r="M409" s="48">
        <v>0</v>
      </c>
      <c r="N409" s="56">
        <v>0</v>
      </c>
      <c r="U409" t="s">
        <v>20216</v>
      </c>
    </row>
    <row r="410" spans="10:21" x14ac:dyDescent="0.2">
      <c r="J410" s="49" t="s">
        <v>20218</v>
      </c>
      <c r="K410" s="34" t="s">
        <v>20219</v>
      </c>
      <c r="L410" s="48">
        <v>43.536000000000001</v>
      </c>
      <c r="M410" s="48">
        <v>231.208</v>
      </c>
      <c r="N410" s="56">
        <v>0</v>
      </c>
      <c r="U410" t="s">
        <v>20218</v>
      </c>
    </row>
    <row r="411" spans="10:21" x14ac:dyDescent="0.2">
      <c r="J411" s="49" t="s">
        <v>20220</v>
      </c>
      <c r="K411" s="34" t="s">
        <v>20221</v>
      </c>
      <c r="L411" s="48">
        <v>0</v>
      </c>
      <c r="M411" s="48">
        <v>97.831999999999994</v>
      </c>
      <c r="N411" s="56">
        <v>0</v>
      </c>
      <c r="U411" t="s">
        <v>20220</v>
      </c>
    </row>
    <row r="412" spans="10:21" x14ac:dyDescent="0.2">
      <c r="J412" s="49" t="s">
        <v>20222</v>
      </c>
      <c r="K412" s="34" t="s">
        <v>20223</v>
      </c>
      <c r="L412" s="48">
        <v>19.911999999999999</v>
      </c>
      <c r="M412" s="48">
        <v>124.496</v>
      </c>
      <c r="N412" s="56">
        <v>29.265999999999998</v>
      </c>
      <c r="U412" t="s">
        <v>20222</v>
      </c>
    </row>
    <row r="413" spans="10:21" x14ac:dyDescent="0.2">
      <c r="J413" s="49" t="s">
        <v>20224</v>
      </c>
      <c r="K413" s="34" t="s">
        <v>20225</v>
      </c>
      <c r="L413" s="48">
        <v>24.896000000000001</v>
      </c>
      <c r="M413" s="48">
        <v>160.08000000000001</v>
      </c>
      <c r="N413" s="56">
        <v>35.548999999999999</v>
      </c>
      <c r="U413" t="s">
        <v>20224</v>
      </c>
    </row>
    <row r="414" spans="10:21" x14ac:dyDescent="0.2">
      <c r="J414" s="49" t="s">
        <v>20226</v>
      </c>
      <c r="K414" s="34" t="s">
        <v>20227</v>
      </c>
      <c r="L414" s="48">
        <v>27.391999999999999</v>
      </c>
      <c r="M414" s="48">
        <v>177.864</v>
      </c>
      <c r="N414" s="56">
        <v>37.615000000000002</v>
      </c>
      <c r="U414" t="s">
        <v>20226</v>
      </c>
    </row>
    <row r="415" spans="10:21" x14ac:dyDescent="0.2">
      <c r="J415" s="49" t="s">
        <v>20228</v>
      </c>
      <c r="K415" s="34" t="s">
        <v>20229</v>
      </c>
      <c r="L415" s="48">
        <v>28.616</v>
      </c>
      <c r="M415" s="48">
        <v>195.648</v>
      </c>
      <c r="N415" s="56">
        <v>41.807000000000002</v>
      </c>
      <c r="U415" t="s">
        <v>20228</v>
      </c>
    </row>
    <row r="416" spans="10:21" x14ac:dyDescent="0.2">
      <c r="J416" s="49" t="s">
        <v>20230</v>
      </c>
      <c r="K416" s="34" t="s">
        <v>20231</v>
      </c>
      <c r="L416" s="48">
        <v>41.088000000000001</v>
      </c>
      <c r="M416" s="48">
        <v>222.328</v>
      </c>
      <c r="N416" s="56">
        <v>0</v>
      </c>
      <c r="U416" t="s">
        <v>20230</v>
      </c>
    </row>
    <row r="417" spans="10:21" x14ac:dyDescent="0.2">
      <c r="J417" s="49" t="s">
        <v>20232</v>
      </c>
      <c r="K417" s="34" t="s">
        <v>20233</v>
      </c>
      <c r="L417" s="48">
        <v>23.648</v>
      </c>
      <c r="M417" s="48">
        <v>151.184</v>
      </c>
      <c r="N417" s="56">
        <v>35.548999999999999</v>
      </c>
      <c r="U417" t="s">
        <v>20232</v>
      </c>
    </row>
    <row r="418" spans="10:21" x14ac:dyDescent="0.2">
      <c r="J418" s="49" t="s">
        <v>20234</v>
      </c>
      <c r="K418" s="34" t="s">
        <v>20235</v>
      </c>
      <c r="L418" s="48">
        <v>24.896000000000001</v>
      </c>
      <c r="M418" s="48">
        <v>177.864</v>
      </c>
      <c r="N418" s="56">
        <v>37.615000000000002</v>
      </c>
      <c r="U418" t="s">
        <v>20234</v>
      </c>
    </row>
    <row r="419" spans="10:21" x14ac:dyDescent="0.2">
      <c r="J419" s="49" t="s">
        <v>20236</v>
      </c>
      <c r="K419" s="34" t="s">
        <v>20237</v>
      </c>
      <c r="L419" s="48">
        <v>31.111999999999998</v>
      </c>
      <c r="M419" s="48">
        <v>204.536</v>
      </c>
      <c r="N419" s="56">
        <v>45.997999999999998</v>
      </c>
      <c r="U419" t="s">
        <v>20236</v>
      </c>
    </row>
    <row r="420" spans="10:21" x14ac:dyDescent="0.2">
      <c r="J420" s="49" t="s">
        <v>20238</v>
      </c>
      <c r="K420" s="34" t="s">
        <v>20239</v>
      </c>
      <c r="L420" s="48">
        <v>23.648</v>
      </c>
      <c r="M420" s="48">
        <v>151.184</v>
      </c>
      <c r="N420" s="56">
        <v>35.548999999999999</v>
      </c>
      <c r="U420" t="s">
        <v>20238</v>
      </c>
    </row>
    <row r="421" spans="10:21" x14ac:dyDescent="0.2">
      <c r="J421" s="49" t="s">
        <v>20240</v>
      </c>
      <c r="K421" s="34" t="s">
        <v>20241</v>
      </c>
      <c r="L421" s="48">
        <v>23.648</v>
      </c>
      <c r="M421" s="48">
        <v>151.184</v>
      </c>
      <c r="N421" s="56">
        <v>35.548999999999999</v>
      </c>
      <c r="U421" t="s">
        <v>20240</v>
      </c>
    </row>
    <row r="422" spans="10:21" x14ac:dyDescent="0.2">
      <c r="J422" s="49" t="s">
        <v>20242</v>
      </c>
      <c r="K422" s="34" t="s">
        <v>20243</v>
      </c>
      <c r="L422" s="48">
        <v>26.128</v>
      </c>
      <c r="M422" s="48">
        <v>0</v>
      </c>
      <c r="N422" s="56">
        <v>0</v>
      </c>
      <c r="U422" t="s">
        <v>20242</v>
      </c>
    </row>
    <row r="423" spans="10:21" x14ac:dyDescent="0.2">
      <c r="J423" s="49" t="s">
        <v>20244</v>
      </c>
      <c r="K423" s="34" t="s">
        <v>20245</v>
      </c>
      <c r="L423" s="48">
        <v>29.88</v>
      </c>
      <c r="M423" s="48">
        <v>195.648</v>
      </c>
      <c r="N423" s="56">
        <v>41.807000000000002</v>
      </c>
      <c r="U423" t="s">
        <v>20244</v>
      </c>
    </row>
    <row r="424" spans="10:21" x14ac:dyDescent="0.2">
      <c r="J424" s="49" t="s">
        <v>20246</v>
      </c>
      <c r="K424" s="34" t="s">
        <v>20247</v>
      </c>
      <c r="L424" s="48">
        <v>32.36</v>
      </c>
      <c r="M424" s="48">
        <v>213.44800000000001</v>
      </c>
      <c r="N424" s="56">
        <v>45.997999999999998</v>
      </c>
      <c r="U424" t="s">
        <v>20246</v>
      </c>
    </row>
    <row r="425" spans="10:21" x14ac:dyDescent="0.2">
      <c r="J425" s="49" t="s">
        <v>20248</v>
      </c>
      <c r="K425" s="34" t="s">
        <v>20249</v>
      </c>
      <c r="L425" s="48">
        <v>44.808</v>
      </c>
      <c r="M425" s="48">
        <v>311.26400000000001</v>
      </c>
      <c r="N425" s="56">
        <v>62.722999999999999</v>
      </c>
      <c r="U425" t="s">
        <v>20248</v>
      </c>
    </row>
    <row r="426" spans="10:21" x14ac:dyDescent="0.2">
      <c r="J426" s="49" t="s">
        <v>20250</v>
      </c>
      <c r="K426" s="34" t="s">
        <v>20251</v>
      </c>
      <c r="L426" s="48">
        <v>0</v>
      </c>
      <c r="M426" s="48">
        <v>311.26400000000001</v>
      </c>
      <c r="N426" s="56">
        <v>0</v>
      </c>
      <c r="U426" t="s">
        <v>20250</v>
      </c>
    </row>
    <row r="427" spans="10:21" x14ac:dyDescent="0.2">
      <c r="J427" s="49" t="s">
        <v>20252</v>
      </c>
      <c r="K427" s="34" t="s">
        <v>20253</v>
      </c>
      <c r="L427" s="48">
        <v>24.896000000000001</v>
      </c>
      <c r="M427" s="48">
        <v>160.08000000000001</v>
      </c>
      <c r="N427" s="56">
        <v>37.615000000000002</v>
      </c>
      <c r="U427" t="s">
        <v>20252</v>
      </c>
    </row>
    <row r="428" spans="10:21" x14ac:dyDescent="0.2">
      <c r="J428" s="49" t="s">
        <v>20254</v>
      </c>
      <c r="K428" s="34" t="s">
        <v>20255</v>
      </c>
      <c r="L428" s="48">
        <v>32.36</v>
      </c>
      <c r="M428" s="48">
        <v>222.328</v>
      </c>
      <c r="N428" s="56">
        <v>48.097999999999999</v>
      </c>
      <c r="U428" t="s">
        <v>20254</v>
      </c>
    </row>
    <row r="429" spans="10:21" x14ac:dyDescent="0.2">
      <c r="J429" s="49" t="s">
        <v>20256</v>
      </c>
      <c r="K429" s="34" t="s">
        <v>20257</v>
      </c>
      <c r="L429" s="48">
        <v>29.88</v>
      </c>
      <c r="M429" s="48">
        <v>0</v>
      </c>
      <c r="N429" s="56">
        <v>0</v>
      </c>
      <c r="U429" t="s">
        <v>20256</v>
      </c>
    </row>
    <row r="430" spans="10:21" x14ac:dyDescent="0.2">
      <c r="J430" s="49" t="s">
        <v>20258</v>
      </c>
      <c r="K430" s="34" t="s">
        <v>20259</v>
      </c>
      <c r="L430" s="48">
        <v>32.36</v>
      </c>
      <c r="M430" s="48">
        <v>222.328</v>
      </c>
      <c r="N430" s="56">
        <v>45.997999999999998</v>
      </c>
      <c r="U430" t="s">
        <v>20258</v>
      </c>
    </row>
    <row r="431" spans="10:21" x14ac:dyDescent="0.2">
      <c r="J431" s="49" t="s">
        <v>20260</v>
      </c>
      <c r="K431" s="34" t="s">
        <v>20261</v>
      </c>
      <c r="L431" s="48">
        <v>32.36</v>
      </c>
      <c r="M431" s="48">
        <v>204.536</v>
      </c>
      <c r="N431" s="56">
        <v>45.997999999999998</v>
      </c>
      <c r="U431" t="s">
        <v>20260</v>
      </c>
    </row>
    <row r="432" spans="10:21" x14ac:dyDescent="0.2">
      <c r="J432" s="49" t="s">
        <v>20262</v>
      </c>
      <c r="K432" s="34" t="s">
        <v>20263</v>
      </c>
      <c r="L432" s="48">
        <v>39.816000000000003</v>
      </c>
      <c r="M432" s="48">
        <v>231.208</v>
      </c>
      <c r="N432" s="56">
        <v>56.465000000000003</v>
      </c>
      <c r="U432" t="s">
        <v>20262</v>
      </c>
    </row>
    <row r="433" spans="10:21" x14ac:dyDescent="0.2">
      <c r="J433" s="49" t="s">
        <v>20264</v>
      </c>
      <c r="K433" s="34" t="s">
        <v>20265</v>
      </c>
      <c r="L433" s="48">
        <v>32.36</v>
      </c>
      <c r="M433" s="48">
        <v>222.328</v>
      </c>
      <c r="N433" s="56">
        <v>45.997999999999998</v>
      </c>
      <c r="U433" t="s">
        <v>20264</v>
      </c>
    </row>
    <row r="434" spans="10:21" x14ac:dyDescent="0.2">
      <c r="J434" s="49" t="s">
        <v>20266</v>
      </c>
      <c r="K434" s="34" t="s">
        <v>20267</v>
      </c>
      <c r="L434" s="48">
        <v>37.344000000000001</v>
      </c>
      <c r="M434" s="48">
        <v>222.328</v>
      </c>
      <c r="N434" s="56">
        <v>54.34</v>
      </c>
      <c r="U434" t="s">
        <v>20266</v>
      </c>
    </row>
    <row r="435" spans="10:21" x14ac:dyDescent="0.2">
      <c r="J435" s="49" t="s">
        <v>20268</v>
      </c>
      <c r="K435" s="34" t="s">
        <v>20269</v>
      </c>
      <c r="L435" s="48">
        <v>32.36</v>
      </c>
      <c r="M435" s="48">
        <v>222.328</v>
      </c>
      <c r="N435" s="56">
        <v>45.997999999999998</v>
      </c>
      <c r="U435" t="s">
        <v>20268</v>
      </c>
    </row>
    <row r="436" spans="10:21" x14ac:dyDescent="0.2">
      <c r="J436" s="49" t="s">
        <v>20270</v>
      </c>
      <c r="K436" s="34" t="s">
        <v>20271</v>
      </c>
      <c r="L436" s="48">
        <v>37.344000000000001</v>
      </c>
      <c r="M436" s="48">
        <v>231.208</v>
      </c>
      <c r="N436" s="56">
        <v>54.34</v>
      </c>
      <c r="U436" t="s">
        <v>20270</v>
      </c>
    </row>
    <row r="437" spans="10:21" x14ac:dyDescent="0.2">
      <c r="J437" s="49" t="s">
        <v>20272</v>
      </c>
      <c r="K437" s="34" t="s">
        <v>20273</v>
      </c>
      <c r="L437" s="48">
        <v>31.111999999999998</v>
      </c>
      <c r="M437" s="48">
        <v>0</v>
      </c>
      <c r="N437" s="56">
        <v>0</v>
      </c>
      <c r="U437" t="s">
        <v>20272</v>
      </c>
    </row>
    <row r="438" spans="10:21" x14ac:dyDescent="0.2">
      <c r="J438" s="49" t="s">
        <v>20274</v>
      </c>
      <c r="K438" s="34" t="s">
        <v>20275</v>
      </c>
      <c r="L438" s="48">
        <v>54.76</v>
      </c>
      <c r="M438" s="48">
        <v>355.71199999999999</v>
      </c>
      <c r="N438" s="56">
        <v>73.171999999999997</v>
      </c>
      <c r="U438" t="s">
        <v>20274</v>
      </c>
    </row>
    <row r="439" spans="10:21" x14ac:dyDescent="0.2">
      <c r="J439" s="49" t="s">
        <v>20276</v>
      </c>
      <c r="K439" s="34" t="s">
        <v>20277</v>
      </c>
      <c r="L439" s="48">
        <v>38.576000000000001</v>
      </c>
      <c r="M439" s="48">
        <v>249.00800000000001</v>
      </c>
      <c r="N439" s="56">
        <v>56.465000000000003</v>
      </c>
      <c r="U439" t="s">
        <v>20276</v>
      </c>
    </row>
    <row r="440" spans="10:21" x14ac:dyDescent="0.2">
      <c r="J440" s="49" t="s">
        <v>20278</v>
      </c>
      <c r="K440" s="34" t="s">
        <v>20279</v>
      </c>
      <c r="L440" s="48">
        <v>28.015999999999998</v>
      </c>
      <c r="M440" s="48">
        <v>0</v>
      </c>
      <c r="N440" s="56">
        <v>0</v>
      </c>
      <c r="U440" t="s">
        <v>20278</v>
      </c>
    </row>
    <row r="441" spans="10:21" x14ac:dyDescent="0.2">
      <c r="J441" s="49" t="s">
        <v>20280</v>
      </c>
      <c r="K441" s="34" t="s">
        <v>20281</v>
      </c>
      <c r="L441" s="48">
        <v>43.536000000000001</v>
      </c>
      <c r="M441" s="48">
        <v>293.464</v>
      </c>
      <c r="N441" s="56">
        <v>60.64</v>
      </c>
      <c r="U441" t="s">
        <v>20280</v>
      </c>
    </row>
    <row r="442" spans="10:21" x14ac:dyDescent="0.2">
      <c r="J442" s="49" t="s">
        <v>20282</v>
      </c>
      <c r="K442" s="34" t="s">
        <v>20283</v>
      </c>
      <c r="L442" s="48">
        <v>46.048000000000002</v>
      </c>
      <c r="M442" s="48">
        <v>337.93599999999998</v>
      </c>
      <c r="N442" s="56">
        <v>62.722999999999999</v>
      </c>
      <c r="U442" t="s">
        <v>20282</v>
      </c>
    </row>
    <row r="443" spans="10:21" x14ac:dyDescent="0.2">
      <c r="J443" s="49" t="s">
        <v>20284</v>
      </c>
      <c r="K443" s="34" t="s">
        <v>20285</v>
      </c>
      <c r="L443" s="48">
        <v>54.76</v>
      </c>
      <c r="M443" s="48">
        <v>364.62400000000002</v>
      </c>
      <c r="N443" s="56">
        <v>68.980999999999995</v>
      </c>
      <c r="U443" t="s">
        <v>20284</v>
      </c>
    </row>
    <row r="444" spans="10:21" x14ac:dyDescent="0.2">
      <c r="J444" s="49" t="s">
        <v>20286</v>
      </c>
      <c r="K444" s="34" t="s">
        <v>20287</v>
      </c>
      <c r="L444" s="48">
        <v>36.095999999999997</v>
      </c>
      <c r="M444" s="48">
        <v>222.328</v>
      </c>
      <c r="N444" s="56">
        <v>52.256</v>
      </c>
      <c r="U444" t="s">
        <v>20286</v>
      </c>
    </row>
    <row r="445" spans="10:21" x14ac:dyDescent="0.2">
      <c r="J445" s="49" t="s">
        <v>20288</v>
      </c>
      <c r="K445" s="34" t="s">
        <v>20289</v>
      </c>
      <c r="L445" s="48">
        <v>44.808</v>
      </c>
      <c r="M445" s="48">
        <v>337.93599999999998</v>
      </c>
      <c r="N445" s="56">
        <v>66.897999999999996</v>
      </c>
      <c r="U445" t="s">
        <v>20288</v>
      </c>
    </row>
    <row r="446" spans="10:21" x14ac:dyDescent="0.2">
      <c r="J446" s="49" t="s">
        <v>20290</v>
      </c>
      <c r="K446" s="34" t="s">
        <v>20291</v>
      </c>
      <c r="L446" s="48">
        <v>37.344000000000001</v>
      </c>
      <c r="M446" s="48">
        <v>0</v>
      </c>
      <c r="N446" s="56">
        <v>0</v>
      </c>
      <c r="U446" t="s">
        <v>20290</v>
      </c>
    </row>
    <row r="447" spans="10:21" x14ac:dyDescent="0.2">
      <c r="J447" s="49" t="s">
        <v>20292</v>
      </c>
      <c r="K447" s="34" t="s">
        <v>20293</v>
      </c>
      <c r="L447" s="48">
        <v>43.536000000000001</v>
      </c>
      <c r="M447" s="48">
        <v>311.26400000000001</v>
      </c>
      <c r="N447" s="56">
        <v>54.34</v>
      </c>
      <c r="U447" t="s">
        <v>20292</v>
      </c>
    </row>
    <row r="448" spans="10:21" x14ac:dyDescent="0.2">
      <c r="J448" s="49" t="s">
        <v>20294</v>
      </c>
      <c r="K448" s="34" t="s">
        <v>20295</v>
      </c>
      <c r="L448" s="48">
        <v>31.111999999999998</v>
      </c>
      <c r="M448" s="48">
        <v>0</v>
      </c>
      <c r="N448" s="56">
        <v>0</v>
      </c>
      <c r="U448" t="s">
        <v>20294</v>
      </c>
    </row>
    <row r="449" spans="10:21" x14ac:dyDescent="0.2">
      <c r="J449" s="49" t="s">
        <v>20296</v>
      </c>
      <c r="K449" s="34" t="s">
        <v>20297</v>
      </c>
      <c r="L449" s="48">
        <v>49.768000000000001</v>
      </c>
      <c r="M449" s="48">
        <v>355.71199999999999</v>
      </c>
      <c r="N449" s="56">
        <v>66.897999999999996</v>
      </c>
      <c r="U449" t="s">
        <v>20296</v>
      </c>
    </row>
    <row r="450" spans="10:21" x14ac:dyDescent="0.2">
      <c r="J450" s="49" t="s">
        <v>20298</v>
      </c>
      <c r="K450" s="34" t="s">
        <v>20299</v>
      </c>
      <c r="L450" s="48">
        <v>37.344000000000001</v>
      </c>
      <c r="M450" s="48">
        <v>0</v>
      </c>
      <c r="N450" s="56">
        <v>0</v>
      </c>
      <c r="U450" t="s">
        <v>20298</v>
      </c>
    </row>
    <row r="451" spans="10:21" x14ac:dyDescent="0.2">
      <c r="J451" s="49" t="s">
        <v>20300</v>
      </c>
      <c r="K451" s="34" t="s">
        <v>20301</v>
      </c>
      <c r="L451" s="48">
        <v>44.808</v>
      </c>
      <c r="M451" s="48">
        <v>320.13600000000002</v>
      </c>
      <c r="N451" s="56">
        <v>58.548000000000002</v>
      </c>
      <c r="U451" t="s">
        <v>20300</v>
      </c>
    </row>
    <row r="452" spans="10:21" x14ac:dyDescent="0.2">
      <c r="J452" s="49" t="s">
        <v>20302</v>
      </c>
      <c r="K452" s="34" t="s">
        <v>20303</v>
      </c>
      <c r="L452" s="48">
        <v>44.808</v>
      </c>
      <c r="M452" s="48">
        <v>329.048</v>
      </c>
      <c r="N452" s="56">
        <v>58.548000000000002</v>
      </c>
      <c r="U452" t="s">
        <v>20302</v>
      </c>
    </row>
    <row r="453" spans="10:21" x14ac:dyDescent="0.2">
      <c r="J453" s="49" t="s">
        <v>20304</v>
      </c>
      <c r="K453" s="34" t="s">
        <v>20305</v>
      </c>
      <c r="L453" s="48">
        <v>47.32</v>
      </c>
      <c r="M453" s="48">
        <v>337.93599999999998</v>
      </c>
      <c r="N453" s="56">
        <v>62.722999999999999</v>
      </c>
      <c r="U453" t="s">
        <v>20304</v>
      </c>
    </row>
    <row r="454" spans="10:21" x14ac:dyDescent="0.2">
      <c r="J454" s="49" t="s">
        <v>20306</v>
      </c>
      <c r="K454" s="34" t="s">
        <v>20307</v>
      </c>
      <c r="L454" s="48">
        <v>47.32</v>
      </c>
      <c r="M454" s="48">
        <v>311.26400000000001</v>
      </c>
      <c r="N454" s="56">
        <v>62.722999999999999</v>
      </c>
      <c r="U454" t="s">
        <v>20306</v>
      </c>
    </row>
    <row r="455" spans="10:21" x14ac:dyDescent="0.2">
      <c r="J455" s="49" t="s">
        <v>20308</v>
      </c>
      <c r="K455" s="34" t="s">
        <v>20309</v>
      </c>
      <c r="L455" s="48">
        <v>47.32</v>
      </c>
      <c r="M455" s="48">
        <v>337.93599999999998</v>
      </c>
      <c r="N455" s="56">
        <v>58.548000000000002</v>
      </c>
      <c r="U455" t="s">
        <v>20308</v>
      </c>
    </row>
    <row r="456" spans="10:21" x14ac:dyDescent="0.2">
      <c r="J456" s="49" t="s">
        <v>20310</v>
      </c>
      <c r="K456" s="34" t="s">
        <v>20311</v>
      </c>
      <c r="L456" s="48">
        <v>31.111999999999998</v>
      </c>
      <c r="M456" s="48">
        <v>0</v>
      </c>
      <c r="N456" s="56">
        <v>0</v>
      </c>
      <c r="U456" t="s">
        <v>20310</v>
      </c>
    </row>
    <row r="457" spans="10:21" x14ac:dyDescent="0.2">
      <c r="J457" s="49" t="s">
        <v>20312</v>
      </c>
      <c r="K457" s="34" t="s">
        <v>20313</v>
      </c>
      <c r="L457" s="48">
        <v>56</v>
      </c>
      <c r="M457" s="48">
        <v>355.71199999999999</v>
      </c>
      <c r="N457" s="56">
        <v>79.430000000000007</v>
      </c>
      <c r="U457" t="s">
        <v>20312</v>
      </c>
    </row>
    <row r="458" spans="10:21" x14ac:dyDescent="0.2">
      <c r="J458" s="49" t="s">
        <v>20314</v>
      </c>
      <c r="K458" s="34" t="s">
        <v>20315</v>
      </c>
      <c r="L458" s="48">
        <v>105.78400000000001</v>
      </c>
      <c r="M458" s="48">
        <v>622.48800000000006</v>
      </c>
      <c r="N458" s="56">
        <v>146.35300000000001</v>
      </c>
      <c r="U458" t="s">
        <v>20314</v>
      </c>
    </row>
    <row r="459" spans="10:21" x14ac:dyDescent="0.2">
      <c r="J459" s="49" t="s">
        <v>20316</v>
      </c>
      <c r="K459" s="34" t="s">
        <v>20317</v>
      </c>
      <c r="L459" s="48">
        <v>80.88</v>
      </c>
      <c r="M459" s="48">
        <v>533.57600000000002</v>
      </c>
      <c r="N459" s="56">
        <v>104.53</v>
      </c>
      <c r="U459" t="s">
        <v>20316</v>
      </c>
    </row>
    <row r="460" spans="10:21" x14ac:dyDescent="0.2">
      <c r="J460" s="49" t="s">
        <v>20318</v>
      </c>
      <c r="K460" s="34" t="s">
        <v>20319</v>
      </c>
      <c r="L460" s="48">
        <v>82.128</v>
      </c>
      <c r="M460" s="48">
        <v>560.24800000000005</v>
      </c>
      <c r="N460" s="56">
        <v>114.979</v>
      </c>
      <c r="U460" t="s">
        <v>20318</v>
      </c>
    </row>
    <row r="461" spans="10:21" x14ac:dyDescent="0.2">
      <c r="J461" s="49" t="s">
        <v>20320</v>
      </c>
      <c r="K461" s="34" t="s">
        <v>20321</v>
      </c>
      <c r="L461" s="48">
        <v>80.88</v>
      </c>
      <c r="M461" s="48">
        <v>533.57600000000002</v>
      </c>
      <c r="N461" s="56">
        <v>108.73</v>
      </c>
      <c r="U461" t="s">
        <v>20320</v>
      </c>
    </row>
    <row r="462" spans="10:21" x14ac:dyDescent="0.2">
      <c r="J462" s="49" t="s">
        <v>20322</v>
      </c>
      <c r="K462" s="34" t="s">
        <v>20323</v>
      </c>
      <c r="L462" s="48">
        <v>105.78400000000001</v>
      </c>
      <c r="M462" s="48">
        <v>666.96</v>
      </c>
      <c r="N462" s="56">
        <v>146.35300000000001</v>
      </c>
      <c r="U462" t="s">
        <v>20322</v>
      </c>
    </row>
    <row r="463" spans="10:21" ht="13.5" thickBot="1" x14ac:dyDescent="0.25">
      <c r="J463" s="50" t="s">
        <v>20324</v>
      </c>
      <c r="K463" s="51" t="s">
        <v>20325</v>
      </c>
      <c r="L463" s="48">
        <v>124.44799999999999</v>
      </c>
      <c r="M463" s="48">
        <v>800.32799999999997</v>
      </c>
      <c r="N463" s="56">
        <v>177.685</v>
      </c>
      <c r="U463" t="s">
        <v>20324</v>
      </c>
    </row>
    <row r="464" spans="10:21" x14ac:dyDescent="0.2">
      <c r="J464" s="320" t="s">
        <v>4463</v>
      </c>
      <c r="K464" s="321" t="s">
        <v>4463</v>
      </c>
      <c r="L464" s="1">
        <v>0</v>
      </c>
      <c r="M464" s="1">
        <v>0</v>
      </c>
      <c r="N464" s="1">
        <v>0</v>
      </c>
      <c r="U464" t="s">
        <v>4463</v>
      </c>
    </row>
  </sheetData>
  <autoFilter ref="J2:N463" xr:uid="{45E9477B-DE74-46C9-9219-DB886E73FC15}"/>
  <mergeCells count="1">
    <mergeCell ref="A1:D1"/>
  </mergeCells>
  <dataValidations count="1">
    <dataValidation type="list" allowBlank="1" showInputMessage="1" showErrorMessage="1" sqref="B3:B32" xr:uid="{A8657205-76A1-4558-859F-DECB6D6B1B40}">
      <formula1>$AH$3:$AH$5</formula1>
    </dataValidation>
  </dataValidations>
  <pageMargins left="0.7" right="0.7" top="0.75" bottom="0.75" header="0.3" footer="0.3"/>
  <pageSetup paperSize="9" scale="98" orientation="portrait" r:id="rId1"/>
  <ignoredErrors>
    <ignoredError sqref="R33:R89" twoDigitTextYear="1"/>
  </ignoredError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2392E-C970-4ED1-871C-FC2A0D7823E7}">
  <sheetPr codeName="Hoja21"/>
  <dimension ref="A1:R34"/>
  <sheetViews>
    <sheetView zoomScale="160" zoomScaleNormal="160" zoomScaleSheetLayoutView="205" workbookViewId="0">
      <selection activeCell="D13" sqref="D13"/>
    </sheetView>
  </sheetViews>
  <sheetFormatPr baseColWidth="10" defaultColWidth="11.42578125" defaultRowHeight="12.75" x14ac:dyDescent="0.2"/>
  <cols>
    <col min="1" max="1" width="14" style="9" customWidth="1"/>
    <col min="2" max="2" width="11.28515625" style="9"/>
    <col min="5" max="5" width="13.7109375" customWidth="1"/>
    <col min="6" max="7" width="4.28515625" customWidth="1"/>
    <col min="8" max="8" width="11.28515625" customWidth="1"/>
    <col min="9" max="9" width="11" bestFit="1" customWidth="1"/>
    <col min="10" max="10" width="12.85546875" bestFit="1" customWidth="1"/>
    <col min="11" max="12" width="12" bestFit="1" customWidth="1"/>
    <col min="13" max="13" width="2.28515625" customWidth="1"/>
    <col min="14" max="14" width="10.85546875" bestFit="1" customWidth="1"/>
    <col min="15" max="16" width="9.28515625" bestFit="1" customWidth="1"/>
    <col min="17" max="17" width="7.7109375" bestFit="1" customWidth="1"/>
    <col min="18" max="18" width="12" bestFit="1" customWidth="1"/>
  </cols>
  <sheetData>
    <row r="1" spans="1:12" ht="27.75" customHeight="1" x14ac:dyDescent="0.2">
      <c r="A1" s="1571" t="s">
        <v>20326</v>
      </c>
      <c r="B1" s="1572"/>
      <c r="C1" s="9"/>
      <c r="D1" s="9"/>
      <c r="E1" s="72">
        <f>+E19</f>
        <v>133114</v>
      </c>
      <c r="H1" s="1567" t="s">
        <v>20326</v>
      </c>
      <c r="I1" s="1568"/>
    </row>
    <row r="2" spans="1:12" ht="13.5" thickBot="1" x14ac:dyDescent="0.25">
      <c r="A2" s="70" t="s">
        <v>9007</v>
      </c>
      <c r="B2" s="71" t="s">
        <v>8753</v>
      </c>
      <c r="C2" s="30" t="s">
        <v>9340</v>
      </c>
      <c r="D2" s="30" t="s">
        <v>20327</v>
      </c>
      <c r="E2" s="30" t="s">
        <v>8164</v>
      </c>
      <c r="F2" s="30"/>
      <c r="G2" s="30"/>
      <c r="H2" s="442" t="s">
        <v>9007</v>
      </c>
      <c r="I2" s="443" t="s">
        <v>9340</v>
      </c>
      <c r="K2" s="30"/>
      <c r="L2" s="30"/>
    </row>
    <row r="3" spans="1:12" s="9" customFormat="1" ht="17.25" customHeight="1" x14ac:dyDescent="0.2">
      <c r="A3" s="101" t="s">
        <v>5475</v>
      </c>
      <c r="B3" s="11">
        <v>2000</v>
      </c>
      <c r="C3" s="26">
        <f t="shared" ref="C3:C10" si="0">+IFERROR(VLOOKUP(A3,$H$3:$I$17,2,0),0)</f>
        <v>10.119999999999999</v>
      </c>
      <c r="D3" s="26">
        <f t="shared" ref="D3:D10" si="1">+C3</f>
        <v>10.119999999999999</v>
      </c>
      <c r="E3" s="26">
        <f>+D3*B3</f>
        <v>20240</v>
      </c>
      <c r="H3" s="101" t="s">
        <v>5466</v>
      </c>
      <c r="I3" s="24">
        <f>+_xlfn.XLOOKUP("TARUGOS ESTRIADOS"&amp;H3,CODIGOS_Y_COSTOS[ID],CODIGOS_Y_COSTOS[COSTO],0,0)</f>
        <v>10.119999999999999</v>
      </c>
      <c r="J3" s="9" t="s">
        <v>20328</v>
      </c>
      <c r="K3" s="26"/>
    </row>
    <row r="4" spans="1:12" ht="17.25" customHeight="1" x14ac:dyDescent="0.2">
      <c r="A4" s="101" t="s">
        <v>5489</v>
      </c>
      <c r="B4" s="11">
        <v>2000</v>
      </c>
      <c r="C4" s="26">
        <f t="shared" si="0"/>
        <v>8.8059999999999992</v>
      </c>
      <c r="D4" s="26">
        <f t="shared" si="1"/>
        <v>8.8059999999999992</v>
      </c>
      <c r="E4" s="26">
        <f t="shared" ref="E4:E10" si="2">+D4*B4</f>
        <v>17612</v>
      </c>
      <c r="H4" s="7" t="s">
        <v>5475</v>
      </c>
      <c r="I4" s="56">
        <f>+_xlfn.XLOOKUP("TARUGOS ESTRIADOS"&amp;H4,CODIGOS_Y_COSTOS[ID],CODIGOS_Y_COSTOS[COSTO],0,0)</f>
        <v>10.119999999999999</v>
      </c>
      <c r="J4" s="9" t="s">
        <v>20329</v>
      </c>
      <c r="K4" s="1"/>
    </row>
    <row r="5" spans="1:12" x14ac:dyDescent="0.2">
      <c r="A5" s="101" t="s">
        <v>5500</v>
      </c>
      <c r="B5" s="11">
        <v>2000</v>
      </c>
      <c r="C5" s="26">
        <f t="shared" si="0"/>
        <v>14.596</v>
      </c>
      <c r="D5" s="26">
        <f t="shared" si="1"/>
        <v>14.596</v>
      </c>
      <c r="E5" s="26">
        <f t="shared" si="2"/>
        <v>29192</v>
      </c>
      <c r="H5" s="7" t="s">
        <v>5477</v>
      </c>
      <c r="I5" s="56">
        <f>+_xlfn.XLOOKUP("TARUGOS ESTRIADOS"&amp;H5,CODIGOS_Y_COSTOS[ID],CODIGOS_Y_COSTOS[COSTO],0,0)</f>
        <v>10.119999999999999</v>
      </c>
      <c r="J5" s="9" t="s">
        <v>17911</v>
      </c>
      <c r="K5" s="1"/>
    </row>
    <row r="6" spans="1:12" s="9" customFormat="1" ht="17.25" customHeight="1" x14ac:dyDescent="0.2">
      <c r="A6" s="101" t="s">
        <v>5504</v>
      </c>
      <c r="B6" s="11">
        <v>2000</v>
      </c>
      <c r="C6" s="26">
        <f t="shared" si="0"/>
        <v>14.45</v>
      </c>
      <c r="D6" s="26">
        <f t="shared" si="1"/>
        <v>14.45</v>
      </c>
      <c r="E6" s="26">
        <f t="shared" si="2"/>
        <v>28900</v>
      </c>
      <c r="H6" s="101" t="s">
        <v>5480</v>
      </c>
      <c r="I6" s="24">
        <f>+_xlfn.XLOOKUP("TARUGOS ESTRIADOS"&amp;H6,CODIGOS_Y_COSTOS[ID],CODIGOS_Y_COSTOS[COSTO],0,0)</f>
        <v>12.406000000000001</v>
      </c>
      <c r="J6" s="9" t="s">
        <v>20330</v>
      </c>
      <c r="K6" s="26"/>
    </row>
    <row r="7" spans="1:12" x14ac:dyDescent="0.2">
      <c r="A7" s="101" t="s">
        <v>5508</v>
      </c>
      <c r="B7" s="11">
        <v>2000</v>
      </c>
      <c r="C7" s="26">
        <f t="shared" si="0"/>
        <v>18.585000000000001</v>
      </c>
      <c r="D7" s="26">
        <f t="shared" si="1"/>
        <v>18.585000000000001</v>
      </c>
      <c r="E7" s="26">
        <f t="shared" si="2"/>
        <v>37170</v>
      </c>
      <c r="H7" s="7" t="s">
        <v>5482</v>
      </c>
      <c r="I7" s="56">
        <f>+_xlfn.XLOOKUP("TARUGOS ESTRIADOS"&amp;H7,CODIGOS_Y_COSTOS[ID],CODIGOS_Y_COSTOS[COSTO],0,0)</f>
        <v>13.574</v>
      </c>
      <c r="J7" s="9" t="s">
        <v>20331</v>
      </c>
      <c r="K7" s="1"/>
    </row>
    <row r="8" spans="1:12" x14ac:dyDescent="0.2">
      <c r="A8" s="101"/>
      <c r="B8" s="11"/>
      <c r="C8" s="26">
        <f t="shared" si="0"/>
        <v>0</v>
      </c>
      <c r="D8" s="26">
        <f t="shared" si="1"/>
        <v>0</v>
      </c>
      <c r="E8" s="26">
        <f t="shared" si="2"/>
        <v>0</v>
      </c>
      <c r="H8" s="7" t="s">
        <v>5486</v>
      </c>
      <c r="I8" s="56">
        <f>+_xlfn.XLOOKUP("TARUGOS ESTRIADOS"&amp;H8,CODIGOS_Y_COSTOS[ID],CODIGOS_Y_COSTOS[COSTO],0,0)</f>
        <v>16.079000000000001</v>
      </c>
      <c r="J8" s="9" t="s">
        <v>17912</v>
      </c>
      <c r="K8" s="1"/>
    </row>
    <row r="9" spans="1:12" s="9" customFormat="1" ht="17.25" customHeight="1" x14ac:dyDescent="0.2">
      <c r="A9" s="101"/>
      <c r="B9" s="11"/>
      <c r="C9" s="26">
        <f t="shared" si="0"/>
        <v>0</v>
      </c>
      <c r="D9" s="26">
        <f t="shared" si="1"/>
        <v>0</v>
      </c>
      <c r="E9" s="26">
        <f t="shared" si="2"/>
        <v>0</v>
      </c>
      <c r="H9" s="101" t="s">
        <v>5489</v>
      </c>
      <c r="I9" s="24">
        <f>+_xlfn.XLOOKUP("TARUGOS ESTRIADOS"&amp;H9,CODIGOS_Y_COSTOS[ID],CODIGOS_Y_COSTOS[COSTO],0,0)</f>
        <v>8.8059999999999992</v>
      </c>
      <c r="K9" s="26"/>
    </row>
    <row r="10" spans="1:12" s="9" customFormat="1" ht="17.25" customHeight="1" x14ac:dyDescent="0.2">
      <c r="A10" s="101"/>
      <c r="B10" s="11"/>
      <c r="C10" s="26">
        <f t="shared" si="0"/>
        <v>0</v>
      </c>
      <c r="D10" s="26">
        <f t="shared" si="1"/>
        <v>0</v>
      </c>
      <c r="E10" s="26">
        <f t="shared" si="2"/>
        <v>0</v>
      </c>
      <c r="H10" s="101" t="s">
        <v>5491</v>
      </c>
      <c r="I10" s="24">
        <f>+_xlfn.XLOOKUP("TARUGOS ESTRIADOS"&amp;H10,CODIGOS_Y_COSTOS[ID],CODIGOS_Y_COSTOS[COSTO],0,0)</f>
        <v>8.8059999999999992</v>
      </c>
      <c r="J10" s="9">
        <f>+IFERROR(VLOOKUP(A10,$H$3:$H$17,1,0),0)</f>
        <v>0</v>
      </c>
      <c r="K10" s="26"/>
    </row>
    <row r="11" spans="1:12" s="9" customFormat="1" ht="17.25" customHeight="1" thickBot="1" x14ac:dyDescent="0.25">
      <c r="A11" s="200"/>
      <c r="B11" s="12"/>
      <c r="C11" s="26">
        <f t="shared" ref="C11:C17" si="3">+IFERROR(VLOOKUP(A11,$H$3:$I$17,2,0),0)</f>
        <v>0</v>
      </c>
      <c r="D11" s="26">
        <f t="shared" ref="D11:D17" si="4">+C11</f>
        <v>0</v>
      </c>
      <c r="E11" s="26">
        <f t="shared" ref="E11:E17" si="5">+D11*B11</f>
        <v>0</v>
      </c>
      <c r="H11" s="101" t="s">
        <v>5494</v>
      </c>
      <c r="I11" s="24">
        <f>+_xlfn.XLOOKUP("TARUGOS ESTRIADOS"&amp;H11,CODIGOS_Y_COSTOS[ID],CODIGOS_Y_COSTOS[COSTO],0,0)</f>
        <v>11.141</v>
      </c>
      <c r="J11" s="9">
        <f t="shared" ref="J11:J17" si="6">+IFERROR(VLOOKUP(A11,$H$3:$H$17,1,0),0)</f>
        <v>0</v>
      </c>
      <c r="K11" s="26"/>
    </row>
    <row r="12" spans="1:12" x14ac:dyDescent="0.2">
      <c r="C12" s="26">
        <f t="shared" si="3"/>
        <v>0</v>
      </c>
      <c r="D12" s="26">
        <f t="shared" si="4"/>
        <v>0</v>
      </c>
      <c r="E12" s="26">
        <f t="shared" si="5"/>
        <v>0</v>
      </c>
      <c r="H12" s="7" t="s">
        <v>5496</v>
      </c>
      <c r="I12" s="56">
        <f>+_xlfn.XLOOKUP("TARUGOS ESTRIADOS"&amp;H12,CODIGOS_Y_COSTOS[ID],CODIGOS_Y_COSTOS[COSTO],0,0)</f>
        <v>12.747</v>
      </c>
      <c r="J12" s="9">
        <f t="shared" si="6"/>
        <v>0</v>
      </c>
      <c r="K12" s="1"/>
    </row>
    <row r="13" spans="1:12" x14ac:dyDescent="0.2">
      <c r="B13" s="9">
        <f>+SUM(B3:B9)</f>
        <v>10000</v>
      </c>
      <c r="C13" s="26">
        <f t="shared" si="3"/>
        <v>0</v>
      </c>
      <c r="D13" s="26">
        <f t="shared" si="4"/>
        <v>0</v>
      </c>
      <c r="E13" s="26">
        <f t="shared" si="5"/>
        <v>0</v>
      </c>
      <c r="H13" s="7" t="s">
        <v>5500</v>
      </c>
      <c r="I13" s="56">
        <f>+_xlfn.XLOOKUP("TARUGOS ESTRIADOS"&amp;H13,CODIGOS_Y_COSTOS[ID],CODIGOS_Y_COSTOS[COSTO],0,0)</f>
        <v>14.596</v>
      </c>
      <c r="J13" s="9">
        <f t="shared" si="6"/>
        <v>0</v>
      </c>
      <c r="K13" s="1"/>
    </row>
    <row r="14" spans="1:12" s="9" customFormat="1" ht="17.25" customHeight="1" x14ac:dyDescent="0.2">
      <c r="C14" s="26">
        <f t="shared" si="3"/>
        <v>0</v>
      </c>
      <c r="D14" s="26">
        <f t="shared" si="4"/>
        <v>0</v>
      </c>
      <c r="E14" s="26">
        <f t="shared" si="5"/>
        <v>0</v>
      </c>
      <c r="H14" s="101" t="s">
        <v>5504</v>
      </c>
      <c r="I14" s="24">
        <f>+_xlfn.XLOOKUP("TARUGOS ESTRIADOS"&amp;H14,CODIGOS_Y_COSTOS[ID],CODIGOS_Y_COSTOS[COSTO],0,0)</f>
        <v>14.45</v>
      </c>
      <c r="J14" s="9">
        <f t="shared" si="6"/>
        <v>0</v>
      </c>
      <c r="K14" s="26"/>
    </row>
    <row r="15" spans="1:12" x14ac:dyDescent="0.2">
      <c r="C15" s="26">
        <f t="shared" si="3"/>
        <v>0</v>
      </c>
      <c r="D15" s="26">
        <f t="shared" si="4"/>
        <v>0</v>
      </c>
      <c r="E15" s="26">
        <f t="shared" si="5"/>
        <v>0</v>
      </c>
      <c r="H15" s="7" t="s">
        <v>5508</v>
      </c>
      <c r="I15" s="56">
        <f>+_xlfn.XLOOKUP("TARUGOS ESTRIADOS"&amp;H15,CODIGOS_Y_COSTOS[ID],CODIGOS_Y_COSTOS[COSTO],0,0)</f>
        <v>18.585000000000001</v>
      </c>
      <c r="J15" s="9">
        <f t="shared" si="6"/>
        <v>0</v>
      </c>
      <c r="K15" s="1"/>
    </row>
    <row r="16" spans="1:12" s="9" customFormat="1" ht="17.25" customHeight="1" x14ac:dyDescent="0.2">
      <c r="C16" s="26">
        <f>+IFERROR(VLOOKUP(A20,$H$3:$I$17,2,0),0)</f>
        <v>0</v>
      </c>
      <c r="D16" s="26">
        <f t="shared" si="4"/>
        <v>0</v>
      </c>
      <c r="E16" s="26">
        <f>+D16*B20</f>
        <v>0</v>
      </c>
      <c r="H16" s="101" t="s">
        <v>5512</v>
      </c>
      <c r="I16" s="24">
        <f>+_xlfn.XLOOKUP("TARUGOS ESTRIADOS"&amp;H16,CODIGOS_Y_COSTOS[ID],CODIGOS_Y_COSTOS[COSTO],0,0)</f>
        <v>20.507000000000001</v>
      </c>
      <c r="J16" s="9">
        <f t="shared" si="6"/>
        <v>0</v>
      </c>
      <c r="K16" s="26"/>
    </row>
    <row r="17" spans="1:18" s="9" customFormat="1" ht="17.25" customHeight="1" thickBot="1" x14ac:dyDescent="0.25">
      <c r="C17" s="26">
        <f t="shared" si="3"/>
        <v>0</v>
      </c>
      <c r="D17" s="26">
        <f t="shared" si="4"/>
        <v>0</v>
      </c>
      <c r="E17" s="26">
        <f t="shared" si="5"/>
        <v>0</v>
      </c>
      <c r="H17" s="200" t="s">
        <v>5518</v>
      </c>
      <c r="I17" s="25">
        <f>+_xlfn.XLOOKUP("TARUGOS ESTRIADOS"&amp;H17,CODIGOS_Y_COSTOS[ID],CODIGOS_Y_COSTOS[COSTO],0,0)</f>
        <v>27.770700000000001</v>
      </c>
      <c r="J17" s="9">
        <f t="shared" si="6"/>
        <v>0</v>
      </c>
      <c r="K17" s="26"/>
    </row>
    <row r="18" spans="1:18" ht="13.5" thickBot="1" x14ac:dyDescent="0.25"/>
    <row r="19" spans="1:18" ht="13.5" thickBot="1" x14ac:dyDescent="0.25">
      <c r="D19" s="35" t="s">
        <v>8164</v>
      </c>
      <c r="E19" s="36">
        <f>+SUBTOTAL(9,E3:E17)</f>
        <v>133114</v>
      </c>
    </row>
    <row r="20" spans="1:18" ht="13.5" thickBot="1" x14ac:dyDescent="0.25">
      <c r="A20" s="82" t="s">
        <v>20332</v>
      </c>
      <c r="B20" s="630">
        <f>+SUM(B3:B11)</f>
        <v>10000</v>
      </c>
    </row>
    <row r="21" spans="1:18" ht="25.5" customHeight="1" x14ac:dyDescent="0.2">
      <c r="H21" s="1567" t="s">
        <v>20333</v>
      </c>
      <c r="I21" s="1568"/>
      <c r="J21" s="1573" t="s">
        <v>6</v>
      </c>
      <c r="K21" s="1574"/>
      <c r="L21" s="1575"/>
      <c r="N21" s="240">
        <v>0.15</v>
      </c>
      <c r="P21" s="240">
        <v>0.4</v>
      </c>
    </row>
    <row r="22" spans="1:18" x14ac:dyDescent="0.2">
      <c r="H22" s="442" t="s">
        <v>9007</v>
      </c>
      <c r="I22" s="443" t="s">
        <v>8753</v>
      </c>
      <c r="J22" s="439" t="s">
        <v>20334</v>
      </c>
      <c r="K22" s="30" t="s">
        <v>20327</v>
      </c>
      <c r="L22" s="440" t="s">
        <v>8164</v>
      </c>
      <c r="N22" s="31" t="s">
        <v>9349</v>
      </c>
      <c r="O22" s="32" t="s">
        <v>17910</v>
      </c>
      <c r="P22" s="30" t="s">
        <v>9341</v>
      </c>
    </row>
    <row r="23" spans="1:18" x14ac:dyDescent="0.2">
      <c r="H23" s="49" t="s">
        <v>20335</v>
      </c>
      <c r="I23" s="436">
        <v>100</v>
      </c>
      <c r="J23" s="379">
        <f>75.59*100</f>
        <v>7559</v>
      </c>
      <c r="K23" s="168">
        <f>+J23/100</f>
        <v>75.59</v>
      </c>
      <c r="L23" s="64">
        <f>+K23*I23</f>
        <v>7559</v>
      </c>
      <c r="N23" s="2">
        <f>+(K23*$N$21)+K23</f>
        <v>86.9285</v>
      </c>
      <c r="O23" s="2">
        <f>+N23*1.672</f>
        <v>145.34445199999999</v>
      </c>
      <c r="P23" s="2">
        <f>+(1-$P$21)*O23</f>
        <v>87.206671199999988</v>
      </c>
      <c r="Q23" s="2" t="str">
        <f>+H23</f>
        <v>8mm</v>
      </c>
      <c r="R23" s="102">
        <f>+P23*I23</f>
        <v>8720.6671199999982</v>
      </c>
    </row>
    <row r="24" spans="1:18" x14ac:dyDescent="0.2">
      <c r="H24" s="49" t="s">
        <v>20336</v>
      </c>
      <c r="I24" s="436">
        <v>100</v>
      </c>
      <c r="J24" s="379">
        <f>79.34*100</f>
        <v>7934</v>
      </c>
      <c r="K24" s="168">
        <f>+J24/100</f>
        <v>79.34</v>
      </c>
      <c r="L24" s="64">
        <f>+K24*I24</f>
        <v>7934</v>
      </c>
      <c r="N24" s="2">
        <f>+(K24*$N$21)+K24</f>
        <v>91.241</v>
      </c>
      <c r="O24" s="2">
        <f>+N24*1.672</f>
        <v>152.55495199999999</v>
      </c>
      <c r="P24" s="2">
        <f>+(1-$P$21)*O24</f>
        <v>91.532971199999992</v>
      </c>
      <c r="Q24" s="2" t="str">
        <f>+H24</f>
        <v>10mm</v>
      </c>
      <c r="R24" s="102">
        <f>+P24*I24</f>
        <v>9153.2971199999993</v>
      </c>
    </row>
    <row r="25" spans="1:18" ht="28.5" customHeight="1" x14ac:dyDescent="0.2">
      <c r="H25" s="1569" t="s">
        <v>20337</v>
      </c>
      <c r="I25" s="1570"/>
      <c r="J25" s="67"/>
      <c r="L25" s="441"/>
      <c r="R25" s="102"/>
    </row>
    <row r="26" spans="1:18" x14ac:dyDescent="0.2">
      <c r="H26" s="442" t="s">
        <v>9007</v>
      </c>
      <c r="I26" s="443" t="s">
        <v>8753</v>
      </c>
      <c r="J26" s="439" t="s">
        <v>20334</v>
      </c>
      <c r="K26" s="30" t="s">
        <v>20327</v>
      </c>
      <c r="L26" s="440" t="s">
        <v>8164</v>
      </c>
      <c r="R26" s="102"/>
    </row>
    <row r="27" spans="1:18" x14ac:dyDescent="0.2">
      <c r="H27" s="49" t="s">
        <v>20338</v>
      </c>
      <c r="I27" s="436">
        <v>100</v>
      </c>
      <c r="J27" s="379">
        <f>76.11*100</f>
        <v>7611</v>
      </c>
      <c r="K27" s="168">
        <f>+J27/100</f>
        <v>76.11</v>
      </c>
      <c r="L27" s="64">
        <f>+K27*I27</f>
        <v>7611</v>
      </c>
      <c r="N27" s="2">
        <f>+(K27*$N$21)+K27</f>
        <v>87.526499999999999</v>
      </c>
      <c r="O27" s="2">
        <f>+N27*1.672</f>
        <v>146.34430799999998</v>
      </c>
      <c r="P27" s="2">
        <f>+(1-$P$21)*O27</f>
        <v>87.806584799999982</v>
      </c>
      <c r="Q27" s="2" t="str">
        <f>+H27</f>
        <v>4mm</v>
      </c>
      <c r="R27" s="102">
        <f>+P27*I27</f>
        <v>8780.6584799999982</v>
      </c>
    </row>
    <row r="28" spans="1:18" x14ac:dyDescent="0.2">
      <c r="H28" s="49" t="s">
        <v>20339</v>
      </c>
      <c r="I28" s="436">
        <v>100</v>
      </c>
      <c r="J28" s="379">
        <f>76.11*100</f>
        <v>7611</v>
      </c>
      <c r="K28" s="168">
        <f>+J28/100</f>
        <v>76.11</v>
      </c>
      <c r="L28" s="64">
        <f>+K28*I28</f>
        <v>7611</v>
      </c>
      <c r="N28" s="2">
        <f>+(K28*$N$21)+K28</f>
        <v>87.526499999999999</v>
      </c>
      <c r="O28" s="2">
        <f>+N28*1.672</f>
        <v>146.34430799999998</v>
      </c>
      <c r="P28" s="2">
        <f>+(1-$P$21)*O28</f>
        <v>87.806584799999982</v>
      </c>
      <c r="Q28" s="2" t="str">
        <f>+H28</f>
        <v>6mm</v>
      </c>
      <c r="R28" s="102">
        <f>+P28*I28</f>
        <v>8780.6584799999982</v>
      </c>
    </row>
    <row r="29" spans="1:18" ht="13.5" thickBot="1" x14ac:dyDescent="0.25">
      <c r="H29" s="50" t="s">
        <v>7739</v>
      </c>
      <c r="I29" s="219">
        <v>100</v>
      </c>
      <c r="J29" s="381">
        <f>114.71*100</f>
        <v>11471</v>
      </c>
      <c r="K29" s="302">
        <f>+J29/100</f>
        <v>114.71</v>
      </c>
      <c r="L29" s="65">
        <f>+K29*I29</f>
        <v>11471</v>
      </c>
      <c r="N29" s="2">
        <f>+(K29*$N$21)+K29</f>
        <v>131.91649999999998</v>
      </c>
      <c r="O29" s="2">
        <f>+N29*1.672</f>
        <v>220.56438799999998</v>
      </c>
      <c r="P29" s="2">
        <f>+(1-$P$21)*O29</f>
        <v>132.33863279999997</v>
      </c>
      <c r="Q29" s="2" t="str">
        <f>+H29</f>
        <v>12mm</v>
      </c>
      <c r="R29" s="102">
        <f>+P29*I29</f>
        <v>13233.863279999998</v>
      </c>
    </row>
    <row r="30" spans="1:18" ht="13.5" thickBot="1" x14ac:dyDescent="0.25">
      <c r="R30" s="1"/>
    </row>
    <row r="31" spans="1:18" ht="13.5" thickBot="1" x14ac:dyDescent="0.25">
      <c r="K31" s="35" t="s">
        <v>8164</v>
      </c>
      <c r="L31" s="36">
        <f>+SUM(L23:L29)</f>
        <v>42186</v>
      </c>
      <c r="R31" s="444">
        <f>+SUM(R23:R29)</f>
        <v>48669.144479999995</v>
      </c>
    </row>
    <row r="34" spans="18:18" x14ac:dyDescent="0.2">
      <c r="R34" s="2"/>
    </row>
  </sheetData>
  <mergeCells count="5">
    <mergeCell ref="H1:I1"/>
    <mergeCell ref="H21:I21"/>
    <mergeCell ref="H25:I25"/>
    <mergeCell ref="A1:B1"/>
    <mergeCell ref="J21:L21"/>
  </mergeCells>
  <dataValidations count="1">
    <dataValidation type="list" allowBlank="1" showInputMessage="1" showErrorMessage="1" sqref="A3:A10" xr:uid="{8D368432-C24E-4784-9F63-CD3111F89C1C}">
      <formula1>$H$3:$H$17</formula1>
    </dataValidation>
  </dataValidations>
  <pageMargins left="0.7" right="0.7" top="0.75" bottom="0.75" header="0.3" footer="0.3"/>
  <pageSetup paperSize="9" orientation="portrait" r:id="rId1"/>
  <ignoredErrors>
    <ignoredError sqref="E16 C16" formula="1"/>
  </ignoredError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843B0-BD1B-4D54-9F6A-B1B3BFC8C936}">
  <sheetPr codeName="Hoja23"/>
  <dimension ref="A1:AG70"/>
  <sheetViews>
    <sheetView zoomScaleNormal="100" workbookViewId="0">
      <pane ySplit="2" topLeftCell="A3" activePane="bottomLeft" state="frozen"/>
      <selection activeCell="G12" sqref="G12"/>
      <selection pane="bottomLeft" activeCell="M4" sqref="M4"/>
    </sheetView>
  </sheetViews>
  <sheetFormatPr baseColWidth="10" defaultColWidth="11.28515625" defaultRowHeight="12.75" x14ac:dyDescent="0.2"/>
  <cols>
    <col min="1" max="1" width="23.7109375" style="9" customWidth="1"/>
    <col min="2" max="2" width="10.85546875" style="9" customWidth="1"/>
    <col min="3" max="3" width="1.7109375" style="9" customWidth="1"/>
    <col min="4" max="4" width="9.28515625" style="4" customWidth="1"/>
    <col min="5" max="5" width="12" style="4" customWidth="1"/>
    <col min="6" max="6" width="13.85546875" style="4" customWidth="1"/>
    <col min="7" max="7" width="7.28515625" style="9" customWidth="1"/>
    <col min="8" max="8" width="10.85546875" style="688" customWidth="1"/>
    <col min="9" max="9" width="11" style="688" customWidth="1"/>
    <col min="10" max="10" width="10.28515625" style="9" customWidth="1"/>
    <col min="11" max="11" width="15.7109375" style="9" customWidth="1"/>
    <col min="12" max="12" width="2.28515625" style="9" customWidth="1"/>
    <col min="13" max="13" width="9.28515625" style="9" customWidth="1"/>
    <col min="14" max="14" width="11.28515625" style="9" customWidth="1"/>
    <col min="15" max="15" width="16" style="9" customWidth="1"/>
    <col min="16" max="16" width="46.5703125" style="9" bestFit="1" customWidth="1"/>
    <col min="17" max="17" width="3" style="9" bestFit="1" customWidth="1"/>
    <col min="18" max="18" width="45.28515625" style="9" bestFit="1" customWidth="1"/>
    <col min="19" max="19" width="11.28515625" style="9"/>
    <col min="20" max="20" width="7.28515625" style="4" bestFit="1" customWidth="1"/>
    <col min="21" max="21" width="11.28515625" style="9"/>
    <col min="22" max="22" width="11.28515625" style="26"/>
    <col min="23" max="23" width="11.28515625" style="9"/>
    <col min="24" max="24" width="3.7109375" style="9" customWidth="1"/>
    <col min="25" max="25" width="3" style="9" bestFit="1" customWidth="1"/>
    <col min="26" max="26" width="38.28515625" style="9" customWidth="1"/>
    <col min="27" max="27" width="11.28515625" style="9"/>
    <col min="28" max="28" width="7.28515625" style="4" bestFit="1" customWidth="1"/>
    <col min="29" max="16384" width="11.28515625" style="9"/>
  </cols>
  <sheetData>
    <row r="1" spans="1:33" ht="13.5" thickBot="1" x14ac:dyDescent="0.25">
      <c r="A1" s="1576" t="s">
        <v>2833</v>
      </c>
      <c r="B1" s="1577"/>
      <c r="C1" s="82"/>
      <c r="D1" s="30" t="s">
        <v>4624</v>
      </c>
      <c r="F1" s="462">
        <f>+SUM(F3:F43)</f>
        <v>127813.71400000001</v>
      </c>
      <c r="G1" s="1583" t="s">
        <v>20340</v>
      </c>
      <c r="H1" s="1584" t="s">
        <v>20341</v>
      </c>
      <c r="I1" s="1585" t="s">
        <v>20342</v>
      </c>
      <c r="J1" s="1578" t="s">
        <v>20343</v>
      </c>
      <c r="K1" s="1579"/>
      <c r="M1" s="4"/>
      <c r="O1" s="462">
        <f>+O28</f>
        <v>81649.999999999985</v>
      </c>
      <c r="Q1" s="1580" t="s">
        <v>2833</v>
      </c>
      <c r="R1" s="1581"/>
      <c r="S1" s="1581"/>
      <c r="T1" s="1581"/>
      <c r="U1" s="1582"/>
      <c r="V1" s="503">
        <v>0.23</v>
      </c>
      <c r="Y1" s="1580" t="s">
        <v>3093</v>
      </c>
      <c r="Z1" s="1581"/>
      <c r="AA1" s="1581"/>
      <c r="AB1" s="1581"/>
      <c r="AC1" s="1582"/>
      <c r="AG1" s="30" t="s">
        <v>8802</v>
      </c>
    </row>
    <row r="2" spans="1:33" ht="13.5" thickBot="1" x14ac:dyDescent="0.25">
      <c r="A2" s="463" t="s">
        <v>5</v>
      </c>
      <c r="B2" s="631" t="s">
        <v>8753</v>
      </c>
      <c r="C2" s="82"/>
      <c r="D2" s="30" t="s">
        <v>8189</v>
      </c>
      <c r="E2" s="459" t="s">
        <v>8186</v>
      </c>
      <c r="F2" s="460" t="s">
        <v>8164</v>
      </c>
      <c r="G2" s="1583"/>
      <c r="H2" s="1584"/>
      <c r="I2" s="1585"/>
      <c r="J2" s="463" t="s">
        <v>5</v>
      </c>
      <c r="K2" s="464" t="s">
        <v>8753</v>
      </c>
      <c r="L2" s="505"/>
      <c r="M2" s="464" t="s">
        <v>4624</v>
      </c>
      <c r="N2" s="465" t="s">
        <v>8186</v>
      </c>
      <c r="O2" s="465" t="s">
        <v>8164</v>
      </c>
      <c r="P2" s="464" t="s">
        <v>8756</v>
      </c>
      <c r="Q2" s="466" t="s">
        <v>8799</v>
      </c>
      <c r="R2" s="467" t="s">
        <v>8178</v>
      </c>
      <c r="S2" s="467" t="s">
        <v>3</v>
      </c>
      <c r="T2" s="468" t="s">
        <v>8751</v>
      </c>
      <c r="U2" s="469" t="s">
        <v>6</v>
      </c>
      <c r="V2" s="99" t="s">
        <v>9341</v>
      </c>
      <c r="W2" s="470" t="s">
        <v>9349</v>
      </c>
      <c r="Y2" s="466" t="s">
        <v>8799</v>
      </c>
      <c r="Z2" s="467" t="s">
        <v>8178</v>
      </c>
      <c r="AA2" s="467" t="s">
        <v>3</v>
      </c>
      <c r="AB2" s="468" t="s">
        <v>8751</v>
      </c>
      <c r="AC2" s="469" t="s">
        <v>6</v>
      </c>
      <c r="AD2" s="99" t="s">
        <v>6</v>
      </c>
      <c r="AE2" s="470" t="s">
        <v>9349</v>
      </c>
      <c r="AG2" s="503">
        <v>0.23</v>
      </c>
    </row>
    <row r="3" spans="1:33" x14ac:dyDescent="0.2">
      <c r="A3" s="101">
        <f t="shared" ref="A3:A41" si="0">+IFERROR(VLOOKUP(D3,$Q$3:$T$70,4,0),"-")</f>
        <v>4001</v>
      </c>
      <c r="B3" s="11">
        <v>60</v>
      </c>
      <c r="C3" s="82"/>
      <c r="D3" s="433">
        <v>2</v>
      </c>
      <c r="E3" s="26">
        <f t="shared" ref="E3:E41" si="1">+IFERROR(VLOOKUP(A3,$T$3:$U$70,2,0),0)</f>
        <v>249.51390000000001</v>
      </c>
      <c r="F3" s="26">
        <f t="shared" ref="F3:F41" si="2">+E3*B3</f>
        <v>14970.834000000001</v>
      </c>
      <c r="G3" s="689">
        <v>1</v>
      </c>
      <c r="H3" s="689">
        <v>44</v>
      </c>
      <c r="I3" s="689">
        <v>19</v>
      </c>
      <c r="J3" s="434" t="str">
        <f t="shared" ref="J3:J25" si="3">+IFERROR(VLOOKUP(M3,$Y$3:$AB$42,4,0),"-")</f>
        <v>-</v>
      </c>
      <c r="K3" s="11">
        <v>200</v>
      </c>
      <c r="L3" s="505"/>
      <c r="M3" s="433">
        <v>5</v>
      </c>
      <c r="N3" s="26">
        <f t="shared" ref="N3:N25" si="4">+IFERROR(VLOOKUP(J3,$AB$3:$AC$40,2,0),0)</f>
        <v>0</v>
      </c>
      <c r="O3" s="26">
        <f t="shared" ref="O3:O25" si="5">+N3*K3</f>
        <v>0</v>
      </c>
      <c r="P3" s="26">
        <f>IFERROR(VLOOKUP(M3,$Y$3:$AA$40,2,0),0)</f>
        <v>0</v>
      </c>
      <c r="Q3" s="579">
        <v>1</v>
      </c>
      <c r="R3" s="577" t="s">
        <v>2835</v>
      </c>
      <c r="S3" s="471">
        <v>263.30225999999999</v>
      </c>
      <c r="T3" s="29">
        <f>+_xlfn.XLOOKUP($Q$1&amp;Q3,CODIGOS_Y_COSTOS[ID],CODIGOS_Y_COSTOS[CODIGO],0,0)</f>
        <v>4000</v>
      </c>
      <c r="U3" s="508">
        <f>+_xlfn.XLOOKUP($Q$1&amp;Q3,CODIGOS_Y_COSTOS[ID],CODIGOS_Y_COSTOS[COSTO],0,0)</f>
        <v>261.9896</v>
      </c>
      <c r="V3" s="26">
        <f t="shared" ref="V3:V39" si="6">+(1-$V$1)*S3</f>
        <v>202.74274019999999</v>
      </c>
      <c r="W3" s="455">
        <f>IFERROR(+V3/U3-1,0)</f>
        <v>-0.22614202930192651</v>
      </c>
      <c r="Y3" s="44">
        <v>6</v>
      </c>
      <c r="Z3" s="45" t="s">
        <v>20344</v>
      </c>
      <c r="AA3" s="471">
        <v>231.07499999999999</v>
      </c>
      <c r="AB3" s="29">
        <v>3064</v>
      </c>
      <c r="AC3" s="508">
        <f>+_xlfn.XLOOKUP($Y$1&amp;Y3,CODIGOS_Y_COSTOS[ID],CODIGOS_Y_COSTOS[COSTO],0,0)</f>
        <v>0</v>
      </c>
      <c r="AD3" s="26"/>
      <c r="AE3" s="455">
        <f>IFERROR(+AG3/AC3-1,0)</f>
        <v>0</v>
      </c>
      <c r="AG3" s="27">
        <f>+(1-$AG$2)*AA3</f>
        <v>177.92775</v>
      </c>
    </row>
    <row r="4" spans="1:33" x14ac:dyDescent="0.2">
      <c r="A4" s="101">
        <f t="shared" si="0"/>
        <v>4025</v>
      </c>
      <c r="B4" s="11">
        <v>20</v>
      </c>
      <c r="C4" s="82"/>
      <c r="D4" s="433">
        <v>12</v>
      </c>
      <c r="E4" s="26">
        <f t="shared" si="1"/>
        <v>2106.9409000000001</v>
      </c>
      <c r="F4" s="26">
        <f t="shared" si="2"/>
        <v>42138.817999999999</v>
      </c>
      <c r="G4" s="689">
        <v>2</v>
      </c>
      <c r="H4" s="689">
        <v>45</v>
      </c>
      <c r="I4" s="689">
        <v>20</v>
      </c>
      <c r="J4" s="435">
        <f t="shared" si="3"/>
        <v>3010</v>
      </c>
      <c r="K4" s="11">
        <v>200</v>
      </c>
      <c r="L4" s="506"/>
      <c r="M4" s="433">
        <v>15</v>
      </c>
      <c r="N4" s="26">
        <f t="shared" si="4"/>
        <v>211.31249999999997</v>
      </c>
      <c r="O4" s="26">
        <f t="shared" si="5"/>
        <v>42262.499999999993</v>
      </c>
      <c r="P4" s="26" t="str">
        <f t="shared" ref="P4:P20" si="7">IFERROR(VLOOKUP(M4,$Y$3:$AA$40,2,0),0)</f>
        <v>Conector de Calefacción  R 12</v>
      </c>
      <c r="Q4" s="578">
        <v>2</v>
      </c>
      <c r="R4" s="23" t="s">
        <v>2837</v>
      </c>
      <c r="S4" s="472">
        <v>250.88583</v>
      </c>
      <c r="T4" s="11">
        <f>+_xlfn.XLOOKUP($Q$1&amp;Q4,CODIGOS_Y_COSTOS[ID],CODIGOS_Y_COSTOS[CODIGO],0,0)</f>
        <v>4001</v>
      </c>
      <c r="U4" s="507">
        <f>+_xlfn.XLOOKUP($Q$1&amp;Q4,CODIGOS_Y_COSTOS[ID],CODIGOS_Y_COSTOS[COSTO],0,0)</f>
        <v>249.51390000000001</v>
      </c>
      <c r="V4" s="26">
        <f t="shared" si="6"/>
        <v>193.18208910000001</v>
      </c>
      <c r="W4" s="455">
        <f t="shared" ref="W4:W67" si="8">IFERROR(+V4/U4-1,0)</f>
        <v>-0.22576622344486619</v>
      </c>
      <c r="Y4" s="46">
        <v>7</v>
      </c>
      <c r="Z4" s="18" t="s">
        <v>3099</v>
      </c>
      <c r="AA4" s="472">
        <v>184.85999999999999</v>
      </c>
      <c r="AB4" s="11">
        <v>3065</v>
      </c>
      <c r="AC4" s="24">
        <f>+_xlfn.XLOOKUP($Y$1&amp;Y4,CODIGOS_Y_COSTOS[ID],CODIGOS_Y_COSTOS[COSTO],0,0)</f>
        <v>0</v>
      </c>
      <c r="AD4" s="26"/>
      <c r="AE4" s="455">
        <f t="shared" ref="AE4:AE40" si="9">IFERROR(+AG4/AC4-1,0)</f>
        <v>0</v>
      </c>
      <c r="AG4" s="27">
        <f t="shared" ref="AG4:AG40" si="10">+(1-$AG$2)*AA4</f>
        <v>142.34219999999999</v>
      </c>
    </row>
    <row r="5" spans="1:33" x14ac:dyDescent="0.2">
      <c r="A5" s="101">
        <f t="shared" si="0"/>
        <v>4013</v>
      </c>
      <c r="B5" s="11">
        <v>40</v>
      </c>
      <c r="C5" s="82"/>
      <c r="D5" s="433">
        <v>7</v>
      </c>
      <c r="E5" s="26">
        <f t="shared" si="1"/>
        <v>312.05869999999999</v>
      </c>
      <c r="F5" s="26">
        <f t="shared" si="2"/>
        <v>12482.348</v>
      </c>
      <c r="G5" s="689">
        <v>3</v>
      </c>
      <c r="H5" s="689">
        <v>46</v>
      </c>
      <c r="I5" s="689">
        <v>21</v>
      </c>
      <c r="J5" s="435">
        <f t="shared" si="3"/>
        <v>3069</v>
      </c>
      <c r="K5" s="11">
        <v>200</v>
      </c>
      <c r="L5" s="505"/>
      <c r="M5" s="433">
        <v>21</v>
      </c>
      <c r="N5" s="26">
        <f t="shared" si="4"/>
        <v>0</v>
      </c>
      <c r="O5" s="26">
        <f t="shared" si="5"/>
        <v>0</v>
      </c>
      <c r="P5" s="26" t="str">
        <f t="shared" si="7"/>
        <v>Conector de agua  equipos de Gas 19 a 8 mm Pico fino</v>
      </c>
      <c r="Q5" s="46">
        <v>3</v>
      </c>
      <c r="R5" s="18" t="s">
        <v>2839</v>
      </c>
      <c r="S5" s="472">
        <v>250.88583</v>
      </c>
      <c r="T5" s="11">
        <f>+_xlfn.XLOOKUP($Q$1&amp;Q5,CODIGOS_Y_COSTOS[ID],CODIGOS_Y_COSTOS[CODIGO],0,0)</f>
        <v>4003</v>
      </c>
      <c r="U5" s="507">
        <f>+_xlfn.XLOOKUP($Q$1&amp;Q5,CODIGOS_Y_COSTOS[ID],CODIGOS_Y_COSTOS[COSTO],0,0)</f>
        <v>249.51390000000001</v>
      </c>
      <c r="V5" s="26">
        <f t="shared" si="6"/>
        <v>193.18208910000001</v>
      </c>
      <c r="W5" s="455">
        <f t="shared" si="8"/>
        <v>-0.22576622344486619</v>
      </c>
      <c r="Y5" s="46">
        <v>8</v>
      </c>
      <c r="Z5" s="18" t="s">
        <v>3101</v>
      </c>
      <c r="AA5" s="472">
        <v>425.17799999999994</v>
      </c>
      <c r="AB5" s="11">
        <v>3062</v>
      </c>
      <c r="AC5" s="24">
        <f>+_xlfn.XLOOKUP($Y$1&amp;Y5,CODIGOS_Y_COSTOS[ID],CODIGOS_Y_COSTOS[COSTO],0,0)</f>
        <v>0</v>
      </c>
      <c r="AD5" s="26"/>
      <c r="AE5" s="455">
        <f t="shared" si="9"/>
        <v>0</v>
      </c>
      <c r="AG5" s="27">
        <f t="shared" si="10"/>
        <v>327.38705999999996</v>
      </c>
    </row>
    <row r="6" spans="1:33" x14ac:dyDescent="0.2">
      <c r="A6" s="101">
        <f t="shared" si="0"/>
        <v>4007</v>
      </c>
      <c r="B6" s="11">
        <v>60</v>
      </c>
      <c r="C6" s="82"/>
      <c r="D6" s="433">
        <v>38</v>
      </c>
      <c r="E6" s="26">
        <f t="shared" si="1"/>
        <v>249.51390000000001</v>
      </c>
      <c r="F6" s="26">
        <f t="shared" si="2"/>
        <v>14970.834000000001</v>
      </c>
      <c r="G6" s="689">
        <v>4</v>
      </c>
      <c r="H6" s="689">
        <v>47</v>
      </c>
      <c r="I6" s="689">
        <v>22</v>
      </c>
      <c r="J6" s="435">
        <f t="shared" si="3"/>
        <v>3012</v>
      </c>
      <c r="K6" s="11">
        <v>200</v>
      </c>
      <c r="L6" s="505"/>
      <c r="M6" s="433">
        <v>41</v>
      </c>
      <c r="N6" s="26">
        <f t="shared" si="4"/>
        <v>196.93749999999997</v>
      </c>
      <c r="O6" s="26">
        <f t="shared" si="5"/>
        <v>39387.499999999993</v>
      </c>
      <c r="P6" s="26" t="str">
        <f t="shared" si="7"/>
        <v>Conector de Múltiple A tapa.Renault 18. M 2000</v>
      </c>
      <c r="Q6" s="578">
        <v>4</v>
      </c>
      <c r="R6" s="23" t="s">
        <v>2841</v>
      </c>
      <c r="S6" s="472">
        <v>271.77500999999995</v>
      </c>
      <c r="T6" s="11">
        <f>+_xlfn.XLOOKUP($Q$1&amp;Q6,CODIGOS_Y_COSTOS[ID],CODIGOS_Y_COSTOS[CODIGO],0,0)</f>
        <v>4006</v>
      </c>
      <c r="U6" s="507">
        <f>+_xlfn.XLOOKUP($Q$1&amp;Q6,CODIGOS_Y_COSTOS[ID],CODIGOS_Y_COSTOS[COSTO],0,0)</f>
        <v>270.30669999999998</v>
      </c>
      <c r="V6" s="26">
        <f t="shared" si="6"/>
        <v>209.26675769999997</v>
      </c>
      <c r="W6" s="455">
        <f t="shared" si="8"/>
        <v>-0.22581734858958369</v>
      </c>
      <c r="Y6" s="46">
        <v>9</v>
      </c>
      <c r="Z6" s="18" t="s">
        <v>3103</v>
      </c>
      <c r="AA6" s="472">
        <v>240.31799999999998</v>
      </c>
      <c r="AB6" s="11">
        <v>3063</v>
      </c>
      <c r="AC6" s="24">
        <f>+_xlfn.XLOOKUP($Y$1&amp;Y6,CODIGOS_Y_COSTOS[ID],CODIGOS_Y_COSTOS[COSTO],0,0)</f>
        <v>0</v>
      </c>
      <c r="AD6" s="26"/>
      <c r="AE6" s="455">
        <f t="shared" si="9"/>
        <v>0</v>
      </c>
      <c r="AG6" s="27">
        <f t="shared" si="10"/>
        <v>185.04486</v>
      </c>
    </row>
    <row r="7" spans="1:33" x14ac:dyDescent="0.2">
      <c r="A7" s="101">
        <f t="shared" si="0"/>
        <v>4334</v>
      </c>
      <c r="B7" s="11">
        <v>40</v>
      </c>
      <c r="C7" s="82"/>
      <c r="D7" s="433">
        <v>43</v>
      </c>
      <c r="E7" s="26">
        <f t="shared" si="1"/>
        <v>372.60739999999998</v>
      </c>
      <c r="F7" s="26">
        <f t="shared" si="2"/>
        <v>14904.295999999998</v>
      </c>
      <c r="G7" s="689">
        <v>5</v>
      </c>
      <c r="H7" s="689">
        <v>49</v>
      </c>
      <c r="I7" s="689">
        <v>23</v>
      </c>
      <c r="J7" s="435" t="str">
        <f t="shared" si="3"/>
        <v>-</v>
      </c>
      <c r="K7" s="11">
        <v>200</v>
      </c>
      <c r="L7" s="505"/>
      <c r="M7" s="433"/>
      <c r="N7" s="26">
        <f t="shared" si="4"/>
        <v>0</v>
      </c>
      <c r="O7" s="26">
        <f t="shared" si="5"/>
        <v>0</v>
      </c>
      <c r="P7" s="26">
        <f t="shared" si="7"/>
        <v>0</v>
      </c>
      <c r="Q7" s="46">
        <v>5</v>
      </c>
      <c r="R7" s="18" t="s">
        <v>2843</v>
      </c>
      <c r="S7" s="472">
        <v>373.78691999999995</v>
      </c>
      <c r="T7" s="11">
        <f>+_xlfn.XLOOKUP($Q$1&amp;Q7,CODIGOS_Y_COSTOS[ID],CODIGOS_Y_COSTOS[CODIGO],0,0)</f>
        <v>4010</v>
      </c>
      <c r="U7" s="507">
        <f>+_xlfn.XLOOKUP($Q$1&amp;Q7,CODIGOS_Y_COSTOS[ID],CODIGOS_Y_COSTOS[COSTO],0,0)</f>
        <v>391.1191</v>
      </c>
      <c r="V7" s="26">
        <f t="shared" si="6"/>
        <v>287.81592839999996</v>
      </c>
      <c r="W7" s="455">
        <f t="shared" si="8"/>
        <v>-0.26412203239371346</v>
      </c>
      <c r="Y7" s="46">
        <v>10</v>
      </c>
      <c r="Z7" s="18" t="s">
        <v>3105</v>
      </c>
      <c r="AA7" s="472">
        <v>415.93499999999995</v>
      </c>
      <c r="AB7" s="11">
        <v>3061</v>
      </c>
      <c r="AC7" s="24">
        <f>+_xlfn.XLOOKUP($Y$1&amp;Y7,CODIGOS_Y_COSTOS[ID],CODIGOS_Y_COSTOS[COSTO],0,0)</f>
        <v>0</v>
      </c>
      <c r="AD7" s="26"/>
      <c r="AE7" s="455">
        <f t="shared" si="9"/>
        <v>0</v>
      </c>
      <c r="AG7" s="27">
        <f t="shared" si="10"/>
        <v>320.26994999999994</v>
      </c>
    </row>
    <row r="8" spans="1:33" x14ac:dyDescent="0.2">
      <c r="A8" s="101">
        <f t="shared" si="0"/>
        <v>4035</v>
      </c>
      <c r="B8" s="11">
        <v>40</v>
      </c>
      <c r="C8" s="82"/>
      <c r="D8" s="433">
        <v>59</v>
      </c>
      <c r="E8" s="26">
        <f t="shared" si="1"/>
        <v>0</v>
      </c>
      <c r="F8" s="26">
        <f t="shared" si="2"/>
        <v>0</v>
      </c>
      <c r="G8" s="689">
        <v>7</v>
      </c>
      <c r="H8" s="689">
        <v>50</v>
      </c>
      <c r="I8" s="689">
        <v>24</v>
      </c>
      <c r="J8" s="435" t="str">
        <f t="shared" si="3"/>
        <v>-</v>
      </c>
      <c r="K8" s="11">
        <v>200</v>
      </c>
      <c r="L8" s="505"/>
      <c r="M8" s="433"/>
      <c r="N8" s="26">
        <f t="shared" si="4"/>
        <v>0</v>
      </c>
      <c r="O8" s="26">
        <f t="shared" si="5"/>
        <v>0</v>
      </c>
      <c r="P8" s="26">
        <f t="shared" si="7"/>
        <v>0</v>
      </c>
      <c r="Q8" s="46">
        <v>7</v>
      </c>
      <c r="R8" s="18" t="s">
        <v>2845</v>
      </c>
      <c r="S8" s="472">
        <v>313.76903999999996</v>
      </c>
      <c r="T8" s="11">
        <f>+_xlfn.XLOOKUP($Q$1&amp;Q8,CODIGOS_Y_COSTOS[ID],CODIGOS_Y_COSTOS[CODIGO],0,0)</f>
        <v>4013</v>
      </c>
      <c r="U8" s="507">
        <f>+_xlfn.XLOOKUP($Q$1&amp;Q8,CODIGOS_Y_COSTOS[ID],CODIGOS_Y_COSTOS[COSTO],0,0)</f>
        <v>312.05869999999999</v>
      </c>
      <c r="V8" s="26">
        <f t="shared" si="6"/>
        <v>241.60216079999998</v>
      </c>
      <c r="W8" s="455">
        <f t="shared" si="8"/>
        <v>-0.22577976258953847</v>
      </c>
      <c r="Y8" s="46">
        <v>11</v>
      </c>
      <c r="Z8" s="18" t="s">
        <v>3107</v>
      </c>
      <c r="AA8" s="472">
        <v>184.85999999999999</v>
      </c>
      <c r="AB8" s="11">
        <v>3046</v>
      </c>
      <c r="AC8" s="24">
        <v>102.06249999999999</v>
      </c>
      <c r="AD8" s="26"/>
      <c r="AE8" s="455">
        <f t="shared" si="9"/>
        <v>0.39465719534598898</v>
      </c>
      <c r="AG8" s="27">
        <f t="shared" si="10"/>
        <v>142.34219999999999</v>
      </c>
    </row>
    <row r="9" spans="1:33" x14ac:dyDescent="0.2">
      <c r="A9" s="101">
        <f t="shared" si="0"/>
        <v>4084</v>
      </c>
      <c r="B9" s="11">
        <v>40</v>
      </c>
      <c r="C9" s="82"/>
      <c r="D9" s="433">
        <v>62</v>
      </c>
      <c r="E9" s="26">
        <f t="shared" si="1"/>
        <v>214.404</v>
      </c>
      <c r="F9" s="26">
        <f t="shared" si="2"/>
        <v>8576.16</v>
      </c>
      <c r="G9" s="689">
        <v>8</v>
      </c>
      <c r="H9" s="689">
        <v>52</v>
      </c>
      <c r="I9" s="689">
        <v>25</v>
      </c>
      <c r="J9" s="435" t="str">
        <f t="shared" si="3"/>
        <v>-</v>
      </c>
      <c r="K9" s="11">
        <v>200</v>
      </c>
      <c r="L9" s="505"/>
      <c r="M9" s="433"/>
      <c r="N9" s="26">
        <f t="shared" si="4"/>
        <v>0</v>
      </c>
      <c r="O9" s="26">
        <f t="shared" si="5"/>
        <v>0</v>
      </c>
      <c r="P9" s="26">
        <f t="shared" si="7"/>
        <v>0</v>
      </c>
      <c r="Q9" s="46">
        <v>8</v>
      </c>
      <c r="R9" s="18" t="s">
        <v>2847</v>
      </c>
      <c r="S9" s="472">
        <v>304.40279999999996</v>
      </c>
      <c r="T9" s="11">
        <f>+_xlfn.XLOOKUP($Q$1&amp;Q9,CODIGOS_Y_COSTOS[ID],CODIGOS_Y_COSTOS[CODIGO],0,0)</f>
        <v>4014</v>
      </c>
      <c r="U9" s="507">
        <f>+_xlfn.XLOOKUP($Q$1&amp;Q9,CODIGOS_Y_COSTOS[ID],CODIGOS_Y_COSTOS[COSTO],0,0)</f>
        <v>302.74349999999998</v>
      </c>
      <c r="V9" s="26">
        <f t="shared" si="6"/>
        <v>234.39015599999996</v>
      </c>
      <c r="W9" s="455">
        <f t="shared" si="8"/>
        <v>-0.22577972442017757</v>
      </c>
      <c r="Y9" s="46">
        <v>13</v>
      </c>
      <c r="Z9" s="18" t="s">
        <v>3110</v>
      </c>
      <c r="AA9" s="472">
        <v>184.85999999999999</v>
      </c>
      <c r="AB9" s="11">
        <v>3015</v>
      </c>
      <c r="AC9" s="24">
        <v>196.93749999999997</v>
      </c>
      <c r="AD9" s="26"/>
      <c r="AE9" s="455">
        <f t="shared" si="9"/>
        <v>-0.27722145350682315</v>
      </c>
      <c r="AG9" s="27">
        <f t="shared" si="10"/>
        <v>142.34219999999999</v>
      </c>
    </row>
    <row r="10" spans="1:33" x14ac:dyDescent="0.2">
      <c r="A10" s="101">
        <f t="shared" si="0"/>
        <v>4082</v>
      </c>
      <c r="B10" s="11">
        <v>40</v>
      </c>
      <c r="C10" s="82"/>
      <c r="D10" s="433">
        <v>63</v>
      </c>
      <c r="E10" s="26">
        <f t="shared" si="1"/>
        <v>232.27099999999999</v>
      </c>
      <c r="F10" s="26">
        <f t="shared" si="2"/>
        <v>9290.84</v>
      </c>
      <c r="G10" s="689">
        <v>9</v>
      </c>
      <c r="H10" s="689">
        <v>53</v>
      </c>
      <c r="I10" s="689">
        <v>26</v>
      </c>
      <c r="J10" s="435" t="str">
        <f t="shared" si="3"/>
        <v>-</v>
      </c>
      <c r="K10" s="11">
        <v>300</v>
      </c>
      <c r="L10" s="505"/>
      <c r="M10" s="433"/>
      <c r="N10" s="26">
        <f t="shared" si="4"/>
        <v>0</v>
      </c>
      <c r="O10" s="26">
        <f t="shared" si="5"/>
        <v>0</v>
      </c>
      <c r="P10" s="26">
        <f t="shared" si="7"/>
        <v>0</v>
      </c>
      <c r="Q10" s="46">
        <v>9</v>
      </c>
      <c r="R10" s="18" t="s">
        <v>2849</v>
      </c>
      <c r="S10" s="472">
        <v>327.8184</v>
      </c>
      <c r="T10" s="11">
        <f>+_xlfn.XLOOKUP($Q$1&amp;Q10,CODIGOS_Y_COSTOS[ID],CODIGOS_Y_COSTOS[CODIGO],0,0)</f>
        <v>4043</v>
      </c>
      <c r="U10" s="507">
        <f>+_xlfn.XLOOKUP($Q$1&amp;Q10,CODIGOS_Y_COSTOS[ID],CODIGOS_Y_COSTOS[COSTO],0,0)</f>
        <v>326.03149999999999</v>
      </c>
      <c r="V10" s="26">
        <f t="shared" si="6"/>
        <v>252.42016799999999</v>
      </c>
      <c r="W10" s="455">
        <f t="shared" si="8"/>
        <v>-0.2257798157539993</v>
      </c>
      <c r="Y10" s="46">
        <v>14</v>
      </c>
      <c r="Z10" s="18" t="s">
        <v>3112</v>
      </c>
      <c r="AA10" s="472">
        <v>277.28999999999996</v>
      </c>
      <c r="AB10" s="11">
        <v>3035</v>
      </c>
      <c r="AC10" s="24">
        <v>196.93749999999997</v>
      </c>
      <c r="AD10" s="26"/>
      <c r="AE10" s="455">
        <f t="shared" si="9"/>
        <v>8.4167819739765282E-2</v>
      </c>
      <c r="AG10" s="27">
        <f t="shared" si="10"/>
        <v>213.51329999999999</v>
      </c>
    </row>
    <row r="11" spans="1:33" x14ac:dyDescent="0.2">
      <c r="A11" s="101">
        <f t="shared" si="0"/>
        <v>4000</v>
      </c>
      <c r="B11" s="11">
        <v>40</v>
      </c>
      <c r="C11" s="82"/>
      <c r="D11" s="433">
        <v>1</v>
      </c>
      <c r="E11" s="26">
        <f t="shared" si="1"/>
        <v>261.9896</v>
      </c>
      <c r="F11" s="26">
        <f t="shared" si="2"/>
        <v>10479.583999999999</v>
      </c>
      <c r="G11" s="689">
        <v>12</v>
      </c>
      <c r="H11" s="689">
        <v>54</v>
      </c>
      <c r="I11" s="689">
        <v>27</v>
      </c>
      <c r="J11" s="101" t="str">
        <f t="shared" si="3"/>
        <v>-</v>
      </c>
      <c r="K11" s="11">
        <v>300</v>
      </c>
      <c r="L11" s="506"/>
      <c r="M11" s="433"/>
      <c r="N11" s="26">
        <f t="shared" si="4"/>
        <v>0</v>
      </c>
      <c r="O11" s="26">
        <f t="shared" si="5"/>
        <v>0</v>
      </c>
      <c r="P11" s="26">
        <f t="shared" si="7"/>
        <v>0</v>
      </c>
      <c r="Q11" s="46">
        <v>12</v>
      </c>
      <c r="R11" s="513" t="s">
        <v>2851</v>
      </c>
      <c r="S11" s="514">
        <v>1000</v>
      </c>
      <c r="T11" s="11">
        <f>+_xlfn.XLOOKUP($Q$1&amp;Q11,CODIGOS_Y_COSTOS[ID],CODIGOS_Y_COSTOS[CODIGO],0,0)</f>
        <v>4025</v>
      </c>
      <c r="U11" s="507">
        <f>+_xlfn.XLOOKUP($Q$1&amp;Q11,CODIGOS_Y_COSTOS[ID],CODIGOS_Y_COSTOS[COSTO],0,0)</f>
        <v>2106.9409000000001</v>
      </c>
      <c r="V11" s="26">
        <f t="shared" si="6"/>
        <v>770</v>
      </c>
      <c r="W11" s="455">
        <f t="shared" si="8"/>
        <v>-0.63454124413266655</v>
      </c>
      <c r="Y11" s="46">
        <v>15</v>
      </c>
      <c r="Z11" s="18" t="s">
        <v>3114</v>
      </c>
      <c r="AA11" s="472">
        <v>231.07499999999999</v>
      </c>
      <c r="AB11" s="11">
        <v>3010</v>
      </c>
      <c r="AC11" s="24">
        <v>211.31249999999997</v>
      </c>
      <c r="AD11" s="26"/>
      <c r="AE11" s="455">
        <f t="shared" si="9"/>
        <v>-0.15798757763975146</v>
      </c>
      <c r="AG11" s="27">
        <f t="shared" si="10"/>
        <v>177.92775</v>
      </c>
    </row>
    <row r="12" spans="1:33" x14ac:dyDescent="0.2">
      <c r="A12" s="101">
        <f t="shared" si="0"/>
        <v>4007</v>
      </c>
      <c r="B12" s="11"/>
      <c r="C12" s="82"/>
      <c r="D12" s="433">
        <v>38</v>
      </c>
      <c r="E12" s="26">
        <f t="shared" si="1"/>
        <v>249.51390000000001</v>
      </c>
      <c r="F12" s="26">
        <f t="shared" si="2"/>
        <v>0</v>
      </c>
      <c r="G12" s="689">
        <v>13</v>
      </c>
      <c r="H12" s="689">
        <v>55</v>
      </c>
      <c r="I12" s="689">
        <v>28</v>
      </c>
      <c r="J12" s="101" t="str">
        <f t="shared" si="3"/>
        <v>-</v>
      </c>
      <c r="K12" s="11">
        <v>300</v>
      </c>
      <c r="L12" s="506"/>
      <c r="M12" s="433"/>
      <c r="N12" s="26">
        <f t="shared" si="4"/>
        <v>0</v>
      </c>
      <c r="O12" s="26">
        <f t="shared" si="5"/>
        <v>0</v>
      </c>
      <c r="P12" s="26">
        <f t="shared" si="7"/>
        <v>0</v>
      </c>
      <c r="Q12" s="46">
        <v>13</v>
      </c>
      <c r="R12" s="513" t="s">
        <v>2853</v>
      </c>
      <c r="S12" s="514">
        <v>1000</v>
      </c>
      <c r="T12" s="11">
        <f>+_xlfn.XLOOKUP($Q$1&amp;Q12,CODIGOS_Y_COSTOS[ID],CODIGOS_Y_COSTOS[CODIGO],0,0)</f>
        <v>4026</v>
      </c>
      <c r="U12" s="507">
        <f>+_xlfn.XLOOKUP($Q$1&amp;Q12,CODIGOS_Y_COSTOS[ID],CODIGOS_Y_COSTOS[COSTO],0,0)</f>
        <v>2106.9409000000001</v>
      </c>
      <c r="V12" s="26">
        <f t="shared" si="6"/>
        <v>770</v>
      </c>
      <c r="W12" s="455">
        <f t="shared" si="8"/>
        <v>-0.63454124413266655</v>
      </c>
      <c r="Y12" s="46">
        <v>17</v>
      </c>
      <c r="Z12" s="18" t="s">
        <v>3116</v>
      </c>
      <c r="AA12" s="472">
        <v>277.28999999999996</v>
      </c>
      <c r="AB12" s="11">
        <v>3034</v>
      </c>
      <c r="AC12" s="24">
        <v>196.93749999999997</v>
      </c>
      <c r="AD12" s="26"/>
      <c r="AE12" s="455">
        <f t="shared" si="9"/>
        <v>8.4167819739765282E-2</v>
      </c>
      <c r="AG12" s="27">
        <f t="shared" si="10"/>
        <v>213.51329999999999</v>
      </c>
    </row>
    <row r="13" spans="1:33" x14ac:dyDescent="0.2">
      <c r="A13" s="101" t="str">
        <f t="shared" si="0"/>
        <v>-</v>
      </c>
      <c r="B13" s="11"/>
      <c r="C13" s="82"/>
      <c r="D13" s="433"/>
      <c r="E13" s="26">
        <f t="shared" si="1"/>
        <v>0</v>
      </c>
      <c r="F13" s="26">
        <f t="shared" si="2"/>
        <v>0</v>
      </c>
      <c r="G13" s="689">
        <v>14</v>
      </c>
      <c r="H13" s="688">
        <v>56</v>
      </c>
      <c r="I13" s="688">
        <v>29</v>
      </c>
      <c r="J13" s="101" t="str">
        <f t="shared" si="3"/>
        <v>-</v>
      </c>
      <c r="K13" s="11">
        <v>300</v>
      </c>
      <c r="L13" s="506"/>
      <c r="M13" s="433"/>
      <c r="N13" s="26">
        <f t="shared" si="4"/>
        <v>0</v>
      </c>
      <c r="O13" s="26">
        <f t="shared" si="5"/>
        <v>0</v>
      </c>
      <c r="P13" s="26">
        <f t="shared" si="7"/>
        <v>0</v>
      </c>
      <c r="Q13" s="46">
        <v>14</v>
      </c>
      <c r="R13" s="513" t="s">
        <v>2855</v>
      </c>
      <c r="S13" s="514">
        <v>1000</v>
      </c>
      <c r="T13" s="11">
        <f>+_xlfn.XLOOKUP($Q$1&amp;Q13,CODIGOS_Y_COSTOS[ID],CODIGOS_Y_COSTOS[CODIGO],0,0)</f>
        <v>4027</v>
      </c>
      <c r="U13" s="507">
        <f>+_xlfn.XLOOKUP($Q$1&amp;Q13,CODIGOS_Y_COSTOS[ID],CODIGOS_Y_COSTOS[COSTO],0,0)</f>
        <v>2106.9409000000001</v>
      </c>
      <c r="V13" s="26">
        <f t="shared" si="6"/>
        <v>770</v>
      </c>
      <c r="W13" s="455">
        <f t="shared" si="8"/>
        <v>-0.63454124413266655</v>
      </c>
      <c r="Y13" s="46">
        <v>18</v>
      </c>
      <c r="Z13" s="18" t="s">
        <v>3118</v>
      </c>
      <c r="AA13" s="472">
        <v>203.34599999999998</v>
      </c>
      <c r="AB13" s="11">
        <v>3002</v>
      </c>
      <c r="AC13" s="24">
        <v>211.31249999999997</v>
      </c>
      <c r="AD13" s="26"/>
      <c r="AE13" s="455">
        <f t="shared" si="9"/>
        <v>-0.25902906832298134</v>
      </c>
      <c r="AG13" s="27">
        <f t="shared" si="10"/>
        <v>156.57641999999998</v>
      </c>
    </row>
    <row r="14" spans="1:33" x14ac:dyDescent="0.2">
      <c r="A14" s="101" t="str">
        <f t="shared" si="0"/>
        <v>-</v>
      </c>
      <c r="B14" s="11"/>
      <c r="C14" s="82"/>
      <c r="D14" s="433"/>
      <c r="E14" s="26">
        <f t="shared" si="1"/>
        <v>0</v>
      </c>
      <c r="F14" s="26">
        <f t="shared" si="2"/>
        <v>0</v>
      </c>
      <c r="G14" s="689">
        <v>15</v>
      </c>
      <c r="H14" s="688">
        <v>57</v>
      </c>
      <c r="J14" s="101" t="str">
        <f t="shared" si="3"/>
        <v>-</v>
      </c>
      <c r="K14" s="11">
        <f>+K11</f>
        <v>300</v>
      </c>
      <c r="L14" s="506"/>
      <c r="M14" s="433"/>
      <c r="N14" s="26">
        <f t="shared" si="4"/>
        <v>0</v>
      </c>
      <c r="O14" s="26">
        <f t="shared" si="5"/>
        <v>0</v>
      </c>
      <c r="P14" s="26">
        <f t="shared" si="7"/>
        <v>0</v>
      </c>
      <c r="Q14" s="46">
        <v>15</v>
      </c>
      <c r="R14" s="513" t="s">
        <v>2857</v>
      </c>
      <c r="S14" s="514">
        <v>1000</v>
      </c>
      <c r="T14" s="11">
        <f>+_xlfn.XLOOKUP($Q$1&amp;Q14,CODIGOS_Y_COSTOS[ID],CODIGOS_Y_COSTOS[CODIGO],0,0)</f>
        <v>4028</v>
      </c>
      <c r="U14" s="507">
        <f>+_xlfn.XLOOKUP($Q$1&amp;Q14,CODIGOS_Y_COSTOS[ID],CODIGOS_Y_COSTOS[COSTO],0,0)</f>
        <v>2106.9409000000001</v>
      </c>
      <c r="V14" s="26">
        <f t="shared" si="6"/>
        <v>770</v>
      </c>
      <c r="W14" s="455">
        <f t="shared" si="8"/>
        <v>-0.63454124413266655</v>
      </c>
      <c r="Y14" s="46">
        <v>19</v>
      </c>
      <c r="Z14" s="18" t="s">
        <v>3110</v>
      </c>
      <c r="AA14" s="472">
        <v>184.85999999999999</v>
      </c>
      <c r="AB14" s="11">
        <v>3016</v>
      </c>
      <c r="AC14" s="24">
        <v>196.93749999999997</v>
      </c>
      <c r="AD14" s="26"/>
      <c r="AE14" s="455">
        <f t="shared" si="9"/>
        <v>-0.27722145350682315</v>
      </c>
      <c r="AG14" s="27">
        <f t="shared" si="10"/>
        <v>142.34219999999999</v>
      </c>
    </row>
    <row r="15" spans="1:33" x14ac:dyDescent="0.2">
      <c r="A15" s="101" t="str">
        <f t="shared" si="0"/>
        <v>-</v>
      </c>
      <c r="B15" s="11"/>
      <c r="C15" s="82"/>
      <c r="D15" s="433"/>
      <c r="E15" s="26">
        <f t="shared" si="1"/>
        <v>0</v>
      </c>
      <c r="F15" s="26">
        <f t="shared" si="2"/>
        <v>0</v>
      </c>
      <c r="G15" s="689">
        <v>16</v>
      </c>
      <c r="H15" s="688">
        <v>65</v>
      </c>
      <c r="J15" s="101" t="str">
        <f t="shared" si="3"/>
        <v>-</v>
      </c>
      <c r="K15" s="11">
        <f>+K14</f>
        <v>300</v>
      </c>
      <c r="L15" s="506"/>
      <c r="M15" s="433"/>
      <c r="N15" s="26">
        <f t="shared" si="4"/>
        <v>0</v>
      </c>
      <c r="O15" s="26">
        <f t="shared" si="5"/>
        <v>0</v>
      </c>
      <c r="P15" s="26">
        <f t="shared" si="7"/>
        <v>0</v>
      </c>
      <c r="Q15" s="46">
        <v>16</v>
      </c>
      <c r="R15" s="513" t="s">
        <v>2859</v>
      </c>
      <c r="S15" s="514">
        <v>1000</v>
      </c>
      <c r="T15" s="11">
        <f>+_xlfn.XLOOKUP($Q$1&amp;Q15,CODIGOS_Y_COSTOS[ID],CODIGOS_Y_COSTOS[CODIGO],0,0)</f>
        <v>4029</v>
      </c>
      <c r="U15" s="507">
        <f>+_xlfn.XLOOKUP($Q$1&amp;Q15,CODIGOS_Y_COSTOS[ID],CODIGOS_Y_COSTOS[COSTO],0,0)</f>
        <v>2106.9409000000001</v>
      </c>
      <c r="V15" s="26">
        <f t="shared" si="6"/>
        <v>770</v>
      </c>
      <c r="W15" s="455">
        <f t="shared" si="8"/>
        <v>-0.63454124413266655</v>
      </c>
      <c r="Y15" s="46">
        <v>20</v>
      </c>
      <c r="Z15" s="18" t="s">
        <v>3121</v>
      </c>
      <c r="AA15" s="472">
        <v>277.28999999999996</v>
      </c>
      <c r="AB15" s="11">
        <v>3067</v>
      </c>
      <c r="AC15" s="24">
        <v>0</v>
      </c>
      <c r="AD15" s="26"/>
      <c r="AE15" s="455">
        <f t="shared" si="9"/>
        <v>0</v>
      </c>
      <c r="AG15" s="27">
        <f t="shared" si="10"/>
        <v>213.51329999999999</v>
      </c>
    </row>
    <row r="16" spans="1:33" x14ac:dyDescent="0.2">
      <c r="A16" s="101" t="str">
        <f t="shared" si="0"/>
        <v>-</v>
      </c>
      <c r="B16" s="11"/>
      <c r="C16" s="82"/>
      <c r="D16" s="433"/>
      <c r="E16" s="26">
        <f t="shared" si="1"/>
        <v>0</v>
      </c>
      <c r="F16" s="26">
        <f t="shared" si="2"/>
        <v>0</v>
      </c>
      <c r="G16" s="689">
        <v>17</v>
      </c>
      <c r="H16" s="688">
        <v>66</v>
      </c>
      <c r="J16" s="101" t="str">
        <f t="shared" si="3"/>
        <v>-</v>
      </c>
      <c r="K16" s="11">
        <f>+K15</f>
        <v>300</v>
      </c>
      <c r="L16" s="506"/>
      <c r="M16" s="433"/>
      <c r="N16" s="26">
        <f t="shared" si="4"/>
        <v>0</v>
      </c>
      <c r="O16" s="26">
        <f t="shared" si="5"/>
        <v>0</v>
      </c>
      <c r="P16" s="26">
        <f t="shared" si="7"/>
        <v>0</v>
      </c>
      <c r="Q16" s="46">
        <v>17</v>
      </c>
      <c r="R16" s="18" t="s">
        <v>2861</v>
      </c>
      <c r="S16" s="472">
        <v>351.17237999999998</v>
      </c>
      <c r="T16" s="11">
        <f>+_xlfn.XLOOKUP($Q$1&amp;Q16,CODIGOS_Y_COSTOS[ID],CODIGOS_Y_COSTOS[CODIGO],0,0)</f>
        <v>4106</v>
      </c>
      <c r="U16" s="507">
        <f>+_xlfn.XLOOKUP($Q$1&amp;Q16,CODIGOS_Y_COSTOS[ID],CODIGOS_Y_COSTOS[COSTO],0,0)</f>
        <v>475.45080000000002</v>
      </c>
      <c r="V16" s="26">
        <f t="shared" si="6"/>
        <v>270.40273259999998</v>
      </c>
      <c r="W16" s="455">
        <f t="shared" si="8"/>
        <v>-0.43127084316610687</v>
      </c>
      <c r="Y16" s="46">
        <v>21</v>
      </c>
      <c r="Z16" s="18" t="s">
        <v>3123</v>
      </c>
      <c r="AA16" s="472">
        <v>323.505</v>
      </c>
      <c r="AB16" s="11">
        <v>3069</v>
      </c>
      <c r="AC16" s="24">
        <v>0</v>
      </c>
      <c r="AD16" s="26"/>
      <c r="AE16" s="455">
        <f t="shared" si="9"/>
        <v>0</v>
      </c>
      <c r="AG16" s="27">
        <f t="shared" si="10"/>
        <v>249.09885</v>
      </c>
    </row>
    <row r="17" spans="1:33" x14ac:dyDescent="0.2">
      <c r="A17" s="101" t="str">
        <f t="shared" si="0"/>
        <v>-</v>
      </c>
      <c r="B17" s="11"/>
      <c r="C17" s="82"/>
      <c r="D17" s="433"/>
      <c r="E17" s="26">
        <f t="shared" si="1"/>
        <v>0</v>
      </c>
      <c r="F17" s="26">
        <f t="shared" si="2"/>
        <v>0</v>
      </c>
      <c r="G17" s="689">
        <v>18</v>
      </c>
      <c r="H17" s="688">
        <v>69</v>
      </c>
      <c r="J17" s="101" t="str">
        <f t="shared" si="3"/>
        <v>-</v>
      </c>
      <c r="K17" s="11">
        <v>0</v>
      </c>
      <c r="L17" s="506"/>
      <c r="M17" s="433"/>
      <c r="N17" s="26">
        <f t="shared" si="4"/>
        <v>0</v>
      </c>
      <c r="O17" s="26">
        <f t="shared" si="5"/>
        <v>0</v>
      </c>
      <c r="P17" s="26">
        <f t="shared" si="7"/>
        <v>0</v>
      </c>
      <c r="Q17" s="46">
        <v>18</v>
      </c>
      <c r="R17" s="513" t="s">
        <v>2863</v>
      </c>
      <c r="S17" s="514">
        <v>1000</v>
      </c>
      <c r="T17" s="11">
        <f>+_xlfn.XLOOKUP($Q$1&amp;Q17,CODIGOS_Y_COSTOS[ID],CODIGOS_Y_COSTOS[CODIGO],0,0)</f>
        <v>4005</v>
      </c>
      <c r="U17" s="507">
        <f>+_xlfn.XLOOKUP($Q$1&amp;Q17,CODIGOS_Y_COSTOS[ID],CODIGOS_Y_COSTOS[COSTO],0,0)</f>
        <v>2151.2975000000001</v>
      </c>
      <c r="V17" s="26">
        <f t="shared" si="6"/>
        <v>770</v>
      </c>
      <c r="W17" s="455">
        <f t="shared" si="8"/>
        <v>-0.64207646780605665</v>
      </c>
      <c r="Y17" s="46">
        <v>30</v>
      </c>
      <c r="Z17" s="18" t="s">
        <v>3125</v>
      </c>
      <c r="AA17" s="472">
        <v>152.50949999999997</v>
      </c>
      <c r="AB17" s="11">
        <v>3003</v>
      </c>
      <c r="AC17" s="24">
        <v>196.93749999999997</v>
      </c>
      <c r="AD17" s="26"/>
      <c r="AE17" s="455">
        <f t="shared" si="9"/>
        <v>-0.4037076991431291</v>
      </c>
      <c r="AG17" s="27">
        <f t="shared" si="10"/>
        <v>117.43231499999999</v>
      </c>
    </row>
    <row r="18" spans="1:33" x14ac:dyDescent="0.2">
      <c r="A18" s="101" t="str">
        <f t="shared" si="0"/>
        <v>-</v>
      </c>
      <c r="B18" s="11"/>
      <c r="C18" s="82"/>
      <c r="D18" s="433"/>
      <c r="E18" s="26">
        <f t="shared" si="1"/>
        <v>0</v>
      </c>
      <c r="F18" s="26">
        <f t="shared" si="2"/>
        <v>0</v>
      </c>
      <c r="G18" s="689">
        <v>36</v>
      </c>
      <c r="H18" s="688">
        <v>71</v>
      </c>
      <c r="J18" s="101" t="str">
        <f t="shared" si="3"/>
        <v>-</v>
      </c>
      <c r="K18" s="11">
        <v>0</v>
      </c>
      <c r="L18" s="506"/>
      <c r="M18" s="433"/>
      <c r="N18" s="26">
        <f t="shared" si="4"/>
        <v>0</v>
      </c>
      <c r="O18" s="26">
        <f t="shared" si="5"/>
        <v>0</v>
      </c>
      <c r="P18" s="26">
        <f t="shared" si="7"/>
        <v>0</v>
      </c>
      <c r="Q18" s="578">
        <v>19</v>
      </c>
      <c r="R18" s="23" t="s">
        <v>2865</v>
      </c>
      <c r="S18" s="472">
        <v>144.25242</v>
      </c>
      <c r="T18" s="11">
        <f>+_xlfn.XLOOKUP($Q$1&amp;Q18,CODIGOS_Y_COSTOS[ID],CODIGOS_Y_COSTOS[CODIGO],0,0)</f>
        <v>4051</v>
      </c>
      <c r="U18" s="507">
        <f>+_xlfn.XLOOKUP($Q$1&amp;Q18,CODIGOS_Y_COSTOS[ID],CODIGOS_Y_COSTOS[COSTO],0,0)</f>
        <v>178.35290000000001</v>
      </c>
      <c r="V18" s="26">
        <f t="shared" si="6"/>
        <v>111.07436340000001</v>
      </c>
      <c r="W18" s="455">
        <f t="shared" si="8"/>
        <v>-0.37722143346141268</v>
      </c>
      <c r="Y18" s="46">
        <v>31</v>
      </c>
      <c r="Z18" s="18" t="s">
        <v>3127</v>
      </c>
      <c r="AA18" s="472">
        <v>152.50949999999997</v>
      </c>
      <c r="AB18" s="11">
        <v>3004</v>
      </c>
      <c r="AC18" s="24">
        <v>196.93749999999997</v>
      </c>
      <c r="AD18" s="26"/>
      <c r="AE18" s="455">
        <f t="shared" si="9"/>
        <v>-0.4037076991431291</v>
      </c>
      <c r="AG18" s="27">
        <f t="shared" si="10"/>
        <v>117.43231499999999</v>
      </c>
    </row>
    <row r="19" spans="1:33" x14ac:dyDescent="0.2">
      <c r="A19" s="101" t="str">
        <f t="shared" si="0"/>
        <v>-</v>
      </c>
      <c r="B19" s="11"/>
      <c r="C19" s="82"/>
      <c r="D19" s="433"/>
      <c r="E19" s="26">
        <f t="shared" si="1"/>
        <v>0</v>
      </c>
      <c r="F19" s="26">
        <f t="shared" si="2"/>
        <v>0</v>
      </c>
      <c r="G19" s="689">
        <v>37</v>
      </c>
      <c r="H19" s="688">
        <v>73</v>
      </c>
      <c r="J19" s="101" t="str">
        <f t="shared" si="3"/>
        <v>-</v>
      </c>
      <c r="K19" s="11">
        <v>0</v>
      </c>
      <c r="L19" s="506"/>
      <c r="M19" s="433"/>
      <c r="N19" s="26">
        <f t="shared" si="4"/>
        <v>0</v>
      </c>
      <c r="O19" s="26">
        <f t="shared" si="5"/>
        <v>0</v>
      </c>
      <c r="P19" s="26">
        <f t="shared" si="7"/>
        <v>0</v>
      </c>
      <c r="Q19" s="578">
        <v>20</v>
      </c>
      <c r="R19" s="23" t="s">
        <v>2867</v>
      </c>
      <c r="S19" s="472">
        <v>153.86513999999997</v>
      </c>
      <c r="T19" s="11">
        <f>+_xlfn.XLOOKUP($Q$1&amp;Q19,CODIGOS_Y_COSTOS[ID],CODIGOS_Y_COSTOS[CODIGO],0,0)</f>
        <v>4052</v>
      </c>
      <c r="U19" s="507">
        <f>+_xlfn.XLOOKUP($Q$1&amp;Q19,CODIGOS_Y_COSTOS[ID],CODIGOS_Y_COSTOS[COSTO],0,0)</f>
        <v>194.5668</v>
      </c>
      <c r="V19" s="26">
        <f t="shared" si="6"/>
        <v>118.47615779999998</v>
      </c>
      <c r="W19" s="455">
        <f t="shared" si="8"/>
        <v>-0.39107721461215383</v>
      </c>
      <c r="Y19" s="46">
        <v>32</v>
      </c>
      <c r="Z19" s="18" t="s">
        <v>3129</v>
      </c>
      <c r="AA19" s="472">
        <v>152.50949999999997</v>
      </c>
      <c r="AB19" s="11">
        <v>3005</v>
      </c>
      <c r="AC19" s="24">
        <v>196.93749999999997</v>
      </c>
      <c r="AD19" s="26"/>
      <c r="AE19" s="455">
        <f t="shared" si="9"/>
        <v>-0.4037076991431291</v>
      </c>
      <c r="AG19" s="27">
        <f t="shared" si="10"/>
        <v>117.43231499999999</v>
      </c>
    </row>
    <row r="20" spans="1:33" x14ac:dyDescent="0.2">
      <c r="A20" s="101" t="str">
        <f t="shared" si="0"/>
        <v>-</v>
      </c>
      <c r="B20" s="11"/>
      <c r="C20" s="82"/>
      <c r="D20" s="433"/>
      <c r="E20" s="26">
        <f t="shared" si="1"/>
        <v>0</v>
      </c>
      <c r="F20" s="26">
        <f t="shared" si="2"/>
        <v>0</v>
      </c>
      <c r="G20" s="689">
        <v>38</v>
      </c>
      <c r="H20" s="688">
        <v>74</v>
      </c>
      <c r="J20" s="101" t="str">
        <f t="shared" si="3"/>
        <v>-</v>
      </c>
      <c r="K20" s="11"/>
      <c r="L20" s="506"/>
      <c r="M20" s="433"/>
      <c r="N20" s="26">
        <f t="shared" si="4"/>
        <v>0</v>
      </c>
      <c r="O20" s="26">
        <f t="shared" si="5"/>
        <v>0</v>
      </c>
      <c r="P20" s="26">
        <f t="shared" si="7"/>
        <v>0</v>
      </c>
      <c r="Q20" s="578">
        <v>21</v>
      </c>
      <c r="R20" s="23" t="s">
        <v>2869</v>
      </c>
      <c r="S20" s="472">
        <v>168.28421999999998</v>
      </c>
      <c r="T20" s="11">
        <f>+_xlfn.XLOOKUP($Q$1&amp;Q20,CODIGOS_Y_COSTOS[ID],CODIGOS_Y_COSTOS[CODIGO],0,0)</f>
        <v>4053</v>
      </c>
      <c r="U20" s="507">
        <f>+_xlfn.XLOOKUP($Q$1&amp;Q20,CODIGOS_Y_COSTOS[ID],CODIGOS_Y_COSTOS[COSTO],0,0)</f>
        <v>210.7807</v>
      </c>
      <c r="V20" s="26">
        <f t="shared" si="6"/>
        <v>129.5788494</v>
      </c>
      <c r="W20" s="455">
        <f t="shared" si="8"/>
        <v>-0.38524329125010026</v>
      </c>
      <c r="Y20" s="46">
        <v>37</v>
      </c>
      <c r="Z20" s="18" t="s">
        <v>3131</v>
      </c>
      <c r="AA20" s="472">
        <v>184.85999999999999</v>
      </c>
      <c r="AB20" s="11">
        <v>3042</v>
      </c>
      <c r="AC20" s="24">
        <v>0</v>
      </c>
      <c r="AD20" s="26"/>
      <c r="AE20" s="455">
        <f t="shared" si="9"/>
        <v>0</v>
      </c>
      <c r="AG20" s="27">
        <f t="shared" si="10"/>
        <v>142.34219999999999</v>
      </c>
    </row>
    <row r="21" spans="1:33" x14ac:dyDescent="0.2">
      <c r="A21" s="101" t="str">
        <f t="shared" si="0"/>
        <v>-</v>
      </c>
      <c r="B21" s="11"/>
      <c r="C21" s="82"/>
      <c r="D21" s="433"/>
      <c r="E21" s="26">
        <f t="shared" si="1"/>
        <v>0</v>
      </c>
      <c r="F21" s="26">
        <f t="shared" si="2"/>
        <v>0</v>
      </c>
      <c r="G21" s="689">
        <v>39</v>
      </c>
      <c r="J21" s="101" t="str">
        <f t="shared" si="3"/>
        <v>-</v>
      </c>
      <c r="K21" s="11"/>
      <c r="L21" s="506"/>
      <c r="M21" s="433"/>
      <c r="N21" s="26">
        <f t="shared" si="4"/>
        <v>0</v>
      </c>
      <c r="O21" s="26">
        <f t="shared" si="5"/>
        <v>0</v>
      </c>
      <c r="P21" s="27"/>
      <c r="Q21" s="578">
        <v>22</v>
      </c>
      <c r="R21" s="23" t="s">
        <v>2871</v>
      </c>
      <c r="S21" s="472">
        <v>192.34682999999998</v>
      </c>
      <c r="T21" s="11">
        <f>+_xlfn.XLOOKUP($Q$1&amp;Q21,CODIGOS_Y_COSTOS[ID],CODIGOS_Y_COSTOS[CODIGO],0,0)</f>
        <v>4054</v>
      </c>
      <c r="U21" s="507">
        <f>+_xlfn.XLOOKUP($Q$1&amp;Q21,CODIGOS_Y_COSTOS[ID],CODIGOS_Y_COSTOS[COSTO],0,0)</f>
        <v>226.99459999999999</v>
      </c>
      <c r="V21" s="26">
        <f t="shared" si="6"/>
        <v>148.10705909999999</v>
      </c>
      <c r="W21" s="455">
        <f t="shared" si="8"/>
        <v>-0.34753047385268199</v>
      </c>
      <c r="Y21" s="46">
        <v>38</v>
      </c>
      <c r="Z21" s="18" t="s">
        <v>18178</v>
      </c>
      <c r="AA21" s="472">
        <v>166.374</v>
      </c>
      <c r="AB21" s="11">
        <v>3043</v>
      </c>
      <c r="AC21" s="24">
        <v>145.1875</v>
      </c>
      <c r="AD21" s="26"/>
      <c r="AE21" s="455">
        <f t="shared" si="9"/>
        <v>-0.11763767541971593</v>
      </c>
      <c r="AG21" s="27">
        <f t="shared" si="10"/>
        <v>128.10798</v>
      </c>
    </row>
    <row r="22" spans="1:33" x14ac:dyDescent="0.2">
      <c r="A22" s="101" t="str">
        <f t="shared" si="0"/>
        <v>-</v>
      </c>
      <c r="B22" s="11"/>
      <c r="C22" s="82"/>
      <c r="D22" s="433"/>
      <c r="E22" s="26">
        <f t="shared" si="1"/>
        <v>0</v>
      </c>
      <c r="F22" s="26">
        <f t="shared" si="2"/>
        <v>0</v>
      </c>
      <c r="G22" s="689">
        <v>40</v>
      </c>
      <c r="J22" s="101" t="str">
        <f t="shared" si="3"/>
        <v>-</v>
      </c>
      <c r="K22" s="11"/>
      <c r="M22" s="433"/>
      <c r="N22" s="26">
        <f t="shared" si="4"/>
        <v>0</v>
      </c>
      <c r="O22" s="26">
        <f t="shared" si="5"/>
        <v>0</v>
      </c>
      <c r="Q22" s="578">
        <v>23</v>
      </c>
      <c r="R22" s="23" t="s">
        <v>2873</v>
      </c>
      <c r="S22" s="472">
        <v>254.82950999999997</v>
      </c>
      <c r="T22" s="11">
        <f>+_xlfn.XLOOKUP($Q$1&amp;Q22,CODIGOS_Y_COSTOS[ID],CODIGOS_Y_COSTOS[CODIGO],0,0)</f>
        <v>4055</v>
      </c>
      <c r="U22" s="507">
        <f>+_xlfn.XLOOKUP($Q$1&amp;Q22,CODIGOS_Y_COSTOS[ID],CODIGOS_Y_COSTOS[COSTO],0,0)</f>
        <v>254.04040000000001</v>
      </c>
      <c r="V22" s="26">
        <f t="shared" si="6"/>
        <v>196.21872269999997</v>
      </c>
      <c r="W22" s="455">
        <f t="shared" si="8"/>
        <v>-0.2276081965703094</v>
      </c>
      <c r="Y22" s="46">
        <v>39</v>
      </c>
      <c r="Z22" s="18" t="s">
        <v>18179</v>
      </c>
      <c r="AA22" s="472">
        <v>184.85999999999999</v>
      </c>
      <c r="AB22" s="11">
        <v>3047</v>
      </c>
      <c r="AC22" s="24">
        <v>161</v>
      </c>
      <c r="AD22" s="26"/>
      <c r="AE22" s="455">
        <f t="shared" si="9"/>
        <v>-0.11588695652173919</v>
      </c>
      <c r="AG22" s="27">
        <f t="shared" si="10"/>
        <v>142.34219999999999</v>
      </c>
    </row>
    <row r="23" spans="1:33" x14ac:dyDescent="0.2">
      <c r="A23" s="101" t="str">
        <f t="shared" si="0"/>
        <v>-</v>
      </c>
      <c r="B23" s="11"/>
      <c r="C23" s="82"/>
      <c r="D23" s="433"/>
      <c r="E23" s="26">
        <f t="shared" si="1"/>
        <v>0</v>
      </c>
      <c r="F23" s="26">
        <f t="shared" si="2"/>
        <v>0</v>
      </c>
      <c r="G23" s="689">
        <v>41</v>
      </c>
      <c r="J23" s="101" t="str">
        <f t="shared" si="3"/>
        <v>-</v>
      </c>
      <c r="K23" s="11"/>
      <c r="M23" s="433"/>
      <c r="N23" s="26">
        <f t="shared" si="4"/>
        <v>0</v>
      </c>
      <c r="O23" s="26">
        <f t="shared" si="5"/>
        <v>0</v>
      </c>
      <c r="Q23" s="578">
        <v>24</v>
      </c>
      <c r="R23" s="23" t="s">
        <v>2875</v>
      </c>
      <c r="S23" s="472">
        <v>269.27940000000001</v>
      </c>
      <c r="T23" s="11">
        <f>+_xlfn.XLOOKUP($Q$1&amp;Q23,CODIGOS_Y_COSTOS[ID],CODIGOS_Y_COSTOS[CODIGO],0,0)</f>
        <v>4056</v>
      </c>
      <c r="U23" s="507">
        <f>+_xlfn.XLOOKUP($Q$1&amp;Q23,CODIGOS_Y_COSTOS[ID],CODIGOS_Y_COSTOS[COSTO],0,0)</f>
        <v>268.42009999999999</v>
      </c>
      <c r="V23" s="26">
        <f t="shared" si="6"/>
        <v>207.34513800000002</v>
      </c>
      <c r="W23" s="455">
        <f t="shared" si="8"/>
        <v>-0.22753497968296699</v>
      </c>
      <c r="Y23" s="46">
        <v>40</v>
      </c>
      <c r="Z23" s="18" t="s">
        <v>3133</v>
      </c>
      <c r="AA23" s="472">
        <v>152.50949999999997</v>
      </c>
      <c r="AB23" s="11">
        <v>3011</v>
      </c>
      <c r="AC23" s="24">
        <v>196.93749999999997</v>
      </c>
      <c r="AD23" s="26"/>
      <c r="AE23" s="455">
        <f t="shared" si="9"/>
        <v>-0.4037076991431291</v>
      </c>
      <c r="AG23" s="27">
        <f t="shared" si="10"/>
        <v>117.43231499999999</v>
      </c>
    </row>
    <row r="24" spans="1:33" x14ac:dyDescent="0.2">
      <c r="A24" s="101" t="str">
        <f t="shared" si="0"/>
        <v>-</v>
      </c>
      <c r="B24" s="11"/>
      <c r="C24" s="82"/>
      <c r="D24" s="433"/>
      <c r="E24" s="26">
        <f t="shared" si="1"/>
        <v>0</v>
      </c>
      <c r="F24" s="26">
        <f t="shared" si="2"/>
        <v>0</v>
      </c>
      <c r="G24" s="689">
        <v>42</v>
      </c>
      <c r="J24" s="101" t="str">
        <f t="shared" si="3"/>
        <v>-</v>
      </c>
      <c r="K24" s="11"/>
      <c r="M24" s="433"/>
      <c r="N24" s="26">
        <f t="shared" si="4"/>
        <v>0</v>
      </c>
      <c r="O24" s="26">
        <f t="shared" si="5"/>
        <v>0</v>
      </c>
      <c r="Q24" s="578">
        <v>25</v>
      </c>
      <c r="R24" s="23" t="s">
        <v>2877</v>
      </c>
      <c r="S24" s="472">
        <v>288.50484</v>
      </c>
      <c r="T24" s="11">
        <f>+_xlfn.XLOOKUP($Q$1&amp;Q24,CODIGOS_Y_COSTOS[ID],CODIGOS_Y_COSTOS[CODIGO],0,0)</f>
        <v>4057</v>
      </c>
      <c r="U24" s="507">
        <f>+_xlfn.XLOOKUP($Q$1&amp;Q24,CODIGOS_Y_COSTOS[ID],CODIGOS_Y_COSTOS[COSTO],0,0)</f>
        <v>287.59289999999999</v>
      </c>
      <c r="V24" s="26">
        <f t="shared" si="6"/>
        <v>222.14872680000002</v>
      </c>
      <c r="W24" s="455">
        <f t="shared" si="8"/>
        <v>-0.22755837574571547</v>
      </c>
      <c r="Y24" s="46">
        <v>41</v>
      </c>
      <c r="Z24" s="18" t="s">
        <v>3135</v>
      </c>
      <c r="AA24" s="472">
        <v>152.50949999999997</v>
      </c>
      <c r="AB24" s="11">
        <v>3012</v>
      </c>
      <c r="AC24" s="24">
        <v>196.93749999999997</v>
      </c>
      <c r="AD24" s="26"/>
      <c r="AE24" s="455">
        <f t="shared" si="9"/>
        <v>-0.4037076991431291</v>
      </c>
      <c r="AG24" s="27">
        <f t="shared" si="10"/>
        <v>117.43231499999999</v>
      </c>
    </row>
    <row r="25" spans="1:33" ht="13.5" thickBot="1" x14ac:dyDescent="0.25">
      <c r="A25" s="101" t="str">
        <f t="shared" si="0"/>
        <v>-</v>
      </c>
      <c r="B25" s="11"/>
      <c r="C25" s="82"/>
      <c r="D25" s="433"/>
      <c r="E25" s="26">
        <f t="shared" si="1"/>
        <v>0</v>
      </c>
      <c r="F25" s="26">
        <f t="shared" si="2"/>
        <v>0</v>
      </c>
      <c r="G25" s="689">
        <v>43</v>
      </c>
      <c r="J25" s="200" t="str">
        <f t="shared" si="3"/>
        <v>-</v>
      </c>
      <c r="K25" s="12"/>
      <c r="M25" s="445"/>
      <c r="N25" s="26">
        <f t="shared" si="4"/>
        <v>0</v>
      </c>
      <c r="O25" s="26">
        <f t="shared" si="5"/>
        <v>0</v>
      </c>
      <c r="Q25" s="578">
        <v>26</v>
      </c>
      <c r="R25" s="23" t="s">
        <v>2879</v>
      </c>
      <c r="S25" s="472">
        <v>293.40362999999996</v>
      </c>
      <c r="T25" s="11">
        <f>+_xlfn.XLOOKUP($Q$1&amp;Q25,CODIGOS_Y_COSTOS[ID],CODIGOS_Y_COSTOS[CODIGO],0,0)</f>
        <v>4058</v>
      </c>
      <c r="U25" s="507">
        <f>+_xlfn.XLOOKUP($Q$1&amp;Q25,CODIGOS_Y_COSTOS[ID],CODIGOS_Y_COSTOS[COSTO],0,0)</f>
        <v>306.76580000000001</v>
      </c>
      <c r="V25" s="26">
        <f t="shared" si="6"/>
        <v>225.92079509999996</v>
      </c>
      <c r="W25" s="455">
        <f t="shared" si="8"/>
        <v>-0.26353982386563313</v>
      </c>
      <c r="Y25" s="46">
        <v>43</v>
      </c>
      <c r="Z25" s="18" t="s">
        <v>3137</v>
      </c>
      <c r="AA25" s="472">
        <v>184.85999999999999</v>
      </c>
      <c r="AB25" s="11">
        <v>3017</v>
      </c>
      <c r="AC25" s="24">
        <v>196.93749999999997</v>
      </c>
      <c r="AD25" s="26"/>
      <c r="AE25" s="455">
        <f t="shared" si="9"/>
        <v>-0.27722145350682315</v>
      </c>
      <c r="AG25" s="27">
        <f t="shared" si="10"/>
        <v>142.34219999999999</v>
      </c>
    </row>
    <row r="26" spans="1:33" x14ac:dyDescent="0.2">
      <c r="A26" s="101" t="str">
        <f t="shared" si="0"/>
        <v>-</v>
      </c>
      <c r="B26" s="11"/>
      <c r="C26" s="82"/>
      <c r="D26" s="433"/>
      <c r="E26" s="26">
        <f t="shared" si="1"/>
        <v>0</v>
      </c>
      <c r="F26" s="26">
        <f t="shared" si="2"/>
        <v>0</v>
      </c>
      <c r="G26" s="689">
        <v>48</v>
      </c>
      <c r="Q26" s="578">
        <v>27</v>
      </c>
      <c r="R26" s="23" t="s">
        <v>2881</v>
      </c>
      <c r="S26" s="472">
        <v>324.18281999999994</v>
      </c>
      <c r="T26" s="11">
        <f>+_xlfn.XLOOKUP($Q$1&amp;Q26,CODIGOS_Y_COSTOS[ID],CODIGOS_Y_COSTOS[CODIGO],0,0)</f>
        <v>4059</v>
      </c>
      <c r="U26" s="507">
        <f>+_xlfn.XLOOKUP($Q$1&amp;Q26,CODIGOS_Y_COSTOS[ID],CODIGOS_Y_COSTOS[COSTO],0,0)</f>
        <v>335.52510000000001</v>
      </c>
      <c r="V26" s="26">
        <f t="shared" si="6"/>
        <v>249.62077139999997</v>
      </c>
      <c r="W26" s="455">
        <f t="shared" si="8"/>
        <v>-0.25602951493047776</v>
      </c>
      <c r="Y26" s="46">
        <v>44</v>
      </c>
      <c r="Z26" s="18" t="s">
        <v>18180</v>
      </c>
      <c r="AA26" s="472">
        <v>138.64499999999998</v>
      </c>
      <c r="AB26" s="11">
        <v>3036</v>
      </c>
      <c r="AC26" s="24">
        <v>25.874999999999996</v>
      </c>
      <c r="AD26" s="26"/>
      <c r="AE26" s="455">
        <f t="shared" si="9"/>
        <v>3.1258608695652175</v>
      </c>
      <c r="AG26" s="27">
        <f t="shared" si="10"/>
        <v>106.75664999999999</v>
      </c>
    </row>
    <row r="27" spans="1:33" ht="13.5" thickBot="1" x14ac:dyDescent="0.25">
      <c r="A27" s="101" t="str">
        <f t="shared" si="0"/>
        <v>-</v>
      </c>
      <c r="B27" s="11"/>
      <c r="C27" s="82"/>
      <c r="D27" s="433"/>
      <c r="E27" s="26">
        <f t="shared" si="1"/>
        <v>0</v>
      </c>
      <c r="F27" s="26">
        <f t="shared" si="2"/>
        <v>0</v>
      </c>
      <c r="G27" s="689">
        <v>51</v>
      </c>
      <c r="Q27" s="578">
        <v>28</v>
      </c>
      <c r="R27" s="23" t="s">
        <v>2883</v>
      </c>
      <c r="S27" s="472">
        <v>426.50282999999996</v>
      </c>
      <c r="T27" s="11">
        <f>+_xlfn.XLOOKUP($Q$1&amp;Q27,CODIGOS_Y_COSTOS[ID],CODIGOS_Y_COSTOS[CODIGO],0,0)</f>
        <v>4305</v>
      </c>
      <c r="U27" s="507">
        <f>+_xlfn.XLOOKUP($Q$1&amp;Q27,CODIGOS_Y_COSTOS[ID],CODIGOS_Y_COSTOS[COSTO],0,0)</f>
        <v>708</v>
      </c>
      <c r="V27" s="26">
        <f t="shared" si="6"/>
        <v>328.40717909999995</v>
      </c>
      <c r="W27" s="455">
        <f t="shared" si="8"/>
        <v>-0.53614805211864414</v>
      </c>
      <c r="Y27" s="46">
        <v>45</v>
      </c>
      <c r="Z27" s="18" t="s">
        <v>18180</v>
      </c>
      <c r="AA27" s="472">
        <v>138.64499999999998</v>
      </c>
      <c r="AB27" s="11">
        <v>3037</v>
      </c>
      <c r="AC27" s="24">
        <v>25.874999999999996</v>
      </c>
      <c r="AD27" s="26"/>
      <c r="AE27" s="455">
        <f t="shared" si="9"/>
        <v>3.1258608695652175</v>
      </c>
      <c r="AG27" s="27">
        <f t="shared" si="10"/>
        <v>106.75664999999999</v>
      </c>
    </row>
    <row r="28" spans="1:33" ht="13.5" thickBot="1" x14ac:dyDescent="0.25">
      <c r="A28" s="101" t="str">
        <f t="shared" si="0"/>
        <v>-</v>
      </c>
      <c r="B28" s="11"/>
      <c r="C28" s="82"/>
      <c r="D28" s="433"/>
      <c r="E28" s="26">
        <f t="shared" si="1"/>
        <v>0</v>
      </c>
      <c r="F28" s="26">
        <f t="shared" si="2"/>
        <v>0</v>
      </c>
      <c r="G28" s="689">
        <v>58</v>
      </c>
      <c r="K28" s="9">
        <f>34*500</f>
        <v>17000</v>
      </c>
      <c r="O28" s="474">
        <f>+SUM(O3:O25)</f>
        <v>81649.999999999985</v>
      </c>
      <c r="Q28" s="578">
        <v>29</v>
      </c>
      <c r="R28" s="23" t="s">
        <v>2885</v>
      </c>
      <c r="S28" s="472">
        <v>497.61230999999992</v>
      </c>
      <c r="T28" s="11">
        <f>+_xlfn.XLOOKUP($Q$1&amp;Q28,CODIGOS_Y_COSTOS[ID],CODIGOS_Y_COSTOS[CODIGO],0,0)</f>
        <v>4306</v>
      </c>
      <c r="U28" s="507">
        <f>+_xlfn.XLOOKUP($Q$1&amp;Q28,CODIGOS_Y_COSTOS[ID],CODIGOS_Y_COSTOS[COSTO],0,0)</f>
        <v>708</v>
      </c>
      <c r="V28" s="26">
        <f t="shared" si="6"/>
        <v>383.16147869999998</v>
      </c>
      <c r="W28" s="455">
        <f t="shared" si="8"/>
        <v>-0.45881147076271189</v>
      </c>
      <c r="Y28" s="46">
        <v>47</v>
      </c>
      <c r="Z28" s="18" t="s">
        <v>3139</v>
      </c>
      <c r="AA28" s="472">
        <v>184.85999999999999</v>
      </c>
      <c r="AB28" s="11">
        <v>3051</v>
      </c>
      <c r="AC28" s="24">
        <v>0</v>
      </c>
      <c r="AD28" s="26"/>
      <c r="AE28" s="455">
        <f t="shared" si="9"/>
        <v>0</v>
      </c>
      <c r="AG28" s="27">
        <f t="shared" si="10"/>
        <v>142.34219999999999</v>
      </c>
    </row>
    <row r="29" spans="1:33" x14ac:dyDescent="0.2">
      <c r="A29" s="101" t="str">
        <f t="shared" si="0"/>
        <v>-</v>
      </c>
      <c r="B29" s="11"/>
      <c r="C29" s="82"/>
      <c r="D29" s="433"/>
      <c r="E29" s="26">
        <f t="shared" si="1"/>
        <v>0</v>
      </c>
      <c r="F29" s="26">
        <f t="shared" si="2"/>
        <v>0</v>
      </c>
      <c r="G29" s="689">
        <v>59</v>
      </c>
      <c r="Q29" s="46">
        <v>36</v>
      </c>
      <c r="R29" s="18" t="s">
        <v>2887</v>
      </c>
      <c r="S29" s="472">
        <v>474.68966999999992</v>
      </c>
      <c r="T29" s="11">
        <f>+_xlfn.XLOOKUP($Q$1&amp;Q29,CODIGOS_Y_COSTOS[ID],CODIGOS_Y_COSTOS[CODIGO],0,0)</f>
        <v>4321</v>
      </c>
      <c r="U29" s="507">
        <f>+_xlfn.XLOOKUP($Q$1&amp;Q29,CODIGOS_Y_COSTOS[ID],CODIGOS_Y_COSTOS[COSTO],0,0)</f>
        <v>542.42150000000004</v>
      </c>
      <c r="V29" s="26">
        <f t="shared" si="6"/>
        <v>365.51104589999994</v>
      </c>
      <c r="W29" s="455">
        <f t="shared" si="8"/>
        <v>-0.3261494135096048</v>
      </c>
      <c r="Y29" s="46">
        <v>48</v>
      </c>
      <c r="Z29" s="18" t="s">
        <v>20345</v>
      </c>
      <c r="AA29" s="472">
        <v>175.61699999999999</v>
      </c>
      <c r="AB29" s="11">
        <v>3052</v>
      </c>
      <c r="AC29" s="24">
        <v>0</v>
      </c>
      <c r="AD29" s="26"/>
      <c r="AE29" s="455">
        <f t="shared" si="9"/>
        <v>0</v>
      </c>
      <c r="AG29" s="27">
        <f t="shared" si="10"/>
        <v>135.22508999999999</v>
      </c>
    </row>
    <row r="30" spans="1:33" x14ac:dyDescent="0.2">
      <c r="A30" s="101" t="str">
        <f t="shared" si="0"/>
        <v>-</v>
      </c>
      <c r="B30" s="11"/>
      <c r="C30" s="82"/>
      <c r="D30" s="433"/>
      <c r="E30" s="26">
        <f t="shared" si="1"/>
        <v>0</v>
      </c>
      <c r="F30" s="26">
        <f t="shared" si="2"/>
        <v>0</v>
      </c>
      <c r="G30" s="689">
        <v>60</v>
      </c>
      <c r="Q30" s="46">
        <v>37</v>
      </c>
      <c r="R30" s="18" t="s">
        <v>2889</v>
      </c>
      <c r="S30" s="472">
        <v>474.68966999999992</v>
      </c>
      <c r="T30" s="11">
        <f>+_xlfn.XLOOKUP($Q$1&amp;Q30,CODIGOS_Y_COSTOS[ID],CODIGOS_Y_COSTOS[CODIGO],0,0)</f>
        <v>4326</v>
      </c>
      <c r="U30" s="507">
        <f>+_xlfn.XLOOKUP($Q$1&amp;Q30,CODIGOS_Y_COSTOS[ID],CODIGOS_Y_COSTOS[COSTO],0,0)</f>
        <v>543.38580000000002</v>
      </c>
      <c r="V30" s="26">
        <f t="shared" si="6"/>
        <v>365.51104589999994</v>
      </c>
      <c r="W30" s="455">
        <f t="shared" si="8"/>
        <v>-0.32734523813467353</v>
      </c>
      <c r="Y30" s="46">
        <v>49</v>
      </c>
      <c r="Z30" s="18" t="s">
        <v>3141</v>
      </c>
      <c r="AA30" s="472">
        <v>360.47699999999998</v>
      </c>
      <c r="AB30" s="11">
        <v>3056</v>
      </c>
      <c r="AC30" s="24">
        <v>0</v>
      </c>
      <c r="AD30" s="26"/>
      <c r="AE30" s="455">
        <f t="shared" si="9"/>
        <v>0</v>
      </c>
      <c r="AG30" s="27">
        <f t="shared" si="10"/>
        <v>277.56729000000001</v>
      </c>
    </row>
    <row r="31" spans="1:33" ht="13.5" thickBot="1" x14ac:dyDescent="0.25">
      <c r="A31" s="101" t="str">
        <f t="shared" si="0"/>
        <v>-</v>
      </c>
      <c r="B31" s="11"/>
      <c r="C31" s="82"/>
      <c r="D31" s="433"/>
      <c r="E31" s="26">
        <f t="shared" si="1"/>
        <v>0</v>
      </c>
      <c r="F31" s="26">
        <f t="shared" si="2"/>
        <v>0</v>
      </c>
      <c r="G31" s="689">
        <v>61</v>
      </c>
      <c r="K31" s="82" t="s">
        <v>20346</v>
      </c>
      <c r="Q31" s="46">
        <v>38</v>
      </c>
      <c r="R31" s="18" t="s">
        <v>2891</v>
      </c>
      <c r="S31" s="472">
        <v>217.45697999999999</v>
      </c>
      <c r="T31" s="11">
        <f>+_xlfn.XLOOKUP($Q$1&amp;Q31,CODIGOS_Y_COSTOS[ID],CODIGOS_Y_COSTOS[CODIGO],0,0)</f>
        <v>4007</v>
      </c>
      <c r="U31" s="507">
        <f>+_xlfn.XLOOKUP($Q$1&amp;Q31,CODIGOS_Y_COSTOS[ID],CODIGOS_Y_COSTOS[COSTO],0,0)</f>
        <v>249.51390000000001</v>
      </c>
      <c r="V31" s="26">
        <f t="shared" si="6"/>
        <v>167.44187460000001</v>
      </c>
      <c r="W31" s="455">
        <f t="shared" si="8"/>
        <v>-0.32892766855874567</v>
      </c>
      <c r="Y31" s="46">
        <v>50</v>
      </c>
      <c r="Z31" s="18" t="s">
        <v>18183</v>
      </c>
      <c r="AA31" s="472">
        <v>184.85999999999999</v>
      </c>
      <c r="AB31" s="11">
        <v>3057</v>
      </c>
      <c r="AC31" s="24">
        <v>0</v>
      </c>
      <c r="AD31" s="26"/>
      <c r="AE31" s="455">
        <f t="shared" si="9"/>
        <v>0</v>
      </c>
      <c r="AG31" s="27">
        <f t="shared" si="10"/>
        <v>142.34219999999999</v>
      </c>
    </row>
    <row r="32" spans="1:33" ht="13.5" thickBot="1" x14ac:dyDescent="0.25">
      <c r="A32" s="101" t="str">
        <f t="shared" si="0"/>
        <v>-</v>
      </c>
      <c r="B32" s="11"/>
      <c r="C32" s="82"/>
      <c r="D32" s="433"/>
      <c r="E32" s="26">
        <f t="shared" si="1"/>
        <v>0</v>
      </c>
      <c r="F32" s="26">
        <f t="shared" si="2"/>
        <v>0</v>
      </c>
      <c r="G32" s="689">
        <v>62</v>
      </c>
      <c r="K32" s="474">
        <f>+F1+O1</f>
        <v>209463.71399999998</v>
      </c>
      <c r="Q32" s="46">
        <v>39</v>
      </c>
      <c r="R32" s="18" t="s">
        <v>2893</v>
      </c>
      <c r="S32" s="472">
        <v>217.45697999999999</v>
      </c>
      <c r="T32" s="11">
        <f>+_xlfn.XLOOKUP($Q$1&amp;Q32,CODIGOS_Y_COSTOS[ID],CODIGOS_Y_COSTOS[CODIGO],0,0)</f>
        <v>4004</v>
      </c>
      <c r="U32" s="507">
        <f>+_xlfn.XLOOKUP($Q$1&amp;Q32,CODIGOS_Y_COSTOS[ID],CODIGOS_Y_COSTOS[COSTO],0,0)</f>
        <v>249.51390000000001</v>
      </c>
      <c r="V32" s="26">
        <f t="shared" si="6"/>
        <v>167.44187460000001</v>
      </c>
      <c r="W32" s="455">
        <f t="shared" si="8"/>
        <v>-0.32892766855874567</v>
      </c>
      <c r="Y32" s="46">
        <v>51</v>
      </c>
      <c r="Z32" s="18" t="s">
        <v>18188</v>
      </c>
      <c r="AA32" s="472">
        <v>184.85999999999999</v>
      </c>
      <c r="AB32" s="11">
        <v>2903</v>
      </c>
      <c r="AC32" s="24">
        <v>0</v>
      </c>
      <c r="AD32" s="26"/>
      <c r="AE32" s="455">
        <f t="shared" si="9"/>
        <v>0</v>
      </c>
      <c r="AG32" s="27">
        <f t="shared" si="10"/>
        <v>142.34219999999999</v>
      </c>
    </row>
    <row r="33" spans="1:33" x14ac:dyDescent="0.2">
      <c r="A33" s="101" t="str">
        <f t="shared" si="0"/>
        <v>-</v>
      </c>
      <c r="B33" s="11"/>
      <c r="C33" s="82"/>
      <c r="D33" s="433"/>
      <c r="E33" s="26">
        <f t="shared" si="1"/>
        <v>0</v>
      </c>
      <c r="F33" s="26">
        <f t="shared" si="2"/>
        <v>0</v>
      </c>
      <c r="G33" s="689">
        <v>63</v>
      </c>
      <c r="Q33" s="46">
        <v>40</v>
      </c>
      <c r="R33" s="18" t="s">
        <v>2895</v>
      </c>
      <c r="S33" s="472">
        <v>234.00194999999999</v>
      </c>
      <c r="T33" s="11">
        <f>+_xlfn.XLOOKUP($Q$1&amp;Q33,CODIGOS_Y_COSTOS[ID],CODIGOS_Y_COSTOS[CODIGO],0,0)</f>
        <v>4041</v>
      </c>
      <c r="U33" s="507">
        <f>+_xlfn.XLOOKUP($Q$1&amp;Q33,CODIGOS_Y_COSTOS[ID],CODIGOS_Y_COSTOS[COSTO],0,0)</f>
        <v>268.52350000000001</v>
      </c>
      <c r="V33" s="26">
        <f t="shared" si="6"/>
        <v>180.1815015</v>
      </c>
      <c r="W33" s="455">
        <f t="shared" si="8"/>
        <v>-0.32899168415427327</v>
      </c>
      <c r="Y33" s="46">
        <v>52</v>
      </c>
      <c r="Z33" s="18" t="s">
        <v>18190</v>
      </c>
      <c r="AA33" s="472">
        <v>231.07499999999999</v>
      </c>
      <c r="AB33" s="11">
        <v>2910</v>
      </c>
      <c r="AC33" s="24">
        <v>0</v>
      </c>
      <c r="AD33" s="26"/>
      <c r="AE33" s="455">
        <f t="shared" si="9"/>
        <v>0</v>
      </c>
      <c r="AG33" s="27">
        <f t="shared" si="10"/>
        <v>177.92775</v>
      </c>
    </row>
    <row r="34" spans="1:33" x14ac:dyDescent="0.2">
      <c r="A34" s="101" t="str">
        <f t="shared" si="0"/>
        <v>-</v>
      </c>
      <c r="B34" s="11"/>
      <c r="C34" s="82"/>
      <c r="D34" s="433"/>
      <c r="E34" s="26">
        <f t="shared" si="1"/>
        <v>0</v>
      </c>
      <c r="F34" s="26">
        <f t="shared" si="2"/>
        <v>0</v>
      </c>
      <c r="G34" s="689">
        <v>64</v>
      </c>
      <c r="Q34" s="46">
        <v>41</v>
      </c>
      <c r="R34" s="18" t="s">
        <v>2897</v>
      </c>
      <c r="S34" s="472">
        <v>243.49142999999998</v>
      </c>
      <c r="T34" s="11">
        <f>+_xlfn.XLOOKUP($Q$1&amp;Q34,CODIGOS_Y_COSTOS[ID],CODIGOS_Y_COSTOS[CODIGO],0,0)</f>
        <v>4009</v>
      </c>
      <c r="U34" s="507">
        <f>+_xlfn.XLOOKUP($Q$1&amp;Q34,CODIGOS_Y_COSTOS[ID],CODIGOS_Y_COSTOS[COSTO],0,0)</f>
        <v>279.45549999999997</v>
      </c>
      <c r="V34" s="26">
        <f t="shared" si="6"/>
        <v>187.48840109999998</v>
      </c>
      <c r="W34" s="455">
        <f t="shared" si="8"/>
        <v>-0.32909389473458206</v>
      </c>
      <c r="Y34" s="46">
        <v>59</v>
      </c>
      <c r="Z34" s="18" t="s">
        <v>20347</v>
      </c>
      <c r="AA34" s="472">
        <v>219.67529999999996</v>
      </c>
      <c r="AB34" s="11">
        <v>4069</v>
      </c>
      <c r="AC34" s="24">
        <v>145.52099999999999</v>
      </c>
      <c r="AD34" s="26"/>
      <c r="AE34" s="455">
        <f t="shared" si="9"/>
        <v>0.1623750592697959</v>
      </c>
      <c r="AG34" s="27">
        <f t="shared" si="10"/>
        <v>169.14998099999997</v>
      </c>
    </row>
    <row r="35" spans="1:33" x14ac:dyDescent="0.2">
      <c r="A35" s="101" t="str">
        <f t="shared" si="0"/>
        <v>-</v>
      </c>
      <c r="B35" s="11"/>
      <c r="C35" s="82"/>
      <c r="D35" s="433"/>
      <c r="E35" s="26">
        <f t="shared" si="1"/>
        <v>0</v>
      </c>
      <c r="F35" s="26">
        <f t="shared" si="2"/>
        <v>0</v>
      </c>
      <c r="G35" s="689">
        <v>67</v>
      </c>
      <c r="Q35" s="46">
        <v>42</v>
      </c>
      <c r="R35" s="18" t="s">
        <v>2899</v>
      </c>
      <c r="S35" s="472">
        <v>263.79521999999997</v>
      </c>
      <c r="T35" s="11">
        <f>+_xlfn.XLOOKUP($Q$1&amp;Q35,CODIGOS_Y_COSTOS[ID],CODIGOS_Y_COSTOS[CODIGO],0,0)</f>
        <v>4012</v>
      </c>
      <c r="U35" s="507">
        <f>+_xlfn.XLOOKUP($Q$1&amp;Q35,CODIGOS_Y_COSTOS[ID],CODIGOS_Y_COSTOS[COSTO],0,0)</f>
        <v>302.74349999999998</v>
      </c>
      <c r="V35" s="26">
        <f t="shared" si="6"/>
        <v>203.12231939999998</v>
      </c>
      <c r="W35" s="455">
        <f t="shared" si="8"/>
        <v>-0.32906133608153443</v>
      </c>
      <c r="Y35" s="46">
        <v>58</v>
      </c>
      <c r="Z35" s="18" t="s">
        <v>20348</v>
      </c>
      <c r="AA35" s="472">
        <v>219.67529999999996</v>
      </c>
      <c r="AB35" s="11">
        <v>4070</v>
      </c>
      <c r="AC35" s="24">
        <v>169.75149999999999</v>
      </c>
      <c r="AD35" s="26"/>
      <c r="AE35" s="455">
        <f t="shared" si="9"/>
        <v>-3.5435268613238646E-3</v>
      </c>
      <c r="AG35" s="27">
        <f t="shared" si="10"/>
        <v>169.14998099999997</v>
      </c>
    </row>
    <row r="36" spans="1:33" x14ac:dyDescent="0.2">
      <c r="A36" s="101" t="str">
        <f t="shared" si="0"/>
        <v>-</v>
      </c>
      <c r="B36" s="11"/>
      <c r="C36" s="82"/>
      <c r="D36" s="433"/>
      <c r="E36" s="26">
        <f t="shared" si="1"/>
        <v>0</v>
      </c>
      <c r="F36" s="26">
        <f t="shared" si="2"/>
        <v>0</v>
      </c>
      <c r="G36" s="689">
        <v>68</v>
      </c>
      <c r="Q36" s="46">
        <v>43</v>
      </c>
      <c r="R36" s="18" t="s">
        <v>2901</v>
      </c>
      <c r="S36" s="472">
        <v>282.58931999999993</v>
      </c>
      <c r="T36" s="11">
        <f>+_xlfn.XLOOKUP($Q$1&amp;Q36,CODIGOS_Y_COSTOS[ID],CODIGOS_Y_COSTOS[CODIGO],0,0)</f>
        <v>4334</v>
      </c>
      <c r="U36" s="507">
        <f>+_xlfn.XLOOKUP($Q$1&amp;Q36,CODIGOS_Y_COSTOS[ID],CODIGOS_Y_COSTOS[COSTO],0,0)</f>
        <v>372.60739999999998</v>
      </c>
      <c r="V36" s="26">
        <f t="shared" si="6"/>
        <v>217.59377639999994</v>
      </c>
      <c r="W36" s="455">
        <f t="shared" si="8"/>
        <v>-0.41602400703797093</v>
      </c>
      <c r="Y36" s="46">
        <v>57</v>
      </c>
      <c r="Z36" s="18" t="s">
        <v>20349</v>
      </c>
      <c r="AA36" s="472">
        <v>219.67529999999996</v>
      </c>
      <c r="AB36" s="11">
        <v>4071</v>
      </c>
      <c r="AC36" s="24">
        <v>169.75149999999999</v>
      </c>
      <c r="AD36" s="26"/>
      <c r="AE36" s="455">
        <f t="shared" si="9"/>
        <v>-3.5435268613238646E-3</v>
      </c>
      <c r="AG36" s="27">
        <f t="shared" si="10"/>
        <v>169.14998099999997</v>
      </c>
    </row>
    <row r="37" spans="1:33" x14ac:dyDescent="0.2">
      <c r="A37" s="101" t="str">
        <f t="shared" si="0"/>
        <v>-</v>
      </c>
      <c r="B37" s="11"/>
      <c r="C37" s="82"/>
      <c r="D37" s="433"/>
      <c r="E37" s="26">
        <f t="shared" si="1"/>
        <v>0</v>
      </c>
      <c r="F37" s="26">
        <f t="shared" si="2"/>
        <v>0</v>
      </c>
      <c r="G37" s="689">
        <v>70</v>
      </c>
      <c r="Q37" s="46">
        <v>44</v>
      </c>
      <c r="R37" s="18" t="s">
        <v>2903</v>
      </c>
      <c r="S37" s="472">
        <v>324.46010999999999</v>
      </c>
      <c r="T37" s="11">
        <f>+_xlfn.XLOOKUP($Q$1&amp;Q37,CODIGOS_Y_COSTOS[ID],CODIGOS_Y_COSTOS[CODIGO],0,0)</f>
        <v>4045</v>
      </c>
      <c r="U37" s="507">
        <f>+_xlfn.XLOOKUP($Q$1&amp;Q37,CODIGOS_Y_COSTOS[ID],CODIGOS_Y_COSTOS[COSTO],0,0)</f>
        <v>372.60739999999998</v>
      </c>
      <c r="V37" s="26">
        <f t="shared" si="6"/>
        <v>249.83428469999998</v>
      </c>
      <c r="W37" s="455">
        <f t="shared" si="8"/>
        <v>-0.3294972544828686</v>
      </c>
      <c r="Y37" s="46">
        <v>56</v>
      </c>
      <c r="Z37" s="18" t="s">
        <v>20350</v>
      </c>
      <c r="AA37" s="472">
        <v>219.67529999999996</v>
      </c>
      <c r="AB37" s="11">
        <v>4072</v>
      </c>
      <c r="AC37" s="24">
        <v>169.75149999999999</v>
      </c>
      <c r="AD37" s="26"/>
      <c r="AE37" s="455">
        <f t="shared" si="9"/>
        <v>-3.5435268613238646E-3</v>
      </c>
      <c r="AG37" s="27">
        <f t="shared" si="10"/>
        <v>169.14998099999997</v>
      </c>
    </row>
    <row r="38" spans="1:33" x14ac:dyDescent="0.2">
      <c r="A38" s="101" t="str">
        <f t="shared" si="0"/>
        <v>-</v>
      </c>
      <c r="B38" s="11"/>
      <c r="C38" s="82"/>
      <c r="D38" s="433"/>
      <c r="E38" s="26">
        <f t="shared" si="1"/>
        <v>0</v>
      </c>
      <c r="F38" s="26">
        <f t="shared" si="2"/>
        <v>0</v>
      </c>
      <c r="G38" s="689">
        <v>72</v>
      </c>
      <c r="Q38" s="46">
        <v>45</v>
      </c>
      <c r="R38" s="18" t="s">
        <v>2905</v>
      </c>
      <c r="S38" s="472">
        <v>332.37827999999996</v>
      </c>
      <c r="T38" s="11">
        <f>+_xlfn.XLOOKUP($Q$1&amp;Q38,CODIGOS_Y_COSTOS[ID],CODIGOS_Y_COSTOS[CODIGO],0,0)</f>
        <v>4343</v>
      </c>
      <c r="U38" s="507">
        <f>+_xlfn.XLOOKUP($Q$1&amp;Q38,CODIGOS_Y_COSTOS[ID],CODIGOS_Y_COSTOS[COSTO],0,0)</f>
        <v>438.5899</v>
      </c>
      <c r="V38" s="26">
        <f t="shared" si="6"/>
        <v>255.93127559999996</v>
      </c>
      <c r="W38" s="455">
        <f t="shared" si="8"/>
        <v>-0.41646792231193663</v>
      </c>
      <c r="Y38" s="46">
        <v>55</v>
      </c>
      <c r="Z38" s="18" t="s">
        <v>20351</v>
      </c>
      <c r="AA38" s="472">
        <v>219.67529999999996</v>
      </c>
      <c r="AB38" s="11">
        <v>4073</v>
      </c>
      <c r="AC38" s="24">
        <v>169.75149999999999</v>
      </c>
      <c r="AD38" s="26"/>
      <c r="AE38" s="455">
        <f t="shared" si="9"/>
        <v>-3.5435268613238646E-3</v>
      </c>
      <c r="AG38" s="27">
        <f t="shared" si="10"/>
        <v>169.14998099999997</v>
      </c>
    </row>
    <row r="39" spans="1:33" x14ac:dyDescent="0.2">
      <c r="A39" s="101" t="str">
        <f t="shared" si="0"/>
        <v>-</v>
      </c>
      <c r="B39" s="11"/>
      <c r="C39" s="82"/>
      <c r="D39" s="433"/>
      <c r="E39" s="26">
        <f t="shared" si="1"/>
        <v>0</v>
      </c>
      <c r="F39" s="26">
        <f t="shared" si="2"/>
        <v>0</v>
      </c>
      <c r="G39" s="689">
        <v>75</v>
      </c>
      <c r="Q39" s="46">
        <v>46</v>
      </c>
      <c r="R39" s="18" t="s">
        <v>2907</v>
      </c>
      <c r="S39" s="472">
        <v>345.01037999999994</v>
      </c>
      <c r="T39" s="11">
        <f>+_xlfn.XLOOKUP($Q$1&amp;Q39,CODIGOS_Y_COSTOS[ID],CODIGOS_Y_COSTOS[CODIGO],0,0)</f>
        <v>4044</v>
      </c>
      <c r="U39" s="507">
        <f>+_xlfn.XLOOKUP($Q$1&amp;Q39,CODIGOS_Y_COSTOS[ID],CODIGOS_Y_COSTOS[COSTO],0,0)</f>
        <v>395.89530000000002</v>
      </c>
      <c r="V39" s="26">
        <f t="shared" si="6"/>
        <v>265.65799259999994</v>
      </c>
      <c r="W39" s="455">
        <f t="shared" si="8"/>
        <v>-0.32896906682145521</v>
      </c>
      <c r="Y39" s="46">
        <v>54</v>
      </c>
      <c r="Z39" s="18" t="s">
        <v>20352</v>
      </c>
      <c r="AA39" s="472">
        <v>219.67529999999996</v>
      </c>
      <c r="AB39" s="11">
        <v>4074</v>
      </c>
      <c r="AC39" s="24">
        <v>112.36649999999999</v>
      </c>
      <c r="AD39" s="26"/>
      <c r="AE39" s="455">
        <f t="shared" si="9"/>
        <v>0.50534172551427692</v>
      </c>
      <c r="AG39" s="27">
        <f t="shared" si="10"/>
        <v>169.14998099999997</v>
      </c>
    </row>
    <row r="40" spans="1:33" ht="13.5" thickBot="1" x14ac:dyDescent="0.25">
      <c r="A40" s="101" t="str">
        <f t="shared" si="0"/>
        <v>-</v>
      </c>
      <c r="B40" s="11"/>
      <c r="C40" s="82"/>
      <c r="D40" s="433"/>
      <c r="E40" s="26">
        <f t="shared" si="1"/>
        <v>0</v>
      </c>
      <c r="F40" s="26">
        <f t="shared" si="2"/>
        <v>0</v>
      </c>
      <c r="G40" s="689">
        <v>76</v>
      </c>
      <c r="Q40" s="46">
        <v>47</v>
      </c>
      <c r="R40" s="18" t="s">
        <v>2909</v>
      </c>
      <c r="S40" s="472">
        <v>365.31416999999993</v>
      </c>
      <c r="T40" s="11">
        <f>+_xlfn.XLOOKUP($Q$1&amp;Q40,CODIGOS_Y_COSTOS[ID],CODIGOS_Y_COSTOS[CODIGO],0,0)</f>
        <v>4016</v>
      </c>
      <c r="U40" s="507">
        <f>+_xlfn.XLOOKUP($Q$1&amp;Q40,CODIGOS_Y_COSTOS[ID],CODIGOS_Y_COSTOS[COSTO],0,0)</f>
        <v>419.18329999999997</v>
      </c>
      <c r="V40" s="26">
        <f>+(1-$V$1)*S40</f>
        <v>281.29191089999995</v>
      </c>
      <c r="W40" s="455">
        <f t="shared" si="8"/>
        <v>-0.32895248713391023</v>
      </c>
      <c r="Y40" s="47">
        <v>53</v>
      </c>
      <c r="Z40" s="21" t="s">
        <v>20353</v>
      </c>
      <c r="AA40" s="475">
        <v>219.67529999999996</v>
      </c>
      <c r="AB40" s="12">
        <v>4075</v>
      </c>
      <c r="AC40" s="25">
        <v>112.36649999999999</v>
      </c>
      <c r="AD40" s="26"/>
      <c r="AE40" s="455">
        <f t="shared" si="9"/>
        <v>0.50534172551427692</v>
      </c>
      <c r="AG40" s="27">
        <f t="shared" si="10"/>
        <v>169.14998099999997</v>
      </c>
    </row>
    <row r="41" spans="1:33" x14ac:dyDescent="0.2">
      <c r="A41" s="101" t="str">
        <f t="shared" si="0"/>
        <v>-</v>
      </c>
      <c r="B41" s="11"/>
      <c r="C41" s="82"/>
      <c r="D41" s="433"/>
      <c r="E41" s="26">
        <f t="shared" si="1"/>
        <v>0</v>
      </c>
      <c r="F41" s="26">
        <f t="shared" si="2"/>
        <v>0</v>
      </c>
      <c r="G41" s="689">
        <v>77</v>
      </c>
      <c r="Q41" s="46">
        <v>48</v>
      </c>
      <c r="R41" s="18" t="s">
        <v>2911</v>
      </c>
      <c r="S41" s="472">
        <v>373.38638999999995</v>
      </c>
      <c r="T41" s="11">
        <f>+_xlfn.XLOOKUP($Q$1&amp;Q41,CODIGOS_Y_COSTOS[ID],CODIGOS_Y_COSTOS[CODIGO],0,0)</f>
        <v>4017</v>
      </c>
      <c r="U41" s="507">
        <f>+_xlfn.XLOOKUP($Q$1&amp;Q41,CODIGOS_Y_COSTOS[ID],CODIGOS_Y_COSTOS[COSTO],0,0)</f>
        <v>428.49849999999998</v>
      </c>
      <c r="V41" s="26">
        <f t="shared" ref="V41:V70" si="11">+(1-$V$1)*S41</f>
        <v>287.50752029999995</v>
      </c>
      <c r="W41" s="455">
        <f t="shared" si="8"/>
        <v>-0.32903494341287087</v>
      </c>
      <c r="AB41" s="9"/>
    </row>
    <row r="42" spans="1:33" x14ac:dyDescent="0.2">
      <c r="D42" s="9"/>
      <c r="E42" s="9"/>
      <c r="F42" s="9"/>
      <c r="Q42" s="46">
        <v>49</v>
      </c>
      <c r="R42" s="18" t="s">
        <v>2913</v>
      </c>
      <c r="S42" s="472">
        <v>427.21145999999999</v>
      </c>
      <c r="T42" s="11">
        <f>+_xlfn.XLOOKUP($Q$1&amp;Q42,CODIGOS_Y_COSTOS[ID],CODIGOS_Y_COSTOS[CODIGO],0,0)</f>
        <v>4353</v>
      </c>
      <c r="U42" s="507">
        <f>+_xlfn.XLOOKUP($Q$1&amp;Q42,CODIGOS_Y_COSTOS[ID],CODIGOS_Y_COSTOS[COSTO],0,0)</f>
        <v>591.90239999999994</v>
      </c>
      <c r="V42" s="26">
        <f t="shared" si="11"/>
        <v>328.95282420000001</v>
      </c>
      <c r="W42" s="455">
        <f t="shared" si="8"/>
        <v>-0.44424482110564167</v>
      </c>
      <c r="AB42" s="9"/>
    </row>
    <row r="43" spans="1:33" x14ac:dyDescent="0.2">
      <c r="E43" s="9"/>
      <c r="F43" s="9"/>
      <c r="J43" s="9">
        <v>2903</v>
      </c>
      <c r="K43" s="9">
        <v>50</v>
      </c>
      <c r="M43" s="9">
        <v>51</v>
      </c>
      <c r="Q43" s="46">
        <v>50</v>
      </c>
      <c r="R43" s="18" t="s">
        <v>2915</v>
      </c>
      <c r="S43" s="472">
        <v>383.76935999999995</v>
      </c>
      <c r="T43" s="11">
        <f>+_xlfn.XLOOKUP($Q$1&amp;Q43,CODIGOS_Y_COSTOS[ID],CODIGOS_Y_COSTOS[CODIGO],0,0)</f>
        <v>4020</v>
      </c>
      <c r="U43" s="507">
        <f>+_xlfn.XLOOKUP($Q$1&amp;Q43,CODIGOS_Y_COSTOS[ID],CODIGOS_Y_COSTOS[COSTO],0,0)</f>
        <v>466.47120000000001</v>
      </c>
      <c r="V43" s="26">
        <f t="shared" si="11"/>
        <v>295.50240719999999</v>
      </c>
      <c r="W43" s="455">
        <f t="shared" si="8"/>
        <v>-0.36651521637348672</v>
      </c>
    </row>
    <row r="44" spans="1:33" x14ac:dyDescent="0.2">
      <c r="E44" s="9"/>
      <c r="F44" s="9"/>
      <c r="J44" s="9">
        <v>3004</v>
      </c>
      <c r="K44" s="9">
        <v>50</v>
      </c>
      <c r="L44" s="9">
        <v>65.790000000000006</v>
      </c>
      <c r="M44" s="9">
        <v>31</v>
      </c>
      <c r="Q44" s="46">
        <v>51</v>
      </c>
      <c r="R44" s="18" t="s">
        <v>2917</v>
      </c>
      <c r="S44" s="472">
        <v>385.80281999999994</v>
      </c>
      <c r="T44" s="11">
        <f>+_xlfn.XLOOKUP($Q$1&amp;Q44,CODIGOS_Y_COSTOS[ID],CODIGOS_Y_COSTOS[CODIGO],0,0)</f>
        <v>4019</v>
      </c>
      <c r="U44" s="507">
        <f>+_xlfn.XLOOKUP($Q$1&amp;Q44,CODIGOS_Y_COSTOS[ID],CODIGOS_Y_COSTOS[COSTO],0,0)</f>
        <v>473.59109999999998</v>
      </c>
      <c r="V44" s="26">
        <f t="shared" si="11"/>
        <v>297.06817139999998</v>
      </c>
      <c r="W44" s="455">
        <f t="shared" si="8"/>
        <v>-0.37273278277400057</v>
      </c>
    </row>
    <row r="45" spans="1:33" x14ac:dyDescent="0.2">
      <c r="J45" s="9">
        <v>3010</v>
      </c>
      <c r="K45" s="9">
        <v>100</v>
      </c>
      <c r="L45" s="9">
        <v>98.69</v>
      </c>
      <c r="M45" s="9">
        <v>15</v>
      </c>
      <c r="Q45" s="46">
        <v>52</v>
      </c>
      <c r="R45" s="18" t="s">
        <v>2919</v>
      </c>
      <c r="S45" s="472">
        <v>393.87503999999996</v>
      </c>
      <c r="T45" s="11">
        <f>+_xlfn.XLOOKUP($Q$1&amp;Q45,CODIGOS_Y_COSTOS[ID],CODIGOS_Y_COSTOS[CODIGO],0,0)</f>
        <v>4023</v>
      </c>
      <c r="U45" s="507">
        <f>+_xlfn.XLOOKUP($Q$1&amp;Q45,CODIGOS_Y_COSTOS[ID],CODIGOS_Y_COSTOS[COSTO],0,0)</f>
        <v>492.55110000000002</v>
      </c>
      <c r="V45" s="26">
        <f t="shared" si="11"/>
        <v>303.28378079999999</v>
      </c>
      <c r="W45" s="455">
        <f t="shared" si="8"/>
        <v>-0.38425925594319055</v>
      </c>
    </row>
    <row r="46" spans="1:33" x14ac:dyDescent="0.2">
      <c r="J46" s="9">
        <v>3011</v>
      </c>
      <c r="K46" s="9">
        <v>50</v>
      </c>
      <c r="M46" s="9">
        <v>40</v>
      </c>
      <c r="Q46" s="46">
        <v>53</v>
      </c>
      <c r="R46" s="513" t="s">
        <v>2921</v>
      </c>
      <c r="S46" s="514">
        <v>1000</v>
      </c>
      <c r="T46" s="11">
        <f>+_xlfn.XLOOKUP($Q$1&amp;Q46,CODIGOS_Y_COSTOS[ID],CODIGOS_Y_COSTOS[CODIGO],0,0)</f>
        <v>4309</v>
      </c>
      <c r="U46" s="507">
        <f>+_xlfn.XLOOKUP($Q$1&amp;Q46,CODIGOS_Y_COSTOS[ID],CODIGOS_Y_COSTOS[COSTO],0,0)</f>
        <v>1948.7538999999999</v>
      </c>
      <c r="V46" s="26">
        <f t="shared" si="11"/>
        <v>770</v>
      </c>
      <c r="W46" s="455">
        <f t="shared" si="8"/>
        <v>-0.60487571057587108</v>
      </c>
    </row>
    <row r="47" spans="1:33" x14ac:dyDescent="0.2">
      <c r="J47" s="9">
        <v>3012</v>
      </c>
      <c r="K47" s="9">
        <v>50</v>
      </c>
      <c r="M47" s="9">
        <v>41</v>
      </c>
      <c r="Q47" s="46">
        <v>54</v>
      </c>
      <c r="R47" s="513" t="s">
        <v>2853</v>
      </c>
      <c r="S47" s="514">
        <v>1000</v>
      </c>
      <c r="T47" s="11">
        <f>+_xlfn.XLOOKUP($Q$1&amp;Q47,CODIGOS_Y_COSTOS[ID],CODIGOS_Y_COSTOS[CODIGO],0,0)</f>
        <v>4310</v>
      </c>
      <c r="U47" s="507">
        <f>+_xlfn.XLOOKUP($Q$1&amp;Q47,CODIGOS_Y_COSTOS[ID],CODIGOS_Y_COSTOS[COSTO],0,0)</f>
        <v>1948.7538999999999</v>
      </c>
      <c r="V47" s="26">
        <f t="shared" si="11"/>
        <v>770</v>
      </c>
      <c r="W47" s="455">
        <f t="shared" si="8"/>
        <v>-0.60487571057587108</v>
      </c>
    </row>
    <row r="48" spans="1:33" x14ac:dyDescent="0.2">
      <c r="J48" s="9">
        <v>3015</v>
      </c>
      <c r="K48" s="9">
        <v>50</v>
      </c>
      <c r="M48" s="9">
        <v>13</v>
      </c>
      <c r="Q48" s="46">
        <v>55</v>
      </c>
      <c r="R48" s="513" t="s">
        <v>2855</v>
      </c>
      <c r="S48" s="514">
        <v>1000</v>
      </c>
      <c r="T48" s="11">
        <f>+_xlfn.XLOOKUP($Q$1&amp;Q48,CODIGOS_Y_COSTOS[ID],CODIGOS_Y_COSTOS[CODIGO],0,0)</f>
        <v>4311</v>
      </c>
      <c r="U48" s="507">
        <f>+_xlfn.XLOOKUP($Q$1&amp;Q48,CODIGOS_Y_COSTOS[ID],CODIGOS_Y_COSTOS[COSTO],0,0)</f>
        <v>1948.7538999999999</v>
      </c>
      <c r="V48" s="26">
        <f t="shared" si="11"/>
        <v>770</v>
      </c>
      <c r="W48" s="455">
        <f t="shared" si="8"/>
        <v>-0.60487571057587108</v>
      </c>
    </row>
    <row r="49" spans="2:23" x14ac:dyDescent="0.2">
      <c r="D49" s="9"/>
      <c r="J49" s="9">
        <v>3016</v>
      </c>
      <c r="K49" s="9">
        <v>50</v>
      </c>
      <c r="M49" s="9">
        <v>19</v>
      </c>
      <c r="Q49" s="46">
        <v>56</v>
      </c>
      <c r="R49" s="513" t="s">
        <v>2857</v>
      </c>
      <c r="S49" s="514">
        <v>1000</v>
      </c>
      <c r="T49" s="11">
        <f>+_xlfn.XLOOKUP($Q$1&amp;Q49,CODIGOS_Y_COSTOS[ID],CODIGOS_Y_COSTOS[CODIGO],0,0)</f>
        <v>4312</v>
      </c>
      <c r="U49" s="507">
        <f>+_xlfn.XLOOKUP($Q$1&amp;Q49,CODIGOS_Y_COSTOS[ID],CODIGOS_Y_COSTOS[COSTO],0,0)</f>
        <v>1948.7538999999999</v>
      </c>
      <c r="V49" s="26">
        <f t="shared" si="11"/>
        <v>770</v>
      </c>
      <c r="W49" s="455">
        <f t="shared" si="8"/>
        <v>-0.60487571057587108</v>
      </c>
    </row>
    <row r="50" spans="2:23" x14ac:dyDescent="0.2">
      <c r="J50" s="9">
        <v>3017</v>
      </c>
      <c r="K50" s="9">
        <v>50</v>
      </c>
      <c r="M50" s="9">
        <v>43</v>
      </c>
      <c r="Q50" s="46">
        <v>57</v>
      </c>
      <c r="R50" s="513" t="s">
        <v>2859</v>
      </c>
      <c r="S50" s="514">
        <v>1000</v>
      </c>
      <c r="T50" s="11">
        <f>+_xlfn.XLOOKUP($Q$1&amp;Q50,CODIGOS_Y_COSTOS[ID],CODIGOS_Y_COSTOS[CODIGO],0,0)</f>
        <v>4313</v>
      </c>
      <c r="U50" s="507">
        <f>+_xlfn.XLOOKUP($Q$1&amp;Q50,CODIGOS_Y_COSTOS[ID],CODIGOS_Y_COSTOS[COSTO],0,0)</f>
        <v>1948.7538999999999</v>
      </c>
      <c r="V50" s="26">
        <f t="shared" si="11"/>
        <v>770</v>
      </c>
      <c r="W50" s="455">
        <f t="shared" si="8"/>
        <v>-0.60487571057587108</v>
      </c>
    </row>
    <row r="51" spans="2:23" x14ac:dyDescent="0.2">
      <c r="B51" s="82" t="s">
        <v>20354</v>
      </c>
      <c r="J51" s="9">
        <v>3034</v>
      </c>
      <c r="K51" s="9">
        <v>50</v>
      </c>
      <c r="M51" s="9">
        <v>17</v>
      </c>
      <c r="Q51" s="46">
        <v>58</v>
      </c>
      <c r="R51" s="18" t="s">
        <v>2927</v>
      </c>
      <c r="S51" s="472">
        <v>217.45697999999999</v>
      </c>
      <c r="T51" s="11">
        <f>+_xlfn.XLOOKUP($Q$1&amp;Q51,CODIGOS_Y_COSTOS[ID],CODIGOS_Y_COSTOS[CODIGO],0,0)</f>
        <v>4034</v>
      </c>
      <c r="U51" s="507">
        <f>+_xlfn.XLOOKUP($Q$1&amp;Q51,CODIGOS_Y_COSTOS[ID],CODIGOS_Y_COSTOS[COSTO],0,0)</f>
        <v>0</v>
      </c>
      <c r="V51" s="26">
        <f t="shared" si="11"/>
        <v>167.44187460000001</v>
      </c>
      <c r="W51" s="455">
        <f t="shared" si="8"/>
        <v>0</v>
      </c>
    </row>
    <row r="52" spans="2:23" x14ac:dyDescent="0.2">
      <c r="J52" s="9">
        <v>3035</v>
      </c>
      <c r="K52" s="9">
        <v>50</v>
      </c>
      <c r="M52" s="9">
        <v>14</v>
      </c>
      <c r="Q52" s="46">
        <v>59</v>
      </c>
      <c r="R52" s="18" t="s">
        <v>2929</v>
      </c>
      <c r="S52" s="472">
        <v>235.51163999999997</v>
      </c>
      <c r="T52" s="11">
        <f>+_xlfn.XLOOKUP($Q$1&amp;Q52,CODIGOS_Y_COSTOS[ID],CODIGOS_Y_COSTOS[CODIGO],0,0)</f>
        <v>4035</v>
      </c>
      <c r="U52" s="507">
        <f>+_xlfn.XLOOKUP($Q$1&amp;Q52,CODIGOS_Y_COSTOS[ID],CODIGOS_Y_COSTOS[COSTO],0,0)</f>
        <v>0</v>
      </c>
      <c r="V52" s="26">
        <f t="shared" si="11"/>
        <v>181.34396279999999</v>
      </c>
      <c r="W52" s="455">
        <f t="shared" si="8"/>
        <v>0</v>
      </c>
    </row>
    <row r="53" spans="2:23" x14ac:dyDescent="0.2">
      <c r="J53" s="9">
        <v>3042</v>
      </c>
      <c r="K53" s="9">
        <v>50</v>
      </c>
      <c r="M53" s="9">
        <v>37</v>
      </c>
      <c r="Q53" s="46">
        <v>60</v>
      </c>
      <c r="R53" s="18" t="s">
        <v>2931</v>
      </c>
      <c r="S53" s="472">
        <v>217.45697999999999</v>
      </c>
      <c r="T53" s="11">
        <f>+_xlfn.XLOOKUP($Q$1&amp;Q53,CODIGOS_Y_COSTOS[ID],CODIGOS_Y_COSTOS[CODIGO],0,0)</f>
        <v>4086</v>
      </c>
      <c r="U53" s="507">
        <f>+_xlfn.XLOOKUP($Q$1&amp;Q53,CODIGOS_Y_COSTOS[ID],CODIGOS_Y_COSTOS[COSTO],0,0)</f>
        <v>214.404</v>
      </c>
      <c r="V53" s="26">
        <f t="shared" si="11"/>
        <v>167.44187460000001</v>
      </c>
      <c r="W53" s="455">
        <f t="shared" si="8"/>
        <v>-0.2190356775060166</v>
      </c>
    </row>
    <row r="54" spans="2:23" x14ac:dyDescent="0.2">
      <c r="J54" s="9">
        <v>3046</v>
      </c>
      <c r="K54" s="9">
        <v>100</v>
      </c>
      <c r="M54" s="9">
        <v>11</v>
      </c>
      <c r="Q54" s="46">
        <v>61</v>
      </c>
      <c r="R54" s="1094" t="s">
        <v>2933</v>
      </c>
      <c r="S54" s="472">
        <v>217.45697999999999</v>
      </c>
      <c r="T54" s="11">
        <f>+_xlfn.XLOOKUP($Q$1&amp;Q54,CODIGOS_Y_COSTOS[ID],CODIGOS_Y_COSTOS[CODIGO],0,0)</f>
        <v>4085</v>
      </c>
      <c r="U54" s="507">
        <f>+_xlfn.XLOOKUP($Q$1&amp;Q54,CODIGOS_Y_COSTOS[ID],CODIGOS_Y_COSTOS[COSTO],0,0)</f>
        <v>214.404</v>
      </c>
      <c r="V54" s="26">
        <f t="shared" si="11"/>
        <v>167.44187460000001</v>
      </c>
      <c r="W54" s="455">
        <f t="shared" si="8"/>
        <v>-0.2190356775060166</v>
      </c>
    </row>
    <row r="55" spans="2:23" x14ac:dyDescent="0.2">
      <c r="J55" s="9">
        <v>3056</v>
      </c>
      <c r="K55" s="9">
        <v>50</v>
      </c>
      <c r="M55" s="9">
        <v>49</v>
      </c>
      <c r="Q55" s="46">
        <v>62</v>
      </c>
      <c r="R55" s="18" t="s">
        <v>2935</v>
      </c>
      <c r="S55" s="472">
        <v>217.45697999999999</v>
      </c>
      <c r="T55" s="11">
        <f>+_xlfn.XLOOKUP($Q$1&amp;Q55,CODIGOS_Y_COSTOS[ID],CODIGOS_Y_COSTOS[CODIGO],0,0)</f>
        <v>4084</v>
      </c>
      <c r="U55" s="507">
        <f>+_xlfn.XLOOKUP($Q$1&amp;Q55,CODIGOS_Y_COSTOS[ID],CODIGOS_Y_COSTOS[COSTO],0,0)</f>
        <v>214.404</v>
      </c>
      <c r="V55" s="26">
        <f t="shared" si="11"/>
        <v>167.44187460000001</v>
      </c>
      <c r="W55" s="455">
        <f t="shared" si="8"/>
        <v>-0.2190356775060166</v>
      </c>
    </row>
    <row r="56" spans="2:23" x14ac:dyDescent="0.2">
      <c r="J56" s="9">
        <v>3057</v>
      </c>
      <c r="K56" s="9">
        <v>100</v>
      </c>
      <c r="M56" s="9">
        <v>50</v>
      </c>
      <c r="Q56" s="46">
        <v>63</v>
      </c>
      <c r="R56" s="1094" t="s">
        <v>2937</v>
      </c>
      <c r="S56" s="472">
        <v>235.51163999999997</v>
      </c>
      <c r="T56" s="11">
        <f>+_xlfn.XLOOKUP($Q$1&amp;Q56,CODIGOS_Y_COSTOS[ID],CODIGOS_Y_COSTOS[CODIGO],0,0)</f>
        <v>4082</v>
      </c>
      <c r="U56" s="507">
        <f>+_xlfn.XLOOKUP($Q$1&amp;Q56,CODIGOS_Y_COSTOS[ID],CODIGOS_Y_COSTOS[COSTO],0,0)</f>
        <v>232.27099999999999</v>
      </c>
      <c r="V56" s="26">
        <f t="shared" si="11"/>
        <v>181.34396279999999</v>
      </c>
      <c r="W56" s="455">
        <f t="shared" si="8"/>
        <v>-0.21925697654894505</v>
      </c>
    </row>
    <row r="57" spans="2:23" x14ac:dyDescent="0.2">
      <c r="J57" s="9">
        <v>3061</v>
      </c>
      <c r="K57" s="9">
        <v>50</v>
      </c>
      <c r="M57" s="9">
        <v>10</v>
      </c>
      <c r="Q57" s="46">
        <v>64</v>
      </c>
      <c r="R57" s="18" t="s">
        <v>2939</v>
      </c>
      <c r="S57" s="472">
        <v>235.51163999999997</v>
      </c>
      <c r="T57" s="11">
        <f>+_xlfn.XLOOKUP($Q$1&amp;Q57,CODIGOS_Y_COSTOS[ID],CODIGOS_Y_COSTOS[CODIGO],0,0)</f>
        <v>4081</v>
      </c>
      <c r="U57" s="507">
        <f>+_xlfn.XLOOKUP($Q$1&amp;Q57,CODIGOS_Y_COSTOS[ID],CODIGOS_Y_COSTOS[COSTO],0,0)</f>
        <v>232.27099999999999</v>
      </c>
      <c r="V57" s="26">
        <f t="shared" si="11"/>
        <v>181.34396279999999</v>
      </c>
      <c r="W57" s="455">
        <f t="shared" si="8"/>
        <v>-0.21925697654894505</v>
      </c>
    </row>
    <row r="58" spans="2:23" x14ac:dyDescent="0.2">
      <c r="J58" s="9">
        <v>3062</v>
      </c>
      <c r="K58" s="9">
        <v>50</v>
      </c>
      <c r="M58" s="9">
        <v>8</v>
      </c>
      <c r="Q58" s="46">
        <v>65</v>
      </c>
      <c r="R58" s="18" t="s">
        <v>2941</v>
      </c>
      <c r="S58" s="472">
        <v>235.51163999999997</v>
      </c>
      <c r="T58" s="11">
        <f>+_xlfn.XLOOKUP($Q$1&amp;Q58,CODIGOS_Y_COSTOS[ID],CODIGOS_Y_COSTOS[CODIGO],0,0)</f>
        <v>4080</v>
      </c>
      <c r="U58" s="507">
        <f>+_xlfn.XLOOKUP($Q$1&amp;Q58,CODIGOS_Y_COSTOS[ID],CODIGOS_Y_COSTOS[COSTO],0,0)</f>
        <v>232.27099999999999</v>
      </c>
      <c r="V58" s="26">
        <f t="shared" si="11"/>
        <v>181.34396279999999</v>
      </c>
      <c r="W58" s="455">
        <f t="shared" si="8"/>
        <v>-0.21925697654894505</v>
      </c>
    </row>
    <row r="59" spans="2:23" x14ac:dyDescent="0.2">
      <c r="J59" s="9">
        <v>3064</v>
      </c>
      <c r="K59" s="9">
        <v>50</v>
      </c>
      <c r="M59" s="9">
        <v>6</v>
      </c>
      <c r="Q59" s="46">
        <v>66</v>
      </c>
      <c r="R59" s="18" t="s">
        <v>2943</v>
      </c>
      <c r="S59" s="472">
        <v>235.51163999999997</v>
      </c>
      <c r="T59" s="11">
        <f>+_xlfn.XLOOKUP($Q$1&amp;Q59,CODIGOS_Y_COSTOS[ID],CODIGOS_Y_COSTOS[CODIGO],0,0)</f>
        <v>4079</v>
      </c>
      <c r="U59" s="507">
        <f>+_xlfn.XLOOKUP($Q$1&amp;Q59,CODIGOS_Y_COSTOS[ID],CODIGOS_Y_COSTOS[COSTO],0,0)</f>
        <v>232.27099999999999</v>
      </c>
      <c r="V59" s="26">
        <f t="shared" si="11"/>
        <v>181.34396279999999</v>
      </c>
      <c r="W59" s="455">
        <f t="shared" si="8"/>
        <v>-0.21925697654894505</v>
      </c>
    </row>
    <row r="60" spans="2:23" x14ac:dyDescent="0.2">
      <c r="J60" s="9">
        <v>3065</v>
      </c>
      <c r="K60" s="9">
        <v>50</v>
      </c>
      <c r="M60" s="9">
        <v>7</v>
      </c>
      <c r="Q60" s="46">
        <v>67</v>
      </c>
      <c r="R60" s="18" t="s">
        <v>2945</v>
      </c>
      <c r="S60" s="472">
        <v>235.51163999999997</v>
      </c>
      <c r="T60" s="11">
        <f>+_xlfn.XLOOKUP($Q$1&amp;Q60,CODIGOS_Y_COSTOS[ID],CODIGOS_Y_COSTOS[CODIGO],0,0)</f>
        <v>4093</v>
      </c>
      <c r="U60" s="507">
        <f>+_xlfn.XLOOKUP($Q$1&amp;Q60,CODIGOS_Y_COSTOS[ID],CODIGOS_Y_COSTOS[COSTO],0,0)</f>
        <v>232.27099999999999</v>
      </c>
      <c r="V60" s="26">
        <f t="shared" si="11"/>
        <v>181.34396279999999</v>
      </c>
      <c r="W60" s="455">
        <f t="shared" si="8"/>
        <v>-0.21925697654894505</v>
      </c>
    </row>
    <row r="61" spans="2:23" x14ac:dyDescent="0.2">
      <c r="J61" s="9">
        <v>3069</v>
      </c>
      <c r="K61" s="9">
        <v>100</v>
      </c>
      <c r="M61" s="9">
        <v>21</v>
      </c>
      <c r="Q61" s="46">
        <v>68</v>
      </c>
      <c r="R61" s="18" t="s">
        <v>2947</v>
      </c>
      <c r="S61" s="472">
        <v>235.51163999999997</v>
      </c>
      <c r="T61" s="11">
        <f>+_xlfn.XLOOKUP($Q$1&amp;Q61,CODIGOS_Y_COSTOS[ID],CODIGOS_Y_COSTOS[CODIGO],0,0)</f>
        <v>4092</v>
      </c>
      <c r="U61" s="507">
        <f>+_xlfn.XLOOKUP($Q$1&amp;Q61,CODIGOS_Y_COSTOS[ID],CODIGOS_Y_COSTOS[COSTO],0,0)</f>
        <v>232.27099999999999</v>
      </c>
      <c r="V61" s="26">
        <f t="shared" si="11"/>
        <v>181.34396279999999</v>
      </c>
      <c r="W61" s="455">
        <f t="shared" si="8"/>
        <v>-0.21925697654894505</v>
      </c>
    </row>
    <row r="62" spans="2:23" x14ac:dyDescent="0.2">
      <c r="D62" s="9"/>
      <c r="J62" s="9" t="s">
        <v>4463</v>
      </c>
      <c r="Q62" s="46">
        <v>69</v>
      </c>
      <c r="R62" s="18" t="s">
        <v>2949</v>
      </c>
      <c r="S62" s="472">
        <v>242.78279999999995</v>
      </c>
      <c r="T62" s="11">
        <f>+_xlfn.XLOOKUP($Q$1&amp;Q62,CODIGOS_Y_COSTOS[ID],CODIGOS_Y_COSTOS[CODIGO],0,0)</f>
        <v>4098</v>
      </c>
      <c r="U62" s="507">
        <f>+_xlfn.XLOOKUP($Q$1&amp;Q62,CODIGOS_Y_COSTOS[ID],CODIGOS_Y_COSTOS[COSTO],0,0)</f>
        <v>239.4178</v>
      </c>
      <c r="V62" s="26">
        <f t="shared" si="11"/>
        <v>186.94275599999997</v>
      </c>
      <c r="W62" s="455">
        <f t="shared" si="8"/>
        <v>-0.2191777052499857</v>
      </c>
    </row>
    <row r="63" spans="2:23" x14ac:dyDescent="0.2">
      <c r="J63" s="9" t="s">
        <v>4463</v>
      </c>
      <c r="Q63" s="46">
        <v>70</v>
      </c>
      <c r="R63" s="18" t="s">
        <v>2951</v>
      </c>
      <c r="S63" s="472">
        <v>242.78279999999995</v>
      </c>
      <c r="T63" s="11">
        <f>+_xlfn.XLOOKUP($Q$1&amp;Q63,CODIGOS_Y_COSTOS[ID],CODIGOS_Y_COSTOS[CODIGO],0,0)</f>
        <v>4097</v>
      </c>
      <c r="U63" s="507">
        <f>+_xlfn.XLOOKUP($Q$1&amp;Q63,CODIGOS_Y_COSTOS[ID],CODIGOS_Y_COSTOS[COSTO],0,0)</f>
        <v>239.4178</v>
      </c>
      <c r="V63" s="26">
        <f t="shared" si="11"/>
        <v>186.94275599999997</v>
      </c>
      <c r="W63" s="455">
        <f t="shared" si="8"/>
        <v>-0.2191777052499857</v>
      </c>
    </row>
    <row r="64" spans="2:23" x14ac:dyDescent="0.2">
      <c r="J64" s="9" t="s">
        <v>4463</v>
      </c>
      <c r="Q64" s="46">
        <v>71</v>
      </c>
      <c r="R64" s="18" t="s">
        <v>2953</v>
      </c>
      <c r="S64" s="472">
        <v>262.80929999999995</v>
      </c>
      <c r="T64" s="11">
        <f>+_xlfn.XLOOKUP($Q$1&amp;Q64,CODIGOS_Y_COSTOS[ID],CODIGOS_Y_COSTOS[CODIGO],0,0)</f>
        <v>4063</v>
      </c>
      <c r="U64" s="507">
        <f>+_xlfn.XLOOKUP($Q$1&amp;Q64,CODIGOS_Y_COSTOS[ID],CODIGOS_Y_COSTOS[COSTO],0,0)</f>
        <v>335.52510000000001</v>
      </c>
      <c r="V64" s="26">
        <f t="shared" si="11"/>
        <v>202.36316099999996</v>
      </c>
      <c r="W64" s="455">
        <f t="shared" si="8"/>
        <v>-0.39687623668095184</v>
      </c>
    </row>
    <row r="65" spans="10:23" x14ac:dyDescent="0.2">
      <c r="J65" s="9" t="s">
        <v>4463</v>
      </c>
      <c r="Q65" s="46">
        <v>72</v>
      </c>
      <c r="R65" s="18" t="s">
        <v>2955</v>
      </c>
      <c r="S65" s="472">
        <v>276.05759999999992</v>
      </c>
      <c r="T65" s="11">
        <f>+_xlfn.XLOOKUP($Q$1&amp;Q65,CODIGOS_Y_COSTOS[ID],CODIGOS_Y_COSTOS[CODIGO],0,0)</f>
        <v>4064</v>
      </c>
      <c r="U65" s="507">
        <f>+_xlfn.XLOOKUP($Q$1&amp;Q65,CODIGOS_Y_COSTOS[ID],CODIGOS_Y_COSTOS[COSTO],0,0)</f>
        <v>395.44029999999998</v>
      </c>
      <c r="V65" s="26">
        <f t="shared" si="11"/>
        <v>212.56435199999996</v>
      </c>
      <c r="W65" s="455">
        <f t="shared" si="8"/>
        <v>-0.4624615852253805</v>
      </c>
    </row>
    <row r="66" spans="10:23" x14ac:dyDescent="0.2">
      <c r="J66" s="9" t="s">
        <v>5</v>
      </c>
      <c r="K66" s="9" t="s">
        <v>8753</v>
      </c>
      <c r="M66" s="9" t="s">
        <v>4624</v>
      </c>
      <c r="Q66" s="46">
        <v>73</v>
      </c>
      <c r="R66" s="18" t="s">
        <v>2957</v>
      </c>
      <c r="S66" s="472">
        <v>326.27790000000005</v>
      </c>
      <c r="T66" s="11">
        <f>+_xlfn.XLOOKUP($Q$1&amp;Q66,CODIGOS_Y_COSTOS[ID],CODIGOS_Y_COSTOS[CODIGO],0,0)</f>
        <v>4816</v>
      </c>
      <c r="U66" s="507">
        <f>+_xlfn.XLOOKUP($Q$1&amp;Q66,CODIGOS_Y_COSTOS[ID],CODIGOS_Y_COSTOS[COSTO],0,0)</f>
        <v>714.35500000000002</v>
      </c>
      <c r="V66" s="26">
        <f t="shared" si="11"/>
        <v>251.23398300000005</v>
      </c>
      <c r="W66" s="455">
        <f t="shared" si="8"/>
        <v>-0.64830653806580751</v>
      </c>
    </row>
    <row r="67" spans="10:23" x14ac:dyDescent="0.2">
      <c r="Q67" s="46">
        <v>74</v>
      </c>
      <c r="R67" s="18" t="s">
        <v>2959</v>
      </c>
      <c r="S67" s="472">
        <v>348.76920000000001</v>
      </c>
      <c r="T67" s="11">
        <f>+_xlfn.XLOOKUP($Q$1&amp;Q67,CODIGOS_Y_COSTOS[ID],CODIGOS_Y_COSTOS[CODIGO],0,0)</f>
        <v>4815</v>
      </c>
      <c r="U67" s="507">
        <f>+_xlfn.XLOOKUP($Q$1&amp;Q67,CODIGOS_Y_COSTOS[ID],CODIGOS_Y_COSTOS[COSTO],0,0)</f>
        <v>714.35500000000002</v>
      </c>
      <c r="V67" s="26">
        <f t="shared" si="11"/>
        <v>268.55228400000004</v>
      </c>
      <c r="W67" s="455">
        <f t="shared" si="8"/>
        <v>-0.62406326826297842</v>
      </c>
    </row>
    <row r="68" spans="10:23" x14ac:dyDescent="0.2">
      <c r="Q68" s="46">
        <v>75</v>
      </c>
      <c r="R68" s="513" t="s">
        <v>2961</v>
      </c>
      <c r="S68" s="514">
        <v>1000</v>
      </c>
      <c r="T68" s="11">
        <f>+_xlfn.XLOOKUP($Q$1&amp;Q68,CODIGOS_Y_COSTOS[ID],CODIGOS_Y_COSTOS[CODIGO],0,0)</f>
        <v>75</v>
      </c>
      <c r="U68" s="473">
        <f>+_xlfn.XLOOKUP($Q$1&amp;Q68,CODIGOS_Y_COSTOS[ID],CODIGOS_Y_COSTOS[COSTO],0,0)</f>
        <v>2106.9409000000001</v>
      </c>
      <c r="V68" s="26">
        <f t="shared" si="11"/>
        <v>770</v>
      </c>
      <c r="W68" s="455">
        <f t="shared" ref="W68:W70" si="12">IFERROR(+V68/U68-1,0)</f>
        <v>-0.63454124413266655</v>
      </c>
    </row>
    <row r="69" spans="10:23" x14ac:dyDescent="0.2">
      <c r="Q69" s="46">
        <v>76</v>
      </c>
      <c r="R69" s="513" t="s">
        <v>2963</v>
      </c>
      <c r="S69" s="514">
        <v>1000</v>
      </c>
      <c r="T69" s="11">
        <f>+_xlfn.XLOOKUP($Q$1&amp;Q69,CODIGOS_Y_COSTOS[ID],CODIGOS_Y_COSTOS[CODIGO],0,0)</f>
        <v>76</v>
      </c>
      <c r="U69" s="473">
        <f>+_xlfn.XLOOKUP($Q$1&amp;Q69,CODIGOS_Y_COSTOS[ID],CODIGOS_Y_COSTOS[COSTO],0,0)</f>
        <v>2106.9409000000001</v>
      </c>
      <c r="V69" s="26">
        <f t="shared" si="11"/>
        <v>770</v>
      </c>
      <c r="W69" s="455">
        <f t="shared" si="12"/>
        <v>-0.63454124413266655</v>
      </c>
    </row>
    <row r="70" spans="10:23" ht="13.5" thickBot="1" x14ac:dyDescent="0.25">
      <c r="Q70" s="46">
        <v>77</v>
      </c>
      <c r="R70" s="18" t="s">
        <v>2965</v>
      </c>
      <c r="S70" s="472">
        <v>336.4452</v>
      </c>
      <c r="T70" s="11">
        <f>+_xlfn.XLOOKUP($Q$1&amp;Q70,CODIGOS_Y_COSTOS[ID],CODIGOS_Y_COSTOS[CODIGO],0,0)</f>
        <v>4123</v>
      </c>
      <c r="U70" s="509">
        <f>+_xlfn.XLOOKUP($Q$1&amp;Q70,CODIGOS_Y_COSTOS[ID],CODIGOS_Y_COSTOS[COSTO],0,0)</f>
        <v>512.33519999999999</v>
      </c>
      <c r="V70" s="26">
        <f t="shared" si="11"/>
        <v>259.06280400000003</v>
      </c>
      <c r="W70" s="455">
        <f t="shared" si="12"/>
        <v>-0.49434900432373174</v>
      </c>
    </row>
  </sheetData>
  <sortState xmlns:xlrd2="http://schemas.microsoft.com/office/spreadsheetml/2017/richdata2" ref="D43:D62">
    <sortCondition ref="D43:D62"/>
  </sortState>
  <mergeCells count="7">
    <mergeCell ref="A1:B1"/>
    <mergeCell ref="J1:K1"/>
    <mergeCell ref="Q1:U1"/>
    <mergeCell ref="Y1:AC1"/>
    <mergeCell ref="G1:G2"/>
    <mergeCell ref="H1:H2"/>
    <mergeCell ref="I1:I2"/>
  </mergeCells>
  <conditionalFormatting sqref="D3:D80">
    <cfRule type="expression" dxfId="1" priority="1">
      <formula>IF(IFERROR(VLOOKUP(D3,G:G,1,0),"")="",TRUE,FALSE)</formula>
    </cfRule>
  </conditionalFormatting>
  <conditionalFormatting sqref="W1:W1048576">
    <cfRule type="cellIs" dxfId="0" priority="2" operator="lessThan">
      <formula>0</formula>
    </cfRule>
  </conditionalFormatting>
  <pageMargins left="0.70866141732283472" right="0.70866141732283472" top="0.74803149606299213" bottom="0.74803149606299213" header="0.31496062992125984" footer="0.31496062992125984"/>
  <pageSetup paperSize="9" scale="140"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1D44A-1C15-432A-A957-D731AD9FF609}">
  <sheetPr codeName="Hoja37"/>
  <dimension ref="A1:BF110"/>
  <sheetViews>
    <sheetView showGridLines="0" topLeftCell="AJ1" zoomScale="115" zoomScaleNormal="115" workbookViewId="0">
      <pane ySplit="3" topLeftCell="A4" activePane="bottomLeft" state="frozen"/>
      <selection activeCell="A3" sqref="A3:A12"/>
      <selection pane="bottomLeft" activeCell="AJ5" sqref="AJ5"/>
    </sheetView>
  </sheetViews>
  <sheetFormatPr baseColWidth="10" defaultColWidth="11.42578125" defaultRowHeight="12.75" outlineLevelCol="1" x14ac:dyDescent="0.2"/>
  <cols>
    <col min="1" max="1" width="3.85546875" style="4" hidden="1" customWidth="1" outlineLevel="1"/>
    <col min="2" max="2" width="6" hidden="1" customWidth="1" outlineLevel="1"/>
    <col min="3" max="3" width="21.5703125" style="3" hidden="1" customWidth="1" outlineLevel="1"/>
    <col min="4" max="6" width="10.7109375" hidden="1" customWidth="1" outlineLevel="1"/>
    <col min="7" max="7" width="43.28515625" hidden="1" customWidth="1" outlineLevel="1"/>
    <col min="8" max="8" width="2" hidden="1" customWidth="1" outlineLevel="1"/>
    <col min="9" max="9" width="10.7109375" hidden="1" customWidth="1" outlineLevel="1"/>
    <col min="10" max="10" width="10.7109375" style="1" hidden="1" customWidth="1" outlineLevel="1"/>
    <col min="11" max="11" width="15.28515625" style="1" hidden="1" customWidth="1" outlineLevel="1"/>
    <col min="12" max="12" width="4.28515625" hidden="1" customWidth="1" outlineLevel="1"/>
    <col min="13" max="13" width="3" hidden="1" customWidth="1" outlineLevel="1"/>
    <col min="14" max="14" width="3.85546875" style="13" hidden="1" customWidth="1" outlineLevel="1"/>
    <col min="15" max="15" width="7.5703125" style="13" hidden="1" customWidth="1" outlineLevel="1"/>
    <col min="16" max="16" width="10.7109375" style="13" hidden="1" customWidth="1" outlineLevel="1"/>
    <col min="17" max="19" width="10.7109375" hidden="1" customWidth="1" outlineLevel="1"/>
    <col min="20" max="20" width="43.28515625" hidden="1" customWidth="1" outlineLevel="1"/>
    <col min="21" max="21" width="2" hidden="1" customWidth="1" outlineLevel="1"/>
    <col min="22" max="22" width="10.7109375" hidden="1" customWidth="1" outlineLevel="1"/>
    <col min="23" max="23" width="10.7109375" style="1" hidden="1" customWidth="1" outlineLevel="1"/>
    <col min="24" max="24" width="15.28515625" style="1" hidden="1" customWidth="1" outlineLevel="1"/>
    <col min="25" max="25" width="10.7109375" hidden="1" customWidth="1" outlineLevel="1"/>
    <col min="26" max="27" width="10.7109375" style="13" hidden="1" customWidth="1" outlineLevel="1"/>
    <col min="28" max="28" width="3" hidden="1" customWidth="1" outlineLevel="1"/>
    <col min="29" max="29" width="12.28515625" style="13" hidden="1" customWidth="1" outlineLevel="1"/>
    <col min="30" max="30" width="15.5703125" style="13" hidden="1" customWidth="1" outlineLevel="1"/>
    <col min="31" max="34" width="10.7109375" hidden="1" customWidth="1" outlineLevel="1"/>
    <col min="35" max="35" width="12" hidden="1" customWidth="1" outlineLevel="1"/>
    <col min="36" max="36" width="10.85546875" style="13" collapsed="1"/>
    <col min="37" max="37" width="1" customWidth="1"/>
    <col min="38" max="38" width="7" hidden="1" customWidth="1" outlineLevel="1"/>
    <col min="39" max="39" width="5.5703125" hidden="1" customWidth="1" outlineLevel="1"/>
    <col min="40" max="40" width="8" hidden="1" customWidth="1" outlineLevel="1"/>
    <col min="41" max="41" width="22.85546875" hidden="1" customWidth="1" outlineLevel="1"/>
    <col min="42" max="42" width="1" hidden="1" customWidth="1" outlineLevel="1"/>
    <col min="43" max="43" width="10.7109375" hidden="1" customWidth="1" outlineLevel="1"/>
    <col min="44" max="44" width="12.85546875" hidden="1" customWidth="1" outlineLevel="1"/>
    <col min="45" max="45" width="3" hidden="1" customWidth="1" outlineLevel="1"/>
    <col min="46" max="46" width="6" customWidth="1" collapsed="1"/>
    <col min="47" max="47" width="5.5703125" bestFit="1" customWidth="1"/>
    <col min="48" max="48" width="9.42578125" customWidth="1"/>
    <col min="49" max="49" width="39.7109375" customWidth="1"/>
    <col min="50" max="50" width="1" customWidth="1"/>
    <col min="51" max="51" width="12.5703125" customWidth="1"/>
    <col min="52" max="52" width="15.85546875" customWidth="1"/>
    <col min="53" max="53" width="1.7109375" customWidth="1"/>
    <col min="54" max="54" width="14.42578125" bestFit="1" customWidth="1"/>
    <col min="56" max="56" width="14" bestFit="1" customWidth="1"/>
    <col min="59" max="59" width="11.85546875" bestFit="1" customWidth="1"/>
    <col min="60" max="60" width="20" bestFit="1" customWidth="1"/>
  </cols>
  <sheetData>
    <row r="1" spans="1:58" ht="13.5" thickBot="1" x14ac:dyDescent="0.25">
      <c r="A1" s="4" t="s">
        <v>20355</v>
      </c>
      <c r="D1" s="1594" t="s">
        <v>20356</v>
      </c>
      <c r="E1" s="1595"/>
      <c r="F1" s="1595"/>
      <c r="G1" s="1596"/>
      <c r="K1" s="708">
        <f>+K2*1.21</f>
        <v>459497.5</v>
      </c>
      <c r="L1" t="s">
        <v>20357</v>
      </c>
      <c r="M1" s="713"/>
      <c r="Q1" s="1594" t="s">
        <v>8171</v>
      </c>
      <c r="R1" s="1595"/>
      <c r="S1" s="1595"/>
      <c r="T1" s="1596"/>
      <c r="X1" s="708">
        <f>+X2*1.21</f>
        <v>199323.3</v>
      </c>
      <c r="Y1" t="s">
        <v>20357</v>
      </c>
      <c r="AJ1" s="32"/>
      <c r="AK1" s="32"/>
      <c r="AQ1" s="32" t="s">
        <v>8164</v>
      </c>
      <c r="AR1" s="61">
        <f>+SUM(AR4:AR36)</f>
        <v>0</v>
      </c>
      <c r="AT1" s="31"/>
      <c r="AY1" s="32" t="s">
        <v>8164</v>
      </c>
      <c r="AZ1" s="1346">
        <f>+SUM(AZ4:AZ36)</f>
        <v>276750</v>
      </c>
      <c r="BA1" s="1347"/>
      <c r="BB1" s="1348">
        <f>+AZ1*1.21</f>
        <v>334867.5</v>
      </c>
      <c r="BC1" s="31" t="s">
        <v>20358</v>
      </c>
    </row>
    <row r="2" spans="1:58" ht="13.5" thickBot="1" x14ac:dyDescent="0.25">
      <c r="A2" s="702">
        <v>10</v>
      </c>
      <c r="B2" s="702">
        <v>25</v>
      </c>
      <c r="C2" s="1063">
        <v>50</v>
      </c>
      <c r="D2" s="1591" t="s">
        <v>7364</v>
      </c>
      <c r="E2" s="1592"/>
      <c r="F2" s="1592"/>
      <c r="G2" s="1593"/>
      <c r="H2" s="82"/>
      <c r="I2" s="30" t="s">
        <v>4624</v>
      </c>
      <c r="J2" s="396"/>
      <c r="K2" s="705">
        <f>+SUM(K4:K44)</f>
        <v>379750</v>
      </c>
      <c r="L2" s="397"/>
      <c r="M2" s="714"/>
      <c r="Q2" s="1591" t="s">
        <v>7364</v>
      </c>
      <c r="R2" s="1592"/>
      <c r="S2" s="1592"/>
      <c r="T2" s="1593"/>
      <c r="U2" s="82"/>
      <c r="V2" s="30" t="s">
        <v>4624</v>
      </c>
      <c r="W2" s="396"/>
      <c r="X2" s="705">
        <f>+SUM(X4:X49)</f>
        <v>164730</v>
      </c>
      <c r="AA2" s="13" t="s">
        <v>20359</v>
      </c>
      <c r="AC2" s="32" t="s">
        <v>20360</v>
      </c>
      <c r="AD2" s="32" t="s">
        <v>8171</v>
      </c>
      <c r="AL2" s="1588" t="s">
        <v>8171</v>
      </c>
      <c r="AM2" s="1589"/>
      <c r="AN2" s="1589"/>
      <c r="AO2" s="1590"/>
      <c r="AQ2" s="1586" t="s">
        <v>20361</v>
      </c>
      <c r="AR2" s="1587"/>
      <c r="AT2" s="1588" t="s">
        <v>7365</v>
      </c>
      <c r="AU2" s="1589"/>
      <c r="AV2" s="1589"/>
      <c r="AW2" s="1590"/>
      <c r="AY2" s="1586" t="s">
        <v>7365</v>
      </c>
      <c r="AZ2" s="1587"/>
      <c r="BB2" s="2"/>
      <c r="BE2" s="13">
        <f>+SUMIFS(AU4:AU36,AT4:AT36,"&gt;"&amp;1)</f>
        <v>225</v>
      </c>
    </row>
    <row r="3" spans="1:58" ht="13.5" thickBot="1" x14ac:dyDescent="0.25">
      <c r="A3" s="30" t="s">
        <v>8189</v>
      </c>
      <c r="B3" s="32" t="s">
        <v>18952</v>
      </c>
      <c r="C3" s="366" t="s">
        <v>8756</v>
      </c>
      <c r="D3" s="602" t="s">
        <v>5</v>
      </c>
      <c r="E3" s="711" t="s">
        <v>8753</v>
      </c>
      <c r="F3" s="711" t="s">
        <v>20362</v>
      </c>
      <c r="G3" s="711" t="s">
        <v>8756</v>
      </c>
      <c r="H3" s="82"/>
      <c r="I3" s="30" t="s">
        <v>8189</v>
      </c>
      <c r="J3" s="706" t="s">
        <v>8186</v>
      </c>
      <c r="K3" s="707" t="s">
        <v>8164</v>
      </c>
      <c r="L3" s="397"/>
      <c r="M3" s="714"/>
      <c r="N3" s="32" t="s">
        <v>8189</v>
      </c>
      <c r="O3" s="32" t="s">
        <v>18952</v>
      </c>
      <c r="P3" s="32" t="s">
        <v>8756</v>
      </c>
      <c r="Q3" s="602" t="s">
        <v>5</v>
      </c>
      <c r="R3" s="711" t="s">
        <v>8753</v>
      </c>
      <c r="S3" s="711" t="s">
        <v>20362</v>
      </c>
      <c r="T3" s="711" t="s">
        <v>8756</v>
      </c>
      <c r="U3" s="82"/>
      <c r="V3" s="30" t="s">
        <v>8189</v>
      </c>
      <c r="W3" s="706" t="s">
        <v>8186</v>
      </c>
      <c r="X3" s="707" t="s">
        <v>8164</v>
      </c>
      <c r="Z3" s="13" t="s">
        <v>20363</v>
      </c>
      <c r="AA3" s="13" t="s">
        <v>8189</v>
      </c>
      <c r="AI3" s="31" t="s">
        <v>20364</v>
      </c>
      <c r="AJ3" s="635" t="s">
        <v>8189</v>
      </c>
      <c r="AL3" s="717" t="s">
        <v>8775</v>
      </c>
      <c r="AM3" s="716" t="s">
        <v>8160</v>
      </c>
      <c r="AN3" s="716" t="s">
        <v>20362</v>
      </c>
      <c r="AO3" s="718" t="s">
        <v>8756</v>
      </c>
      <c r="AQ3" s="706" t="s">
        <v>20365</v>
      </c>
      <c r="AR3" s="707" t="s">
        <v>8164</v>
      </c>
      <c r="AT3" s="717" t="s">
        <v>8775</v>
      </c>
      <c r="AU3" s="716" t="s">
        <v>8160</v>
      </c>
      <c r="AV3" s="716" t="s">
        <v>20362</v>
      </c>
      <c r="AW3" s="718" t="s">
        <v>8756</v>
      </c>
      <c r="AY3" s="706" t="s">
        <v>20365</v>
      </c>
      <c r="AZ3" s="707" t="s">
        <v>8164</v>
      </c>
      <c r="BB3" s="1218" t="s">
        <v>20366</v>
      </c>
      <c r="BC3" s="2"/>
      <c r="BF3" t="s">
        <v>20367</v>
      </c>
    </row>
    <row r="4" spans="1:58" ht="13.5" thickBot="1" x14ac:dyDescent="0.25">
      <c r="A4" s="4">
        <v>1</v>
      </c>
      <c r="B4" s="4">
        <v>4</v>
      </c>
      <c r="C4" s="1064" t="s">
        <v>20368</v>
      </c>
      <c r="D4" s="709">
        <f t="shared" ref="D4:D36" si="0">+IFERROR(VLOOKUP(I4,$A3:$C500,2,0),"")</f>
        <v>732</v>
      </c>
      <c r="E4" s="94">
        <v>25</v>
      </c>
      <c r="F4" s="94" t="str">
        <f>+_xlfn.XLOOKUP(I4,$AA$1:$AA$64,$Z$1:$Z$64,"",0)</f>
        <v>NEGRO</v>
      </c>
      <c r="G4" s="710" t="str">
        <f>+IFERROR(VLOOKUP(I4,$A$3:$C$500,3,0),"")</f>
        <v xml:space="preserve">ARISTON - GOTA N / B 6mm C/L CORTE ABAJO </v>
      </c>
      <c r="I4" s="13">
        <v>2</v>
      </c>
      <c r="J4" s="180">
        <v>440</v>
      </c>
      <c r="K4" s="1">
        <f>+J4*E4</f>
        <v>11000</v>
      </c>
      <c r="M4" s="713"/>
      <c r="N4" s="13">
        <v>10</v>
      </c>
      <c r="O4" s="13" t="s">
        <v>20369</v>
      </c>
      <c r="P4" s="198" t="s">
        <v>20370</v>
      </c>
      <c r="Q4" s="709" t="str">
        <f>+IFERROR(VLOOKUP(V4,$N$1:$P$49,2,0),"")</f>
        <v>9019-A</v>
      </c>
      <c r="R4" s="94">
        <v>50</v>
      </c>
      <c r="S4" s="94" t="str">
        <f>+_xlfn.SINGLE(_xlfn.XLOOKUP(V4,$AA$1:$AA$64,$Z$1:$Z$64,"",0))</f>
        <v>BLANCO</v>
      </c>
      <c r="T4" s="1284" t="str">
        <f>+IFERROR(VLOOKUP(V4,$N$1:$P$49,3,0),"")</f>
        <v>DOMEC - P.Domec 93/90 vieja Bl, Hll diam.8</v>
      </c>
      <c r="U4" s="712"/>
      <c r="V4" s="13">
        <v>12</v>
      </c>
      <c r="W4" s="180">
        <v>1065.8999999999999</v>
      </c>
      <c r="X4" s="1">
        <f t="shared" ref="X4:X49" si="1">+W4*R4</f>
        <v>53294.999999999993</v>
      </c>
      <c r="Z4" s="13" t="s">
        <v>20371</v>
      </c>
      <c r="AA4" s="13">
        <v>1</v>
      </c>
      <c r="AC4" s="13">
        <f>+IFERROR(VLOOKUP(AA4,$A$1:$A$63,1,0),"")</f>
        <v>1</v>
      </c>
      <c r="AD4" s="13" t="str">
        <f>+IFERROR(VLOOKUP(AA4,$N$1:$N$49,1,0),"")</f>
        <v/>
      </c>
      <c r="AE4" s="13" t="str">
        <f t="shared" ref="AE4:AE9" si="2">+IF(OR(AD4="",AD4=AC4),"",AD4)</f>
        <v/>
      </c>
      <c r="AI4" s="13">
        <v>12</v>
      </c>
      <c r="AJ4" s="13">
        <v>1</v>
      </c>
      <c r="AL4" s="7" t="str">
        <f t="shared" ref="AL4:AL36" si="3">IFERROR(VLOOKUP($AJ4,$N$3:$P$49,2,0),"")</f>
        <v/>
      </c>
      <c r="AM4" s="177">
        <v>30</v>
      </c>
      <c r="AN4" s="721" t="str">
        <f t="shared" ref="AN4:AN36" si="4">+_xlfn.XLOOKUP($AJ4,$AA$4:$AA$70,$Z$4:$Z$70,0,0)</f>
        <v>MARRON</v>
      </c>
      <c r="AO4" s="1418" t="str">
        <f t="shared" ref="AO4:AO36" si="5">IFERROR(VLOOKUP($AJ4,$N$3:$P$49,3,0),"")</f>
        <v/>
      </c>
      <c r="AQ4" s="1274" t="s">
        <v>20372</v>
      </c>
      <c r="AR4" s="1275">
        <f>IFERROR(+AQ4*AM4,0)</f>
        <v>0</v>
      </c>
      <c r="AT4" s="7">
        <f t="shared" ref="AT4:AT36" si="6">IFERROR(VLOOKUP($AJ4,$A$3:$C$70,2,0),"")</f>
        <v>4</v>
      </c>
      <c r="AU4" s="177">
        <v>25</v>
      </c>
      <c r="AV4" s="721" t="str">
        <f t="shared" ref="AV4:AV36" si="7">+_xlfn.XLOOKUP($AJ4,$AA$4:$AA$70,$Z$4:$Z$70,0,0)</f>
        <v>MARRON</v>
      </c>
      <c r="AW4" s="1104" t="str">
        <f t="shared" ref="AW4:AW36" si="8">IFERROR(VLOOKUP($AJ4,$A$3:$C$70,3,0),"")</f>
        <v>A.M.CORALINE - CORALINE ANTERIOR</v>
      </c>
      <c r="AY4" s="379">
        <f>+IFERROR(VLOOKUP(AT4,Ctrl!$F$2894:$G$2954,2,0),0)</f>
        <v>2070</v>
      </c>
      <c r="AZ4" s="64">
        <f t="shared" ref="AZ4:AZ36" si="9">+AY4*AU4</f>
        <v>51750</v>
      </c>
      <c r="BB4" s="1">
        <f>+SUM($AZ$4:AZ4)*0.9*1.21</f>
        <v>56355.75</v>
      </c>
      <c r="BD4" s="1154" t="s">
        <v>21594</v>
      </c>
      <c r="BE4" s="62"/>
    </row>
    <row r="5" spans="1:58" ht="13.5" thickBot="1" x14ac:dyDescent="0.25">
      <c r="A5" s="4">
        <v>2</v>
      </c>
      <c r="B5" s="4">
        <v>732</v>
      </c>
      <c r="C5" s="1064" t="s">
        <v>20373</v>
      </c>
      <c r="D5" s="700">
        <f t="shared" si="0"/>
        <v>73</v>
      </c>
      <c r="E5" s="94">
        <v>25</v>
      </c>
      <c r="F5" s="94" t="str">
        <f t="shared" ref="F5:F42" si="10">+_xlfn.XLOOKUP(I5,$AA$1:$AA$64,$Z$1:$Z$64,"",0)</f>
        <v>BLANCO</v>
      </c>
      <c r="G5" s="703" t="str">
        <f>+IFERROR(VLOOKUP(I5,$A$3:$C$500,3,0),"")</f>
        <v>DOMEC - BLANCA 90 ARMADAS</v>
      </c>
      <c r="I5" s="13">
        <v>12</v>
      </c>
      <c r="J5" s="180">
        <v>600</v>
      </c>
      <c r="K5" s="1">
        <f t="shared" ref="K5:K42" si="11">+J5*E5</f>
        <v>15000</v>
      </c>
      <c r="M5" s="713"/>
      <c r="N5" s="13">
        <v>11</v>
      </c>
      <c r="O5" s="13">
        <v>5273</v>
      </c>
      <c r="P5" s="198" t="s">
        <v>20374</v>
      </c>
      <c r="Q5" s="709" t="str">
        <f t="shared" ref="Q5:Q49" si="12">+IFERROR(VLOOKUP(V5,$N$1:$P$49,2,0),"")</f>
        <v>9142-A</v>
      </c>
      <c r="R5" s="15">
        <v>50</v>
      </c>
      <c r="S5" s="94" t="str">
        <f t="shared" ref="S5:S49" si="13">+_xlfn.SINGLE(_xlfn.XLOOKUP(V5,$AA$1:$AA$64,$Z$1:$Z$64,"",0))</f>
        <v>BLANCO</v>
      </c>
      <c r="T5" s="1284" t="str">
        <f t="shared" ref="T5:T49" si="14">+IFERROR(VLOOKUP(V5,$N$1:$P$49,3,0),"")</f>
        <v>LONGVIE - Longvie 2000 diam 6 bl</v>
      </c>
      <c r="U5" s="712"/>
      <c r="V5" s="13">
        <v>52</v>
      </c>
      <c r="W5" s="180">
        <v>872.09999999999991</v>
      </c>
      <c r="X5" s="1">
        <f t="shared" si="1"/>
        <v>43604.999999999993</v>
      </c>
      <c r="Z5" s="13" t="s">
        <v>20375</v>
      </c>
      <c r="AA5" s="13">
        <v>2</v>
      </c>
      <c r="AC5" s="13">
        <f t="shared" ref="AC5:AC64" si="15">+IFERROR(VLOOKUP(AA5,$A$1:$A$63,1,0),"")</f>
        <v>2</v>
      </c>
      <c r="AD5" s="13" t="str">
        <f t="shared" ref="AD5:AD64" si="16">+IFERROR(VLOOKUP(AA5,$N$1:$N$49,1,0),"")</f>
        <v/>
      </c>
      <c r="AE5" s="13" t="str">
        <f t="shared" si="2"/>
        <v/>
      </c>
      <c r="AI5" s="13">
        <v>30</v>
      </c>
      <c r="AJ5" s="13">
        <v>16</v>
      </c>
      <c r="AL5" s="7" t="str">
        <f t="shared" si="3"/>
        <v>9087-A</v>
      </c>
      <c r="AM5" s="177">
        <v>0</v>
      </c>
      <c r="AN5" s="721" t="str">
        <f t="shared" si="4"/>
        <v>BLANCO</v>
      </c>
      <c r="AO5" s="719" t="str">
        <f t="shared" si="5"/>
        <v>DOMEC - TF Inyect.Bl vieja hlla/hno diam8</v>
      </c>
      <c r="AQ5" s="379">
        <v>0</v>
      </c>
      <c r="AR5" s="64">
        <f t="shared" ref="AR5:AR36" si="17">IFERROR(+AQ5*AM5,0)</f>
        <v>0</v>
      </c>
      <c r="AT5" s="7">
        <f t="shared" si="6"/>
        <v>533</v>
      </c>
      <c r="AU5" s="177">
        <v>25</v>
      </c>
      <c r="AV5" s="721" t="str">
        <f t="shared" si="7"/>
        <v>BLANCO</v>
      </c>
      <c r="AW5" s="1104" t="str">
        <f t="shared" si="8"/>
        <v>DOMEC - TF  BLANCO</v>
      </c>
      <c r="AY5" s="379">
        <f>+IFERROR(VLOOKUP(AT5,Ctrl!$F$2894:$G$2954,2,0),0)</f>
        <v>1530</v>
      </c>
      <c r="AZ5" s="64">
        <f t="shared" si="9"/>
        <v>38250</v>
      </c>
      <c r="BB5" s="1">
        <f>+SUM($AZ$4:AZ5)*0.9*1.21</f>
        <v>98010</v>
      </c>
      <c r="BC5" s="2"/>
      <c r="BD5" s="13"/>
    </row>
    <row r="6" spans="1:58" ht="13.5" thickBot="1" x14ac:dyDescent="0.25">
      <c r="A6" s="4">
        <v>3</v>
      </c>
      <c r="B6" s="4">
        <v>27</v>
      </c>
      <c r="C6" s="1064" t="s">
        <v>7370</v>
      </c>
      <c r="D6" s="700">
        <f t="shared" si="0"/>
        <v>754</v>
      </c>
      <c r="E6" s="94">
        <v>25</v>
      </c>
      <c r="F6" s="94" t="str">
        <f t="shared" si="10"/>
        <v>GRIS</v>
      </c>
      <c r="G6" s="703" t="str">
        <f>+IFERROR(VLOOKUP(I6,$A$3:$C$500,3,0),"")</f>
        <v>DOMEC - TF TODA CROMADA</v>
      </c>
      <c r="I6" s="13">
        <v>17</v>
      </c>
      <c r="J6" s="180">
        <v>430</v>
      </c>
      <c r="K6" s="1">
        <f t="shared" si="11"/>
        <v>10750</v>
      </c>
      <c r="M6" s="713"/>
      <c r="N6" s="13">
        <v>12</v>
      </c>
      <c r="O6" s="13" t="s">
        <v>20376</v>
      </c>
      <c r="P6" s="198" t="s">
        <v>20377</v>
      </c>
      <c r="Q6" s="709" t="str">
        <f t="shared" si="12"/>
        <v>9147-A</v>
      </c>
      <c r="R6" s="15">
        <v>50</v>
      </c>
      <c r="S6" s="94" t="str">
        <f t="shared" si="13"/>
        <v>BLANCO</v>
      </c>
      <c r="T6" s="1284" t="str">
        <f t="shared" si="14"/>
        <v>LONGVIE - Longvie 89 c/aro v/c bl diam8</v>
      </c>
      <c r="U6" s="712"/>
      <c r="V6" s="13">
        <v>54</v>
      </c>
      <c r="W6" s="180">
        <v>969</v>
      </c>
      <c r="X6" s="1">
        <f t="shared" si="1"/>
        <v>48450</v>
      </c>
      <c r="Z6" s="13" t="s">
        <v>20371</v>
      </c>
      <c r="AA6" s="13">
        <v>3</v>
      </c>
      <c r="AC6" s="13">
        <f t="shared" si="15"/>
        <v>3</v>
      </c>
      <c r="AD6" s="13" t="str">
        <f t="shared" si="16"/>
        <v/>
      </c>
      <c r="AE6" s="13" t="str">
        <f t="shared" si="2"/>
        <v/>
      </c>
      <c r="AI6" s="13">
        <v>52</v>
      </c>
      <c r="AJ6" s="13">
        <v>20</v>
      </c>
      <c r="AL6" s="7" t="str">
        <f t="shared" si="3"/>
        <v>9186-A</v>
      </c>
      <c r="AM6" s="177">
        <v>30</v>
      </c>
      <c r="AN6" s="721" t="str">
        <f t="shared" si="4"/>
        <v>GRIS</v>
      </c>
      <c r="AO6" s="1418" t="str">
        <f t="shared" si="5"/>
        <v>ELECTROLUX - Electrolux plata</v>
      </c>
      <c r="AQ6" s="379">
        <v>0</v>
      </c>
      <c r="AR6" s="64">
        <f t="shared" si="17"/>
        <v>0</v>
      </c>
      <c r="AT6" s="7">
        <f t="shared" si="6"/>
        <v>7690</v>
      </c>
      <c r="AU6" s="177">
        <v>25</v>
      </c>
      <c r="AV6" s="721" t="str">
        <f t="shared" si="7"/>
        <v>GRIS</v>
      </c>
      <c r="AW6" s="1104" t="str">
        <f t="shared" si="8"/>
        <v>ELECTROLUX - PLATA</v>
      </c>
      <c r="AY6" s="379">
        <f>+IFERROR(VLOOKUP(AT6,Ctrl!$F$2894:$G$2954,2,0),0)</f>
        <v>720</v>
      </c>
      <c r="AZ6" s="64">
        <f t="shared" si="9"/>
        <v>18000</v>
      </c>
      <c r="BB6" s="1">
        <f>+SUM($AZ$4:AZ6)*0.9*1.21</f>
        <v>117612</v>
      </c>
      <c r="BD6" s="13"/>
    </row>
    <row r="7" spans="1:58" ht="13.5" thickBot="1" x14ac:dyDescent="0.25">
      <c r="A7" s="4">
        <v>10</v>
      </c>
      <c r="B7" s="4">
        <v>478</v>
      </c>
      <c r="C7" s="1064" t="s">
        <v>7374</v>
      </c>
      <c r="D7" s="700">
        <f t="shared" si="0"/>
        <v>7690</v>
      </c>
      <c r="E7" s="94">
        <v>25</v>
      </c>
      <c r="F7" s="94" t="str">
        <f t="shared" si="10"/>
        <v>GRIS</v>
      </c>
      <c r="G7" s="703" t="str">
        <f>+IFERROR(VLOOKUP(I7,$A$3:$C$500,3,0),"")</f>
        <v>ELECTROLUX - PLATA</v>
      </c>
      <c r="I7" s="13">
        <v>20</v>
      </c>
      <c r="J7" s="180">
        <v>690</v>
      </c>
      <c r="K7" s="1">
        <f t="shared" si="11"/>
        <v>17250</v>
      </c>
      <c r="M7" s="713"/>
      <c r="N7" s="13">
        <v>13</v>
      </c>
      <c r="O7" s="13" t="s">
        <v>20378</v>
      </c>
      <c r="P7" s="198" t="s">
        <v>20379</v>
      </c>
      <c r="Q7" s="709">
        <f t="shared" si="12"/>
        <v>9171</v>
      </c>
      <c r="R7" s="15">
        <v>50</v>
      </c>
      <c r="S7" s="94" t="str">
        <f t="shared" si="13"/>
        <v>BLANCO</v>
      </c>
      <c r="T7" s="1284" t="str">
        <f t="shared" si="14"/>
        <v>PATRICK - Patrick bl anterior</v>
      </c>
      <c r="U7" s="712"/>
      <c r="V7" s="13">
        <v>100</v>
      </c>
      <c r="W7" s="180">
        <v>387.59999999999997</v>
      </c>
      <c r="X7" s="1">
        <f t="shared" si="1"/>
        <v>19380</v>
      </c>
      <c r="Z7" s="13" t="s">
        <v>20380</v>
      </c>
      <c r="AA7" s="13">
        <v>10</v>
      </c>
      <c r="AC7" s="13">
        <f t="shared" si="15"/>
        <v>10</v>
      </c>
      <c r="AD7" s="13">
        <f t="shared" si="16"/>
        <v>10</v>
      </c>
      <c r="AE7" s="13" t="str">
        <f t="shared" si="2"/>
        <v/>
      </c>
      <c r="AI7" s="13">
        <v>54</v>
      </c>
      <c r="AJ7" s="13">
        <v>31</v>
      </c>
      <c r="AL7" s="7" t="str">
        <f t="shared" si="3"/>
        <v>9174-A</v>
      </c>
      <c r="AM7" s="177">
        <v>0</v>
      </c>
      <c r="AN7" s="721" t="str">
        <f t="shared" si="4"/>
        <v>BLANCO</v>
      </c>
      <c r="AO7" s="719" t="str">
        <f t="shared" si="5"/>
        <v>ESCORIAL - Escorial Candor Bl</v>
      </c>
      <c r="AQ7" s="379">
        <v>0</v>
      </c>
      <c r="AR7" s="64">
        <f t="shared" si="17"/>
        <v>0</v>
      </c>
      <c r="AT7" s="7">
        <f t="shared" si="6"/>
        <v>682</v>
      </c>
      <c r="AU7" s="177">
        <v>25</v>
      </c>
      <c r="AV7" s="721" t="str">
        <f t="shared" si="7"/>
        <v>BLANCO</v>
      </c>
      <c r="AW7" s="1104" t="str">
        <f t="shared" si="8"/>
        <v>ESCORIAL - CANDOR  BLANCA / NEGRA  CON ARO</v>
      </c>
      <c r="AY7" s="379">
        <f>+IFERROR(VLOOKUP(AT7,Ctrl!$F$2894:$G$2954,2,0),0)</f>
        <v>1170</v>
      </c>
      <c r="AZ7" s="64">
        <f t="shared" si="9"/>
        <v>29250</v>
      </c>
      <c r="BB7" s="1">
        <f>+SUM($AZ$4:AZ7)*0.9*1.21</f>
        <v>149465.25</v>
      </c>
      <c r="BD7" s="13"/>
    </row>
    <row r="8" spans="1:58" ht="13.5" thickBot="1" x14ac:dyDescent="0.25">
      <c r="A8" s="4">
        <v>12</v>
      </c>
      <c r="B8" s="4">
        <v>73</v>
      </c>
      <c r="C8" s="1064" t="s">
        <v>7376</v>
      </c>
      <c r="D8" s="700">
        <f t="shared" si="0"/>
        <v>682</v>
      </c>
      <c r="E8" s="94">
        <v>25</v>
      </c>
      <c r="F8" s="94" t="str">
        <f t="shared" si="10"/>
        <v>BLANCO</v>
      </c>
      <c r="G8" s="703" t="str">
        <f t="shared" ref="G8:G36" si="18">+IFERROR(VLOOKUP(I8,$A4:$C501,3,0),"")</f>
        <v>ESCORIAL - CANDOR  BLANCA / NEGRA  CON ARO</v>
      </c>
      <c r="I8" s="13">
        <v>31</v>
      </c>
      <c r="J8" s="180">
        <v>370</v>
      </c>
      <c r="K8" s="1">
        <f t="shared" si="11"/>
        <v>9250</v>
      </c>
      <c r="M8" s="713"/>
      <c r="N8" s="13">
        <v>14</v>
      </c>
      <c r="O8" s="13" t="s">
        <v>20381</v>
      </c>
      <c r="P8" s="198" t="s">
        <v>20382</v>
      </c>
      <c r="Q8" s="709" t="str">
        <f t="shared" si="12"/>
        <v/>
      </c>
      <c r="R8" s="15">
        <v>50</v>
      </c>
      <c r="S8" s="94">
        <f t="shared" si="13"/>
        <v>0</v>
      </c>
      <c r="T8" s="1284" t="str">
        <f t="shared" si="14"/>
        <v/>
      </c>
      <c r="U8" s="712"/>
      <c r="V8" s="13"/>
      <c r="W8" s="180">
        <v>0</v>
      </c>
      <c r="X8" s="1">
        <f t="shared" si="1"/>
        <v>0</v>
      </c>
      <c r="Z8" s="13" t="s">
        <v>20383</v>
      </c>
      <c r="AA8" s="13">
        <v>11</v>
      </c>
      <c r="AC8" s="13">
        <f t="shared" si="15"/>
        <v>11</v>
      </c>
      <c r="AD8" s="13">
        <f t="shared" si="16"/>
        <v>11</v>
      </c>
      <c r="AE8" s="13" t="str">
        <f t="shared" si="2"/>
        <v/>
      </c>
      <c r="AI8" s="13">
        <v>100</v>
      </c>
      <c r="AJ8" s="13">
        <v>57</v>
      </c>
      <c r="AL8" s="7" t="str">
        <f t="shared" si="3"/>
        <v>9166-A</v>
      </c>
      <c r="AM8" s="177">
        <v>30</v>
      </c>
      <c r="AN8" s="721" t="str">
        <f t="shared" si="4"/>
        <v>BLANCO</v>
      </c>
      <c r="AO8" s="1418" t="str">
        <f t="shared" si="5"/>
        <v>LONGVIE - Longvie 2010 cocina Bl</v>
      </c>
      <c r="AQ8" s="379">
        <v>0</v>
      </c>
      <c r="AR8" s="64">
        <f t="shared" si="17"/>
        <v>0</v>
      </c>
      <c r="AT8" s="7">
        <f t="shared" si="6"/>
        <v>713</v>
      </c>
      <c r="AU8" s="177">
        <v>25</v>
      </c>
      <c r="AV8" s="721" t="str">
        <f t="shared" si="7"/>
        <v>BLANCO</v>
      </c>
      <c r="AW8" s="1104" t="str">
        <f t="shared" si="8"/>
        <v xml:space="preserve">LONGVIE - ANAFE 2010  BLANCO / NEGRO </v>
      </c>
      <c r="AY8" s="379">
        <f>+IFERROR(VLOOKUP(AT8,Ctrl!$F$2894:$G$2954,2,0),0)</f>
        <v>1170</v>
      </c>
      <c r="AZ8" s="64">
        <f t="shared" si="9"/>
        <v>29250</v>
      </c>
      <c r="BB8" s="1">
        <f>+SUM($AZ$4:AZ8)*0.9*1.21</f>
        <v>181318.5</v>
      </c>
      <c r="BD8" s="13"/>
    </row>
    <row r="9" spans="1:58" ht="13.5" thickBot="1" x14ac:dyDescent="0.25">
      <c r="A9" s="4">
        <v>13</v>
      </c>
      <c r="B9" s="4">
        <v>415</v>
      </c>
      <c r="C9" s="1064" t="s">
        <v>7378</v>
      </c>
      <c r="D9" s="700">
        <f t="shared" si="0"/>
        <v>682</v>
      </c>
      <c r="E9" s="94">
        <v>25</v>
      </c>
      <c r="F9" s="94" t="str">
        <f t="shared" si="10"/>
        <v>NEGRO</v>
      </c>
      <c r="G9" s="703" t="str">
        <f t="shared" si="18"/>
        <v>ESCORIAL - CANDOR  BLANCA / NEGRA  CON ARO</v>
      </c>
      <c r="I9" s="13">
        <v>32</v>
      </c>
      <c r="J9" s="180">
        <v>430</v>
      </c>
      <c r="K9" s="1">
        <f t="shared" si="11"/>
        <v>10750</v>
      </c>
      <c r="M9" s="713"/>
      <c r="N9" s="13">
        <v>15</v>
      </c>
      <c r="O9" s="13" t="s">
        <v>20384</v>
      </c>
      <c r="P9" s="198" t="s">
        <v>20382</v>
      </c>
      <c r="Q9" s="709" t="str">
        <f t="shared" si="12"/>
        <v/>
      </c>
      <c r="R9" s="15">
        <v>50</v>
      </c>
      <c r="S9" s="94">
        <f t="shared" si="13"/>
        <v>0</v>
      </c>
      <c r="T9" s="1284" t="str">
        <f t="shared" si="14"/>
        <v/>
      </c>
      <c r="U9" s="712"/>
      <c r="V9" s="13"/>
      <c r="W9" s="180">
        <v>0</v>
      </c>
      <c r="X9" s="1">
        <f t="shared" si="1"/>
        <v>0</v>
      </c>
      <c r="Z9" s="13" t="s">
        <v>20380</v>
      </c>
      <c r="AA9" s="13">
        <v>12</v>
      </c>
      <c r="AC9" s="13">
        <f t="shared" si="15"/>
        <v>12</v>
      </c>
      <c r="AD9" s="13">
        <f t="shared" si="16"/>
        <v>12</v>
      </c>
      <c r="AE9" s="13" t="str">
        <f t="shared" si="2"/>
        <v/>
      </c>
      <c r="AI9" s="13">
        <v>123</v>
      </c>
      <c r="AJ9" s="13">
        <v>59</v>
      </c>
      <c r="AL9" s="7" t="str">
        <f t="shared" si="3"/>
        <v>9309-A</v>
      </c>
      <c r="AM9" s="177">
        <v>30</v>
      </c>
      <c r="AN9" s="721" t="str">
        <f t="shared" si="4"/>
        <v>BLANCO</v>
      </c>
      <c r="AO9" s="1418" t="str">
        <f t="shared" si="5"/>
        <v>LONGVIE - Longvie actual bl</v>
      </c>
      <c r="AQ9" s="379">
        <v>0</v>
      </c>
      <c r="AR9" s="64">
        <f t="shared" si="17"/>
        <v>0</v>
      </c>
      <c r="AT9" s="7">
        <f t="shared" si="6"/>
        <v>788</v>
      </c>
      <c r="AU9" s="177">
        <v>25</v>
      </c>
      <c r="AV9" s="721" t="str">
        <f t="shared" si="7"/>
        <v>BLANCO</v>
      </c>
      <c r="AW9" s="1104" t="str">
        <f t="shared" si="8"/>
        <v>LONGVIE  NVO  MODELO  2022   BLANCO  /  NEGRO</v>
      </c>
      <c r="AY9" s="379">
        <f>+IFERROR(VLOOKUP(AT9,Ctrl!$F$2894:$G$2954,2,0),0)</f>
        <v>540</v>
      </c>
      <c r="AZ9" s="64">
        <f t="shared" si="9"/>
        <v>13500</v>
      </c>
      <c r="BB9" s="1">
        <f>+SUM($AZ$4:AZ9)*0.9*1.21</f>
        <v>196020</v>
      </c>
      <c r="BD9" s="13"/>
    </row>
    <row r="10" spans="1:58" ht="13.5" thickBot="1" x14ac:dyDescent="0.25">
      <c r="A10" s="4">
        <v>14</v>
      </c>
      <c r="B10" s="4">
        <v>66</v>
      </c>
      <c r="C10" s="1064" t="s">
        <v>7380</v>
      </c>
      <c r="D10" s="700">
        <f t="shared" si="0"/>
        <v>722</v>
      </c>
      <c r="E10" s="94">
        <v>25</v>
      </c>
      <c r="F10" s="94" t="str">
        <f t="shared" si="10"/>
        <v>NEGRO</v>
      </c>
      <c r="G10" s="703" t="str">
        <f t="shared" si="18"/>
        <v>LONGVIE - BCO / GRIS / NEG / MARR 2005 C/C 6 mm</v>
      </c>
      <c r="I10" s="13">
        <v>51</v>
      </c>
      <c r="J10" s="180">
        <v>300</v>
      </c>
      <c r="K10" s="1">
        <f t="shared" si="11"/>
        <v>7500</v>
      </c>
      <c r="M10" s="713"/>
      <c r="N10" s="13">
        <v>16</v>
      </c>
      <c r="O10" s="13" t="s">
        <v>20385</v>
      </c>
      <c r="P10" s="198" t="s">
        <v>20386</v>
      </c>
      <c r="Q10" s="709" t="str">
        <f t="shared" si="12"/>
        <v/>
      </c>
      <c r="R10" s="15">
        <v>50</v>
      </c>
      <c r="S10" s="94">
        <f t="shared" si="13"/>
        <v>0</v>
      </c>
      <c r="T10" s="1284" t="str">
        <f t="shared" si="14"/>
        <v/>
      </c>
      <c r="U10" s="712"/>
      <c r="V10" s="13"/>
      <c r="W10" s="180">
        <v>0</v>
      </c>
      <c r="X10" s="1">
        <f t="shared" si="1"/>
        <v>0</v>
      </c>
      <c r="Z10" s="13" t="s">
        <v>20380</v>
      </c>
      <c r="AA10" s="13">
        <v>13</v>
      </c>
      <c r="AC10" s="13">
        <f t="shared" si="15"/>
        <v>13</v>
      </c>
      <c r="AD10" s="13">
        <f t="shared" si="16"/>
        <v>13</v>
      </c>
      <c r="AE10" s="13" t="str">
        <f t="shared" ref="AE10:AE64" si="19">+IF(OR(AD10="",AD10=AC10),"",AD10)</f>
        <v/>
      </c>
      <c r="AI10" s="13" t="str">
        <f>IFERROR(VLOOKUP(AT10,AT11:$AT$36,1,0),"")</f>
        <v/>
      </c>
      <c r="AJ10" s="13">
        <v>80</v>
      </c>
      <c r="AL10" s="7" t="str">
        <f t="shared" si="3"/>
        <v>9219-C</v>
      </c>
      <c r="AM10" s="177">
        <v>30</v>
      </c>
      <c r="AN10" s="721" t="str">
        <f t="shared" si="4"/>
        <v>MARRON</v>
      </c>
      <c r="AO10" s="1418" t="str">
        <f t="shared" si="5"/>
        <v>ORBIS - Orbis Kit mrr</v>
      </c>
      <c r="AQ10" s="379">
        <v>0</v>
      </c>
      <c r="AR10" s="64">
        <f t="shared" si="17"/>
        <v>0</v>
      </c>
      <c r="AT10" s="7">
        <f t="shared" si="6"/>
        <v>714</v>
      </c>
      <c r="AU10" s="177">
        <v>25</v>
      </c>
      <c r="AV10" s="721" t="str">
        <f t="shared" si="7"/>
        <v>MARRON</v>
      </c>
      <c r="AW10" s="1104" t="str">
        <f t="shared" si="8"/>
        <v>ORBIS - KIT 2010  BLANCO / MARRÓN / NEGRO</v>
      </c>
      <c r="AY10" s="379">
        <f>+IFERROR(VLOOKUP(AT10,Ctrl!$F$2894:$G$2954,2,0),0)</f>
        <v>1890</v>
      </c>
      <c r="AZ10" s="64">
        <f t="shared" si="9"/>
        <v>47250</v>
      </c>
      <c r="BB10" s="1">
        <f>+SUM($AZ$4:AZ10)*0.9*1.21</f>
        <v>247475.25</v>
      </c>
      <c r="BD10" s="13"/>
    </row>
    <row r="11" spans="1:58" ht="13.5" thickBot="1" x14ac:dyDescent="0.25">
      <c r="A11" s="4">
        <v>16</v>
      </c>
      <c r="B11" s="4">
        <v>533</v>
      </c>
      <c r="C11" s="1064" t="s">
        <v>7383</v>
      </c>
      <c r="D11" s="700">
        <f t="shared" si="0"/>
        <v>741</v>
      </c>
      <c r="E11" s="94">
        <v>25</v>
      </c>
      <c r="F11" s="94" t="str">
        <f t="shared" si="10"/>
        <v>GRIS</v>
      </c>
      <c r="G11" s="703" t="str">
        <f t="shared" si="18"/>
        <v>MABE - MABE   GRIS   6 / 8 mm</v>
      </c>
      <c r="I11" s="13">
        <v>70</v>
      </c>
      <c r="J11" s="180">
        <v>430</v>
      </c>
      <c r="K11" s="1">
        <f t="shared" si="11"/>
        <v>10750</v>
      </c>
      <c r="M11" s="713"/>
      <c r="N11" s="13">
        <v>17</v>
      </c>
      <c r="O11" s="13" t="s">
        <v>20387</v>
      </c>
      <c r="P11" s="198" t="s">
        <v>20388</v>
      </c>
      <c r="Q11" s="709" t="str">
        <f t="shared" si="12"/>
        <v/>
      </c>
      <c r="R11" s="15">
        <v>50</v>
      </c>
      <c r="S11" s="94">
        <f t="shared" si="13"/>
        <v>0</v>
      </c>
      <c r="T11" s="1284" t="str">
        <f t="shared" si="14"/>
        <v/>
      </c>
      <c r="U11" s="712"/>
      <c r="V11" s="13"/>
      <c r="W11" s="180">
        <v>0</v>
      </c>
      <c r="X11" s="1">
        <f t="shared" si="1"/>
        <v>0</v>
      </c>
      <c r="Z11" s="13" t="s">
        <v>20371</v>
      </c>
      <c r="AA11" s="13">
        <v>14</v>
      </c>
      <c r="AC11" s="13">
        <f t="shared" si="15"/>
        <v>14</v>
      </c>
      <c r="AD11" s="13">
        <f t="shared" si="16"/>
        <v>14</v>
      </c>
      <c r="AE11" s="13" t="str">
        <f t="shared" si="19"/>
        <v/>
      </c>
      <c r="AI11" s="13" t="str">
        <f>IFERROR(VLOOKUP(AT11,AT12:$AT$36,1,0),"")</f>
        <v/>
      </c>
      <c r="AJ11" s="13">
        <v>91</v>
      </c>
      <c r="AL11" s="7" t="str">
        <f t="shared" si="3"/>
        <v>6020-F</v>
      </c>
      <c r="AM11" s="177">
        <f t="shared" ref="AM11:AM36" si="20">+AM10</f>
        <v>30</v>
      </c>
      <c r="AN11" s="721" t="str">
        <f t="shared" si="4"/>
        <v>MARRON</v>
      </c>
      <c r="AO11" s="719" t="str">
        <f t="shared" si="5"/>
        <v>DAUCO - P.Dauco Mrr diam8 v/c baquelita</v>
      </c>
      <c r="AQ11" s="379">
        <v>0</v>
      </c>
      <c r="AR11" s="64">
        <f t="shared" si="17"/>
        <v>0</v>
      </c>
      <c r="AT11" s="7">
        <f t="shared" si="6"/>
        <v>158</v>
      </c>
      <c r="AU11" s="177">
        <v>25</v>
      </c>
      <c r="AV11" s="721" t="str">
        <f t="shared" si="7"/>
        <v>MARRON</v>
      </c>
      <c r="AW11" s="1104" t="str">
        <f t="shared" si="8"/>
        <v>ORO AZUL - CHANFLEADA 88 C / C</v>
      </c>
      <c r="AY11" s="379">
        <f>+IFERROR(VLOOKUP(AT11,Ctrl!$F$2894:$G$2954,2,0),0)</f>
        <v>990</v>
      </c>
      <c r="AZ11" s="64">
        <f t="shared" si="9"/>
        <v>24750</v>
      </c>
      <c r="BB11" s="1">
        <f>+SUM($AZ$4:AZ11)*0.9*1.21</f>
        <v>274428</v>
      </c>
      <c r="BD11" s="13"/>
    </row>
    <row r="12" spans="1:58" ht="13.5" thickBot="1" x14ac:dyDescent="0.25">
      <c r="A12" s="4">
        <v>17</v>
      </c>
      <c r="B12" s="4">
        <v>754</v>
      </c>
      <c r="C12" s="1064" t="s">
        <v>7385</v>
      </c>
      <c r="D12" s="700">
        <f t="shared" si="0"/>
        <v>422</v>
      </c>
      <c r="E12" s="94">
        <v>25</v>
      </c>
      <c r="F12" s="94" t="str">
        <f t="shared" si="10"/>
        <v>BLANCO</v>
      </c>
      <c r="G12" s="703" t="str">
        <f t="shared" si="18"/>
        <v>ORBIS - CONVECTA BLANCA / GRIS  8mm / 6mm</v>
      </c>
      <c r="I12" s="13">
        <v>72</v>
      </c>
      <c r="J12" s="180">
        <v>550</v>
      </c>
      <c r="K12" s="1">
        <f t="shared" si="11"/>
        <v>13750</v>
      </c>
      <c r="M12" s="713"/>
      <c r="N12" s="13">
        <v>18</v>
      </c>
      <c r="O12" s="13">
        <v>5260</v>
      </c>
      <c r="P12" s="198" t="s">
        <v>20389</v>
      </c>
      <c r="Q12" s="709" t="str">
        <f t="shared" si="12"/>
        <v/>
      </c>
      <c r="R12" s="15">
        <v>50</v>
      </c>
      <c r="S12" s="94">
        <f t="shared" si="13"/>
        <v>0</v>
      </c>
      <c r="T12" s="1284" t="str">
        <f t="shared" si="14"/>
        <v/>
      </c>
      <c r="U12" s="712"/>
      <c r="V12" s="13"/>
      <c r="W12" s="180">
        <v>0</v>
      </c>
      <c r="X12" s="1">
        <f t="shared" si="1"/>
        <v>0</v>
      </c>
      <c r="Z12" s="13" t="s">
        <v>20380</v>
      </c>
      <c r="AA12" s="13">
        <v>15</v>
      </c>
      <c r="AC12" s="13">
        <f t="shared" si="15"/>
        <v>15</v>
      </c>
      <c r="AD12" s="13">
        <f t="shared" si="16"/>
        <v>15</v>
      </c>
      <c r="AE12" s="13" t="str">
        <f t="shared" si="19"/>
        <v/>
      </c>
      <c r="AI12" s="13" t="str">
        <f>IFERROR(VLOOKUP(AT12,AT13:$AT$36,1,0),"")</f>
        <v/>
      </c>
      <c r="AJ12" s="13">
        <v>100</v>
      </c>
      <c r="AL12" s="7">
        <f t="shared" si="3"/>
        <v>9171</v>
      </c>
      <c r="AM12" s="177">
        <f t="shared" si="20"/>
        <v>30</v>
      </c>
      <c r="AN12" s="721" t="str">
        <f t="shared" si="4"/>
        <v>BLANCO</v>
      </c>
      <c r="AO12" s="719" t="str">
        <f t="shared" si="5"/>
        <v>PATRICK - Patrick bl anterior</v>
      </c>
      <c r="AQ12" s="379">
        <v>0</v>
      </c>
      <c r="AR12" s="64">
        <f t="shared" si="17"/>
        <v>0</v>
      </c>
      <c r="AT12" s="7">
        <f t="shared" si="6"/>
        <v>740</v>
      </c>
      <c r="AU12" s="177">
        <v>25</v>
      </c>
      <c r="AV12" s="721" t="str">
        <f t="shared" si="7"/>
        <v>BLANCO</v>
      </c>
      <c r="AW12" s="1104" t="str">
        <f t="shared" si="8"/>
        <v>PATRICK - PATRICK ANTERIOR  BLANCA</v>
      </c>
      <c r="AY12" s="379">
        <f>+IFERROR(VLOOKUP(AT12,Ctrl!$F$2894:$G$2954,2,0),0)</f>
        <v>990</v>
      </c>
      <c r="AZ12" s="64">
        <f t="shared" si="9"/>
        <v>24750</v>
      </c>
      <c r="BB12" s="1">
        <f>+SUM($AZ$4:AZ12)*0.9*1.21</f>
        <v>301380.75</v>
      </c>
      <c r="BD12" s="13"/>
    </row>
    <row r="13" spans="1:58" ht="13.5" thickBot="1" x14ac:dyDescent="0.25">
      <c r="A13" s="4">
        <v>20</v>
      </c>
      <c r="B13" s="4">
        <v>7690</v>
      </c>
      <c r="C13" s="1064" t="s">
        <v>7389</v>
      </c>
      <c r="D13" s="700">
        <f t="shared" si="0"/>
        <v>141</v>
      </c>
      <c r="E13" s="94">
        <v>25</v>
      </c>
      <c r="F13" s="94" t="str">
        <f t="shared" si="10"/>
        <v>NEGRO</v>
      </c>
      <c r="G13" s="703" t="str">
        <f t="shared" si="18"/>
        <v>ORBIS - MERTIG 84  NEGRA</v>
      </c>
      <c r="I13" s="13">
        <v>78</v>
      </c>
      <c r="J13" s="180">
        <v>220</v>
      </c>
      <c r="K13" s="1">
        <f t="shared" si="11"/>
        <v>5500</v>
      </c>
      <c r="M13" s="713"/>
      <c r="N13" s="13">
        <v>20</v>
      </c>
      <c r="O13" s="13" t="s">
        <v>20390</v>
      </c>
      <c r="P13" s="198" t="s">
        <v>20391</v>
      </c>
      <c r="Q13" s="709" t="str">
        <f t="shared" si="12"/>
        <v/>
      </c>
      <c r="R13" s="15">
        <v>50</v>
      </c>
      <c r="S13" s="94">
        <f t="shared" si="13"/>
        <v>0</v>
      </c>
      <c r="T13" s="1284" t="str">
        <f t="shared" si="14"/>
        <v/>
      </c>
      <c r="U13" s="712"/>
      <c r="V13" s="13"/>
      <c r="W13" s="180">
        <v>0</v>
      </c>
      <c r="X13" s="1">
        <f t="shared" si="1"/>
        <v>0</v>
      </c>
      <c r="Z13" s="13" t="s">
        <v>20380</v>
      </c>
      <c r="AA13" s="13">
        <v>16</v>
      </c>
      <c r="AC13" s="13">
        <f t="shared" si="15"/>
        <v>16</v>
      </c>
      <c r="AD13" s="13">
        <f t="shared" si="16"/>
        <v>16</v>
      </c>
      <c r="AE13" s="13" t="str">
        <f t="shared" si="19"/>
        <v/>
      </c>
      <c r="AI13" s="13" t="str">
        <f>IFERROR(VLOOKUP(AT13,AT14:$AT$36,1,0),"")</f>
        <v/>
      </c>
      <c r="AL13" s="7" t="str">
        <f t="shared" si="3"/>
        <v/>
      </c>
      <c r="AM13" s="177">
        <f t="shared" si="20"/>
        <v>30</v>
      </c>
      <c r="AN13" s="721">
        <f t="shared" si="4"/>
        <v>0</v>
      </c>
      <c r="AO13" s="719" t="str">
        <f t="shared" si="5"/>
        <v/>
      </c>
      <c r="AQ13" s="379">
        <v>0</v>
      </c>
      <c r="AR13" s="64">
        <f t="shared" si="17"/>
        <v>0</v>
      </c>
      <c r="AT13" s="7" t="str">
        <f t="shared" si="6"/>
        <v/>
      </c>
      <c r="AU13" s="177">
        <v>25</v>
      </c>
      <c r="AV13" s="721">
        <f t="shared" si="7"/>
        <v>0</v>
      </c>
      <c r="AW13" s="1104" t="str">
        <f t="shared" si="8"/>
        <v/>
      </c>
      <c r="AY13" s="379">
        <f>+IFERROR(VLOOKUP(AT13,Ctrl!$F$2894:$G$2954,2,0),0)</f>
        <v>0</v>
      </c>
      <c r="AZ13" s="64">
        <f t="shared" si="9"/>
        <v>0</v>
      </c>
      <c r="BB13" s="1">
        <f>+SUM($AZ$4:AZ13)*0.9*1.21</f>
        <v>301380.75</v>
      </c>
      <c r="BD13" s="13"/>
    </row>
    <row r="14" spans="1:58" ht="13.5" thickBot="1" x14ac:dyDescent="0.25">
      <c r="A14" s="4">
        <v>30</v>
      </c>
      <c r="B14" s="4">
        <v>674</v>
      </c>
      <c r="C14" s="1064" t="s">
        <v>7391</v>
      </c>
      <c r="D14" s="700">
        <f t="shared" si="0"/>
        <v>616</v>
      </c>
      <c r="E14" s="94">
        <v>25</v>
      </c>
      <c r="F14" s="94" t="str">
        <f t="shared" si="10"/>
        <v>NEGRO</v>
      </c>
      <c r="G14" s="703" t="str">
        <f t="shared" si="18"/>
        <v>PERILLA - FORNAX  Nº 3 / Nº 4</v>
      </c>
      <c r="I14" s="13">
        <v>110</v>
      </c>
      <c r="J14" s="180">
        <v>200</v>
      </c>
      <c r="K14" s="1">
        <f t="shared" si="11"/>
        <v>5000</v>
      </c>
      <c r="M14" s="713"/>
      <c r="N14" s="13">
        <v>31</v>
      </c>
      <c r="O14" s="13" t="s">
        <v>20392</v>
      </c>
      <c r="P14" s="198" t="s">
        <v>20393</v>
      </c>
      <c r="Q14" s="709" t="str">
        <f t="shared" si="12"/>
        <v/>
      </c>
      <c r="R14" s="15">
        <v>50</v>
      </c>
      <c r="S14" s="94">
        <f t="shared" si="13"/>
        <v>0</v>
      </c>
      <c r="T14" s="1284" t="str">
        <f t="shared" si="14"/>
        <v/>
      </c>
      <c r="U14" s="712"/>
      <c r="V14" s="13"/>
      <c r="W14" s="180">
        <v>0</v>
      </c>
      <c r="X14" s="1">
        <f t="shared" si="1"/>
        <v>0</v>
      </c>
      <c r="Z14" s="13" t="s">
        <v>20383</v>
      </c>
      <c r="AA14" s="13">
        <v>17</v>
      </c>
      <c r="AC14" s="13">
        <f t="shared" si="15"/>
        <v>17</v>
      </c>
      <c r="AD14" s="13">
        <f t="shared" si="16"/>
        <v>17</v>
      </c>
      <c r="AE14" s="13" t="str">
        <f t="shared" si="19"/>
        <v/>
      </c>
      <c r="AI14" s="13" t="str">
        <f>IFERROR(VLOOKUP(AT14,AT15:$AT$36,1,0),"")</f>
        <v/>
      </c>
      <c r="AL14" s="7" t="str">
        <f t="shared" si="3"/>
        <v/>
      </c>
      <c r="AM14" s="177">
        <f t="shared" si="20"/>
        <v>30</v>
      </c>
      <c r="AN14" s="721">
        <f t="shared" si="4"/>
        <v>0</v>
      </c>
      <c r="AO14" s="719" t="str">
        <f t="shared" si="5"/>
        <v/>
      </c>
      <c r="AQ14" s="379">
        <v>0</v>
      </c>
      <c r="AR14" s="64">
        <f t="shared" si="17"/>
        <v>0</v>
      </c>
      <c r="AT14" s="7" t="str">
        <f t="shared" si="6"/>
        <v/>
      </c>
      <c r="AU14" s="177">
        <v>25</v>
      </c>
      <c r="AV14" s="721">
        <f t="shared" si="7"/>
        <v>0</v>
      </c>
      <c r="AW14" s="1104" t="str">
        <f t="shared" si="8"/>
        <v/>
      </c>
      <c r="AY14" s="379">
        <f>+IFERROR(VLOOKUP(AT14,Ctrl!$F$2894:$G$2954,2,0),0)</f>
        <v>0</v>
      </c>
      <c r="AZ14" s="64">
        <f t="shared" si="9"/>
        <v>0</v>
      </c>
      <c r="BB14" s="1">
        <f>+SUM($AZ$4:AZ14)*0.9*1.21</f>
        <v>301380.75</v>
      </c>
      <c r="BD14" s="13"/>
    </row>
    <row r="15" spans="1:58" ht="13.5" thickBot="1" x14ac:dyDescent="0.25">
      <c r="A15" s="4">
        <v>31</v>
      </c>
      <c r="B15" s="4">
        <v>682</v>
      </c>
      <c r="C15" s="1064" t="s">
        <v>7393</v>
      </c>
      <c r="D15" s="700">
        <f t="shared" si="0"/>
        <v>785</v>
      </c>
      <c r="E15" s="94">
        <v>25</v>
      </c>
      <c r="F15" s="94" t="str">
        <f t="shared" si="10"/>
        <v>BLANCO</v>
      </c>
      <c r="G15" s="703" t="str">
        <f t="shared" si="18"/>
        <v>SINGER - SINGER  MACOSER GOTA CON ARO</v>
      </c>
      <c r="I15" s="13">
        <v>113</v>
      </c>
      <c r="J15" s="180">
        <v>300</v>
      </c>
      <c r="K15" s="1">
        <f t="shared" si="11"/>
        <v>7500</v>
      </c>
      <c r="M15" s="713"/>
      <c r="N15" s="13">
        <v>32</v>
      </c>
      <c r="O15" s="13" t="s">
        <v>20394</v>
      </c>
      <c r="P15" s="198" t="s">
        <v>20395</v>
      </c>
      <c r="Q15" s="709" t="str">
        <f t="shared" si="12"/>
        <v/>
      </c>
      <c r="R15" s="15">
        <v>50</v>
      </c>
      <c r="S15" s="94">
        <f t="shared" si="13"/>
        <v>0</v>
      </c>
      <c r="T15" s="1284" t="str">
        <f t="shared" si="14"/>
        <v/>
      </c>
      <c r="U15" s="712"/>
      <c r="V15" s="13"/>
      <c r="W15" s="180">
        <v>0</v>
      </c>
      <c r="X15" s="1">
        <f t="shared" si="1"/>
        <v>0</v>
      </c>
      <c r="Z15" s="13" t="s">
        <v>20383</v>
      </c>
      <c r="AA15" s="13">
        <v>18</v>
      </c>
      <c r="AC15" s="13">
        <f t="shared" si="15"/>
        <v>18</v>
      </c>
      <c r="AD15" s="13">
        <f t="shared" si="16"/>
        <v>18</v>
      </c>
      <c r="AE15" s="13" t="str">
        <f t="shared" si="19"/>
        <v/>
      </c>
      <c r="AI15" s="13" t="str">
        <f>IFERROR(VLOOKUP(AT15,AT16:$AT$36,1,0),"")</f>
        <v/>
      </c>
      <c r="AL15" s="7" t="str">
        <f t="shared" si="3"/>
        <v/>
      </c>
      <c r="AM15" s="177">
        <f t="shared" si="20"/>
        <v>30</v>
      </c>
      <c r="AN15" s="721">
        <f t="shared" si="4"/>
        <v>0</v>
      </c>
      <c r="AO15" s="719" t="str">
        <f t="shared" si="5"/>
        <v/>
      </c>
      <c r="AQ15" s="379">
        <v>0</v>
      </c>
      <c r="AR15" s="64">
        <f t="shared" si="17"/>
        <v>0</v>
      </c>
      <c r="AT15" s="7" t="str">
        <f t="shared" si="6"/>
        <v/>
      </c>
      <c r="AU15" s="177"/>
      <c r="AV15" s="721">
        <f t="shared" si="7"/>
        <v>0</v>
      </c>
      <c r="AW15" s="1104" t="str">
        <f t="shared" si="8"/>
        <v/>
      </c>
      <c r="AY15" s="379">
        <f>+IFERROR(VLOOKUP(AT15,Ctrl!$F$2894:$G$2954,2,0),0)</f>
        <v>0</v>
      </c>
      <c r="AZ15" s="64">
        <f t="shared" si="9"/>
        <v>0</v>
      </c>
      <c r="BB15" s="1">
        <f>+SUM($AZ$4:AZ15)*0.9*1.21</f>
        <v>301380.75</v>
      </c>
      <c r="BD15" s="13"/>
    </row>
    <row r="16" spans="1:58" ht="13.5" thickBot="1" x14ac:dyDescent="0.25">
      <c r="A16" s="4">
        <v>40</v>
      </c>
      <c r="B16" s="4">
        <v>483</v>
      </c>
      <c r="C16" s="1064" t="s">
        <v>20396</v>
      </c>
      <c r="D16" s="700" t="str">
        <f t="shared" si="0"/>
        <v/>
      </c>
      <c r="E16" s="94">
        <v>25</v>
      </c>
      <c r="F16" s="94">
        <f t="shared" si="10"/>
        <v>0</v>
      </c>
      <c r="G16" s="703" t="str">
        <f t="shared" si="18"/>
        <v/>
      </c>
      <c r="I16" s="13"/>
      <c r="J16" s="180">
        <v>340</v>
      </c>
      <c r="K16" s="1">
        <f t="shared" si="11"/>
        <v>8500</v>
      </c>
      <c r="M16" s="713"/>
      <c r="N16" s="13">
        <v>33</v>
      </c>
      <c r="O16" s="13" t="s">
        <v>20397</v>
      </c>
      <c r="P16" s="198" t="s">
        <v>7396</v>
      </c>
      <c r="Q16" s="709" t="str">
        <f t="shared" si="12"/>
        <v/>
      </c>
      <c r="R16" s="15">
        <v>50</v>
      </c>
      <c r="S16" s="94">
        <f t="shared" si="13"/>
        <v>0</v>
      </c>
      <c r="T16" s="1284" t="str">
        <f t="shared" si="14"/>
        <v/>
      </c>
      <c r="U16" s="712"/>
      <c r="V16" s="13"/>
      <c r="W16" s="180">
        <v>0</v>
      </c>
      <c r="X16" s="1">
        <f t="shared" si="1"/>
        <v>0</v>
      </c>
      <c r="Z16" s="13" t="s">
        <v>20383</v>
      </c>
      <c r="AA16" s="13">
        <v>20</v>
      </c>
      <c r="AC16" s="13">
        <f t="shared" si="15"/>
        <v>20</v>
      </c>
      <c r="AD16" s="13">
        <f t="shared" si="16"/>
        <v>20</v>
      </c>
      <c r="AE16" s="13" t="str">
        <f t="shared" si="19"/>
        <v/>
      </c>
      <c r="AI16" s="13" t="str">
        <f>IFERROR(VLOOKUP(AT16,AT17:$AT$36,1,0),"")</f>
        <v/>
      </c>
      <c r="AL16" s="7" t="str">
        <f t="shared" si="3"/>
        <v/>
      </c>
      <c r="AM16" s="177">
        <f t="shared" si="20"/>
        <v>30</v>
      </c>
      <c r="AN16" s="721">
        <f t="shared" si="4"/>
        <v>0</v>
      </c>
      <c r="AO16" s="719" t="str">
        <f t="shared" si="5"/>
        <v/>
      </c>
      <c r="AQ16" s="379">
        <v>0</v>
      </c>
      <c r="AR16" s="64">
        <f t="shared" si="17"/>
        <v>0</v>
      </c>
      <c r="AT16" s="7" t="str">
        <f t="shared" si="6"/>
        <v/>
      </c>
      <c r="AU16" s="177"/>
      <c r="AV16" s="721">
        <f t="shared" si="7"/>
        <v>0</v>
      </c>
      <c r="AW16" s="1104" t="str">
        <f t="shared" si="8"/>
        <v/>
      </c>
      <c r="AY16" s="379">
        <f>+IFERROR(VLOOKUP(AT16,Ctrl!$F$2894:$G$2954,2,0),0)</f>
        <v>0</v>
      </c>
      <c r="AZ16" s="64">
        <f t="shared" si="9"/>
        <v>0</v>
      </c>
      <c r="BB16" s="1">
        <f>+SUM($AZ$4:AZ16)*0.9*1.21</f>
        <v>301380.75</v>
      </c>
    </row>
    <row r="17" spans="1:56" ht="13.5" thickBot="1" x14ac:dyDescent="0.25">
      <c r="A17" s="4">
        <v>50</v>
      </c>
      <c r="B17" s="4">
        <v>662</v>
      </c>
      <c r="C17" s="1064" t="s">
        <v>7400</v>
      </c>
      <c r="D17" s="700" t="str">
        <f t="shared" si="0"/>
        <v/>
      </c>
      <c r="E17" s="94">
        <v>25</v>
      </c>
      <c r="F17" s="94">
        <f t="shared" si="10"/>
        <v>0</v>
      </c>
      <c r="G17" s="703" t="str">
        <f t="shared" si="18"/>
        <v/>
      </c>
      <c r="I17" s="13"/>
      <c r="J17" s="180">
        <v>380</v>
      </c>
      <c r="K17" s="1">
        <f t="shared" si="11"/>
        <v>9500</v>
      </c>
      <c r="M17" s="713"/>
      <c r="N17" s="13">
        <v>40</v>
      </c>
      <c r="O17" s="13">
        <v>5874</v>
      </c>
      <c r="P17" s="198" t="s">
        <v>20398</v>
      </c>
      <c r="Q17" s="709" t="str">
        <f t="shared" si="12"/>
        <v/>
      </c>
      <c r="R17" s="15">
        <v>50</v>
      </c>
      <c r="S17" s="94">
        <f t="shared" si="13"/>
        <v>0</v>
      </c>
      <c r="T17" s="1284" t="str">
        <f t="shared" si="14"/>
        <v/>
      </c>
      <c r="U17" s="712"/>
      <c r="V17" s="13"/>
      <c r="W17" s="180">
        <v>0</v>
      </c>
      <c r="X17" s="1">
        <f t="shared" si="1"/>
        <v>0</v>
      </c>
      <c r="Z17" s="13" t="s">
        <v>20380</v>
      </c>
      <c r="AA17" s="13">
        <v>30</v>
      </c>
      <c r="AC17" s="13">
        <f t="shared" si="15"/>
        <v>30</v>
      </c>
      <c r="AD17" s="13" t="str">
        <f t="shared" si="16"/>
        <v/>
      </c>
      <c r="AE17" s="13" t="str">
        <f t="shared" si="19"/>
        <v/>
      </c>
      <c r="AI17" s="13" t="str">
        <f>IFERROR(VLOOKUP(AT17,AT18:$AT$36,1,0),"")</f>
        <v/>
      </c>
      <c r="AL17" s="7" t="str">
        <f t="shared" si="3"/>
        <v/>
      </c>
      <c r="AM17" s="177">
        <f t="shared" si="20"/>
        <v>30</v>
      </c>
      <c r="AN17" s="721">
        <f t="shared" si="4"/>
        <v>0</v>
      </c>
      <c r="AO17" s="719" t="str">
        <f t="shared" si="5"/>
        <v/>
      </c>
      <c r="AQ17" s="379">
        <v>0</v>
      </c>
      <c r="AR17" s="64">
        <f t="shared" si="17"/>
        <v>0</v>
      </c>
      <c r="AT17" s="7" t="str">
        <f t="shared" si="6"/>
        <v/>
      </c>
      <c r="AU17" s="177"/>
      <c r="AV17" s="721">
        <f t="shared" si="7"/>
        <v>0</v>
      </c>
      <c r="AW17" s="1104" t="str">
        <f t="shared" si="8"/>
        <v/>
      </c>
      <c r="AY17" s="379">
        <f>+IFERROR(VLOOKUP(AT17,Ctrl!$F$2894:$G$2954,2,0),0)</f>
        <v>0</v>
      </c>
      <c r="AZ17" s="64">
        <f t="shared" si="9"/>
        <v>0</v>
      </c>
      <c r="BB17" s="1">
        <f>+SUM($AZ$4:AZ17)*0.9*1.21</f>
        <v>301380.75</v>
      </c>
    </row>
    <row r="18" spans="1:56" ht="13.5" thickBot="1" x14ac:dyDescent="0.25">
      <c r="A18" s="4">
        <v>51</v>
      </c>
      <c r="B18" s="4">
        <v>722</v>
      </c>
      <c r="C18" s="1064" t="s">
        <v>7402</v>
      </c>
      <c r="D18" s="700" t="str">
        <f t="shared" si="0"/>
        <v/>
      </c>
      <c r="E18" s="94">
        <v>25</v>
      </c>
      <c r="F18" s="94">
        <f t="shared" si="10"/>
        <v>0</v>
      </c>
      <c r="G18" s="703" t="str">
        <f t="shared" si="18"/>
        <v/>
      </c>
      <c r="I18" s="13"/>
      <c r="J18" s="180">
        <v>350</v>
      </c>
      <c r="K18" s="1">
        <f t="shared" si="11"/>
        <v>8750</v>
      </c>
      <c r="M18" s="713"/>
      <c r="N18" s="13">
        <v>50</v>
      </c>
      <c r="O18" s="13" t="s">
        <v>20399</v>
      </c>
      <c r="P18" s="198" t="s">
        <v>20400</v>
      </c>
      <c r="Q18" s="709" t="str">
        <f t="shared" si="12"/>
        <v/>
      </c>
      <c r="R18" s="15">
        <v>50</v>
      </c>
      <c r="S18" s="94">
        <f t="shared" si="13"/>
        <v>0</v>
      </c>
      <c r="T18" s="1284" t="str">
        <f t="shared" si="14"/>
        <v/>
      </c>
      <c r="U18" s="712"/>
      <c r="V18" s="13"/>
      <c r="W18" s="180">
        <v>0</v>
      </c>
      <c r="X18" s="1">
        <f t="shared" si="1"/>
        <v>0</v>
      </c>
      <c r="Z18" s="13" t="s">
        <v>20380</v>
      </c>
      <c r="AA18" s="13">
        <v>31</v>
      </c>
      <c r="AC18" s="13">
        <f t="shared" si="15"/>
        <v>31</v>
      </c>
      <c r="AD18" s="13">
        <f t="shared" si="16"/>
        <v>31</v>
      </c>
      <c r="AE18" s="13" t="str">
        <f t="shared" si="19"/>
        <v/>
      </c>
      <c r="AI18" s="13" t="str">
        <f>IFERROR(VLOOKUP(AT18,AT19:$AT$36,1,0),"")</f>
        <v/>
      </c>
      <c r="AL18" s="7" t="str">
        <f t="shared" si="3"/>
        <v/>
      </c>
      <c r="AM18" s="177">
        <f t="shared" si="20"/>
        <v>30</v>
      </c>
      <c r="AN18" s="721">
        <f t="shared" si="4"/>
        <v>0</v>
      </c>
      <c r="AO18" s="719" t="str">
        <f t="shared" si="5"/>
        <v/>
      </c>
      <c r="AQ18" s="379">
        <v>0</v>
      </c>
      <c r="AR18" s="64">
        <f t="shared" si="17"/>
        <v>0</v>
      </c>
      <c r="AT18" s="7" t="str">
        <f t="shared" si="6"/>
        <v/>
      </c>
      <c r="AU18" s="177"/>
      <c r="AV18" s="721">
        <f t="shared" si="7"/>
        <v>0</v>
      </c>
      <c r="AW18" s="1104" t="str">
        <f t="shared" si="8"/>
        <v/>
      </c>
      <c r="AY18" s="379">
        <f>+IFERROR(VLOOKUP(AT18,Ctrl!$F$2894:$G$2954,2,0),0)</f>
        <v>0</v>
      </c>
      <c r="AZ18" s="64">
        <f t="shared" si="9"/>
        <v>0</v>
      </c>
      <c r="BB18" s="1">
        <f>+SUM($AZ$4:AZ18)*0.9*1.21</f>
        <v>301380.75</v>
      </c>
    </row>
    <row r="19" spans="1:56" ht="13.5" thickBot="1" x14ac:dyDescent="0.25">
      <c r="A19" s="499">
        <v>52</v>
      </c>
      <c r="B19" s="499">
        <v>587</v>
      </c>
      <c r="C19" s="1064" t="s">
        <v>7404</v>
      </c>
      <c r="D19" s="700" t="str">
        <f t="shared" si="0"/>
        <v/>
      </c>
      <c r="E19" s="94">
        <v>25</v>
      </c>
      <c r="F19" s="94">
        <f t="shared" si="10"/>
        <v>0</v>
      </c>
      <c r="G19" s="703" t="str">
        <f t="shared" si="18"/>
        <v/>
      </c>
      <c r="I19" s="13"/>
      <c r="J19" s="180">
        <v>350</v>
      </c>
      <c r="K19" s="1">
        <f t="shared" si="11"/>
        <v>8750</v>
      </c>
      <c r="M19" s="713"/>
      <c r="N19" s="13">
        <v>51</v>
      </c>
      <c r="O19" s="13" t="s">
        <v>20401</v>
      </c>
      <c r="P19" s="198" t="s">
        <v>20402</v>
      </c>
      <c r="Q19" s="709" t="str">
        <f t="shared" si="12"/>
        <v/>
      </c>
      <c r="R19" s="15">
        <v>50</v>
      </c>
      <c r="S19" s="94">
        <f t="shared" si="13"/>
        <v>0</v>
      </c>
      <c r="T19" s="1284" t="str">
        <f t="shared" si="14"/>
        <v/>
      </c>
      <c r="U19" s="712"/>
      <c r="V19" s="13"/>
      <c r="W19" s="180">
        <v>0</v>
      </c>
      <c r="X19" s="1">
        <f t="shared" si="1"/>
        <v>0</v>
      </c>
      <c r="Z19" s="13" t="s">
        <v>20375</v>
      </c>
      <c r="AA19" s="13">
        <v>32</v>
      </c>
      <c r="AC19" s="13">
        <f t="shared" si="15"/>
        <v>32</v>
      </c>
      <c r="AD19" s="13">
        <f t="shared" si="16"/>
        <v>32</v>
      </c>
      <c r="AE19" s="13" t="str">
        <f t="shared" si="19"/>
        <v/>
      </c>
      <c r="AI19" s="13" t="str">
        <f>IFERROR(VLOOKUP(AT19,AT20:$AT$36,1,0),"")</f>
        <v/>
      </c>
      <c r="AL19" s="7" t="str">
        <f t="shared" si="3"/>
        <v/>
      </c>
      <c r="AM19" s="177">
        <f t="shared" si="20"/>
        <v>30</v>
      </c>
      <c r="AN19" s="721">
        <f t="shared" si="4"/>
        <v>0</v>
      </c>
      <c r="AO19" s="719" t="str">
        <f t="shared" si="5"/>
        <v/>
      </c>
      <c r="AQ19" s="379">
        <v>0</v>
      </c>
      <c r="AR19" s="64">
        <f t="shared" si="17"/>
        <v>0</v>
      </c>
      <c r="AT19" s="7" t="str">
        <f t="shared" si="6"/>
        <v/>
      </c>
      <c r="AU19" s="177"/>
      <c r="AV19" s="721">
        <f t="shared" si="7"/>
        <v>0</v>
      </c>
      <c r="AW19" s="1104" t="str">
        <f t="shared" si="8"/>
        <v/>
      </c>
      <c r="AY19" s="379">
        <f>+IFERROR(VLOOKUP(AT19,Ctrl!$F$2894:$G$2954,2,0),0)</f>
        <v>0</v>
      </c>
      <c r="AZ19" s="64">
        <f t="shared" si="9"/>
        <v>0</v>
      </c>
      <c r="BB19" s="1">
        <f>+SUM($AZ$4:AZ19)*0.9*1.21</f>
        <v>301380.75</v>
      </c>
    </row>
    <row r="20" spans="1:56" ht="13.5" thickBot="1" x14ac:dyDescent="0.25">
      <c r="A20" s="4">
        <v>54</v>
      </c>
      <c r="B20" s="4">
        <v>392</v>
      </c>
      <c r="C20" s="1064" t="s">
        <v>7408</v>
      </c>
      <c r="D20" s="700" t="str">
        <f t="shared" si="0"/>
        <v/>
      </c>
      <c r="E20" s="94">
        <v>25</v>
      </c>
      <c r="F20" s="94">
        <f t="shared" si="10"/>
        <v>0</v>
      </c>
      <c r="G20" s="703" t="str">
        <f t="shared" si="18"/>
        <v/>
      </c>
      <c r="I20" s="13"/>
      <c r="J20" s="180">
        <v>370</v>
      </c>
      <c r="K20" s="1">
        <f t="shared" si="11"/>
        <v>9250</v>
      </c>
      <c r="M20" s="713"/>
      <c r="N20" s="13">
        <v>52</v>
      </c>
      <c r="O20" s="13" t="s">
        <v>20403</v>
      </c>
      <c r="P20" s="198" t="s">
        <v>20404</v>
      </c>
      <c r="Q20" s="709" t="str">
        <f t="shared" si="12"/>
        <v/>
      </c>
      <c r="R20" s="15">
        <v>50</v>
      </c>
      <c r="S20" s="94">
        <f t="shared" si="13"/>
        <v>0</v>
      </c>
      <c r="T20" s="1284" t="str">
        <f t="shared" si="14"/>
        <v/>
      </c>
      <c r="U20" s="712"/>
      <c r="V20" s="13"/>
      <c r="W20" s="180">
        <v>0</v>
      </c>
      <c r="X20" s="1">
        <f t="shared" si="1"/>
        <v>0</v>
      </c>
      <c r="Z20" s="13" t="s">
        <v>20371</v>
      </c>
      <c r="AA20" s="13">
        <v>33</v>
      </c>
      <c r="AC20" s="13">
        <f t="shared" si="15"/>
        <v>33</v>
      </c>
      <c r="AD20" s="13">
        <f t="shared" si="16"/>
        <v>33</v>
      </c>
      <c r="AE20" s="13" t="str">
        <f t="shared" si="19"/>
        <v/>
      </c>
      <c r="AI20" s="13" t="str">
        <f>IFERROR(VLOOKUP(AT20,AT21:$AT$36,1,0),"")</f>
        <v/>
      </c>
      <c r="AL20" s="7" t="str">
        <f t="shared" si="3"/>
        <v/>
      </c>
      <c r="AM20" s="177">
        <f t="shared" si="20"/>
        <v>30</v>
      </c>
      <c r="AN20" s="721">
        <f t="shared" si="4"/>
        <v>0</v>
      </c>
      <c r="AO20" s="719" t="str">
        <f t="shared" si="5"/>
        <v/>
      </c>
      <c r="AQ20" s="379">
        <v>0</v>
      </c>
      <c r="AR20" s="64">
        <f t="shared" si="17"/>
        <v>0</v>
      </c>
      <c r="AT20" s="7" t="str">
        <f t="shared" si="6"/>
        <v/>
      </c>
      <c r="AU20" s="177"/>
      <c r="AV20" s="721">
        <f t="shared" si="7"/>
        <v>0</v>
      </c>
      <c r="AW20" s="1104" t="str">
        <f t="shared" si="8"/>
        <v/>
      </c>
      <c r="AY20" s="379">
        <f>+IFERROR(VLOOKUP(AT20,Ctrl!$F$2894:$G$2954,2,0),0)</f>
        <v>0</v>
      </c>
      <c r="AZ20" s="64">
        <f t="shared" si="9"/>
        <v>0</v>
      </c>
      <c r="BB20" s="1">
        <f>+SUM($AZ$4:AZ20)*0.9*1.21</f>
        <v>301380.75</v>
      </c>
    </row>
    <row r="21" spans="1:56" ht="13.5" thickBot="1" x14ac:dyDescent="0.25">
      <c r="A21" s="4">
        <v>70</v>
      </c>
      <c r="B21" s="4">
        <v>741</v>
      </c>
      <c r="C21" s="1064" t="s">
        <v>20405</v>
      </c>
      <c r="D21" s="700" t="str">
        <f t="shared" si="0"/>
        <v/>
      </c>
      <c r="E21" s="94">
        <v>25</v>
      </c>
      <c r="F21" s="94">
        <f t="shared" si="10"/>
        <v>0</v>
      </c>
      <c r="G21" s="703" t="str">
        <f t="shared" si="18"/>
        <v/>
      </c>
      <c r="I21" s="13"/>
      <c r="J21" s="180">
        <v>250</v>
      </c>
      <c r="K21" s="1">
        <f t="shared" si="11"/>
        <v>6250</v>
      </c>
      <c r="M21" s="713"/>
      <c r="N21" s="13">
        <v>53</v>
      </c>
      <c r="O21" s="13" t="s">
        <v>20406</v>
      </c>
      <c r="P21" s="198" t="s">
        <v>20407</v>
      </c>
      <c r="Q21" s="709" t="str">
        <f t="shared" si="12"/>
        <v/>
      </c>
      <c r="R21" s="15">
        <v>50</v>
      </c>
      <c r="S21" s="715" t="s">
        <v>20383</v>
      </c>
      <c r="T21" s="1284" t="str">
        <f t="shared" si="14"/>
        <v/>
      </c>
      <c r="U21" s="712"/>
      <c r="V21" s="13"/>
      <c r="W21" s="180">
        <v>0</v>
      </c>
      <c r="X21" s="1">
        <f t="shared" si="1"/>
        <v>0</v>
      </c>
      <c r="Z21" s="13" t="s">
        <v>20375</v>
      </c>
      <c r="AA21" s="13">
        <v>40</v>
      </c>
      <c r="AC21" s="13">
        <f t="shared" si="15"/>
        <v>40</v>
      </c>
      <c r="AD21" s="13">
        <f t="shared" si="16"/>
        <v>40</v>
      </c>
      <c r="AE21" s="13" t="str">
        <f t="shared" si="19"/>
        <v/>
      </c>
      <c r="AI21" s="13" t="str">
        <f>IFERROR(VLOOKUP(AT21,AT22:$AT$36,1,0),"")</f>
        <v/>
      </c>
      <c r="AL21" s="7" t="str">
        <f t="shared" si="3"/>
        <v/>
      </c>
      <c r="AM21" s="177">
        <f t="shared" si="20"/>
        <v>30</v>
      </c>
      <c r="AN21" s="721">
        <f t="shared" si="4"/>
        <v>0</v>
      </c>
      <c r="AO21" s="719" t="str">
        <f t="shared" si="5"/>
        <v/>
      </c>
      <c r="AQ21" s="379">
        <v>0</v>
      </c>
      <c r="AR21" s="64">
        <f t="shared" si="17"/>
        <v>0</v>
      </c>
      <c r="AT21" s="7" t="str">
        <f t="shared" si="6"/>
        <v/>
      </c>
      <c r="AU21" s="177"/>
      <c r="AV21" s="721">
        <f t="shared" si="7"/>
        <v>0</v>
      </c>
      <c r="AW21" s="1104" t="str">
        <f t="shared" si="8"/>
        <v/>
      </c>
      <c r="AY21" s="379">
        <f>+IFERROR(VLOOKUP(AT21,Ctrl!$F$2894:$G$2954,2,0),0)</f>
        <v>0</v>
      </c>
      <c r="AZ21" s="64">
        <f t="shared" si="9"/>
        <v>0</v>
      </c>
      <c r="BB21" s="1">
        <f>+SUM($AZ$4:AZ21)*0.9*1.21</f>
        <v>301380.75</v>
      </c>
    </row>
    <row r="22" spans="1:56" ht="13.5" thickBot="1" x14ac:dyDescent="0.25">
      <c r="A22" s="4">
        <v>71</v>
      </c>
      <c r="B22" s="4">
        <v>410</v>
      </c>
      <c r="C22" s="1064" t="s">
        <v>7424</v>
      </c>
      <c r="D22" s="700" t="str">
        <f t="shared" si="0"/>
        <v/>
      </c>
      <c r="E22" s="94">
        <v>25</v>
      </c>
      <c r="F22" s="94">
        <f t="shared" si="10"/>
        <v>0</v>
      </c>
      <c r="G22" s="703" t="str">
        <f t="shared" si="18"/>
        <v/>
      </c>
      <c r="I22" s="13"/>
      <c r="J22" s="180">
        <v>240</v>
      </c>
      <c r="K22" s="1">
        <f t="shared" si="11"/>
        <v>6000</v>
      </c>
      <c r="M22" s="713"/>
      <c r="N22" s="13">
        <v>54</v>
      </c>
      <c r="O22" s="13" t="s">
        <v>20408</v>
      </c>
      <c r="P22" s="198" t="s">
        <v>20409</v>
      </c>
      <c r="Q22" s="709" t="str">
        <f t="shared" si="12"/>
        <v/>
      </c>
      <c r="R22" s="15">
        <v>50</v>
      </c>
      <c r="S22" s="94">
        <f t="shared" si="13"/>
        <v>0</v>
      </c>
      <c r="T22" s="1284" t="str">
        <f t="shared" si="14"/>
        <v/>
      </c>
      <c r="U22" s="712"/>
      <c r="V22" s="13"/>
      <c r="W22" s="180">
        <v>0</v>
      </c>
      <c r="X22" s="1">
        <f t="shared" si="1"/>
        <v>0</v>
      </c>
      <c r="Z22" s="13" t="s">
        <v>20380</v>
      </c>
      <c r="AA22" s="13">
        <v>50</v>
      </c>
      <c r="AC22" s="13">
        <f t="shared" si="15"/>
        <v>50</v>
      </c>
      <c r="AD22" s="13">
        <f t="shared" si="16"/>
        <v>50</v>
      </c>
      <c r="AE22" s="13" t="str">
        <f t="shared" si="19"/>
        <v/>
      </c>
      <c r="AI22" s="13" t="str">
        <f>IFERROR(VLOOKUP(AT22,AT23:$AT$36,1,0),"")</f>
        <v/>
      </c>
      <c r="AL22" s="7" t="str">
        <f t="shared" si="3"/>
        <v/>
      </c>
      <c r="AM22" s="177">
        <f t="shared" si="20"/>
        <v>30</v>
      </c>
      <c r="AN22" s="721">
        <f t="shared" si="4"/>
        <v>0</v>
      </c>
      <c r="AO22" s="719" t="str">
        <f t="shared" si="5"/>
        <v/>
      </c>
      <c r="AQ22" s="379">
        <v>0</v>
      </c>
      <c r="AR22" s="64">
        <f t="shared" si="17"/>
        <v>0</v>
      </c>
      <c r="AT22" s="7" t="str">
        <f t="shared" si="6"/>
        <v/>
      </c>
      <c r="AU22" s="177"/>
      <c r="AV22" s="721">
        <f t="shared" si="7"/>
        <v>0</v>
      </c>
      <c r="AW22" s="1104" t="str">
        <f t="shared" si="8"/>
        <v/>
      </c>
      <c r="AY22" s="379">
        <f>+IFERROR(VLOOKUP(AT22,Ctrl!$F$2894:$G$2954,2,0),0)</f>
        <v>0</v>
      </c>
      <c r="AZ22" s="64">
        <f t="shared" si="9"/>
        <v>0</v>
      </c>
      <c r="BB22" s="1">
        <f>+SUM($AZ$4:AZ22)*0.9*1.21</f>
        <v>301380.75</v>
      </c>
    </row>
    <row r="23" spans="1:56" ht="13.5" thickBot="1" x14ac:dyDescent="0.25">
      <c r="A23" s="4">
        <v>72</v>
      </c>
      <c r="B23" s="4">
        <v>422</v>
      </c>
      <c r="C23" s="1064" t="s">
        <v>7426</v>
      </c>
      <c r="D23" s="700" t="str">
        <f t="shared" si="0"/>
        <v/>
      </c>
      <c r="E23" s="94">
        <v>25</v>
      </c>
      <c r="F23" s="94">
        <f t="shared" si="10"/>
        <v>0</v>
      </c>
      <c r="G23" s="703" t="str">
        <f t="shared" si="18"/>
        <v/>
      </c>
      <c r="I23" s="13"/>
      <c r="J23" s="180">
        <v>500</v>
      </c>
      <c r="K23" s="1">
        <f t="shared" si="11"/>
        <v>12500</v>
      </c>
      <c r="M23" s="713"/>
      <c r="N23" s="13">
        <v>55</v>
      </c>
      <c r="O23" s="13" t="s">
        <v>20410</v>
      </c>
      <c r="P23" s="198" t="s">
        <v>20411</v>
      </c>
      <c r="Q23" s="709" t="str">
        <f t="shared" si="12"/>
        <v/>
      </c>
      <c r="R23" s="15"/>
      <c r="S23" s="94">
        <f t="shared" si="13"/>
        <v>0</v>
      </c>
      <c r="T23" s="1284" t="str">
        <f t="shared" si="14"/>
        <v/>
      </c>
      <c r="U23" s="712"/>
      <c r="V23" s="13"/>
      <c r="W23" s="180">
        <v>0</v>
      </c>
      <c r="X23" s="1">
        <f t="shared" si="1"/>
        <v>0</v>
      </c>
      <c r="Z23" s="13" t="s">
        <v>20375</v>
      </c>
      <c r="AA23" s="13">
        <v>51</v>
      </c>
      <c r="AC23" s="13">
        <f t="shared" si="15"/>
        <v>51</v>
      </c>
      <c r="AD23" s="13">
        <f t="shared" si="16"/>
        <v>51</v>
      </c>
      <c r="AE23" s="13" t="str">
        <f t="shared" si="19"/>
        <v/>
      </c>
      <c r="AI23" s="13" t="str">
        <f>IFERROR(VLOOKUP(AT23,AT24:$AT$36,1,0),"")</f>
        <v/>
      </c>
      <c r="AL23" s="7" t="str">
        <f t="shared" si="3"/>
        <v/>
      </c>
      <c r="AM23" s="177">
        <f t="shared" si="20"/>
        <v>30</v>
      </c>
      <c r="AN23" s="721">
        <f t="shared" si="4"/>
        <v>0</v>
      </c>
      <c r="AO23" s="719" t="str">
        <f t="shared" si="5"/>
        <v/>
      </c>
      <c r="AQ23" s="379">
        <v>0</v>
      </c>
      <c r="AR23" s="64">
        <f t="shared" si="17"/>
        <v>0</v>
      </c>
      <c r="AT23" s="7" t="str">
        <f t="shared" si="6"/>
        <v/>
      </c>
      <c r="AU23" s="177"/>
      <c r="AV23" s="721">
        <f t="shared" si="7"/>
        <v>0</v>
      </c>
      <c r="AW23" s="719" t="str">
        <f t="shared" si="8"/>
        <v/>
      </c>
      <c r="AY23" s="379">
        <f>+IFERROR(VLOOKUP(AT23,Ctrl!$F$2894:$G$2954,2,0),0)</f>
        <v>0</v>
      </c>
      <c r="AZ23" s="64">
        <f t="shared" si="9"/>
        <v>0</v>
      </c>
      <c r="BB23" s="1">
        <f>+SUM($AZ$4:AZ23)*0.9*1.21</f>
        <v>301380.75</v>
      </c>
    </row>
    <row r="24" spans="1:56" ht="13.5" thickBot="1" x14ac:dyDescent="0.25">
      <c r="A24" s="4">
        <v>73</v>
      </c>
      <c r="B24" s="4">
        <v>714</v>
      </c>
      <c r="C24" s="1064" t="s">
        <v>7428</v>
      </c>
      <c r="D24" s="700" t="str">
        <f t="shared" si="0"/>
        <v/>
      </c>
      <c r="E24" s="94">
        <v>25</v>
      </c>
      <c r="F24" s="94">
        <f t="shared" si="10"/>
        <v>0</v>
      </c>
      <c r="G24" s="703" t="str">
        <f t="shared" si="18"/>
        <v/>
      </c>
      <c r="I24" s="13"/>
      <c r="J24" s="180">
        <v>460</v>
      </c>
      <c r="K24" s="1">
        <f t="shared" si="11"/>
        <v>11500</v>
      </c>
      <c r="M24" s="713"/>
      <c r="N24" s="13">
        <v>56</v>
      </c>
      <c r="O24" s="13" t="s">
        <v>20412</v>
      </c>
      <c r="P24" s="198" t="s">
        <v>20413</v>
      </c>
      <c r="Q24" s="709" t="str">
        <f t="shared" si="12"/>
        <v/>
      </c>
      <c r="R24" s="15">
        <v>50</v>
      </c>
      <c r="S24" s="94">
        <f t="shared" si="13"/>
        <v>0</v>
      </c>
      <c r="T24" s="1284" t="str">
        <f t="shared" si="14"/>
        <v/>
      </c>
      <c r="U24" s="712"/>
      <c r="V24" s="13"/>
      <c r="W24" s="180">
        <v>0</v>
      </c>
      <c r="X24" s="1">
        <f t="shared" si="1"/>
        <v>0</v>
      </c>
      <c r="Z24" s="13" t="s">
        <v>20380</v>
      </c>
      <c r="AA24" s="13">
        <v>52</v>
      </c>
      <c r="AC24" s="13">
        <f t="shared" si="15"/>
        <v>52</v>
      </c>
      <c r="AD24" s="13">
        <f t="shared" si="16"/>
        <v>52</v>
      </c>
      <c r="AE24" s="13" t="str">
        <f t="shared" si="19"/>
        <v/>
      </c>
      <c r="AI24" s="13" t="str">
        <f>IFERROR(VLOOKUP(AT24,AT25:$AT$36,1,0),"")</f>
        <v/>
      </c>
      <c r="AL24" s="7" t="str">
        <f t="shared" si="3"/>
        <v/>
      </c>
      <c r="AM24" s="177">
        <f t="shared" si="20"/>
        <v>30</v>
      </c>
      <c r="AN24" s="721">
        <f t="shared" si="4"/>
        <v>0</v>
      </c>
      <c r="AO24" s="719" t="str">
        <f t="shared" si="5"/>
        <v/>
      </c>
      <c r="AQ24" s="379">
        <v>0</v>
      </c>
      <c r="AR24" s="64">
        <f t="shared" si="17"/>
        <v>0</v>
      </c>
      <c r="AT24" s="7" t="str">
        <f t="shared" si="6"/>
        <v/>
      </c>
      <c r="AU24" s="177"/>
      <c r="AV24" s="721">
        <f t="shared" si="7"/>
        <v>0</v>
      </c>
      <c r="AW24" s="719" t="str">
        <f t="shared" si="8"/>
        <v/>
      </c>
      <c r="AY24" s="379">
        <f>+IFERROR(VLOOKUP(AT24,Ctrl!$F$2894:$G$2954,2,0),0)</f>
        <v>0</v>
      </c>
      <c r="AZ24" s="64">
        <f t="shared" si="9"/>
        <v>0</v>
      </c>
      <c r="BB24" s="1">
        <f>+SUM($AZ$4:AZ24)*0.9*1.21</f>
        <v>301380.75</v>
      </c>
      <c r="BD24" s="1154"/>
    </row>
    <row r="25" spans="1:56" ht="13.5" thickBot="1" x14ac:dyDescent="0.25">
      <c r="A25" s="4">
        <v>74</v>
      </c>
      <c r="B25" s="4">
        <v>143</v>
      </c>
      <c r="C25" s="1064" t="s">
        <v>7430</v>
      </c>
      <c r="D25" s="700" t="str">
        <f t="shared" si="0"/>
        <v/>
      </c>
      <c r="E25" s="94">
        <v>25</v>
      </c>
      <c r="F25" s="94">
        <f t="shared" si="10"/>
        <v>0</v>
      </c>
      <c r="G25" s="703" t="str">
        <f t="shared" si="18"/>
        <v/>
      </c>
      <c r="I25" s="13"/>
      <c r="J25" s="180">
        <v>300</v>
      </c>
      <c r="K25" s="1">
        <f t="shared" si="11"/>
        <v>7500</v>
      </c>
      <c r="M25" s="713"/>
      <c r="N25" s="13">
        <v>57</v>
      </c>
      <c r="O25" s="13" t="s">
        <v>20414</v>
      </c>
      <c r="P25" s="198" t="s">
        <v>20415</v>
      </c>
      <c r="Q25" s="709" t="str">
        <f t="shared" si="12"/>
        <v/>
      </c>
      <c r="R25" s="15">
        <v>100</v>
      </c>
      <c r="S25" s="94">
        <f t="shared" si="13"/>
        <v>0</v>
      </c>
      <c r="T25" s="1284" t="str">
        <f t="shared" si="14"/>
        <v/>
      </c>
      <c r="U25" s="712"/>
      <c r="V25" s="13"/>
      <c r="W25" s="180">
        <v>0</v>
      </c>
      <c r="X25" s="1">
        <f t="shared" si="1"/>
        <v>0</v>
      </c>
      <c r="Z25" s="13" t="s">
        <v>20371</v>
      </c>
      <c r="AA25" s="13">
        <v>53</v>
      </c>
      <c r="AC25" s="13">
        <f t="shared" si="15"/>
        <v>53</v>
      </c>
      <c r="AD25" s="13">
        <f t="shared" si="16"/>
        <v>53</v>
      </c>
      <c r="AE25" s="13" t="str">
        <f t="shared" si="19"/>
        <v/>
      </c>
      <c r="AI25" s="13" t="str">
        <f>IFERROR(VLOOKUP(AT25,AT26:$AT$36,1,0),"")</f>
        <v/>
      </c>
      <c r="AL25" s="7" t="str">
        <f t="shared" si="3"/>
        <v/>
      </c>
      <c r="AM25" s="177">
        <f t="shared" si="20"/>
        <v>30</v>
      </c>
      <c r="AN25" s="721">
        <f t="shared" si="4"/>
        <v>0</v>
      </c>
      <c r="AO25" s="719" t="str">
        <f t="shared" si="5"/>
        <v/>
      </c>
      <c r="AQ25" s="379">
        <v>0</v>
      </c>
      <c r="AR25" s="64">
        <f t="shared" si="17"/>
        <v>0</v>
      </c>
      <c r="AT25" s="7" t="str">
        <f t="shared" si="6"/>
        <v/>
      </c>
      <c r="AU25" s="177"/>
      <c r="AV25" s="721">
        <f t="shared" si="7"/>
        <v>0</v>
      </c>
      <c r="AW25" s="719" t="str">
        <f t="shared" si="8"/>
        <v/>
      </c>
      <c r="AY25" s="379">
        <f>+IFERROR(VLOOKUP(AT25,Ctrl!$F$2894:$G$2954,2,0),0)</f>
        <v>0</v>
      </c>
      <c r="AZ25" s="64">
        <f t="shared" si="9"/>
        <v>0</v>
      </c>
      <c r="BB25" s="1">
        <f>+SUM($AZ$4:AZ25)*0.9*1.21</f>
        <v>301380.75</v>
      </c>
    </row>
    <row r="26" spans="1:56" ht="13.5" thickBot="1" x14ac:dyDescent="0.25">
      <c r="A26" s="4">
        <v>75</v>
      </c>
      <c r="B26" s="4">
        <v>140</v>
      </c>
      <c r="C26" s="1064" t="s">
        <v>7432</v>
      </c>
      <c r="D26" s="700" t="str">
        <f t="shared" si="0"/>
        <v/>
      </c>
      <c r="E26" s="94">
        <v>25</v>
      </c>
      <c r="F26" s="94">
        <f t="shared" si="10"/>
        <v>0</v>
      </c>
      <c r="G26" s="703" t="str">
        <f t="shared" si="18"/>
        <v/>
      </c>
      <c r="I26" s="13"/>
      <c r="J26" s="180">
        <v>340</v>
      </c>
      <c r="K26" s="1">
        <f t="shared" si="11"/>
        <v>8500</v>
      </c>
      <c r="M26" s="713"/>
      <c r="N26" s="13">
        <v>58</v>
      </c>
      <c r="O26" s="13" t="s">
        <v>20416</v>
      </c>
      <c r="P26" s="198" t="s">
        <v>20417</v>
      </c>
      <c r="Q26" s="709" t="str">
        <f t="shared" si="12"/>
        <v/>
      </c>
      <c r="R26" s="15">
        <v>50</v>
      </c>
      <c r="S26" s="94">
        <f t="shared" si="13"/>
        <v>0</v>
      </c>
      <c r="T26" s="1284" t="str">
        <f t="shared" si="14"/>
        <v/>
      </c>
      <c r="U26" s="712"/>
      <c r="V26" s="13"/>
      <c r="W26" s="180">
        <v>0</v>
      </c>
      <c r="X26" s="1">
        <f t="shared" si="1"/>
        <v>0</v>
      </c>
      <c r="Z26" s="13" t="s">
        <v>20380</v>
      </c>
      <c r="AA26" s="13">
        <v>54</v>
      </c>
      <c r="AC26" s="13">
        <f t="shared" si="15"/>
        <v>54</v>
      </c>
      <c r="AD26" s="13">
        <f t="shared" si="16"/>
        <v>54</v>
      </c>
      <c r="AE26" s="13" t="str">
        <f t="shared" si="19"/>
        <v/>
      </c>
      <c r="AL26" s="7" t="str">
        <f t="shared" si="3"/>
        <v/>
      </c>
      <c r="AM26" s="177">
        <f t="shared" si="20"/>
        <v>30</v>
      </c>
      <c r="AN26" s="721">
        <f t="shared" si="4"/>
        <v>0</v>
      </c>
      <c r="AO26" s="719" t="str">
        <f t="shared" si="5"/>
        <v/>
      </c>
      <c r="AQ26" s="379">
        <v>0</v>
      </c>
      <c r="AR26" s="64">
        <f t="shared" si="17"/>
        <v>0</v>
      </c>
      <c r="AT26" s="7" t="str">
        <f t="shared" si="6"/>
        <v/>
      </c>
      <c r="AU26" s="177"/>
      <c r="AV26" s="721">
        <f t="shared" si="7"/>
        <v>0</v>
      </c>
      <c r="AW26" s="719" t="str">
        <f t="shared" si="8"/>
        <v/>
      </c>
      <c r="AY26" s="379">
        <f>+IFERROR(VLOOKUP(AT26,Ctrl!$F$2894:$G$2954,2,0),0)</f>
        <v>0</v>
      </c>
      <c r="AZ26" s="64">
        <f t="shared" si="9"/>
        <v>0</v>
      </c>
      <c r="BB26" s="1">
        <f>+SUM($AZ$4:AZ26)*0.9*1.21</f>
        <v>301380.75</v>
      </c>
    </row>
    <row r="27" spans="1:56" ht="13.5" thickBot="1" x14ac:dyDescent="0.25">
      <c r="A27" s="4">
        <v>76</v>
      </c>
      <c r="B27" s="4">
        <v>717</v>
      </c>
      <c r="C27" s="1064" t="s">
        <v>7434</v>
      </c>
      <c r="D27" s="700" t="str">
        <f t="shared" si="0"/>
        <v/>
      </c>
      <c r="E27" s="94">
        <v>25</v>
      </c>
      <c r="F27" s="94">
        <f t="shared" si="10"/>
        <v>0</v>
      </c>
      <c r="G27" s="703" t="str">
        <f t="shared" si="18"/>
        <v/>
      </c>
      <c r="I27" s="13"/>
      <c r="J27" s="180">
        <v>450</v>
      </c>
      <c r="K27" s="1">
        <f t="shared" si="11"/>
        <v>11250</v>
      </c>
      <c r="M27" s="713"/>
      <c r="N27" s="13">
        <v>59</v>
      </c>
      <c r="O27" s="13" t="s">
        <v>20418</v>
      </c>
      <c r="P27" s="198" t="s">
        <v>20419</v>
      </c>
      <c r="Q27" s="709" t="str">
        <f t="shared" si="12"/>
        <v/>
      </c>
      <c r="R27" s="15">
        <v>50</v>
      </c>
      <c r="S27" s="94">
        <f t="shared" si="13"/>
        <v>0</v>
      </c>
      <c r="T27" s="1284" t="str">
        <f t="shared" si="14"/>
        <v/>
      </c>
      <c r="U27" s="712"/>
      <c r="V27" s="13"/>
      <c r="W27" s="180">
        <v>0</v>
      </c>
      <c r="X27" s="1">
        <f t="shared" si="1"/>
        <v>0</v>
      </c>
      <c r="Z27" s="13" t="s">
        <v>20371</v>
      </c>
      <c r="AA27" s="13">
        <v>55</v>
      </c>
      <c r="AC27" s="13">
        <f t="shared" si="15"/>
        <v>55</v>
      </c>
      <c r="AD27" s="13">
        <f t="shared" si="16"/>
        <v>55</v>
      </c>
      <c r="AE27" s="13" t="str">
        <f t="shared" si="19"/>
        <v/>
      </c>
      <c r="AL27" s="7" t="str">
        <f t="shared" si="3"/>
        <v/>
      </c>
      <c r="AM27" s="177">
        <f t="shared" si="20"/>
        <v>30</v>
      </c>
      <c r="AN27" s="721">
        <f t="shared" si="4"/>
        <v>0</v>
      </c>
      <c r="AO27" s="719" t="str">
        <f t="shared" si="5"/>
        <v/>
      </c>
      <c r="AQ27" s="379">
        <v>0</v>
      </c>
      <c r="AR27" s="64">
        <f t="shared" si="17"/>
        <v>0</v>
      </c>
      <c r="AT27" s="7" t="str">
        <f t="shared" si="6"/>
        <v/>
      </c>
      <c r="AU27" s="177"/>
      <c r="AV27" s="721">
        <f t="shared" si="7"/>
        <v>0</v>
      </c>
      <c r="AW27" s="719" t="str">
        <f t="shared" si="8"/>
        <v/>
      </c>
      <c r="AY27" s="379">
        <f>+IFERROR(VLOOKUP(AT27,Ctrl!$F$2894:$G$2954,2,0),0)</f>
        <v>0</v>
      </c>
      <c r="AZ27" s="64">
        <f t="shared" si="9"/>
        <v>0</v>
      </c>
      <c r="BB27" s="1">
        <f>+SUM($AZ$4:AZ27)*0.9*1.21</f>
        <v>301380.75</v>
      </c>
    </row>
    <row r="28" spans="1:56" ht="13.5" thickBot="1" x14ac:dyDescent="0.25">
      <c r="A28" s="4">
        <v>81</v>
      </c>
      <c r="B28" s="4">
        <v>539</v>
      </c>
      <c r="C28" s="1064" t="s">
        <v>7441</v>
      </c>
      <c r="D28" s="700" t="str">
        <f t="shared" si="0"/>
        <v/>
      </c>
      <c r="E28" s="94">
        <v>25</v>
      </c>
      <c r="F28" s="94">
        <f t="shared" si="10"/>
        <v>0</v>
      </c>
      <c r="G28" s="703" t="str">
        <f t="shared" si="18"/>
        <v/>
      </c>
      <c r="I28" s="13"/>
      <c r="J28" s="180">
        <v>440</v>
      </c>
      <c r="K28" s="1">
        <f t="shared" si="11"/>
        <v>11000</v>
      </c>
      <c r="M28" s="713"/>
      <c r="N28" s="13">
        <v>60</v>
      </c>
      <c r="O28" s="13" t="s">
        <v>20420</v>
      </c>
      <c r="P28" s="198" t="s">
        <v>20421</v>
      </c>
      <c r="Q28" s="709" t="str">
        <f t="shared" si="12"/>
        <v/>
      </c>
      <c r="R28" s="15">
        <v>50</v>
      </c>
      <c r="S28" s="94">
        <f t="shared" si="13"/>
        <v>0</v>
      </c>
      <c r="T28" s="1284" t="str">
        <f t="shared" si="14"/>
        <v/>
      </c>
      <c r="U28" s="712"/>
      <c r="V28" s="13"/>
      <c r="W28" s="180">
        <v>0</v>
      </c>
      <c r="X28" s="1">
        <f t="shared" si="1"/>
        <v>0</v>
      </c>
      <c r="Z28" s="13" t="s">
        <v>20380</v>
      </c>
      <c r="AA28" s="13">
        <v>56</v>
      </c>
      <c r="AC28" s="13">
        <f t="shared" si="15"/>
        <v>56</v>
      </c>
      <c r="AD28" s="13">
        <f t="shared" si="16"/>
        <v>56</v>
      </c>
      <c r="AE28" s="13" t="str">
        <f t="shared" si="19"/>
        <v/>
      </c>
      <c r="AL28" s="7" t="str">
        <f t="shared" si="3"/>
        <v/>
      </c>
      <c r="AM28" s="177">
        <f t="shared" si="20"/>
        <v>30</v>
      </c>
      <c r="AN28" s="721">
        <f t="shared" si="4"/>
        <v>0</v>
      </c>
      <c r="AO28" s="719" t="str">
        <f t="shared" si="5"/>
        <v/>
      </c>
      <c r="AQ28" s="379">
        <v>0</v>
      </c>
      <c r="AR28" s="64">
        <f t="shared" si="17"/>
        <v>0</v>
      </c>
      <c r="AT28" s="7" t="str">
        <f t="shared" si="6"/>
        <v/>
      </c>
      <c r="AU28" s="177"/>
      <c r="AV28" s="721">
        <f t="shared" si="7"/>
        <v>0</v>
      </c>
      <c r="AW28" s="719" t="str">
        <f t="shared" si="8"/>
        <v/>
      </c>
      <c r="AY28" s="379">
        <f>+IFERROR(VLOOKUP(AT28,Ctrl!$F$2894:$G$2954,2,0),0)</f>
        <v>0</v>
      </c>
      <c r="AZ28" s="64">
        <f t="shared" si="9"/>
        <v>0</v>
      </c>
      <c r="BB28" s="1">
        <f>+SUM($AZ$4:AZ28)*0.9*1.21</f>
        <v>301380.75</v>
      </c>
    </row>
    <row r="29" spans="1:56" ht="13.5" thickBot="1" x14ac:dyDescent="0.25">
      <c r="A29" s="4">
        <v>90</v>
      </c>
      <c r="B29" s="4">
        <v>157</v>
      </c>
      <c r="C29" s="1064" t="s">
        <v>7443</v>
      </c>
      <c r="D29" s="700" t="str">
        <f t="shared" si="0"/>
        <v/>
      </c>
      <c r="E29" s="94">
        <v>25</v>
      </c>
      <c r="F29" s="94">
        <f t="shared" si="10"/>
        <v>0</v>
      </c>
      <c r="G29" s="703" t="str">
        <f t="shared" si="18"/>
        <v/>
      </c>
      <c r="I29" s="13"/>
      <c r="J29" s="180">
        <v>300</v>
      </c>
      <c r="K29" s="1">
        <f t="shared" si="11"/>
        <v>7500</v>
      </c>
      <c r="M29" s="713"/>
      <c r="N29" s="13">
        <v>61</v>
      </c>
      <c r="O29" s="13" t="s">
        <v>20422</v>
      </c>
      <c r="P29" s="198" t="s">
        <v>20423</v>
      </c>
      <c r="Q29" s="709" t="str">
        <f t="shared" si="12"/>
        <v/>
      </c>
      <c r="R29" s="15">
        <v>50</v>
      </c>
      <c r="S29" s="94">
        <f t="shared" si="13"/>
        <v>0</v>
      </c>
      <c r="T29" s="1284" t="str">
        <f t="shared" si="14"/>
        <v/>
      </c>
      <c r="U29" s="712"/>
      <c r="V29" s="13"/>
      <c r="W29" s="180">
        <v>0</v>
      </c>
      <c r="X29" s="1">
        <f t="shared" si="1"/>
        <v>0</v>
      </c>
      <c r="Z29" s="13" t="s">
        <v>20380</v>
      </c>
      <c r="AA29" s="13">
        <v>57</v>
      </c>
      <c r="AC29" s="13">
        <f t="shared" si="15"/>
        <v>57</v>
      </c>
      <c r="AD29" s="13">
        <f t="shared" si="16"/>
        <v>57</v>
      </c>
      <c r="AE29" s="13" t="str">
        <f t="shared" si="19"/>
        <v/>
      </c>
      <c r="AL29" s="7" t="str">
        <f t="shared" si="3"/>
        <v/>
      </c>
      <c r="AM29" s="177">
        <f t="shared" si="20"/>
        <v>30</v>
      </c>
      <c r="AN29" s="721">
        <f t="shared" si="4"/>
        <v>0</v>
      </c>
      <c r="AO29" s="719" t="str">
        <f t="shared" si="5"/>
        <v/>
      </c>
      <c r="AQ29" s="379">
        <v>0</v>
      </c>
      <c r="AR29" s="64">
        <f t="shared" si="17"/>
        <v>0</v>
      </c>
      <c r="AT29" s="7" t="str">
        <f t="shared" si="6"/>
        <v/>
      </c>
      <c r="AU29" s="177"/>
      <c r="AV29" s="721">
        <f t="shared" si="7"/>
        <v>0</v>
      </c>
      <c r="AW29" s="719" t="str">
        <f t="shared" si="8"/>
        <v/>
      </c>
      <c r="AY29" s="379">
        <f>+IFERROR(VLOOKUP(AT29,Ctrl!$F$2894:$G$2954,2,0),0)</f>
        <v>0</v>
      </c>
      <c r="AZ29" s="64">
        <f t="shared" si="9"/>
        <v>0</v>
      </c>
      <c r="BB29" s="1">
        <f>+SUM($AZ$4:AZ29)*0.9*1.21</f>
        <v>301380.75</v>
      </c>
    </row>
    <row r="30" spans="1:56" ht="13.5" thickBot="1" x14ac:dyDescent="0.25">
      <c r="A30" s="4">
        <v>91</v>
      </c>
      <c r="B30" s="4">
        <v>158</v>
      </c>
      <c r="C30" s="1064" t="s">
        <v>7445</v>
      </c>
      <c r="D30" s="700" t="str">
        <f t="shared" si="0"/>
        <v/>
      </c>
      <c r="E30" s="94">
        <v>25</v>
      </c>
      <c r="F30" s="94">
        <f t="shared" si="10"/>
        <v>0</v>
      </c>
      <c r="G30" s="703" t="str">
        <f t="shared" si="18"/>
        <v/>
      </c>
      <c r="I30" s="13"/>
      <c r="J30" s="180">
        <v>300</v>
      </c>
      <c r="K30" s="1">
        <f t="shared" si="11"/>
        <v>7500</v>
      </c>
      <c r="M30" s="713"/>
      <c r="N30" s="13">
        <v>70</v>
      </c>
      <c r="O30" s="13" t="s">
        <v>20424</v>
      </c>
      <c r="P30" s="198" t="s">
        <v>20425</v>
      </c>
      <c r="Q30" s="709" t="str">
        <f t="shared" si="12"/>
        <v/>
      </c>
      <c r="R30" s="15">
        <v>50</v>
      </c>
      <c r="S30" s="94">
        <f t="shared" si="13"/>
        <v>0</v>
      </c>
      <c r="T30" s="1284" t="str">
        <f t="shared" si="14"/>
        <v/>
      </c>
      <c r="U30" s="712"/>
      <c r="V30" s="13"/>
      <c r="W30" s="180">
        <v>0</v>
      </c>
      <c r="X30" s="1">
        <f t="shared" si="1"/>
        <v>0</v>
      </c>
      <c r="Z30" s="13" t="s">
        <v>20383</v>
      </c>
      <c r="AA30" s="13">
        <v>58</v>
      </c>
      <c r="AC30" s="13">
        <f t="shared" si="15"/>
        <v>58</v>
      </c>
      <c r="AD30" s="13">
        <f t="shared" si="16"/>
        <v>58</v>
      </c>
      <c r="AE30" s="13" t="str">
        <f t="shared" si="19"/>
        <v/>
      </c>
      <c r="AL30" s="7" t="str">
        <f t="shared" si="3"/>
        <v/>
      </c>
      <c r="AM30" s="177">
        <f t="shared" si="20"/>
        <v>30</v>
      </c>
      <c r="AN30" s="721">
        <f t="shared" si="4"/>
        <v>0</v>
      </c>
      <c r="AO30" s="719" t="str">
        <f t="shared" si="5"/>
        <v/>
      </c>
      <c r="AQ30" s="379">
        <v>0</v>
      </c>
      <c r="AR30" s="64">
        <f t="shared" si="17"/>
        <v>0</v>
      </c>
      <c r="AT30" s="7" t="str">
        <f t="shared" si="6"/>
        <v/>
      </c>
      <c r="AU30" s="177"/>
      <c r="AV30" s="721">
        <f t="shared" si="7"/>
        <v>0</v>
      </c>
      <c r="AW30" s="719" t="str">
        <f t="shared" si="8"/>
        <v/>
      </c>
      <c r="AY30" s="379">
        <f>+IFERROR(VLOOKUP(AT30,Ctrl!$F$2894:$G$2954,2,0),0)</f>
        <v>0</v>
      </c>
      <c r="AZ30" s="64">
        <f t="shared" si="9"/>
        <v>0</v>
      </c>
      <c r="BB30" s="1">
        <f>+SUM($AZ$4:AZ30)*0.9*1.21</f>
        <v>301380.75</v>
      </c>
    </row>
    <row r="31" spans="1:56" ht="13.5" thickBot="1" x14ac:dyDescent="0.25">
      <c r="A31" s="4">
        <v>100</v>
      </c>
      <c r="B31" s="4">
        <v>740</v>
      </c>
      <c r="C31" s="1064" t="s">
        <v>7449</v>
      </c>
      <c r="D31" s="700" t="str">
        <f t="shared" si="0"/>
        <v/>
      </c>
      <c r="E31" s="94">
        <v>25</v>
      </c>
      <c r="F31" s="94">
        <f t="shared" si="10"/>
        <v>0</v>
      </c>
      <c r="G31" s="703" t="str">
        <f t="shared" si="18"/>
        <v/>
      </c>
      <c r="I31" s="13"/>
      <c r="J31" s="180">
        <v>290</v>
      </c>
      <c r="K31" s="1">
        <f t="shared" si="11"/>
        <v>7250</v>
      </c>
      <c r="M31" s="713"/>
      <c r="N31" s="13">
        <v>72</v>
      </c>
      <c r="O31" s="13" t="s">
        <v>20426</v>
      </c>
      <c r="P31" s="198" t="s">
        <v>20427</v>
      </c>
      <c r="Q31" s="709" t="str">
        <f t="shared" si="12"/>
        <v/>
      </c>
      <c r="R31" s="15"/>
      <c r="S31" s="94">
        <f t="shared" si="13"/>
        <v>0</v>
      </c>
      <c r="T31" s="1284" t="str">
        <f t="shared" si="14"/>
        <v/>
      </c>
      <c r="U31" s="712"/>
      <c r="V31" s="13"/>
      <c r="W31" s="180">
        <v>0</v>
      </c>
      <c r="X31" s="1">
        <f t="shared" si="1"/>
        <v>0</v>
      </c>
      <c r="Z31" s="13" t="s">
        <v>20380</v>
      </c>
      <c r="AA31" s="13">
        <v>59</v>
      </c>
      <c r="AC31" s="13">
        <f t="shared" si="15"/>
        <v>59</v>
      </c>
      <c r="AD31" s="13">
        <f t="shared" si="16"/>
        <v>59</v>
      </c>
      <c r="AE31" s="13" t="str">
        <f t="shared" si="19"/>
        <v/>
      </c>
      <c r="AL31" s="7" t="str">
        <f t="shared" si="3"/>
        <v/>
      </c>
      <c r="AM31" s="177">
        <f t="shared" si="20"/>
        <v>30</v>
      </c>
      <c r="AN31" s="721">
        <f t="shared" si="4"/>
        <v>0</v>
      </c>
      <c r="AO31" s="719" t="str">
        <f t="shared" si="5"/>
        <v/>
      </c>
      <c r="AQ31" s="379">
        <v>0</v>
      </c>
      <c r="AR31" s="64">
        <f t="shared" si="17"/>
        <v>0</v>
      </c>
      <c r="AT31" s="7" t="str">
        <f t="shared" si="6"/>
        <v/>
      </c>
      <c r="AU31" s="177"/>
      <c r="AV31" s="721">
        <f t="shared" si="7"/>
        <v>0</v>
      </c>
      <c r="AW31" s="719" t="str">
        <f t="shared" si="8"/>
        <v/>
      </c>
      <c r="AY31" s="379">
        <f>+IFERROR(VLOOKUP(AT31,Ctrl!$F$2894:$G$2954,2,0),0)</f>
        <v>0</v>
      </c>
      <c r="AZ31" s="64">
        <f t="shared" si="9"/>
        <v>0</v>
      </c>
      <c r="BB31" s="1">
        <f>+SUM($AZ$4:AZ31)*0.9*1.21</f>
        <v>301380.75</v>
      </c>
    </row>
    <row r="32" spans="1:56" ht="13.5" thickBot="1" x14ac:dyDescent="0.25">
      <c r="A32" s="4">
        <v>101</v>
      </c>
      <c r="B32" s="4">
        <v>778</v>
      </c>
      <c r="C32" s="1064" t="s">
        <v>7451</v>
      </c>
      <c r="D32" s="700" t="str">
        <f t="shared" si="0"/>
        <v/>
      </c>
      <c r="E32" s="94">
        <v>25</v>
      </c>
      <c r="F32" s="94">
        <f t="shared" si="10"/>
        <v>0</v>
      </c>
      <c r="G32" s="703" t="str">
        <f t="shared" si="18"/>
        <v/>
      </c>
      <c r="I32" s="13"/>
      <c r="J32" s="180">
        <v>500</v>
      </c>
      <c r="K32" s="1">
        <f t="shared" si="11"/>
        <v>12500</v>
      </c>
      <c r="M32" s="713"/>
      <c r="N32" s="13">
        <v>73</v>
      </c>
      <c r="O32" s="13" t="s">
        <v>20428</v>
      </c>
      <c r="P32" s="198" t="s">
        <v>20429</v>
      </c>
      <c r="Q32" s="709" t="str">
        <f t="shared" si="12"/>
        <v/>
      </c>
      <c r="R32" s="15"/>
      <c r="S32" s="94">
        <f t="shared" si="13"/>
        <v>0</v>
      </c>
      <c r="T32" s="1284" t="str">
        <f t="shared" si="14"/>
        <v/>
      </c>
      <c r="U32" s="712"/>
      <c r="V32" s="13"/>
      <c r="W32" s="180">
        <v>0</v>
      </c>
      <c r="X32" s="1">
        <f t="shared" si="1"/>
        <v>0</v>
      </c>
      <c r="Z32" s="13" t="s">
        <v>20380</v>
      </c>
      <c r="AA32" s="13">
        <v>60</v>
      </c>
      <c r="AC32" s="13">
        <f t="shared" si="15"/>
        <v>60</v>
      </c>
      <c r="AD32" s="13">
        <f t="shared" si="16"/>
        <v>60</v>
      </c>
      <c r="AE32" s="13" t="str">
        <f t="shared" si="19"/>
        <v/>
      </c>
      <c r="AL32" s="7" t="str">
        <f t="shared" si="3"/>
        <v/>
      </c>
      <c r="AM32" s="177">
        <f t="shared" si="20"/>
        <v>30</v>
      </c>
      <c r="AN32" s="721">
        <f t="shared" si="4"/>
        <v>0</v>
      </c>
      <c r="AO32" s="719" t="str">
        <f t="shared" si="5"/>
        <v/>
      </c>
      <c r="AQ32" s="379">
        <v>0</v>
      </c>
      <c r="AR32" s="64">
        <f t="shared" si="17"/>
        <v>0</v>
      </c>
      <c r="AT32" s="7" t="str">
        <f t="shared" si="6"/>
        <v/>
      </c>
      <c r="AU32" s="177"/>
      <c r="AV32" s="721">
        <f t="shared" si="7"/>
        <v>0</v>
      </c>
      <c r="AW32" s="719" t="str">
        <f t="shared" si="8"/>
        <v/>
      </c>
      <c r="AY32" s="379">
        <f>+IFERROR(VLOOKUP(AT32,Ctrl!$F$2894:$G$2954,2,0),0)</f>
        <v>0</v>
      </c>
      <c r="AZ32" s="64">
        <f t="shared" si="9"/>
        <v>0</v>
      </c>
      <c r="BB32" s="1">
        <f>+SUM($AZ$4:AZ32)*0.9*1.21</f>
        <v>301380.75</v>
      </c>
    </row>
    <row r="33" spans="1:54" ht="13.5" thickBot="1" x14ac:dyDescent="0.25">
      <c r="A33" s="4">
        <v>103</v>
      </c>
      <c r="B33" s="4">
        <v>703</v>
      </c>
      <c r="C33" s="1064" t="s">
        <v>7455</v>
      </c>
      <c r="D33" s="700" t="str">
        <f t="shared" si="0"/>
        <v/>
      </c>
      <c r="E33" s="94">
        <v>25</v>
      </c>
      <c r="F33" s="94">
        <f t="shared" si="10"/>
        <v>0</v>
      </c>
      <c r="G33" s="703" t="str">
        <f t="shared" si="18"/>
        <v/>
      </c>
      <c r="I33" s="13"/>
      <c r="J33" s="180">
        <v>290</v>
      </c>
      <c r="K33" s="1">
        <f t="shared" si="11"/>
        <v>7250</v>
      </c>
      <c r="M33" s="713"/>
      <c r="N33" s="13">
        <v>74</v>
      </c>
      <c r="O33" s="13" t="s">
        <v>20430</v>
      </c>
      <c r="P33" s="198" t="s">
        <v>20431</v>
      </c>
      <c r="Q33" s="709" t="str">
        <f t="shared" si="12"/>
        <v/>
      </c>
      <c r="R33" s="15">
        <v>50</v>
      </c>
      <c r="S33" s="94">
        <f t="shared" si="13"/>
        <v>0</v>
      </c>
      <c r="T33" s="1284" t="str">
        <f t="shared" si="14"/>
        <v/>
      </c>
      <c r="U33" s="712"/>
      <c r="V33" s="13"/>
      <c r="W33" s="180">
        <v>0</v>
      </c>
      <c r="X33" s="1">
        <f t="shared" si="1"/>
        <v>0</v>
      </c>
      <c r="Z33" s="13" t="s">
        <v>20383</v>
      </c>
      <c r="AA33" s="13">
        <v>61</v>
      </c>
      <c r="AC33" s="13">
        <f t="shared" si="15"/>
        <v>61</v>
      </c>
      <c r="AD33" s="13">
        <f t="shared" si="16"/>
        <v>61</v>
      </c>
      <c r="AE33" s="13" t="str">
        <f t="shared" si="19"/>
        <v/>
      </c>
      <c r="AL33" s="7" t="str">
        <f t="shared" si="3"/>
        <v/>
      </c>
      <c r="AM33" s="177">
        <f t="shared" si="20"/>
        <v>30</v>
      </c>
      <c r="AN33" s="721">
        <f t="shared" si="4"/>
        <v>0</v>
      </c>
      <c r="AO33" s="719" t="str">
        <f t="shared" si="5"/>
        <v/>
      </c>
      <c r="AQ33" s="379">
        <v>0</v>
      </c>
      <c r="AR33" s="64">
        <f t="shared" si="17"/>
        <v>0</v>
      </c>
      <c r="AT33" s="7" t="str">
        <f t="shared" si="6"/>
        <v/>
      </c>
      <c r="AU33" s="177"/>
      <c r="AV33" s="721">
        <f t="shared" si="7"/>
        <v>0</v>
      </c>
      <c r="AW33" s="719" t="str">
        <f t="shared" si="8"/>
        <v/>
      </c>
      <c r="AY33" s="379">
        <f>+IFERROR(VLOOKUP(AT33,Ctrl!$F$2894:$G$2954,2,0),0)</f>
        <v>0</v>
      </c>
      <c r="AZ33" s="64">
        <f t="shared" si="9"/>
        <v>0</v>
      </c>
      <c r="BB33" s="1">
        <f>+SUM($AZ$4:AZ33)*0.9*1.21</f>
        <v>301380.75</v>
      </c>
    </row>
    <row r="34" spans="1:54" ht="13.5" thickBot="1" x14ac:dyDescent="0.25">
      <c r="A34" s="4">
        <v>110</v>
      </c>
      <c r="B34" s="4">
        <v>616</v>
      </c>
      <c r="C34" s="1064" t="s">
        <v>20432</v>
      </c>
      <c r="D34" s="700" t="str">
        <f t="shared" si="0"/>
        <v/>
      </c>
      <c r="E34" s="94">
        <v>25</v>
      </c>
      <c r="F34" s="94">
        <f t="shared" si="10"/>
        <v>0</v>
      </c>
      <c r="G34" s="703" t="str">
        <f t="shared" si="18"/>
        <v/>
      </c>
      <c r="I34" s="13"/>
      <c r="J34" s="180">
        <v>400</v>
      </c>
      <c r="K34" s="1">
        <f t="shared" si="11"/>
        <v>10000</v>
      </c>
      <c r="M34" s="713"/>
      <c r="N34" s="13">
        <v>76</v>
      </c>
      <c r="O34" s="13" t="s">
        <v>20433</v>
      </c>
      <c r="P34" s="198" t="s">
        <v>20434</v>
      </c>
      <c r="Q34" s="709" t="str">
        <f t="shared" si="12"/>
        <v/>
      </c>
      <c r="R34" s="15">
        <v>50</v>
      </c>
      <c r="S34" s="94">
        <f t="shared" si="13"/>
        <v>0</v>
      </c>
      <c r="T34" s="1284" t="str">
        <f t="shared" si="14"/>
        <v/>
      </c>
      <c r="U34" s="712"/>
      <c r="V34" s="13"/>
      <c r="W34" s="180">
        <v>0</v>
      </c>
      <c r="X34" s="1">
        <f t="shared" si="1"/>
        <v>0</v>
      </c>
      <c r="Z34" s="13" t="s">
        <v>20383</v>
      </c>
      <c r="AA34" s="13">
        <v>70</v>
      </c>
      <c r="AC34" s="13">
        <f t="shared" si="15"/>
        <v>70</v>
      </c>
      <c r="AD34" s="13">
        <f t="shared" si="16"/>
        <v>70</v>
      </c>
      <c r="AE34" s="13" t="str">
        <f t="shared" si="19"/>
        <v/>
      </c>
      <c r="AL34" s="7" t="str">
        <f t="shared" si="3"/>
        <v/>
      </c>
      <c r="AM34" s="177">
        <f t="shared" si="20"/>
        <v>30</v>
      </c>
      <c r="AN34" s="721">
        <f t="shared" si="4"/>
        <v>0</v>
      </c>
      <c r="AO34" s="719" t="str">
        <f t="shared" si="5"/>
        <v/>
      </c>
      <c r="AQ34" s="379">
        <v>0</v>
      </c>
      <c r="AR34" s="64">
        <f t="shared" si="17"/>
        <v>0</v>
      </c>
      <c r="AT34" s="7" t="str">
        <f t="shared" si="6"/>
        <v/>
      </c>
      <c r="AU34" s="177"/>
      <c r="AV34" s="721">
        <f t="shared" si="7"/>
        <v>0</v>
      </c>
      <c r="AW34" s="719" t="str">
        <f t="shared" si="8"/>
        <v/>
      </c>
      <c r="AY34" s="379">
        <f>+IFERROR(VLOOKUP(AT34,Ctrl!$F$2894:$G$2954,2,0),0)</f>
        <v>0</v>
      </c>
      <c r="AZ34" s="64">
        <f t="shared" si="9"/>
        <v>0</v>
      </c>
      <c r="BB34" s="1">
        <f>+SUM($AZ$4:AZ34)*0.9*1.21</f>
        <v>301380.75</v>
      </c>
    </row>
    <row r="35" spans="1:54" ht="13.5" thickBot="1" x14ac:dyDescent="0.25">
      <c r="A35" s="4">
        <v>111</v>
      </c>
      <c r="B35" s="4">
        <v>786</v>
      </c>
      <c r="C35" s="1064" t="s">
        <v>20435</v>
      </c>
      <c r="D35" s="700" t="str">
        <f t="shared" si="0"/>
        <v/>
      </c>
      <c r="E35" s="94">
        <v>25</v>
      </c>
      <c r="F35" s="94">
        <f t="shared" si="10"/>
        <v>0</v>
      </c>
      <c r="G35" s="703" t="str">
        <f t="shared" si="18"/>
        <v/>
      </c>
      <c r="I35" s="13"/>
      <c r="J35" s="180">
        <v>400</v>
      </c>
      <c r="K35" s="1">
        <f t="shared" si="11"/>
        <v>10000</v>
      </c>
      <c r="M35" s="713"/>
      <c r="N35" s="13">
        <v>77</v>
      </c>
      <c r="O35" s="13" t="s">
        <v>20436</v>
      </c>
      <c r="P35" s="198" t="s">
        <v>20437</v>
      </c>
      <c r="Q35" s="709" t="str">
        <f t="shared" si="12"/>
        <v/>
      </c>
      <c r="R35" s="15">
        <v>50</v>
      </c>
      <c r="S35" s="94">
        <f t="shared" si="13"/>
        <v>0</v>
      </c>
      <c r="T35" s="1284" t="str">
        <f t="shared" si="14"/>
        <v/>
      </c>
      <c r="U35" s="712"/>
      <c r="V35" s="13"/>
      <c r="W35" s="180">
        <v>0</v>
      </c>
      <c r="X35" s="1">
        <f t="shared" si="1"/>
        <v>0</v>
      </c>
      <c r="Z35" s="13" t="s">
        <v>20380</v>
      </c>
      <c r="AA35" s="13">
        <v>71</v>
      </c>
      <c r="AC35" s="13">
        <f t="shared" si="15"/>
        <v>71</v>
      </c>
      <c r="AD35" s="13" t="str">
        <f t="shared" si="16"/>
        <v/>
      </c>
      <c r="AE35" s="13" t="str">
        <f t="shared" si="19"/>
        <v/>
      </c>
      <c r="AL35" s="7" t="str">
        <f t="shared" si="3"/>
        <v/>
      </c>
      <c r="AM35" s="177">
        <f t="shared" si="20"/>
        <v>30</v>
      </c>
      <c r="AN35" s="721">
        <f t="shared" si="4"/>
        <v>0</v>
      </c>
      <c r="AO35" s="719" t="str">
        <f t="shared" si="5"/>
        <v/>
      </c>
      <c r="AQ35" s="379">
        <v>0</v>
      </c>
      <c r="AR35" s="64">
        <f t="shared" si="17"/>
        <v>0</v>
      </c>
      <c r="AT35" s="7" t="str">
        <f t="shared" si="6"/>
        <v/>
      </c>
      <c r="AU35" s="177"/>
      <c r="AV35" s="721">
        <f t="shared" si="7"/>
        <v>0</v>
      </c>
      <c r="AW35" s="719" t="str">
        <f t="shared" si="8"/>
        <v/>
      </c>
      <c r="AY35" s="379">
        <f>+IFERROR(VLOOKUP(AT35,Ctrl!$F$2894:$G$2954,2,0),0)</f>
        <v>0</v>
      </c>
      <c r="AZ35" s="64">
        <f t="shared" si="9"/>
        <v>0</v>
      </c>
      <c r="BB35" s="1">
        <f>+SUM($AZ$4:AZ35)*0.9*1.21</f>
        <v>301380.75</v>
      </c>
    </row>
    <row r="36" spans="1:54" ht="13.5" thickBot="1" x14ac:dyDescent="0.25">
      <c r="A36" s="4">
        <v>112</v>
      </c>
      <c r="B36" s="4">
        <v>598</v>
      </c>
      <c r="C36" s="1064" t="s">
        <v>20438</v>
      </c>
      <c r="D36" s="700" t="str">
        <f t="shared" si="0"/>
        <v/>
      </c>
      <c r="E36" s="94">
        <v>25</v>
      </c>
      <c r="F36" s="94">
        <f t="shared" si="10"/>
        <v>0</v>
      </c>
      <c r="G36" s="703" t="str">
        <f t="shared" si="18"/>
        <v/>
      </c>
      <c r="I36" s="13"/>
      <c r="J36" s="180">
        <v>460</v>
      </c>
      <c r="K36" s="1">
        <f t="shared" si="11"/>
        <v>11500</v>
      </c>
      <c r="M36" s="713"/>
      <c r="N36" s="13">
        <v>78</v>
      </c>
      <c r="O36" s="13" t="s">
        <v>20439</v>
      </c>
      <c r="P36" s="198" t="s">
        <v>20440</v>
      </c>
      <c r="Q36" s="709" t="str">
        <f t="shared" si="12"/>
        <v/>
      </c>
      <c r="R36" s="15">
        <v>50</v>
      </c>
      <c r="S36" s="15" t="s">
        <v>20383</v>
      </c>
      <c r="T36" s="1284" t="str">
        <f t="shared" si="14"/>
        <v/>
      </c>
      <c r="U36" s="712"/>
      <c r="V36" s="13"/>
      <c r="W36" s="180">
        <v>0</v>
      </c>
      <c r="X36" s="1">
        <f t="shared" si="1"/>
        <v>0</v>
      </c>
      <c r="Z36" s="13" t="s">
        <v>20380</v>
      </c>
      <c r="AA36" s="13">
        <v>72</v>
      </c>
      <c r="AC36" s="13">
        <f t="shared" si="15"/>
        <v>72</v>
      </c>
      <c r="AD36" s="13">
        <f t="shared" si="16"/>
        <v>72</v>
      </c>
      <c r="AE36" s="13" t="str">
        <f t="shared" si="19"/>
        <v/>
      </c>
      <c r="AL36" s="8" t="str">
        <f t="shared" si="3"/>
        <v/>
      </c>
      <c r="AM36" s="178">
        <f t="shared" si="20"/>
        <v>30</v>
      </c>
      <c r="AN36" s="722">
        <f t="shared" si="4"/>
        <v>0</v>
      </c>
      <c r="AO36" s="720" t="str">
        <f t="shared" si="5"/>
        <v/>
      </c>
      <c r="AQ36" s="381">
        <v>0</v>
      </c>
      <c r="AR36" s="65">
        <f t="shared" si="17"/>
        <v>0</v>
      </c>
      <c r="AT36" s="7" t="str">
        <f t="shared" si="6"/>
        <v/>
      </c>
      <c r="AU36" s="178"/>
      <c r="AV36" s="722">
        <f t="shared" si="7"/>
        <v>0</v>
      </c>
      <c r="AW36" s="720" t="str">
        <f t="shared" si="8"/>
        <v/>
      </c>
      <c r="AY36" s="381">
        <f>+IFERROR(VLOOKUP(AT36,Ctrl!$F$2894:$G$2954,2,0),0)</f>
        <v>0</v>
      </c>
      <c r="AZ36" s="65">
        <f t="shared" si="9"/>
        <v>0</v>
      </c>
      <c r="BB36" s="1">
        <f>+SUM($AZ$4:AZ36)*0.9*1.21</f>
        <v>301380.75</v>
      </c>
    </row>
    <row r="37" spans="1:54" ht="13.5" thickBot="1" x14ac:dyDescent="0.25">
      <c r="A37" s="4">
        <v>113</v>
      </c>
      <c r="B37" s="4">
        <v>785</v>
      </c>
      <c r="C37" s="1064" t="s">
        <v>20441</v>
      </c>
      <c r="D37" s="700" t="str">
        <f t="shared" ref="D37:D42" si="21">+IFERROR(VLOOKUP(I37,$A36:$C533,2,0),"")</f>
        <v/>
      </c>
      <c r="E37" s="94">
        <v>25</v>
      </c>
      <c r="F37" s="94">
        <f t="shared" si="10"/>
        <v>0</v>
      </c>
      <c r="G37" s="703" t="str">
        <f t="shared" ref="G37:G42" si="22">+IFERROR(VLOOKUP(I37,$A33:$C530,3,0),"")</f>
        <v/>
      </c>
      <c r="I37" s="13"/>
      <c r="J37" s="180">
        <v>400</v>
      </c>
      <c r="K37" s="1">
        <f t="shared" si="11"/>
        <v>10000</v>
      </c>
      <c r="M37" s="713"/>
      <c r="N37" s="13">
        <v>79</v>
      </c>
      <c r="O37" s="13" t="s">
        <v>20442</v>
      </c>
      <c r="P37" s="198" t="s">
        <v>20443</v>
      </c>
      <c r="Q37" s="709" t="str">
        <f t="shared" si="12"/>
        <v/>
      </c>
      <c r="R37" s="15"/>
      <c r="S37" s="94">
        <f t="shared" si="13"/>
        <v>0</v>
      </c>
      <c r="T37" s="1284" t="str">
        <f t="shared" si="14"/>
        <v/>
      </c>
      <c r="U37" s="712"/>
      <c r="V37" s="13"/>
      <c r="W37" s="180">
        <v>0</v>
      </c>
      <c r="X37" s="1">
        <f t="shared" si="1"/>
        <v>0</v>
      </c>
      <c r="Z37" s="13" t="s">
        <v>20380</v>
      </c>
      <c r="AA37" s="13">
        <v>73</v>
      </c>
      <c r="AC37" s="13">
        <f t="shared" si="15"/>
        <v>73</v>
      </c>
      <c r="AD37" s="13">
        <f t="shared" si="16"/>
        <v>73</v>
      </c>
      <c r="AE37" s="13" t="str">
        <f t="shared" si="19"/>
        <v/>
      </c>
    </row>
    <row r="38" spans="1:54" ht="13.5" thickBot="1" x14ac:dyDescent="0.25">
      <c r="A38" s="4">
        <v>120</v>
      </c>
      <c r="B38" s="4">
        <v>434</v>
      </c>
      <c r="C38" s="1064" t="s">
        <v>7465</v>
      </c>
      <c r="D38" s="700" t="str">
        <f t="shared" si="21"/>
        <v/>
      </c>
      <c r="E38" s="94">
        <v>25</v>
      </c>
      <c r="F38" s="94">
        <f t="shared" si="10"/>
        <v>0</v>
      </c>
      <c r="G38" s="703" t="str">
        <f t="shared" si="22"/>
        <v/>
      </c>
      <c r="I38" s="13"/>
      <c r="J38" s="180">
        <v>440</v>
      </c>
      <c r="K38" s="1">
        <f t="shared" si="11"/>
        <v>11000</v>
      </c>
      <c r="M38" s="713"/>
      <c r="N38" s="13">
        <v>80</v>
      </c>
      <c r="O38" s="13" t="s">
        <v>20444</v>
      </c>
      <c r="P38" s="198" t="s">
        <v>20445</v>
      </c>
      <c r="Q38" s="709" t="str">
        <f t="shared" si="12"/>
        <v/>
      </c>
      <c r="R38" s="15"/>
      <c r="S38" s="94">
        <f t="shared" si="13"/>
        <v>0</v>
      </c>
      <c r="T38" s="1284" t="str">
        <f t="shared" si="14"/>
        <v/>
      </c>
      <c r="U38" s="712"/>
      <c r="V38" s="13"/>
      <c r="W38" s="180">
        <v>0</v>
      </c>
      <c r="X38" s="1">
        <f t="shared" si="1"/>
        <v>0</v>
      </c>
      <c r="Z38" s="13" t="s">
        <v>20371</v>
      </c>
      <c r="AA38" s="13">
        <v>74</v>
      </c>
      <c r="AC38" s="13">
        <f t="shared" si="15"/>
        <v>74</v>
      </c>
      <c r="AD38" s="13">
        <f t="shared" si="16"/>
        <v>74</v>
      </c>
      <c r="AE38" s="13" t="str">
        <f t="shared" si="19"/>
        <v/>
      </c>
    </row>
    <row r="39" spans="1:54" ht="13.5" thickBot="1" x14ac:dyDescent="0.25">
      <c r="A39" s="499">
        <v>122</v>
      </c>
      <c r="B39" s="499">
        <v>207</v>
      </c>
      <c r="C39" s="1064" t="s">
        <v>20446</v>
      </c>
      <c r="D39" s="700" t="str">
        <f t="shared" si="21"/>
        <v/>
      </c>
      <c r="E39" s="94">
        <v>25</v>
      </c>
      <c r="F39" s="94">
        <f t="shared" si="10"/>
        <v>0</v>
      </c>
      <c r="G39" s="703" t="str">
        <f t="shared" si="22"/>
        <v/>
      </c>
      <c r="I39" s="13"/>
      <c r="J39" s="180">
        <v>370</v>
      </c>
      <c r="K39" s="1">
        <f t="shared" si="11"/>
        <v>9250</v>
      </c>
      <c r="M39" s="713"/>
      <c r="N39" s="13">
        <v>81</v>
      </c>
      <c r="O39" s="13" t="s">
        <v>20447</v>
      </c>
      <c r="P39" s="198" t="s">
        <v>20448</v>
      </c>
      <c r="Q39" s="709" t="str">
        <f t="shared" si="12"/>
        <v/>
      </c>
      <c r="R39" s="15"/>
      <c r="S39" s="94">
        <f t="shared" si="13"/>
        <v>0</v>
      </c>
      <c r="T39" s="1284" t="str">
        <f t="shared" si="14"/>
        <v/>
      </c>
      <c r="U39" s="712"/>
      <c r="V39" s="13"/>
      <c r="W39" s="180">
        <v>0</v>
      </c>
      <c r="X39" s="1">
        <f t="shared" si="1"/>
        <v>0</v>
      </c>
      <c r="Z39" s="13" t="s">
        <v>20371</v>
      </c>
      <c r="AA39" s="13">
        <v>75</v>
      </c>
      <c r="AC39" s="13">
        <f t="shared" si="15"/>
        <v>75</v>
      </c>
      <c r="AD39" s="13" t="str">
        <f t="shared" si="16"/>
        <v/>
      </c>
      <c r="AE39" s="13" t="str">
        <f t="shared" si="19"/>
        <v/>
      </c>
    </row>
    <row r="40" spans="1:54" ht="13.5" thickBot="1" x14ac:dyDescent="0.25">
      <c r="A40" s="4">
        <v>130</v>
      </c>
      <c r="B40" s="4">
        <v>652</v>
      </c>
      <c r="C40" s="1064" t="s">
        <v>7473</v>
      </c>
      <c r="D40" s="700" t="str">
        <f t="shared" si="21"/>
        <v/>
      </c>
      <c r="E40" s="94">
        <v>25</v>
      </c>
      <c r="F40" s="94">
        <f t="shared" si="10"/>
        <v>0</v>
      </c>
      <c r="G40" s="703" t="str">
        <f t="shared" si="22"/>
        <v/>
      </c>
      <c r="I40" s="13"/>
      <c r="J40" s="180">
        <v>500</v>
      </c>
      <c r="K40" s="1">
        <f t="shared" si="11"/>
        <v>12500</v>
      </c>
      <c r="M40" s="713"/>
      <c r="N40" s="13">
        <v>90</v>
      </c>
      <c r="O40" s="13" t="s">
        <v>20449</v>
      </c>
      <c r="P40" s="198" t="s">
        <v>20450</v>
      </c>
      <c r="Q40" s="709" t="str">
        <f t="shared" si="12"/>
        <v/>
      </c>
      <c r="R40" s="15"/>
      <c r="S40" s="94">
        <f t="shared" si="13"/>
        <v>0</v>
      </c>
      <c r="T40" s="1284" t="str">
        <f t="shared" si="14"/>
        <v/>
      </c>
      <c r="U40" s="712"/>
      <c r="V40" s="13"/>
      <c r="W40" s="180">
        <v>0</v>
      </c>
      <c r="X40" s="1">
        <f t="shared" si="1"/>
        <v>0</v>
      </c>
      <c r="Z40" s="13" t="s">
        <v>20380</v>
      </c>
      <c r="AA40" s="13">
        <v>76</v>
      </c>
      <c r="AC40" s="13">
        <f t="shared" si="15"/>
        <v>76</v>
      </c>
      <c r="AD40" s="13">
        <f t="shared" si="16"/>
        <v>76</v>
      </c>
      <c r="AE40" s="13" t="str">
        <f t="shared" si="19"/>
        <v/>
      </c>
    </row>
    <row r="41" spans="1:54" ht="13.5" thickBot="1" x14ac:dyDescent="0.25">
      <c r="A41" s="4">
        <v>131</v>
      </c>
      <c r="B41" s="4">
        <v>751</v>
      </c>
      <c r="C41" s="1064" t="s">
        <v>7475</v>
      </c>
      <c r="D41" s="700" t="str">
        <f t="shared" si="21"/>
        <v/>
      </c>
      <c r="E41" s="94">
        <v>25</v>
      </c>
      <c r="F41" s="94">
        <f t="shared" si="10"/>
        <v>0</v>
      </c>
      <c r="G41" s="703" t="str">
        <f t="shared" si="22"/>
        <v/>
      </c>
      <c r="I41" s="13"/>
      <c r="J41" s="180">
        <v>450</v>
      </c>
      <c r="K41" s="1">
        <f t="shared" si="11"/>
        <v>11250</v>
      </c>
      <c r="M41" s="713"/>
      <c r="N41" s="13">
        <v>91</v>
      </c>
      <c r="O41" s="13" t="s">
        <v>20451</v>
      </c>
      <c r="P41" s="198" t="s">
        <v>20452</v>
      </c>
      <c r="Q41" s="709" t="str">
        <f t="shared" si="12"/>
        <v/>
      </c>
      <c r="R41" s="15"/>
      <c r="S41" s="94">
        <f t="shared" si="13"/>
        <v>0</v>
      </c>
      <c r="T41" s="1284" t="str">
        <f t="shared" si="14"/>
        <v/>
      </c>
      <c r="U41" s="712"/>
      <c r="V41" s="13"/>
      <c r="W41" s="180">
        <v>0</v>
      </c>
      <c r="X41" s="1">
        <f t="shared" si="1"/>
        <v>0</v>
      </c>
      <c r="Z41" s="13" t="s">
        <v>20375</v>
      </c>
      <c r="AA41" s="13">
        <v>77</v>
      </c>
      <c r="AC41" s="13">
        <f t="shared" si="15"/>
        <v>77</v>
      </c>
      <c r="AD41" s="13">
        <f t="shared" si="16"/>
        <v>77</v>
      </c>
      <c r="AE41" s="13" t="str">
        <f t="shared" si="19"/>
        <v/>
      </c>
    </row>
    <row r="42" spans="1:54" ht="13.5" thickBot="1" x14ac:dyDescent="0.25">
      <c r="A42" s="4">
        <v>132</v>
      </c>
      <c r="B42" s="4">
        <v>771</v>
      </c>
      <c r="C42" s="1064" t="s">
        <v>20453</v>
      </c>
      <c r="D42" s="701" t="str">
        <f t="shared" si="21"/>
        <v/>
      </c>
      <c r="E42" s="94">
        <v>25</v>
      </c>
      <c r="F42" s="94">
        <f t="shared" si="10"/>
        <v>0</v>
      </c>
      <c r="G42" s="704" t="str">
        <f t="shared" si="22"/>
        <v/>
      </c>
      <c r="I42" s="13"/>
      <c r="J42" s="180">
        <v>360</v>
      </c>
      <c r="K42" s="1">
        <f t="shared" si="11"/>
        <v>9000</v>
      </c>
      <c r="M42" s="713"/>
      <c r="N42" s="13">
        <v>92</v>
      </c>
      <c r="O42" s="13" t="s">
        <v>20454</v>
      </c>
      <c r="P42" s="198" t="s">
        <v>20455</v>
      </c>
      <c r="Q42" s="709" t="str">
        <f t="shared" si="12"/>
        <v/>
      </c>
      <c r="R42" s="15"/>
      <c r="S42" s="94">
        <f t="shared" si="13"/>
        <v>0</v>
      </c>
      <c r="T42" s="1284" t="str">
        <f t="shared" si="14"/>
        <v/>
      </c>
      <c r="U42" s="712"/>
      <c r="V42" s="13"/>
      <c r="W42" s="180">
        <v>0</v>
      </c>
      <c r="X42" s="1">
        <f t="shared" si="1"/>
        <v>0</v>
      </c>
      <c r="Z42" s="13" t="s">
        <v>20375</v>
      </c>
      <c r="AA42" s="13">
        <v>78</v>
      </c>
      <c r="AC42" s="13">
        <f t="shared" si="15"/>
        <v>78</v>
      </c>
      <c r="AD42" s="13">
        <f t="shared" si="16"/>
        <v>78</v>
      </c>
      <c r="AE42" s="13" t="str">
        <f t="shared" si="19"/>
        <v/>
      </c>
    </row>
    <row r="43" spans="1:54" ht="13.5" thickBot="1" x14ac:dyDescent="0.25">
      <c r="A43" s="4">
        <v>55</v>
      </c>
      <c r="B43" s="4">
        <v>412</v>
      </c>
      <c r="C43" s="1064" t="s">
        <v>7410</v>
      </c>
      <c r="M43" s="713"/>
      <c r="N43" s="13">
        <v>100</v>
      </c>
      <c r="O43" s="13">
        <v>9171</v>
      </c>
      <c r="P43" s="198" t="s">
        <v>20456</v>
      </c>
      <c r="Q43" s="709" t="str">
        <f t="shared" si="12"/>
        <v/>
      </c>
      <c r="R43" s="15"/>
      <c r="S43" s="94">
        <f t="shared" si="13"/>
        <v>0</v>
      </c>
      <c r="T43" s="1284" t="str">
        <f t="shared" si="14"/>
        <v/>
      </c>
      <c r="V43" s="13"/>
      <c r="W43" s="180">
        <v>0</v>
      </c>
      <c r="X43" s="1">
        <f t="shared" si="1"/>
        <v>0</v>
      </c>
      <c r="Z43" s="13" t="s">
        <v>20375</v>
      </c>
      <c r="AA43" s="13">
        <v>79</v>
      </c>
      <c r="AC43" s="13">
        <f t="shared" si="15"/>
        <v>79</v>
      </c>
      <c r="AD43" s="13">
        <f t="shared" si="16"/>
        <v>79</v>
      </c>
      <c r="AE43" s="13" t="str">
        <f t="shared" si="19"/>
        <v/>
      </c>
    </row>
    <row r="44" spans="1:54" ht="13.5" thickBot="1" x14ac:dyDescent="0.25">
      <c r="A44" s="4">
        <v>60</v>
      </c>
      <c r="B44" s="4">
        <v>676</v>
      </c>
      <c r="C44" s="1064" t="s">
        <v>7418</v>
      </c>
      <c r="M44" s="713"/>
      <c r="N44" s="13">
        <v>102</v>
      </c>
      <c r="O44" s="13" t="s">
        <v>20457</v>
      </c>
      <c r="P44" s="198" t="s">
        <v>20458</v>
      </c>
      <c r="Q44" s="709" t="str">
        <f t="shared" si="12"/>
        <v/>
      </c>
      <c r="R44" s="15"/>
      <c r="S44" s="94">
        <f t="shared" si="13"/>
        <v>0</v>
      </c>
      <c r="T44" s="1284" t="str">
        <f t="shared" si="14"/>
        <v/>
      </c>
      <c r="V44" s="13"/>
      <c r="W44" s="180">
        <v>0</v>
      </c>
      <c r="X44" s="1">
        <f t="shared" si="1"/>
        <v>0</v>
      </c>
      <c r="Z44" s="13" t="s">
        <v>20371</v>
      </c>
      <c r="AA44" s="13">
        <v>80</v>
      </c>
      <c r="AC44" s="13">
        <f t="shared" si="15"/>
        <v>80</v>
      </c>
      <c r="AD44" s="13">
        <f t="shared" si="16"/>
        <v>80</v>
      </c>
      <c r="AE44" s="13" t="str">
        <f t="shared" si="19"/>
        <v/>
      </c>
    </row>
    <row r="45" spans="1:54" ht="13.5" thickBot="1" x14ac:dyDescent="0.25">
      <c r="A45" s="4">
        <v>11</v>
      </c>
      <c r="B45" s="4">
        <v>690</v>
      </c>
      <c r="C45" s="1064" t="s">
        <v>7374</v>
      </c>
      <c r="E45" s="13">
        <v>25</v>
      </c>
      <c r="F45" s="13"/>
      <c r="M45" s="713"/>
      <c r="N45" s="13">
        <v>121</v>
      </c>
      <c r="O45" s="13" t="s">
        <v>20459</v>
      </c>
      <c r="P45" s="198" t="s">
        <v>20460</v>
      </c>
      <c r="Q45" s="709" t="str">
        <f t="shared" si="12"/>
        <v/>
      </c>
      <c r="R45" s="15"/>
      <c r="S45" s="94">
        <f t="shared" si="13"/>
        <v>0</v>
      </c>
      <c r="T45" s="1284" t="str">
        <f t="shared" si="14"/>
        <v/>
      </c>
      <c r="V45" s="13"/>
      <c r="W45" s="180">
        <v>0</v>
      </c>
      <c r="X45" s="1">
        <f t="shared" si="1"/>
        <v>0</v>
      </c>
      <c r="Z45" s="13" t="s">
        <v>20380</v>
      </c>
      <c r="AA45" s="13">
        <v>81</v>
      </c>
      <c r="AC45" s="13">
        <f t="shared" si="15"/>
        <v>81</v>
      </c>
      <c r="AD45" s="13">
        <f t="shared" si="16"/>
        <v>81</v>
      </c>
      <c r="AE45" s="13" t="str">
        <f t="shared" si="19"/>
        <v/>
      </c>
    </row>
    <row r="46" spans="1:54" ht="13.5" thickBot="1" x14ac:dyDescent="0.25">
      <c r="A46" s="4">
        <v>18</v>
      </c>
      <c r="B46" s="4">
        <v>654</v>
      </c>
      <c r="C46" s="1064" t="s">
        <v>7387</v>
      </c>
      <c r="E46" s="13">
        <v>25</v>
      </c>
      <c r="F46" s="13"/>
      <c r="M46" s="713"/>
      <c r="N46" s="13">
        <v>122</v>
      </c>
      <c r="O46" s="13" t="s">
        <v>20461</v>
      </c>
      <c r="P46" s="198" t="s">
        <v>20462</v>
      </c>
      <c r="Q46" s="709" t="str">
        <f t="shared" si="12"/>
        <v/>
      </c>
      <c r="R46" s="15"/>
      <c r="S46" s="94">
        <f t="shared" si="13"/>
        <v>0</v>
      </c>
      <c r="T46" s="1284" t="str">
        <f t="shared" si="14"/>
        <v/>
      </c>
      <c r="V46" s="13"/>
      <c r="W46" s="180">
        <v>0</v>
      </c>
      <c r="X46" s="1">
        <f t="shared" si="1"/>
        <v>0</v>
      </c>
      <c r="Z46" s="13" t="s">
        <v>20371</v>
      </c>
      <c r="AA46" s="13">
        <v>90</v>
      </c>
      <c r="AC46" s="13">
        <f t="shared" si="15"/>
        <v>90</v>
      </c>
      <c r="AD46" s="13">
        <f t="shared" si="16"/>
        <v>90</v>
      </c>
      <c r="AE46" s="13" t="str">
        <f t="shared" si="19"/>
        <v/>
      </c>
    </row>
    <row r="47" spans="1:54" ht="13.5" thickBot="1" x14ac:dyDescent="0.25">
      <c r="A47" s="4">
        <v>32</v>
      </c>
      <c r="B47" s="4">
        <v>682</v>
      </c>
      <c r="C47" s="1064" t="s">
        <v>7393</v>
      </c>
      <c r="E47" s="13">
        <v>25</v>
      </c>
      <c r="F47" s="13"/>
      <c r="M47" s="713"/>
      <c r="N47" s="13">
        <v>123</v>
      </c>
      <c r="O47" s="13" t="s">
        <v>20463</v>
      </c>
      <c r="P47" s="198" t="s">
        <v>20464</v>
      </c>
      <c r="Q47" s="709" t="str">
        <f t="shared" si="12"/>
        <v/>
      </c>
      <c r="R47" s="15"/>
      <c r="S47" s="94">
        <f t="shared" si="13"/>
        <v>0</v>
      </c>
      <c r="T47" s="1284" t="str">
        <f t="shared" si="14"/>
        <v/>
      </c>
      <c r="V47" s="13"/>
      <c r="W47" s="180">
        <v>0</v>
      </c>
      <c r="X47" s="1">
        <f t="shared" si="1"/>
        <v>0</v>
      </c>
      <c r="Z47" s="13" t="s">
        <v>20371</v>
      </c>
      <c r="AA47" s="13">
        <v>91</v>
      </c>
      <c r="AC47" s="13">
        <f t="shared" si="15"/>
        <v>91</v>
      </c>
      <c r="AD47" s="13">
        <f t="shared" si="16"/>
        <v>91</v>
      </c>
      <c r="AE47" s="13" t="str">
        <f t="shared" si="19"/>
        <v/>
      </c>
    </row>
    <row r="48" spans="1:54" ht="13.5" thickBot="1" x14ac:dyDescent="0.25">
      <c r="A48" s="4">
        <v>53</v>
      </c>
      <c r="B48" s="4">
        <v>451</v>
      </c>
      <c r="C48" s="1064" t="s">
        <v>7406</v>
      </c>
      <c r="E48" s="13">
        <v>25</v>
      </c>
      <c r="F48" s="13"/>
      <c r="G48" t="s">
        <v>20465</v>
      </c>
      <c r="M48" s="713"/>
      <c r="N48" s="13">
        <v>130</v>
      </c>
      <c r="O48" s="13" t="s">
        <v>20466</v>
      </c>
      <c r="P48" s="198" t="s">
        <v>20467</v>
      </c>
      <c r="Q48" s="709" t="str">
        <f t="shared" si="12"/>
        <v/>
      </c>
      <c r="R48" s="15"/>
      <c r="S48" s="94">
        <f t="shared" si="13"/>
        <v>0</v>
      </c>
      <c r="T48" s="1284" t="str">
        <f t="shared" si="14"/>
        <v/>
      </c>
      <c r="V48" s="13"/>
      <c r="W48" s="180">
        <v>0</v>
      </c>
      <c r="X48" s="1">
        <f t="shared" si="1"/>
        <v>0</v>
      </c>
      <c r="Z48" s="13" t="s">
        <v>20371</v>
      </c>
      <c r="AA48" s="13">
        <v>92</v>
      </c>
      <c r="AC48" s="13">
        <f t="shared" si="15"/>
        <v>92</v>
      </c>
      <c r="AD48" s="13">
        <f t="shared" si="16"/>
        <v>92</v>
      </c>
      <c r="AE48" s="13" t="str">
        <f t="shared" si="19"/>
        <v/>
      </c>
    </row>
    <row r="49" spans="1:31" ht="13.5" thickBot="1" x14ac:dyDescent="0.25">
      <c r="A49" s="499">
        <v>56</v>
      </c>
      <c r="B49" s="499">
        <v>521</v>
      </c>
      <c r="C49" s="1064" t="s">
        <v>21606</v>
      </c>
      <c r="E49" s="13">
        <v>50</v>
      </c>
      <c r="F49" s="13"/>
      <c r="M49" s="713"/>
      <c r="N49" s="13">
        <v>132</v>
      </c>
      <c r="O49" s="13" t="s">
        <v>20468</v>
      </c>
      <c r="P49" s="198" t="s">
        <v>20469</v>
      </c>
      <c r="Q49" s="709" t="str">
        <f t="shared" si="12"/>
        <v/>
      </c>
      <c r="R49" s="16"/>
      <c r="S49" s="94">
        <f t="shared" si="13"/>
        <v>0</v>
      </c>
      <c r="T49" s="1284" t="str">
        <f t="shared" si="14"/>
        <v/>
      </c>
      <c r="V49" s="13"/>
      <c r="W49" s="180">
        <v>0</v>
      </c>
      <c r="X49" s="1">
        <f t="shared" si="1"/>
        <v>0</v>
      </c>
      <c r="Z49" s="13" t="s">
        <v>20380</v>
      </c>
      <c r="AA49" s="13">
        <v>100</v>
      </c>
      <c r="AC49" s="13">
        <f t="shared" si="15"/>
        <v>100</v>
      </c>
      <c r="AD49" s="13">
        <f t="shared" si="16"/>
        <v>100</v>
      </c>
      <c r="AE49" s="13" t="str">
        <f t="shared" si="19"/>
        <v/>
      </c>
    </row>
    <row r="50" spans="1:31" x14ac:dyDescent="0.2">
      <c r="A50" s="4">
        <v>57</v>
      </c>
      <c r="B50" s="4">
        <v>713</v>
      </c>
      <c r="C50" s="1064" t="s">
        <v>7413</v>
      </c>
      <c r="E50" s="13">
        <v>25</v>
      </c>
      <c r="F50" s="13"/>
      <c r="M50" s="713"/>
      <c r="S50" s="13"/>
      <c r="V50" s="13"/>
      <c r="Z50" s="13" t="s">
        <v>20383</v>
      </c>
      <c r="AA50" s="13">
        <v>101</v>
      </c>
      <c r="AC50" s="13">
        <f t="shared" si="15"/>
        <v>101</v>
      </c>
      <c r="AD50" s="13" t="str">
        <f t="shared" si="16"/>
        <v/>
      </c>
      <c r="AE50" s="13" t="str">
        <f t="shared" si="19"/>
        <v/>
      </c>
    </row>
    <row r="51" spans="1:31" x14ac:dyDescent="0.2">
      <c r="A51" s="4">
        <v>77</v>
      </c>
      <c r="B51" s="4">
        <v>717</v>
      </c>
      <c r="C51" s="1064" t="s">
        <v>7434</v>
      </c>
      <c r="E51" s="13">
        <v>50</v>
      </c>
      <c r="F51" s="13"/>
      <c r="M51" s="713"/>
      <c r="S51" s="13"/>
      <c r="V51" s="13"/>
      <c r="Z51" s="13" t="s">
        <v>20383</v>
      </c>
      <c r="AA51" s="13">
        <v>102</v>
      </c>
      <c r="AC51" s="13">
        <f t="shared" si="15"/>
        <v>102</v>
      </c>
      <c r="AD51" s="13">
        <f t="shared" si="16"/>
        <v>102</v>
      </c>
      <c r="AE51" s="13" t="str">
        <f t="shared" si="19"/>
        <v/>
      </c>
    </row>
    <row r="52" spans="1:31" x14ac:dyDescent="0.2">
      <c r="A52" s="4">
        <v>78</v>
      </c>
      <c r="B52" s="4">
        <v>141</v>
      </c>
      <c r="C52" s="1064" t="s">
        <v>7437</v>
      </c>
      <c r="E52" s="13">
        <v>25</v>
      </c>
      <c r="F52" s="13"/>
      <c r="M52" s="713"/>
      <c r="S52" s="13"/>
      <c r="V52" s="13"/>
      <c r="Z52" s="13" t="s">
        <v>20380</v>
      </c>
      <c r="AA52" s="13">
        <v>103</v>
      </c>
      <c r="AC52" s="13">
        <f t="shared" si="15"/>
        <v>103</v>
      </c>
      <c r="AD52" s="13" t="str">
        <f t="shared" si="16"/>
        <v/>
      </c>
      <c r="AE52" s="13" t="str">
        <f t="shared" si="19"/>
        <v/>
      </c>
    </row>
    <row r="53" spans="1:31" x14ac:dyDescent="0.2">
      <c r="A53" s="4">
        <v>79</v>
      </c>
      <c r="B53" s="4">
        <v>714</v>
      </c>
      <c r="C53" s="1064" t="s">
        <v>7428</v>
      </c>
      <c r="E53" s="13">
        <v>0</v>
      </c>
      <c r="F53" s="13"/>
      <c r="M53" s="713"/>
      <c r="S53" s="13"/>
      <c r="V53" s="13"/>
      <c r="Z53" s="13" t="s">
        <v>20375</v>
      </c>
      <c r="AA53" s="13">
        <v>110</v>
      </c>
      <c r="AC53" s="13">
        <f t="shared" si="15"/>
        <v>110</v>
      </c>
      <c r="AD53" s="13" t="str">
        <f t="shared" si="16"/>
        <v/>
      </c>
      <c r="AE53" s="13" t="str">
        <f t="shared" si="19"/>
        <v/>
      </c>
    </row>
    <row r="54" spans="1:31" x14ac:dyDescent="0.2">
      <c r="A54" s="4">
        <v>80</v>
      </c>
      <c r="B54" s="4">
        <v>714</v>
      </c>
      <c r="C54" s="1064" t="s">
        <v>7428</v>
      </c>
      <c r="E54" s="13">
        <v>50</v>
      </c>
      <c r="F54" s="13"/>
      <c r="M54" s="713"/>
      <c r="S54" s="13"/>
      <c r="V54" s="13"/>
      <c r="Z54" s="13" t="s">
        <v>20380</v>
      </c>
      <c r="AA54" s="13">
        <v>111</v>
      </c>
      <c r="AC54" s="13">
        <f t="shared" si="15"/>
        <v>111</v>
      </c>
      <c r="AD54" s="13" t="str">
        <f t="shared" si="16"/>
        <v/>
      </c>
      <c r="AE54" s="13" t="str">
        <f t="shared" si="19"/>
        <v/>
      </c>
    </row>
    <row r="55" spans="1:31" x14ac:dyDescent="0.2">
      <c r="A55" s="4">
        <v>92</v>
      </c>
      <c r="B55" s="4">
        <v>155</v>
      </c>
      <c r="C55" s="1064" t="s">
        <v>7447</v>
      </c>
      <c r="E55" s="13">
        <v>50</v>
      </c>
      <c r="F55" s="13"/>
      <c r="M55" s="713"/>
      <c r="S55" s="13"/>
      <c r="V55" s="13"/>
      <c r="Z55" s="13" t="s">
        <v>20380</v>
      </c>
      <c r="AA55" s="13">
        <v>112</v>
      </c>
      <c r="AC55" s="13">
        <f t="shared" si="15"/>
        <v>112</v>
      </c>
      <c r="AD55" s="13" t="str">
        <f t="shared" si="16"/>
        <v/>
      </c>
      <c r="AE55" s="13" t="str">
        <f t="shared" si="19"/>
        <v/>
      </c>
    </row>
    <row r="56" spans="1:31" x14ac:dyDescent="0.2">
      <c r="A56" s="4">
        <v>121</v>
      </c>
      <c r="B56" s="4">
        <v>319</v>
      </c>
      <c r="C56" s="1064" t="s">
        <v>7467</v>
      </c>
      <c r="E56" s="13">
        <v>50</v>
      </c>
      <c r="F56" s="13"/>
      <c r="S56" s="13"/>
      <c r="Z56" s="13" t="s">
        <v>20380</v>
      </c>
      <c r="AA56" s="13">
        <v>113</v>
      </c>
      <c r="AC56" s="13">
        <f t="shared" si="15"/>
        <v>113</v>
      </c>
      <c r="AD56" s="13" t="str">
        <f t="shared" si="16"/>
        <v/>
      </c>
      <c r="AE56" s="13" t="str">
        <f t="shared" si="19"/>
        <v/>
      </c>
    </row>
    <row r="57" spans="1:31" x14ac:dyDescent="0.2">
      <c r="A57" s="499">
        <v>123</v>
      </c>
      <c r="B57" s="499">
        <v>208</v>
      </c>
      <c r="C57" s="1064" t="s">
        <v>7469</v>
      </c>
      <c r="E57" s="13">
        <v>50</v>
      </c>
      <c r="F57" s="13"/>
      <c r="S57" s="13"/>
      <c r="Z57" s="13" t="s">
        <v>20371</v>
      </c>
      <c r="AA57" s="13">
        <v>120</v>
      </c>
      <c r="AC57" s="13">
        <f t="shared" si="15"/>
        <v>120</v>
      </c>
      <c r="AD57" s="13" t="str">
        <f t="shared" si="16"/>
        <v/>
      </c>
      <c r="AE57" s="13" t="str">
        <f t="shared" si="19"/>
        <v/>
      </c>
    </row>
    <row r="58" spans="1:31" x14ac:dyDescent="0.2">
      <c r="A58" s="4">
        <v>15</v>
      </c>
      <c r="B58" s="7">
        <v>67</v>
      </c>
      <c r="C58" s="1064" t="s">
        <v>21617</v>
      </c>
      <c r="E58" s="13">
        <v>50</v>
      </c>
      <c r="F58" s="13"/>
      <c r="S58" s="13"/>
      <c r="Z58" s="13" t="s">
        <v>20380</v>
      </c>
      <c r="AA58" s="13">
        <v>121</v>
      </c>
      <c r="AC58" s="13">
        <f t="shared" si="15"/>
        <v>121</v>
      </c>
      <c r="AD58" s="13">
        <f t="shared" si="16"/>
        <v>121</v>
      </c>
      <c r="AE58" s="13" t="str">
        <f t="shared" si="19"/>
        <v/>
      </c>
    </row>
    <row r="59" spans="1:31" x14ac:dyDescent="0.2">
      <c r="A59" s="4">
        <v>61</v>
      </c>
      <c r="B59">
        <v>676</v>
      </c>
      <c r="C59" s="1064" t="s">
        <v>7420</v>
      </c>
      <c r="E59" s="13">
        <v>50</v>
      </c>
      <c r="F59" s="13"/>
      <c r="S59" s="13"/>
      <c r="Z59" s="13" t="s">
        <v>20375</v>
      </c>
      <c r="AA59" s="13">
        <v>122</v>
      </c>
      <c r="AC59" s="13">
        <f t="shared" si="15"/>
        <v>122</v>
      </c>
      <c r="AD59" s="13">
        <f t="shared" si="16"/>
        <v>122</v>
      </c>
      <c r="AE59" s="13" t="str">
        <f t="shared" si="19"/>
        <v/>
      </c>
    </row>
    <row r="60" spans="1:31" x14ac:dyDescent="0.2">
      <c r="A60" s="4">
        <v>102</v>
      </c>
      <c r="B60" s="4">
        <v>750</v>
      </c>
      <c r="C60" s="1064" t="s">
        <v>7453</v>
      </c>
      <c r="E60" s="13">
        <v>50</v>
      </c>
      <c r="F60" s="13"/>
      <c r="S60" s="13"/>
      <c r="Z60" s="13" t="s">
        <v>20375</v>
      </c>
      <c r="AA60" s="13">
        <v>123</v>
      </c>
      <c r="AC60" s="13">
        <f t="shared" si="15"/>
        <v>123</v>
      </c>
      <c r="AD60" s="13">
        <f t="shared" si="16"/>
        <v>123</v>
      </c>
      <c r="AE60" s="13" t="str">
        <f t="shared" si="19"/>
        <v/>
      </c>
    </row>
    <row r="61" spans="1:31" x14ac:dyDescent="0.2">
      <c r="A61" s="4">
        <v>58</v>
      </c>
      <c r="B61" s="4">
        <v>713</v>
      </c>
      <c r="C61" s="1064" t="s">
        <v>7413</v>
      </c>
      <c r="E61" s="13">
        <v>50</v>
      </c>
      <c r="F61" s="13"/>
      <c r="S61" s="13"/>
      <c r="Z61" s="13" t="s">
        <v>20380</v>
      </c>
      <c r="AA61" s="13">
        <v>130</v>
      </c>
      <c r="AC61" s="13">
        <f t="shared" si="15"/>
        <v>130</v>
      </c>
      <c r="AD61" s="13">
        <f t="shared" si="16"/>
        <v>130</v>
      </c>
      <c r="AE61" s="13" t="str">
        <f t="shared" si="19"/>
        <v/>
      </c>
    </row>
    <row r="62" spans="1:31" x14ac:dyDescent="0.2">
      <c r="A62" s="4">
        <v>59</v>
      </c>
      <c r="B62" s="4">
        <v>788</v>
      </c>
      <c r="C62" s="1064" t="s">
        <v>7416</v>
      </c>
      <c r="E62" s="13">
        <v>50</v>
      </c>
      <c r="F62" s="13"/>
      <c r="S62" s="13"/>
      <c r="Z62" s="13" t="s">
        <v>20383</v>
      </c>
      <c r="AA62" s="13">
        <v>131</v>
      </c>
      <c r="AC62" s="13">
        <f t="shared" si="15"/>
        <v>131</v>
      </c>
      <c r="AD62" s="13" t="str">
        <f t="shared" si="16"/>
        <v/>
      </c>
      <c r="AE62" s="13" t="str">
        <f t="shared" si="19"/>
        <v/>
      </c>
    </row>
    <row r="63" spans="1:31" x14ac:dyDescent="0.2">
      <c r="A63" s="4">
        <v>33</v>
      </c>
      <c r="B63" s="4">
        <v>95</v>
      </c>
      <c r="C63" s="1064" t="s">
        <v>7396</v>
      </c>
      <c r="E63" s="13">
        <v>50</v>
      </c>
      <c r="F63" s="13"/>
      <c r="S63" s="13"/>
      <c r="V63">
        <v>11</v>
      </c>
      <c r="Z63" s="13" t="s">
        <v>20383</v>
      </c>
      <c r="AA63" s="13">
        <v>132</v>
      </c>
      <c r="AC63" s="13">
        <f t="shared" si="15"/>
        <v>132</v>
      </c>
      <c r="AD63" s="13">
        <f t="shared" si="16"/>
        <v>132</v>
      </c>
      <c r="AE63" s="13" t="str">
        <f t="shared" si="19"/>
        <v/>
      </c>
    </row>
    <row r="64" spans="1:31" x14ac:dyDescent="0.2">
      <c r="E64" s="13">
        <v>25</v>
      </c>
      <c r="F64" s="13"/>
      <c r="S64" s="13"/>
      <c r="V64">
        <v>15</v>
      </c>
      <c r="Z64" s="13" t="s">
        <v>20371</v>
      </c>
      <c r="AA64" s="13">
        <v>93</v>
      </c>
      <c r="AC64" s="13" t="str">
        <f t="shared" si="15"/>
        <v/>
      </c>
      <c r="AD64" s="13" t="str">
        <f t="shared" si="16"/>
        <v/>
      </c>
      <c r="AE64" s="13" t="str">
        <f t="shared" si="19"/>
        <v/>
      </c>
    </row>
    <row r="65" spans="5:22" x14ac:dyDescent="0.2">
      <c r="E65" s="13">
        <v>25</v>
      </c>
      <c r="F65" s="13"/>
      <c r="S65" s="13"/>
      <c r="V65">
        <v>18</v>
      </c>
    </row>
    <row r="66" spans="5:22" x14ac:dyDescent="0.2">
      <c r="E66" s="13">
        <v>50</v>
      </c>
      <c r="F66" s="13"/>
      <c r="S66" s="13"/>
      <c r="V66">
        <v>32</v>
      </c>
    </row>
    <row r="67" spans="5:22" x14ac:dyDescent="0.2">
      <c r="E67" s="13">
        <v>50</v>
      </c>
      <c r="F67" s="13"/>
      <c r="S67" s="13"/>
      <c r="V67">
        <v>33</v>
      </c>
    </row>
    <row r="68" spans="5:22" x14ac:dyDescent="0.2">
      <c r="E68" s="13">
        <v>25</v>
      </c>
      <c r="F68" s="13"/>
      <c r="S68" s="13"/>
      <c r="V68">
        <v>53</v>
      </c>
    </row>
    <row r="69" spans="5:22" x14ac:dyDescent="0.2">
      <c r="E69" s="13">
        <v>25</v>
      </c>
      <c r="F69" s="13"/>
      <c r="S69" s="13"/>
      <c r="V69">
        <v>55</v>
      </c>
    </row>
    <row r="70" spans="5:22" x14ac:dyDescent="0.2">
      <c r="E70" s="13">
        <v>50</v>
      </c>
      <c r="F70" s="13"/>
      <c r="S70" s="13"/>
      <c r="V70">
        <v>56</v>
      </c>
    </row>
    <row r="71" spans="5:22" x14ac:dyDescent="0.2">
      <c r="E71" s="13">
        <v>50</v>
      </c>
      <c r="F71" s="13"/>
      <c r="S71" s="13"/>
      <c r="V71">
        <v>57</v>
      </c>
    </row>
    <row r="72" spans="5:22" x14ac:dyDescent="0.2">
      <c r="E72" s="13">
        <v>50</v>
      </c>
      <c r="F72" s="13"/>
      <c r="S72" s="13"/>
      <c r="V72">
        <v>58</v>
      </c>
    </row>
    <row r="73" spans="5:22" x14ac:dyDescent="0.2">
      <c r="E73" s="13">
        <v>25</v>
      </c>
      <c r="F73" s="13"/>
      <c r="S73" s="13"/>
      <c r="V73">
        <v>59</v>
      </c>
    </row>
    <row r="74" spans="5:22" x14ac:dyDescent="0.2">
      <c r="E74" s="13">
        <v>50</v>
      </c>
      <c r="F74" s="13"/>
      <c r="S74" s="13"/>
      <c r="V74">
        <v>60</v>
      </c>
    </row>
    <row r="75" spans="5:22" x14ac:dyDescent="0.2">
      <c r="E75" s="13">
        <v>25</v>
      </c>
      <c r="F75" s="13"/>
      <c r="S75" s="13"/>
      <c r="V75">
        <v>61</v>
      </c>
    </row>
    <row r="76" spans="5:22" x14ac:dyDescent="0.2">
      <c r="E76" s="13">
        <v>25</v>
      </c>
      <c r="F76" s="13"/>
      <c r="S76" s="13"/>
      <c r="V76">
        <v>77</v>
      </c>
    </row>
    <row r="77" spans="5:22" x14ac:dyDescent="0.2">
      <c r="E77" s="13">
        <v>25</v>
      </c>
      <c r="F77" s="13"/>
      <c r="S77" s="13"/>
      <c r="V77">
        <v>78</v>
      </c>
    </row>
    <row r="78" spans="5:22" x14ac:dyDescent="0.2">
      <c r="E78" s="13">
        <v>25</v>
      </c>
      <c r="F78" s="13"/>
      <c r="S78" s="13"/>
      <c r="V78">
        <v>79</v>
      </c>
    </row>
    <row r="79" spans="5:22" x14ac:dyDescent="0.2">
      <c r="E79" s="13">
        <v>25</v>
      </c>
      <c r="F79" s="13"/>
      <c r="S79" s="13"/>
      <c r="V79">
        <v>80</v>
      </c>
    </row>
    <row r="80" spans="5:22" x14ac:dyDescent="0.2">
      <c r="E80" s="13">
        <v>50</v>
      </c>
      <c r="F80" s="13"/>
      <c r="S80" s="13"/>
      <c r="V80">
        <v>92</v>
      </c>
    </row>
    <row r="81" spans="5:22" x14ac:dyDescent="0.2">
      <c r="E81" s="13">
        <v>25</v>
      </c>
      <c r="F81" s="13"/>
      <c r="S81" s="13"/>
      <c r="V81">
        <v>102</v>
      </c>
    </row>
    <row r="82" spans="5:22" x14ac:dyDescent="0.2">
      <c r="E82" s="13">
        <v>25</v>
      </c>
      <c r="F82" s="13"/>
      <c r="S82" s="13"/>
      <c r="V82">
        <v>121</v>
      </c>
    </row>
    <row r="83" spans="5:22" x14ac:dyDescent="0.2">
      <c r="E83" s="13">
        <v>50</v>
      </c>
      <c r="F83" s="13"/>
      <c r="S83" s="13"/>
      <c r="V83">
        <v>123</v>
      </c>
    </row>
    <row r="84" spans="5:22" x14ac:dyDescent="0.2">
      <c r="V84">
        <v>17</v>
      </c>
    </row>
    <row r="85" spans="5:22" x14ac:dyDescent="0.2">
      <c r="V85">
        <v>56</v>
      </c>
    </row>
    <row r="86" spans="5:22" x14ac:dyDescent="0.2">
      <c r="V86">
        <v>57</v>
      </c>
    </row>
    <row r="87" spans="5:22" x14ac:dyDescent="0.2">
      <c r="V87">
        <v>58</v>
      </c>
    </row>
    <row r="88" spans="5:22" x14ac:dyDescent="0.2">
      <c r="V88">
        <v>59</v>
      </c>
    </row>
    <row r="89" spans="5:22" x14ac:dyDescent="0.2">
      <c r="V89">
        <v>60</v>
      </c>
    </row>
    <row r="90" spans="5:22" x14ac:dyDescent="0.2">
      <c r="V90">
        <v>61</v>
      </c>
    </row>
    <row r="91" spans="5:22" x14ac:dyDescent="0.2">
      <c r="V91">
        <v>70</v>
      </c>
    </row>
    <row r="92" spans="5:22" x14ac:dyDescent="0.2">
      <c r="V92">
        <v>72</v>
      </c>
    </row>
    <row r="93" spans="5:22" x14ac:dyDescent="0.2">
      <c r="V93">
        <v>73</v>
      </c>
    </row>
    <row r="94" spans="5:22" x14ac:dyDescent="0.2">
      <c r="V94">
        <v>74</v>
      </c>
    </row>
    <row r="95" spans="5:22" x14ac:dyDescent="0.2">
      <c r="V95">
        <v>76</v>
      </c>
    </row>
    <row r="96" spans="5:22" x14ac:dyDescent="0.2">
      <c r="V96">
        <v>77</v>
      </c>
    </row>
    <row r="97" spans="22:22" x14ac:dyDescent="0.2">
      <c r="V97">
        <v>78</v>
      </c>
    </row>
    <row r="98" spans="22:22" x14ac:dyDescent="0.2">
      <c r="V98">
        <v>79</v>
      </c>
    </row>
    <row r="99" spans="22:22" x14ac:dyDescent="0.2">
      <c r="V99">
        <v>80</v>
      </c>
    </row>
    <row r="100" spans="22:22" x14ac:dyDescent="0.2">
      <c r="V100">
        <v>81</v>
      </c>
    </row>
    <row r="101" spans="22:22" x14ac:dyDescent="0.2">
      <c r="V101">
        <v>90</v>
      </c>
    </row>
    <row r="102" spans="22:22" x14ac:dyDescent="0.2">
      <c r="V102">
        <v>91</v>
      </c>
    </row>
    <row r="103" spans="22:22" x14ac:dyDescent="0.2">
      <c r="V103">
        <v>92</v>
      </c>
    </row>
    <row r="104" spans="22:22" x14ac:dyDescent="0.2">
      <c r="V104">
        <v>100</v>
      </c>
    </row>
    <row r="105" spans="22:22" x14ac:dyDescent="0.2">
      <c r="V105">
        <v>102</v>
      </c>
    </row>
    <row r="106" spans="22:22" x14ac:dyDescent="0.2">
      <c r="V106">
        <v>121</v>
      </c>
    </row>
    <row r="107" spans="22:22" x14ac:dyDescent="0.2">
      <c r="V107">
        <v>122</v>
      </c>
    </row>
    <row r="108" spans="22:22" x14ac:dyDescent="0.2">
      <c r="V108">
        <v>123</v>
      </c>
    </row>
    <row r="109" spans="22:22" x14ac:dyDescent="0.2">
      <c r="V109">
        <v>130</v>
      </c>
    </row>
    <row r="110" spans="22:22" x14ac:dyDescent="0.2">
      <c r="V110">
        <v>132</v>
      </c>
    </row>
  </sheetData>
  <mergeCells count="8">
    <mergeCell ref="AQ2:AR2"/>
    <mergeCell ref="AT2:AW2"/>
    <mergeCell ref="AY2:AZ2"/>
    <mergeCell ref="D2:G2"/>
    <mergeCell ref="D1:G1"/>
    <mergeCell ref="Q1:T1"/>
    <mergeCell ref="Q2:T2"/>
    <mergeCell ref="AL2:AO2"/>
  </mergeCells>
  <dataValidations disablePrompts="1" count="1">
    <dataValidation type="list" allowBlank="1" showInputMessage="1" showErrorMessage="1" sqref="E4:E42" xr:uid="{E96D0BCE-C063-4DF8-9822-7A1E0B07844B}">
      <formula1>"0,10,25,50"</formula1>
    </dataValidation>
  </dataValidations>
  <pageMargins left="0.70866141732283472" right="0.70866141732283472" top="0.74803149606299213" bottom="0.74803149606299213" header="0.31496062992125984" footer="0.31496062992125984"/>
  <pageSetup paperSize="9" scale="12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20511-2F7A-427E-82DE-1D192DE39741}">
  <dimension ref="A1:S498"/>
  <sheetViews>
    <sheetView showGridLines="0" view="pageBreakPreview" zoomScale="115" zoomScaleNormal="100" zoomScaleSheetLayoutView="115" workbookViewId="0">
      <pane ySplit="4" topLeftCell="A5" activePane="bottomLeft" state="frozen"/>
      <selection activeCell="A3" sqref="A3:A12"/>
      <selection pane="bottomLeft" activeCell="F11" sqref="F11"/>
    </sheetView>
  </sheetViews>
  <sheetFormatPr baseColWidth="10" defaultColWidth="11.42578125" defaultRowHeight="12.75" x14ac:dyDescent="0.2"/>
  <cols>
    <col min="1" max="1" width="11.7109375" bestFit="1" customWidth="1"/>
    <col min="2" max="2" width="43.140625" bestFit="1" customWidth="1"/>
    <col min="3" max="3" width="12.28515625" bestFit="1" customWidth="1"/>
    <col min="4" max="4" width="3.5703125" customWidth="1"/>
    <col min="5" max="5" width="9" style="13" customWidth="1"/>
    <col min="6" max="6" width="25.140625" bestFit="1" customWidth="1"/>
    <col min="7" max="7" width="10.7109375" customWidth="1"/>
    <col min="8" max="9" width="12.85546875" bestFit="1" customWidth="1"/>
    <col min="10" max="10" width="25" bestFit="1" customWidth="1"/>
    <col min="11" max="11" width="6.28515625" customWidth="1"/>
    <col min="13" max="13" width="21.42578125" bestFit="1" customWidth="1"/>
    <col min="18" max="18" width="42" bestFit="1" customWidth="1"/>
  </cols>
  <sheetData>
    <row r="1" spans="1:19" ht="12.75" customHeight="1" thickBot="1" x14ac:dyDescent="0.25">
      <c r="A1" s="1597" t="s">
        <v>20470</v>
      </c>
      <c r="B1" s="1597"/>
      <c r="C1" s="1597"/>
      <c r="E1" s="13" t="str" cm="1">
        <f t="array" ref="E1">+_xlfn.TEXTJOIN("
",TRUE,_xlfn._xlws.FILTER(A4:A78,A4:A78&lt;&gt;"-"))</f>
        <v>A01A 015N
A01A 019N
A01A 028N
A01A 030N
A03I 010
A03I 021
A03I 033
A03I 035N
E0105 050
E0106 050
D01I0030712
D01I0031217
D01I0031116
D01I00201329
D01I00201430
D01I0031520
D01I0011523
D01I0031621
D01I00201733
D01I0011826
D01I00201834
D01I0031924
D01I0011927
D01I00202036
D01I0012129
D01I00202137
D01I0012331
D01I00202339
D01I0012735
D01I00202743
D01I0012937
D01I00202945</v>
      </c>
      <c r="F1" t="s">
        <v>8168</v>
      </c>
      <c r="G1">
        <v>1400</v>
      </c>
      <c r="H1" s="1402">
        <f>+H2/G1</f>
        <v>220.9648767857143</v>
      </c>
      <c r="I1" s="1402">
        <f>+I2/G1</f>
        <v>46.402624125000003</v>
      </c>
      <c r="J1" s="1402">
        <f>+J2/G1</f>
        <v>267.36750091071434</v>
      </c>
    </row>
    <row r="2" spans="1:19" ht="15.75" thickBot="1" x14ac:dyDescent="0.25">
      <c r="A2" s="1598"/>
      <c r="B2" s="1598"/>
      <c r="C2" s="1598"/>
      <c r="D2" s="9"/>
      <c r="E2" s="1451"/>
      <c r="F2" s="601" t="s">
        <v>11734</v>
      </c>
      <c r="G2" s="276"/>
      <c r="H2" s="280">
        <f>+SUM(H4:H141)</f>
        <v>309350.82750000001</v>
      </c>
      <c r="I2" s="26">
        <f>+H2*0.21</f>
        <v>64963.673775000003</v>
      </c>
      <c r="J2" s="474">
        <f>+H2+I2</f>
        <v>374314.50127500005</v>
      </c>
      <c r="K2" s="31" t="s">
        <v>9341</v>
      </c>
      <c r="M2" t="s">
        <v>1</v>
      </c>
      <c r="N2" t="s">
        <v>2</v>
      </c>
      <c r="O2" t="s">
        <v>8751</v>
      </c>
      <c r="P2" t="s">
        <v>8756</v>
      </c>
      <c r="Q2" t="s">
        <v>8759</v>
      </c>
      <c r="S2" t="s">
        <v>20471</v>
      </c>
    </row>
    <row r="3" spans="1:19" ht="16.5" thickBot="1" x14ac:dyDescent="0.25">
      <c r="A3" s="272" t="s">
        <v>8751</v>
      </c>
      <c r="B3" s="273" t="s">
        <v>8756</v>
      </c>
      <c r="C3" s="274" t="s">
        <v>8322</v>
      </c>
      <c r="D3" s="275"/>
      <c r="E3" s="271" t="s">
        <v>8189</v>
      </c>
      <c r="F3" s="271" t="s">
        <v>1</v>
      </c>
      <c r="G3" s="271" t="s">
        <v>6</v>
      </c>
      <c r="H3" s="271" t="s">
        <v>8162</v>
      </c>
      <c r="I3" s="30" t="s">
        <v>8140</v>
      </c>
      <c r="J3" s="82" t="str" cm="1">
        <f t="array" ref="J3:J10">+_xlfn.UNIQUE(M3:M498)</f>
        <v>SEEGER DIN 471</v>
      </c>
      <c r="L3" t="str">
        <f>+M3&amp;N3</f>
        <v>SEEGER DIN 4714</v>
      </c>
      <c r="M3" t="s">
        <v>2096</v>
      </c>
      <c r="N3">
        <v>4</v>
      </c>
      <c r="O3" t="s">
        <v>20472</v>
      </c>
      <c r="P3" t="s">
        <v>2099</v>
      </c>
      <c r="Q3">
        <v>11.0082225</v>
      </c>
      <c r="R3" t="s">
        <v>20473</v>
      </c>
      <c r="S3">
        <v>100</v>
      </c>
    </row>
    <row r="4" spans="1:19" x14ac:dyDescent="0.2">
      <c r="A4" s="277" t="str">
        <f t="shared" ref="A4:A33" si="0">+VLOOKUP(F4&amp;E4,$L$2:$Q$498,4,0)</f>
        <v>A01A 015N</v>
      </c>
      <c r="B4" s="278" t="str">
        <f t="shared" ref="B4:B33" si="1">+VLOOKUP(F4&amp;E4,$L$2:$R$498,7,0)</f>
        <v>ANILLOS DE SEGURIDAD DIN 471 15 A</v>
      </c>
      <c r="C4" s="279">
        <f t="shared" ref="C4:C67" si="2">+VLOOKUP(F4&amp;E4,$L$2:$S$498,8,0)</f>
        <v>100</v>
      </c>
      <c r="D4" s="275"/>
      <c r="E4" s="13">
        <v>15</v>
      </c>
      <c r="F4" s="26" t="s">
        <v>2096</v>
      </c>
      <c r="G4" s="26">
        <f t="shared" ref="G4:G46" si="3">+VLOOKUP(F4&amp;E4,$L$2:$Q$498,6,0)</f>
        <v>31.508565000000001</v>
      </c>
      <c r="H4" s="26">
        <f t="shared" ref="H4:H32" si="4">+G4*C4</f>
        <v>3150.8564999999999</v>
      </c>
      <c r="I4" s="82"/>
      <c r="J4" t="str">
        <v>SEEGER DIN 472</v>
      </c>
      <c r="L4" t="str">
        <f t="shared" ref="L4:L32" si="5">+M4&amp;N4</f>
        <v>SEEGER DIN 4715</v>
      </c>
      <c r="M4" t="s">
        <v>2096</v>
      </c>
      <c r="N4">
        <v>5</v>
      </c>
      <c r="O4" t="s">
        <v>20474</v>
      </c>
      <c r="P4" t="s">
        <v>2102</v>
      </c>
      <c r="Q4">
        <v>11.0082225</v>
      </c>
      <c r="R4" t="s">
        <v>20475</v>
      </c>
      <c r="S4">
        <v>100</v>
      </c>
    </row>
    <row r="5" spans="1:19" x14ac:dyDescent="0.2">
      <c r="A5" s="277" t="str">
        <f t="shared" si="0"/>
        <v>A01A 019N</v>
      </c>
      <c r="B5" s="278" t="str">
        <f t="shared" si="1"/>
        <v>ANILLOS DE SEGURIDAD DIN 471 19 A</v>
      </c>
      <c r="C5" s="279">
        <f t="shared" si="2"/>
        <v>100</v>
      </c>
      <c r="D5" s="275"/>
      <c r="E5" s="13">
        <v>19</v>
      </c>
      <c r="F5" s="26" t="s">
        <v>2096</v>
      </c>
      <c r="G5" s="26">
        <f t="shared" si="3"/>
        <v>65.126490000000004</v>
      </c>
      <c r="H5" s="26">
        <f t="shared" si="4"/>
        <v>6512.6490000000003</v>
      </c>
      <c r="I5" s="82"/>
      <c r="J5" t="str">
        <v>ESPINAS ELASTICAS</v>
      </c>
      <c r="L5" t="str">
        <f t="shared" si="5"/>
        <v>SEEGER DIN 4716</v>
      </c>
      <c r="M5" t="s">
        <v>2096</v>
      </c>
      <c r="N5">
        <v>6</v>
      </c>
      <c r="O5" t="s">
        <v>20476</v>
      </c>
      <c r="P5" t="s">
        <v>2105</v>
      </c>
      <c r="Q5">
        <v>14.633685000000002</v>
      </c>
      <c r="R5" t="s">
        <v>20477</v>
      </c>
      <c r="S5">
        <v>100</v>
      </c>
    </row>
    <row r="6" spans="1:19" x14ac:dyDescent="0.2">
      <c r="A6" s="277" t="str">
        <f t="shared" si="0"/>
        <v>A01A 028N</v>
      </c>
      <c r="B6" s="278" t="str">
        <f t="shared" si="1"/>
        <v>ANILLOS DE SEGURIDAD DIN 471 28 A</v>
      </c>
      <c r="C6" s="279">
        <f t="shared" si="2"/>
        <v>100</v>
      </c>
      <c r="D6" s="275"/>
      <c r="E6" s="13">
        <v>28</v>
      </c>
      <c r="F6" s="26" t="s">
        <v>2096</v>
      </c>
      <c r="G6" s="26">
        <f t="shared" si="3"/>
        <v>106.58859750000001</v>
      </c>
      <c r="H6" s="26">
        <f t="shared" si="4"/>
        <v>10658.859750000001</v>
      </c>
      <c r="I6" s="82"/>
      <c r="J6" t="str">
        <v>RETENES SEGURIDAD</v>
      </c>
      <c r="L6" t="str">
        <f t="shared" si="5"/>
        <v>SEEGER DIN 4717</v>
      </c>
      <c r="M6" t="s">
        <v>2096</v>
      </c>
      <c r="N6">
        <v>7</v>
      </c>
      <c r="O6" t="s">
        <v>20478</v>
      </c>
      <c r="P6" t="s">
        <v>2108</v>
      </c>
      <c r="Q6">
        <v>18.259147499999997</v>
      </c>
      <c r="R6" t="s">
        <v>20479</v>
      </c>
      <c r="S6">
        <v>100</v>
      </c>
    </row>
    <row r="7" spans="1:19" x14ac:dyDescent="0.2">
      <c r="A7" s="277" t="str">
        <f t="shared" si="0"/>
        <v>A01A 030N</v>
      </c>
      <c r="B7" s="278" t="str">
        <f t="shared" si="1"/>
        <v>ANILLOS DE SEGURIDAD DIN 471 30 A</v>
      </c>
      <c r="C7" s="279">
        <f t="shared" si="2"/>
        <v>50</v>
      </c>
      <c r="D7" s="275"/>
      <c r="E7" s="13">
        <v>30</v>
      </c>
      <c r="F7" s="26" t="s">
        <v>2096</v>
      </c>
      <c r="G7" s="26">
        <f t="shared" si="3"/>
        <v>118.6515</v>
      </c>
      <c r="H7" s="26">
        <f t="shared" si="4"/>
        <v>5932.5749999999998</v>
      </c>
      <c r="I7" s="82"/>
      <c r="J7" t="str">
        <v>ARANLOCK</v>
      </c>
      <c r="L7" t="str">
        <f t="shared" si="5"/>
        <v>SEEGER DIN 4718</v>
      </c>
      <c r="M7" t="s">
        <v>2096</v>
      </c>
      <c r="N7">
        <v>8</v>
      </c>
      <c r="O7" t="s">
        <v>20480</v>
      </c>
      <c r="P7" t="s">
        <v>2111</v>
      </c>
      <c r="Q7">
        <v>13.1835</v>
      </c>
      <c r="R7" t="s">
        <v>20481</v>
      </c>
      <c r="S7">
        <v>100</v>
      </c>
    </row>
    <row r="8" spans="1:19" x14ac:dyDescent="0.2">
      <c r="A8" s="277" t="str">
        <f t="shared" si="0"/>
        <v>A03I 010</v>
      </c>
      <c r="B8" s="278" t="str">
        <f t="shared" si="1"/>
        <v>ANILLOS DE SEGURIDAD DIN 472 10 I</v>
      </c>
      <c r="C8" s="279">
        <f t="shared" si="2"/>
        <v>100</v>
      </c>
      <c r="D8" s="275"/>
      <c r="E8" s="13">
        <v>10</v>
      </c>
      <c r="F8" s="26" t="s">
        <v>2281</v>
      </c>
      <c r="G8" s="26">
        <f t="shared" si="3"/>
        <v>21.884609999999999</v>
      </c>
      <c r="H8" s="26">
        <f t="shared" si="4"/>
        <v>2188.4609999999998</v>
      </c>
      <c r="I8" s="82"/>
      <c r="J8" t="str">
        <v>SUPLEMENTO 0,2</v>
      </c>
      <c r="L8" t="str">
        <f t="shared" si="5"/>
        <v>SEEGER DIN 4719</v>
      </c>
      <c r="M8" t="s">
        <v>2096</v>
      </c>
      <c r="N8">
        <v>9</v>
      </c>
      <c r="O8" t="s">
        <v>20482</v>
      </c>
      <c r="P8" t="s">
        <v>2114</v>
      </c>
      <c r="Q8">
        <v>17.665890000000005</v>
      </c>
      <c r="R8" t="s">
        <v>20483</v>
      </c>
      <c r="S8">
        <v>100</v>
      </c>
    </row>
    <row r="9" spans="1:19" x14ac:dyDescent="0.2">
      <c r="A9" s="277" t="str">
        <f t="shared" si="0"/>
        <v>A03I 021</v>
      </c>
      <c r="B9" s="278" t="str">
        <f t="shared" si="1"/>
        <v>ANILLOS DE SEGURIDAD DIN 472 21 I</v>
      </c>
      <c r="C9" s="279">
        <f t="shared" si="2"/>
        <v>100</v>
      </c>
      <c r="D9" s="275"/>
      <c r="E9" s="13">
        <v>21</v>
      </c>
      <c r="F9" s="26" t="s">
        <v>2281</v>
      </c>
      <c r="G9" s="26">
        <f t="shared" si="3"/>
        <v>61.303274999999999</v>
      </c>
      <c r="H9" s="26">
        <f t="shared" si="4"/>
        <v>6130.3275000000003</v>
      </c>
      <c r="I9" s="82"/>
      <c r="J9" t="str">
        <v>SUPLEMENTO 0,8</v>
      </c>
      <c r="L9" t="str">
        <f t="shared" si="5"/>
        <v>SEEGER DIN 47110</v>
      </c>
      <c r="M9" t="s">
        <v>2096</v>
      </c>
      <c r="N9">
        <v>10</v>
      </c>
      <c r="O9" t="s">
        <v>20484</v>
      </c>
      <c r="P9" t="s">
        <v>2117</v>
      </c>
      <c r="Q9">
        <v>19.77525</v>
      </c>
      <c r="R9" t="s">
        <v>20485</v>
      </c>
      <c r="S9">
        <v>100</v>
      </c>
    </row>
    <row r="10" spans="1:19" x14ac:dyDescent="0.2">
      <c r="A10" s="277" t="str">
        <f t="shared" si="0"/>
        <v>A03I 033</v>
      </c>
      <c r="B10" s="278" t="str">
        <f t="shared" si="1"/>
        <v>ANILLOS DE SEGURIDAD DIN 472 33 I</v>
      </c>
      <c r="C10" s="279">
        <f t="shared" si="2"/>
        <v>50</v>
      </c>
      <c r="D10" s="275"/>
      <c r="E10" s="13">
        <v>33</v>
      </c>
      <c r="F10" s="26" t="s">
        <v>2281</v>
      </c>
      <c r="G10" s="26">
        <f t="shared" si="3"/>
        <v>129.52788750000002</v>
      </c>
      <c r="H10" s="26">
        <f t="shared" si="4"/>
        <v>6476.3943750000008</v>
      </c>
      <c r="I10" s="9"/>
      <c r="J10" t="str">
        <v>-</v>
      </c>
      <c r="L10" t="str">
        <f t="shared" si="5"/>
        <v>SEEGER DIN 47111</v>
      </c>
      <c r="M10" t="s">
        <v>2096</v>
      </c>
      <c r="N10">
        <v>11</v>
      </c>
      <c r="O10" t="s">
        <v>20486</v>
      </c>
      <c r="P10" t="s">
        <v>2120</v>
      </c>
      <c r="Q10">
        <v>20.632177500000001</v>
      </c>
      <c r="R10" t="s">
        <v>20487</v>
      </c>
      <c r="S10">
        <v>100</v>
      </c>
    </row>
    <row r="11" spans="1:19" x14ac:dyDescent="0.2">
      <c r="A11" s="277" t="str">
        <f t="shared" si="0"/>
        <v>A03I 035N</v>
      </c>
      <c r="B11" s="278" t="str">
        <f t="shared" si="1"/>
        <v>ANILLOS DE SEGURIDAD DIN 472 35 I</v>
      </c>
      <c r="C11" s="279">
        <f t="shared" si="2"/>
        <v>50</v>
      </c>
      <c r="D11" s="275"/>
      <c r="E11" s="13">
        <v>35</v>
      </c>
      <c r="F11" s="26" t="s">
        <v>2281</v>
      </c>
      <c r="G11" s="26">
        <f t="shared" si="3"/>
        <v>180.54803249999998</v>
      </c>
      <c r="H11" s="26">
        <f t="shared" si="4"/>
        <v>9027.4016249999986</v>
      </c>
      <c r="I11" s="9"/>
      <c r="L11" t="str">
        <f t="shared" si="5"/>
        <v>SEEGER DIN 47112</v>
      </c>
      <c r="M11" t="s">
        <v>2096</v>
      </c>
      <c r="N11">
        <v>12</v>
      </c>
      <c r="O11" t="s">
        <v>20488</v>
      </c>
      <c r="P11" t="s">
        <v>2123</v>
      </c>
      <c r="Q11">
        <v>23.532547500000003</v>
      </c>
      <c r="R11" t="s">
        <v>20489</v>
      </c>
      <c r="S11">
        <v>100</v>
      </c>
    </row>
    <row r="12" spans="1:19" x14ac:dyDescent="0.2">
      <c r="A12" s="277" t="str">
        <f t="shared" si="0"/>
        <v>E0105 050</v>
      </c>
      <c r="B12" s="278" t="str">
        <f t="shared" si="1"/>
        <v>ESPINAS ELASTICAS DIN 1481 5 X 50</v>
      </c>
      <c r="C12" s="279">
        <f t="shared" si="2"/>
        <v>100</v>
      </c>
      <c r="D12" s="275"/>
      <c r="E12" s="13" t="s">
        <v>5370</v>
      </c>
      <c r="F12" s="26" t="s">
        <v>5242</v>
      </c>
      <c r="G12" s="26">
        <f t="shared" si="3"/>
        <v>88.263532499999997</v>
      </c>
      <c r="H12" s="26">
        <f t="shared" si="4"/>
        <v>8826.3532500000001</v>
      </c>
      <c r="L12" t="str">
        <f t="shared" si="5"/>
        <v>SEEGER DIN 47113</v>
      </c>
      <c r="M12" t="s">
        <v>2096</v>
      </c>
      <c r="N12">
        <v>13</v>
      </c>
      <c r="O12" t="s">
        <v>20490</v>
      </c>
      <c r="P12" t="s">
        <v>2126</v>
      </c>
      <c r="Q12">
        <v>26.630670000000002</v>
      </c>
      <c r="R12" t="s">
        <v>20491</v>
      </c>
      <c r="S12">
        <v>100</v>
      </c>
    </row>
    <row r="13" spans="1:19" x14ac:dyDescent="0.2">
      <c r="A13" s="277" t="str">
        <f t="shared" si="0"/>
        <v>E0106 050</v>
      </c>
      <c r="B13" s="278" t="str">
        <f t="shared" si="1"/>
        <v>ESPINAS ELASTICAS DIN 1481 6 X 50</v>
      </c>
      <c r="C13" s="279">
        <f t="shared" si="2"/>
        <v>50</v>
      </c>
      <c r="D13" s="275"/>
      <c r="E13" s="13" t="s">
        <v>5394</v>
      </c>
      <c r="F13" s="26" t="s">
        <v>5242</v>
      </c>
      <c r="G13" s="26">
        <f t="shared" si="3"/>
        <v>164.66191500000002</v>
      </c>
      <c r="H13" s="26">
        <f t="shared" si="4"/>
        <v>8233.0957500000004</v>
      </c>
      <c r="L13" t="str">
        <f t="shared" si="5"/>
        <v>SEEGER DIN 47114</v>
      </c>
      <c r="M13" t="s">
        <v>2096</v>
      </c>
      <c r="N13">
        <v>14</v>
      </c>
      <c r="O13" t="s">
        <v>20492</v>
      </c>
      <c r="P13" t="s">
        <v>2129</v>
      </c>
      <c r="Q13">
        <v>30.585719999999998</v>
      </c>
      <c r="R13" t="s">
        <v>20493</v>
      </c>
      <c r="S13">
        <v>100</v>
      </c>
    </row>
    <row r="14" spans="1:19" x14ac:dyDescent="0.2">
      <c r="A14" s="277" t="str">
        <f t="shared" si="0"/>
        <v>D01I0030712</v>
      </c>
      <c r="B14" s="278" t="str">
        <f t="shared" si="1"/>
        <v>ARANDELAS DE SUPLEMENTO 7 x 12 x 0.80</v>
      </c>
      <c r="C14" s="279">
        <f t="shared" si="2"/>
        <v>50</v>
      </c>
      <c r="D14" s="275"/>
      <c r="E14" s="13" t="s">
        <v>20821</v>
      </c>
      <c r="F14" s="26" t="s">
        <v>4139</v>
      </c>
      <c r="G14" s="26">
        <f t="shared" si="3"/>
        <v>68.883787499999997</v>
      </c>
      <c r="H14" s="26">
        <f t="shared" si="4"/>
        <v>3444.1893749999999</v>
      </c>
      <c r="I14" s="387"/>
      <c r="L14" t="str">
        <f t="shared" si="5"/>
        <v>SEEGER DIN 47115</v>
      </c>
      <c r="M14" t="s">
        <v>2096</v>
      </c>
      <c r="N14">
        <v>15</v>
      </c>
      <c r="O14" t="s">
        <v>20494</v>
      </c>
      <c r="P14" t="s">
        <v>2132</v>
      </c>
      <c r="Q14">
        <v>31.508565000000001</v>
      </c>
      <c r="R14" t="s">
        <v>20495</v>
      </c>
      <c r="S14">
        <v>100</v>
      </c>
    </row>
    <row r="15" spans="1:19" x14ac:dyDescent="0.2">
      <c r="A15" s="277" t="str">
        <f t="shared" si="0"/>
        <v>D01I0031217</v>
      </c>
      <c r="B15" s="278" t="str">
        <f t="shared" si="1"/>
        <v>ARANDELAS DE SUPLEMENTO 12 x 17 x 0.80</v>
      </c>
      <c r="C15" s="279">
        <f t="shared" si="2"/>
        <v>50</v>
      </c>
      <c r="D15" s="275"/>
      <c r="E15" s="13" t="s">
        <v>18988</v>
      </c>
      <c r="F15" s="26" t="s">
        <v>4139</v>
      </c>
      <c r="G15" s="26">
        <f t="shared" si="3"/>
        <v>94.525694999999999</v>
      </c>
      <c r="H15" s="26">
        <f t="shared" si="4"/>
        <v>4726.2847499999998</v>
      </c>
      <c r="I15" s="387"/>
      <c r="L15" t="str">
        <f t="shared" si="5"/>
        <v>SEEGER DIN 47116</v>
      </c>
      <c r="M15" t="s">
        <v>2096</v>
      </c>
      <c r="N15">
        <v>16</v>
      </c>
      <c r="O15" t="s">
        <v>20496</v>
      </c>
      <c r="P15" t="s">
        <v>2135</v>
      </c>
      <c r="Q15">
        <v>33.881595000000004</v>
      </c>
      <c r="R15" t="s">
        <v>20497</v>
      </c>
      <c r="S15">
        <v>100</v>
      </c>
    </row>
    <row r="16" spans="1:19" x14ac:dyDescent="0.2">
      <c r="A16" s="277" t="str">
        <f t="shared" si="0"/>
        <v>D01I0031116</v>
      </c>
      <c r="B16" s="278" t="str">
        <f t="shared" si="1"/>
        <v>ARANDELAS DE SUPLEMENTO 11 x 16 x 0.80</v>
      </c>
      <c r="C16" s="279">
        <f t="shared" si="2"/>
        <v>50</v>
      </c>
      <c r="D16" s="275"/>
      <c r="E16" s="13" t="s">
        <v>20814</v>
      </c>
      <c r="F16" s="26" t="s">
        <v>4139</v>
      </c>
      <c r="G16" s="26">
        <f t="shared" si="3"/>
        <v>93.800602500000011</v>
      </c>
      <c r="H16" s="26">
        <f t="shared" si="4"/>
        <v>4690.0301250000002</v>
      </c>
      <c r="I16" s="387"/>
      <c r="L16" t="str">
        <f t="shared" si="5"/>
        <v>SEEGER DIN 47117</v>
      </c>
      <c r="M16" t="s">
        <v>2096</v>
      </c>
      <c r="N16">
        <v>17</v>
      </c>
      <c r="O16" t="s">
        <v>20498</v>
      </c>
      <c r="P16" t="s">
        <v>2138</v>
      </c>
      <c r="Q16">
        <v>47.592435000000009</v>
      </c>
      <c r="R16" t="s">
        <v>20499</v>
      </c>
      <c r="S16">
        <v>100</v>
      </c>
    </row>
    <row r="17" spans="1:19" x14ac:dyDescent="0.2">
      <c r="A17" s="277" t="str">
        <f t="shared" si="0"/>
        <v>D01I00201329</v>
      </c>
      <c r="B17" s="278" t="str">
        <f t="shared" si="1"/>
        <v>ARANDELAS DE SUPLEMENTO 13 x 29 x 0.80</v>
      </c>
      <c r="C17" s="279">
        <f t="shared" si="2"/>
        <v>50</v>
      </c>
      <c r="D17" s="275"/>
      <c r="E17" s="13" t="s">
        <v>20828</v>
      </c>
      <c r="F17" s="26" t="s">
        <v>4139</v>
      </c>
      <c r="G17" s="26">
        <f t="shared" si="3"/>
        <v>221.08729500000001</v>
      </c>
      <c r="H17" s="26">
        <f t="shared" si="4"/>
        <v>11054.364750000001</v>
      </c>
      <c r="I17" s="387"/>
      <c r="L17" t="str">
        <f t="shared" si="5"/>
        <v>SEEGER DIN 47118</v>
      </c>
      <c r="M17" t="s">
        <v>2096</v>
      </c>
      <c r="N17">
        <v>18</v>
      </c>
      <c r="O17" t="s">
        <v>20500</v>
      </c>
      <c r="P17" t="s">
        <v>2141</v>
      </c>
      <c r="Q17">
        <v>57.216390000000004</v>
      </c>
      <c r="R17" t="s">
        <v>20501</v>
      </c>
      <c r="S17">
        <v>100</v>
      </c>
    </row>
    <row r="18" spans="1:19" x14ac:dyDescent="0.2">
      <c r="A18" s="277" t="str">
        <f t="shared" si="0"/>
        <v>D01I00201430</v>
      </c>
      <c r="B18" s="278" t="str">
        <f t="shared" si="1"/>
        <v>ARANDELAS DE SUPLEMENTO 14 x 30 x 0.80</v>
      </c>
      <c r="C18" s="279">
        <f t="shared" si="2"/>
        <v>50</v>
      </c>
      <c r="D18" s="275"/>
      <c r="E18" s="13" t="s">
        <v>20831</v>
      </c>
      <c r="F18" s="26" t="s">
        <v>4139</v>
      </c>
      <c r="G18" s="26">
        <f t="shared" si="3"/>
        <v>221.08729500000001</v>
      </c>
      <c r="H18" s="26">
        <f t="shared" si="4"/>
        <v>11054.364750000001</v>
      </c>
      <c r="I18" s="387"/>
      <c r="L18" t="str">
        <f t="shared" si="5"/>
        <v>SEEGER DIN 47119</v>
      </c>
      <c r="M18" t="s">
        <v>2096</v>
      </c>
      <c r="N18">
        <v>19</v>
      </c>
      <c r="O18" t="s">
        <v>20502</v>
      </c>
      <c r="P18" t="s">
        <v>2144</v>
      </c>
      <c r="Q18">
        <v>65.126490000000004</v>
      </c>
      <c r="R18" t="s">
        <v>20503</v>
      </c>
      <c r="S18">
        <v>100</v>
      </c>
    </row>
    <row r="19" spans="1:19" x14ac:dyDescent="0.2">
      <c r="A19" s="277" t="str">
        <f t="shared" si="0"/>
        <v>D01I0031520</v>
      </c>
      <c r="B19" s="278" t="str">
        <f t="shared" si="1"/>
        <v>ARANDELAS DE SUPLEMENTO 15 x 20 x 0.80</v>
      </c>
      <c r="C19" s="279">
        <f t="shared" si="2"/>
        <v>50</v>
      </c>
      <c r="D19" s="275"/>
      <c r="E19" s="13" t="s">
        <v>20834</v>
      </c>
      <c r="F19" s="26" t="s">
        <v>4139</v>
      </c>
      <c r="G19" s="26">
        <f t="shared" si="3"/>
        <v>125.8365075</v>
      </c>
      <c r="H19" s="26">
        <f t="shared" si="4"/>
        <v>6291.8253749999994</v>
      </c>
      <c r="I19" s="387"/>
      <c r="L19" t="str">
        <f t="shared" si="5"/>
        <v>SEEGER DIN 47120</v>
      </c>
      <c r="M19" t="s">
        <v>2096</v>
      </c>
      <c r="N19">
        <v>20</v>
      </c>
      <c r="O19" t="s">
        <v>20504</v>
      </c>
      <c r="P19" t="s">
        <v>2147</v>
      </c>
      <c r="Q19">
        <v>65.587912500000016</v>
      </c>
      <c r="R19" t="s">
        <v>20505</v>
      </c>
      <c r="S19">
        <v>100</v>
      </c>
    </row>
    <row r="20" spans="1:19" x14ac:dyDescent="0.2">
      <c r="A20" s="277" t="str">
        <f t="shared" si="0"/>
        <v>D01I0011523</v>
      </c>
      <c r="B20" s="278" t="str">
        <f t="shared" si="1"/>
        <v>ARANDELAS DE SUPLEMENTO 15 x 23 x 0.80</v>
      </c>
      <c r="C20" s="279">
        <f t="shared" si="2"/>
        <v>50</v>
      </c>
      <c r="D20" s="275"/>
      <c r="E20" s="13" t="s">
        <v>20837</v>
      </c>
      <c r="F20" s="26" t="s">
        <v>4139</v>
      </c>
      <c r="G20" s="26">
        <f t="shared" si="3"/>
        <v>128.802795</v>
      </c>
      <c r="H20" s="26">
        <f t="shared" si="4"/>
        <v>6440.1397500000003</v>
      </c>
      <c r="I20" s="387"/>
      <c r="L20" t="str">
        <f t="shared" si="5"/>
        <v>SEEGER DIN 47121</v>
      </c>
      <c r="M20" t="s">
        <v>2096</v>
      </c>
      <c r="N20">
        <v>21</v>
      </c>
      <c r="O20" t="s">
        <v>20506</v>
      </c>
      <c r="P20" t="s">
        <v>2150</v>
      </c>
      <c r="Q20">
        <v>74.486775000000009</v>
      </c>
      <c r="R20" t="s">
        <v>20507</v>
      </c>
      <c r="S20">
        <v>100</v>
      </c>
    </row>
    <row r="21" spans="1:19" x14ac:dyDescent="0.2">
      <c r="A21" s="277" t="str">
        <f t="shared" si="0"/>
        <v>D01I0031621</v>
      </c>
      <c r="B21" s="278" t="str">
        <f t="shared" si="1"/>
        <v>ARANDELAS DE SUPLEMENTO 16 x 21 x 0.80</v>
      </c>
      <c r="C21" s="279">
        <f t="shared" si="2"/>
        <v>50</v>
      </c>
      <c r="D21" s="275"/>
      <c r="E21" s="13" t="s">
        <v>19005</v>
      </c>
      <c r="F21" s="26" t="s">
        <v>4139</v>
      </c>
      <c r="G21" s="26">
        <f t="shared" si="3"/>
        <v>125.8365075</v>
      </c>
      <c r="H21" s="26">
        <f t="shared" si="4"/>
        <v>6291.8253749999994</v>
      </c>
      <c r="L21" t="str">
        <f t="shared" si="5"/>
        <v>SEEGER DIN 47122</v>
      </c>
      <c r="M21" t="s">
        <v>2096</v>
      </c>
      <c r="N21">
        <v>22</v>
      </c>
      <c r="O21" t="s">
        <v>20508</v>
      </c>
      <c r="P21" t="s">
        <v>2153</v>
      </c>
      <c r="Q21">
        <v>82.594627500000001</v>
      </c>
      <c r="R21" t="s">
        <v>20509</v>
      </c>
      <c r="S21">
        <v>100</v>
      </c>
    </row>
    <row r="22" spans="1:19" x14ac:dyDescent="0.2">
      <c r="A22" s="277" t="str">
        <f t="shared" si="0"/>
        <v>D01I00201733</v>
      </c>
      <c r="B22" s="278" t="str">
        <f t="shared" si="1"/>
        <v>ARANDELAS DE SUPLEMENTO 17 x 33 x 0.80</v>
      </c>
      <c r="C22" s="279">
        <f t="shared" si="2"/>
        <v>50</v>
      </c>
      <c r="D22" s="275"/>
      <c r="E22" s="13" t="s">
        <v>20842</v>
      </c>
      <c r="F22" s="26" t="s">
        <v>4139</v>
      </c>
      <c r="G22" s="26">
        <f t="shared" si="3"/>
        <v>223.65807750000002</v>
      </c>
      <c r="H22" s="26">
        <f t="shared" si="4"/>
        <v>11182.903875000002</v>
      </c>
      <c r="L22" t="str">
        <f t="shared" si="5"/>
        <v>SEEGER DIN 47123</v>
      </c>
      <c r="M22" t="s">
        <v>2096</v>
      </c>
      <c r="N22">
        <v>23</v>
      </c>
      <c r="O22" t="s">
        <v>20510</v>
      </c>
      <c r="P22" t="s">
        <v>2156</v>
      </c>
      <c r="Q22">
        <v>82.594627500000001</v>
      </c>
      <c r="R22" t="s">
        <v>20511</v>
      </c>
      <c r="S22">
        <v>100</v>
      </c>
    </row>
    <row r="23" spans="1:19" x14ac:dyDescent="0.2">
      <c r="A23" s="277" t="str">
        <f t="shared" si="0"/>
        <v>D01I0011826</v>
      </c>
      <c r="B23" s="278" t="str">
        <f t="shared" si="1"/>
        <v>ARANDELAS DE SUPLEMENTO 18 x 26 x 0.80</v>
      </c>
      <c r="C23" s="279">
        <f t="shared" si="2"/>
        <v>50</v>
      </c>
      <c r="D23" s="275"/>
      <c r="E23" s="13" t="s">
        <v>20845</v>
      </c>
      <c r="F23" s="26" t="s">
        <v>4139</v>
      </c>
      <c r="G23" s="26">
        <f t="shared" si="3"/>
        <v>171.12183000000002</v>
      </c>
      <c r="H23" s="26">
        <f t="shared" si="4"/>
        <v>8556.0915000000005</v>
      </c>
      <c r="L23" t="str">
        <f t="shared" si="5"/>
        <v>SEEGER DIN 47124</v>
      </c>
      <c r="M23" t="s">
        <v>2096</v>
      </c>
      <c r="N23">
        <v>24</v>
      </c>
      <c r="O23" t="s">
        <v>20512</v>
      </c>
      <c r="P23" t="s">
        <v>2159</v>
      </c>
      <c r="Q23">
        <v>84.638069999999999</v>
      </c>
      <c r="R23" t="s">
        <v>20513</v>
      </c>
      <c r="S23">
        <v>100</v>
      </c>
    </row>
    <row r="24" spans="1:19" x14ac:dyDescent="0.2">
      <c r="A24" s="277" t="str">
        <f t="shared" si="0"/>
        <v>D01I00201834</v>
      </c>
      <c r="B24" s="278" t="str">
        <f t="shared" si="1"/>
        <v>ARANDELAS DE SUPLEMENTO 18 x 34 x 0.80</v>
      </c>
      <c r="C24" s="279">
        <f t="shared" si="2"/>
        <v>50</v>
      </c>
      <c r="D24" s="275"/>
      <c r="E24" s="13" t="s">
        <v>20848</v>
      </c>
      <c r="F24" s="26" t="s">
        <v>4139</v>
      </c>
      <c r="G24" s="26">
        <f t="shared" si="3"/>
        <v>293.79429750000003</v>
      </c>
      <c r="H24" s="26">
        <f t="shared" si="4"/>
        <v>14689.714875000001</v>
      </c>
      <c r="L24" t="str">
        <f t="shared" si="5"/>
        <v>SEEGER DIN 47125</v>
      </c>
      <c r="M24" t="s">
        <v>2096</v>
      </c>
      <c r="N24">
        <v>25</v>
      </c>
      <c r="O24" t="s">
        <v>20514</v>
      </c>
      <c r="P24" t="s">
        <v>2162</v>
      </c>
      <c r="Q24">
        <v>81.605864999999994</v>
      </c>
      <c r="R24" t="s">
        <v>20515</v>
      </c>
      <c r="S24">
        <v>100</v>
      </c>
    </row>
    <row r="25" spans="1:19" x14ac:dyDescent="0.2">
      <c r="A25" s="277" t="str">
        <f t="shared" si="0"/>
        <v>D01I0031924</v>
      </c>
      <c r="B25" s="278" t="str">
        <f t="shared" si="1"/>
        <v>ARANDELAS DE SUPLEMENTO 19 x 24 x 0.80</v>
      </c>
      <c r="C25" s="279">
        <f t="shared" si="2"/>
        <v>50</v>
      </c>
      <c r="D25" s="275"/>
      <c r="E25" s="13" t="s">
        <v>20851</v>
      </c>
      <c r="F25" s="26" t="s">
        <v>4139</v>
      </c>
      <c r="G25" s="26">
        <f t="shared" si="3"/>
        <v>164.13457499999998</v>
      </c>
      <c r="H25" s="26">
        <f t="shared" si="4"/>
        <v>8206.7287499999984</v>
      </c>
      <c r="L25" t="str">
        <f t="shared" si="5"/>
        <v>SEEGER DIN 47126</v>
      </c>
      <c r="M25" t="s">
        <v>2096</v>
      </c>
      <c r="N25">
        <v>26</v>
      </c>
      <c r="O25" t="s">
        <v>20516</v>
      </c>
      <c r="P25" t="s">
        <v>2165</v>
      </c>
      <c r="Q25">
        <v>94.196107500000011</v>
      </c>
      <c r="R25" t="s">
        <v>20517</v>
      </c>
      <c r="S25">
        <v>100</v>
      </c>
    </row>
    <row r="26" spans="1:19" x14ac:dyDescent="0.2">
      <c r="A26" s="277" t="str">
        <f t="shared" si="0"/>
        <v>D01I0011927</v>
      </c>
      <c r="B26" s="278" t="str">
        <f t="shared" si="1"/>
        <v>ARANDELAS DE SUPLEMENTO 19 x 27 x 0.80</v>
      </c>
      <c r="C26" s="279">
        <f t="shared" si="2"/>
        <v>50</v>
      </c>
      <c r="D26" s="275"/>
      <c r="E26" s="13" t="s">
        <v>20854</v>
      </c>
      <c r="F26" s="26" t="s">
        <v>4139</v>
      </c>
      <c r="G26" s="26">
        <f t="shared" si="3"/>
        <v>171.12183000000002</v>
      </c>
      <c r="H26" s="26">
        <f t="shared" si="4"/>
        <v>8556.0915000000005</v>
      </c>
      <c r="L26" t="str">
        <f t="shared" si="5"/>
        <v>SEEGER DIN 47127</v>
      </c>
      <c r="M26" t="s">
        <v>2096</v>
      </c>
      <c r="N26">
        <v>27</v>
      </c>
      <c r="O26" t="s">
        <v>20518</v>
      </c>
      <c r="P26" t="s">
        <v>2168</v>
      </c>
      <c r="Q26">
        <v>94.196107500000011</v>
      </c>
      <c r="R26" t="s">
        <v>20519</v>
      </c>
      <c r="S26">
        <v>100</v>
      </c>
    </row>
    <row r="27" spans="1:19" x14ac:dyDescent="0.2">
      <c r="A27" s="277" t="str">
        <f t="shared" si="0"/>
        <v>D01I00202036</v>
      </c>
      <c r="B27" s="278" t="str">
        <f t="shared" si="1"/>
        <v>ARANDELAS DE SUPLEMENTO 20 x 36 x 0.80</v>
      </c>
      <c r="C27" s="279">
        <f t="shared" si="2"/>
        <v>50</v>
      </c>
      <c r="D27" s="9"/>
      <c r="E27" s="13" t="s">
        <v>20857</v>
      </c>
      <c r="F27" s="26" t="s">
        <v>4139</v>
      </c>
      <c r="G27" s="26">
        <f t="shared" si="3"/>
        <v>294.65122500000001</v>
      </c>
      <c r="H27" s="26">
        <f t="shared" si="4"/>
        <v>14732.561250000001</v>
      </c>
      <c r="L27" t="str">
        <f t="shared" si="5"/>
        <v>SEEGER DIN 47128</v>
      </c>
      <c r="M27" t="s">
        <v>2096</v>
      </c>
      <c r="N27">
        <v>28</v>
      </c>
      <c r="O27" t="s">
        <v>20520</v>
      </c>
      <c r="P27" t="s">
        <v>2171</v>
      </c>
      <c r="Q27">
        <v>106.58859750000001</v>
      </c>
      <c r="R27" t="s">
        <v>20521</v>
      </c>
      <c r="S27">
        <v>100</v>
      </c>
    </row>
    <row r="28" spans="1:19" x14ac:dyDescent="0.2">
      <c r="A28" s="277" t="str">
        <f t="shared" si="0"/>
        <v>D01I0012129</v>
      </c>
      <c r="B28" s="278" t="str">
        <f t="shared" si="1"/>
        <v>ARANDELAS DE SUPLEMENTO 21 x 29 x 0.80</v>
      </c>
      <c r="C28" s="279">
        <f t="shared" si="2"/>
        <v>50</v>
      </c>
      <c r="E28" s="13" t="s">
        <v>20860</v>
      </c>
      <c r="F28" s="26" t="s">
        <v>4139</v>
      </c>
      <c r="G28" s="26">
        <f t="shared" si="3"/>
        <v>216.34123500000001</v>
      </c>
      <c r="H28" s="26">
        <f t="shared" si="4"/>
        <v>10817.061750000001</v>
      </c>
      <c r="L28" t="str">
        <f t="shared" si="5"/>
        <v>SEEGER DIN 47129</v>
      </c>
      <c r="M28" t="s">
        <v>2096</v>
      </c>
      <c r="N28">
        <v>29</v>
      </c>
      <c r="O28" t="s">
        <v>20522</v>
      </c>
      <c r="P28" t="s">
        <v>2174</v>
      </c>
      <c r="Q28">
        <v>112.78484250000001</v>
      </c>
      <c r="R28" t="s">
        <v>20523</v>
      </c>
      <c r="S28">
        <v>100</v>
      </c>
    </row>
    <row r="29" spans="1:19" x14ac:dyDescent="0.2">
      <c r="A29" s="277" t="str">
        <f t="shared" si="0"/>
        <v>D01I00202137</v>
      </c>
      <c r="B29" s="278" t="str">
        <f t="shared" si="1"/>
        <v>ARANDELAS DE SUPLEMENTO 21 x 37 x 0.80</v>
      </c>
      <c r="C29" s="279">
        <f t="shared" si="2"/>
        <v>50</v>
      </c>
      <c r="E29" s="13" t="s">
        <v>20863</v>
      </c>
      <c r="F29" s="26" t="s">
        <v>4139</v>
      </c>
      <c r="G29" s="26">
        <f t="shared" si="3"/>
        <v>295.44223500000004</v>
      </c>
      <c r="H29" s="26">
        <f t="shared" si="4"/>
        <v>14772.111750000002</v>
      </c>
      <c r="L29" t="str">
        <f t="shared" si="5"/>
        <v>SEEGER DIN 47130</v>
      </c>
      <c r="M29" t="s">
        <v>2096</v>
      </c>
      <c r="N29">
        <v>30</v>
      </c>
      <c r="O29" t="s">
        <v>20524</v>
      </c>
      <c r="P29" t="s">
        <v>2177</v>
      </c>
      <c r="Q29">
        <v>118.6515</v>
      </c>
      <c r="R29" t="s">
        <v>20525</v>
      </c>
      <c r="S29">
        <v>50</v>
      </c>
    </row>
    <row r="30" spans="1:19" x14ac:dyDescent="0.2">
      <c r="A30" s="277" t="str">
        <f t="shared" si="0"/>
        <v>D01I0012331</v>
      </c>
      <c r="B30" s="278" t="str">
        <f t="shared" si="1"/>
        <v>ARANDELAS DE SUPLEMENTO 23 x 31 x 0.80</v>
      </c>
      <c r="C30" s="279">
        <f t="shared" si="2"/>
        <v>50</v>
      </c>
      <c r="E30" s="13" t="s">
        <v>20866</v>
      </c>
      <c r="F30" s="26" t="s">
        <v>4139</v>
      </c>
      <c r="G30" s="26">
        <f t="shared" si="3"/>
        <v>217.26408000000001</v>
      </c>
      <c r="H30" s="26">
        <f t="shared" si="4"/>
        <v>10863.204</v>
      </c>
      <c r="L30" t="str">
        <f t="shared" si="5"/>
        <v>SEEGER DIN 47131</v>
      </c>
      <c r="M30" t="s">
        <v>2096</v>
      </c>
      <c r="N30">
        <v>31</v>
      </c>
      <c r="O30" t="s">
        <v>20526</v>
      </c>
      <c r="P30" t="s">
        <v>2180</v>
      </c>
      <c r="Q30">
        <v>152.99451750000003</v>
      </c>
      <c r="R30" t="s">
        <v>20527</v>
      </c>
      <c r="S30">
        <v>50</v>
      </c>
    </row>
    <row r="31" spans="1:19" x14ac:dyDescent="0.2">
      <c r="A31" s="277" t="str">
        <f t="shared" si="0"/>
        <v>D01I00202339</v>
      </c>
      <c r="B31" s="278" t="str">
        <f t="shared" si="1"/>
        <v>ARANDELAS DE SUPLEMENTO 23 x 39 x 0.80</v>
      </c>
      <c r="C31" s="279">
        <f t="shared" si="2"/>
        <v>50</v>
      </c>
      <c r="E31" s="13" t="s">
        <v>20869</v>
      </c>
      <c r="F31" s="26" t="s">
        <v>4139</v>
      </c>
      <c r="G31" s="26">
        <f t="shared" si="3"/>
        <v>355.49307750000003</v>
      </c>
      <c r="H31" s="26">
        <f t="shared" si="4"/>
        <v>17774.653875</v>
      </c>
      <c r="L31" t="str">
        <f t="shared" si="5"/>
        <v>SEEGER DIN 47132</v>
      </c>
      <c r="M31" t="s">
        <v>2096</v>
      </c>
      <c r="N31">
        <v>32</v>
      </c>
      <c r="O31" t="s">
        <v>20528</v>
      </c>
      <c r="P31" t="s">
        <v>2183</v>
      </c>
      <c r="Q31">
        <v>152.99451750000003</v>
      </c>
      <c r="R31" t="s">
        <v>20529</v>
      </c>
      <c r="S31">
        <v>50</v>
      </c>
    </row>
    <row r="32" spans="1:19" x14ac:dyDescent="0.2">
      <c r="A32" s="277" t="str">
        <f t="shared" si="0"/>
        <v>D01I0012735</v>
      </c>
      <c r="B32" s="278" t="str">
        <f t="shared" si="1"/>
        <v>ARANDELAS DE SUPLEMENTO 27 x 35 x 0.80</v>
      </c>
      <c r="C32" s="279">
        <f t="shared" si="2"/>
        <v>50</v>
      </c>
      <c r="E32" s="13" t="s">
        <v>20872</v>
      </c>
      <c r="F32" s="26" t="s">
        <v>4139</v>
      </c>
      <c r="G32" s="26">
        <f t="shared" si="3"/>
        <v>289.11415499999998</v>
      </c>
      <c r="H32" s="26">
        <f t="shared" si="4"/>
        <v>14455.70775</v>
      </c>
      <c r="L32" t="str">
        <f t="shared" si="5"/>
        <v>SEEGER DIN 47133</v>
      </c>
      <c r="M32" t="s">
        <v>2096</v>
      </c>
      <c r="N32">
        <v>33</v>
      </c>
      <c r="O32" t="s">
        <v>20530</v>
      </c>
      <c r="P32" t="s">
        <v>2186</v>
      </c>
      <c r="Q32">
        <v>162.816225</v>
      </c>
      <c r="R32" t="s">
        <v>20531</v>
      </c>
      <c r="S32">
        <v>50</v>
      </c>
    </row>
    <row r="33" spans="1:19" x14ac:dyDescent="0.2">
      <c r="A33" s="277" t="str">
        <f t="shared" si="0"/>
        <v>D01I00202743</v>
      </c>
      <c r="B33" s="278" t="str">
        <f t="shared" si="1"/>
        <v>ARANDELAS DE SUPLEMENTO 27 x 43 x 0.80</v>
      </c>
      <c r="C33" s="279">
        <f t="shared" si="2"/>
        <v>50</v>
      </c>
      <c r="E33" s="13" t="s">
        <v>20875</v>
      </c>
      <c r="F33" s="26" t="s">
        <v>4139</v>
      </c>
      <c r="G33" s="26">
        <f t="shared" si="3"/>
        <v>357.86610750000006</v>
      </c>
      <c r="H33" s="26">
        <f t="shared" ref="H33:H35" si="6">+G33*C33</f>
        <v>17893.305375000004</v>
      </c>
      <c r="I33" s="27"/>
      <c r="L33" t="str">
        <f t="shared" ref="L33:L67" si="7">+M33&amp;N33</f>
        <v>SEEGER DIN 47134</v>
      </c>
      <c r="M33" t="s">
        <v>2096</v>
      </c>
      <c r="N33">
        <v>34</v>
      </c>
      <c r="O33" t="s">
        <v>20532</v>
      </c>
      <c r="P33" t="s">
        <v>2189</v>
      </c>
      <c r="Q33">
        <v>162.816225</v>
      </c>
      <c r="R33" t="s">
        <v>20533</v>
      </c>
      <c r="S33">
        <v>50</v>
      </c>
    </row>
    <row r="34" spans="1:19" x14ac:dyDescent="0.2">
      <c r="A34" s="277" t="str">
        <f t="shared" ref="A34:A71" si="8">+VLOOKUP(F34&amp;E34,$L$2:$Q$498,4,0)</f>
        <v>D01I0012937</v>
      </c>
      <c r="B34" s="278" t="str">
        <f t="shared" ref="B34:B71" si="9">+VLOOKUP(F34&amp;E34,$L$2:$R$498,7,0)</f>
        <v>ARANDELAS DE SUPLEMENTO 29 x 37 x 0.80</v>
      </c>
      <c r="C34" s="279">
        <f t="shared" si="2"/>
        <v>50</v>
      </c>
      <c r="E34" s="13" t="s">
        <v>20878</v>
      </c>
      <c r="F34" s="26" t="s">
        <v>4139</v>
      </c>
      <c r="G34" s="26">
        <f t="shared" si="3"/>
        <v>290.03699999999998</v>
      </c>
      <c r="H34" s="26">
        <f t="shared" si="6"/>
        <v>14501.849999999999</v>
      </c>
      <c r="I34" s="27"/>
      <c r="L34" t="str">
        <f t="shared" si="7"/>
        <v>SEEGER DIN 47135</v>
      </c>
      <c r="M34" t="s">
        <v>2096</v>
      </c>
      <c r="N34">
        <v>35</v>
      </c>
      <c r="O34" t="s">
        <v>20534</v>
      </c>
      <c r="P34" t="s">
        <v>2192</v>
      </c>
      <c r="Q34">
        <v>162.816225</v>
      </c>
      <c r="R34" t="s">
        <v>20535</v>
      </c>
      <c r="S34">
        <v>50</v>
      </c>
    </row>
    <row r="35" spans="1:19" x14ac:dyDescent="0.2">
      <c r="A35" s="277" t="str">
        <f t="shared" si="8"/>
        <v>D01I00202945</v>
      </c>
      <c r="B35" s="278" t="str">
        <f t="shared" si="9"/>
        <v>ARANDELAS DE SUPLEMENTO 29 x 45 x 0.80</v>
      </c>
      <c r="C35" s="279">
        <f t="shared" si="2"/>
        <v>50</v>
      </c>
      <c r="E35" s="13" t="s">
        <v>20881</v>
      </c>
      <c r="F35" s="26" t="s">
        <v>4139</v>
      </c>
      <c r="G35" s="26">
        <f t="shared" si="3"/>
        <v>424.37686500000007</v>
      </c>
      <c r="H35" s="26">
        <f t="shared" si="6"/>
        <v>21218.843250000002</v>
      </c>
      <c r="I35" s="27"/>
      <c r="L35" t="str">
        <f t="shared" si="7"/>
        <v>SEEGER DIN 47136</v>
      </c>
      <c r="M35" t="s">
        <v>2096</v>
      </c>
      <c r="N35">
        <v>36</v>
      </c>
      <c r="O35" t="s">
        <v>20536</v>
      </c>
      <c r="P35" t="s">
        <v>2195</v>
      </c>
      <c r="Q35">
        <v>196.30231500000002</v>
      </c>
      <c r="R35" t="s">
        <v>20537</v>
      </c>
      <c r="S35">
        <v>50</v>
      </c>
    </row>
    <row r="36" spans="1:19" x14ac:dyDescent="0.2">
      <c r="A36" s="277" t="str">
        <f t="shared" si="8"/>
        <v>-</v>
      </c>
      <c r="B36" s="278" t="str">
        <f t="shared" si="9"/>
        <v>-</v>
      </c>
      <c r="C36" s="279">
        <f t="shared" si="2"/>
        <v>0</v>
      </c>
      <c r="E36" s="13" t="s">
        <v>4463</v>
      </c>
      <c r="F36" s="26"/>
      <c r="G36" s="26">
        <f t="shared" si="3"/>
        <v>0</v>
      </c>
      <c r="H36" s="26">
        <f t="shared" ref="H36:H67" si="10">+G36*C36</f>
        <v>0</v>
      </c>
      <c r="I36" s="27"/>
      <c r="L36" t="str">
        <f t="shared" si="7"/>
        <v>SEEGER DIN 47137</v>
      </c>
      <c r="M36" t="s">
        <v>2096</v>
      </c>
      <c r="N36">
        <v>37</v>
      </c>
      <c r="O36" t="s">
        <v>20538</v>
      </c>
      <c r="P36" t="s">
        <v>2198</v>
      </c>
      <c r="Q36">
        <v>208.694805</v>
      </c>
      <c r="R36" t="s">
        <v>20539</v>
      </c>
      <c r="S36">
        <v>50</v>
      </c>
    </row>
    <row r="37" spans="1:19" x14ac:dyDescent="0.2">
      <c r="A37" s="277" t="str">
        <f t="shared" si="8"/>
        <v>-</v>
      </c>
      <c r="B37" s="278" t="str">
        <f t="shared" si="9"/>
        <v>-</v>
      </c>
      <c r="C37" s="279">
        <f t="shared" si="2"/>
        <v>0</v>
      </c>
      <c r="E37" s="13" t="s">
        <v>4463</v>
      </c>
      <c r="F37" s="26"/>
      <c r="G37" s="26">
        <f t="shared" si="3"/>
        <v>0</v>
      </c>
      <c r="H37" s="26">
        <f t="shared" si="10"/>
        <v>0</v>
      </c>
      <c r="I37" s="27"/>
      <c r="L37" t="str">
        <f t="shared" si="7"/>
        <v>SEEGER DIN 47138</v>
      </c>
      <c r="M37" t="s">
        <v>2096</v>
      </c>
      <c r="N37">
        <v>38</v>
      </c>
      <c r="O37" t="s">
        <v>20540</v>
      </c>
      <c r="P37" t="s">
        <v>2201</v>
      </c>
      <c r="Q37">
        <v>208.694805</v>
      </c>
      <c r="R37" t="s">
        <v>20541</v>
      </c>
      <c r="S37">
        <v>50</v>
      </c>
    </row>
    <row r="38" spans="1:19" x14ac:dyDescent="0.2">
      <c r="A38" s="277" t="str">
        <f t="shared" si="8"/>
        <v>-</v>
      </c>
      <c r="B38" s="278" t="str">
        <f t="shared" si="9"/>
        <v>-</v>
      </c>
      <c r="C38" s="279">
        <f t="shared" si="2"/>
        <v>0</v>
      </c>
      <c r="E38" s="13" t="s">
        <v>4463</v>
      </c>
      <c r="F38" s="26"/>
      <c r="G38" s="26">
        <f t="shared" si="3"/>
        <v>0</v>
      </c>
      <c r="H38" s="26">
        <f t="shared" si="10"/>
        <v>0</v>
      </c>
      <c r="I38" s="27"/>
      <c r="L38" t="str">
        <f t="shared" si="7"/>
        <v>SEEGER DIN 47139</v>
      </c>
      <c r="M38" t="s">
        <v>2096</v>
      </c>
      <c r="N38">
        <v>39</v>
      </c>
      <c r="O38" t="s">
        <v>20542</v>
      </c>
      <c r="P38" t="s">
        <v>2204</v>
      </c>
      <c r="Q38">
        <v>208.694805</v>
      </c>
      <c r="R38" t="s">
        <v>20543</v>
      </c>
      <c r="S38">
        <v>50</v>
      </c>
    </row>
    <row r="39" spans="1:19" x14ac:dyDescent="0.2">
      <c r="A39" s="277" t="str">
        <f t="shared" si="8"/>
        <v>-</v>
      </c>
      <c r="B39" s="278" t="str">
        <f t="shared" si="9"/>
        <v>-</v>
      </c>
      <c r="C39" s="279">
        <f t="shared" si="2"/>
        <v>0</v>
      </c>
      <c r="E39" s="13" t="s">
        <v>4463</v>
      </c>
      <c r="F39" s="26"/>
      <c r="G39" s="26">
        <f t="shared" si="3"/>
        <v>0</v>
      </c>
      <c r="H39" s="26">
        <f t="shared" si="10"/>
        <v>0</v>
      </c>
      <c r="I39" s="27"/>
      <c r="L39" t="str">
        <f t="shared" si="7"/>
        <v>SEEGER DIN 47140</v>
      </c>
      <c r="M39" t="s">
        <v>2096</v>
      </c>
      <c r="N39">
        <v>40</v>
      </c>
      <c r="O39" t="s">
        <v>20544</v>
      </c>
      <c r="P39" t="s">
        <v>2207</v>
      </c>
      <c r="Q39">
        <v>212.84760750000004</v>
      </c>
      <c r="R39" t="s">
        <v>20545</v>
      </c>
      <c r="S39">
        <v>50</v>
      </c>
    </row>
    <row r="40" spans="1:19" x14ac:dyDescent="0.2">
      <c r="A40" s="277" t="str">
        <f t="shared" si="8"/>
        <v>-</v>
      </c>
      <c r="B40" s="278" t="str">
        <f t="shared" si="9"/>
        <v>-</v>
      </c>
      <c r="C40" s="279">
        <f t="shared" si="2"/>
        <v>0</v>
      </c>
      <c r="E40" s="13" t="s">
        <v>4463</v>
      </c>
      <c r="F40" s="26"/>
      <c r="G40" s="26">
        <f t="shared" si="3"/>
        <v>0</v>
      </c>
      <c r="H40" s="26">
        <f t="shared" si="10"/>
        <v>0</v>
      </c>
      <c r="I40" s="27"/>
      <c r="L40" t="str">
        <f t="shared" si="7"/>
        <v>SEEGER DIN 47141</v>
      </c>
      <c r="M40" t="s">
        <v>2096</v>
      </c>
      <c r="N40">
        <v>41</v>
      </c>
      <c r="O40" t="s">
        <v>20546</v>
      </c>
      <c r="P40" t="s">
        <v>2210</v>
      </c>
      <c r="Q40">
        <v>227.94271499999999</v>
      </c>
      <c r="R40" t="s">
        <v>20547</v>
      </c>
      <c r="S40">
        <v>50</v>
      </c>
    </row>
    <row r="41" spans="1:19" x14ac:dyDescent="0.2">
      <c r="A41" s="277" t="str">
        <f t="shared" si="8"/>
        <v>-</v>
      </c>
      <c r="B41" s="278" t="str">
        <f t="shared" si="9"/>
        <v>-</v>
      </c>
      <c r="C41" s="279">
        <f t="shared" si="2"/>
        <v>0</v>
      </c>
      <c r="E41" s="13" t="s">
        <v>4463</v>
      </c>
      <c r="F41" s="26"/>
      <c r="G41" s="26">
        <f t="shared" si="3"/>
        <v>0</v>
      </c>
      <c r="H41" s="26">
        <f t="shared" si="10"/>
        <v>0</v>
      </c>
      <c r="I41" s="27"/>
      <c r="L41" t="str">
        <f t="shared" si="7"/>
        <v>SEEGER DIN 47142</v>
      </c>
      <c r="M41" t="s">
        <v>2096</v>
      </c>
      <c r="N41">
        <v>42</v>
      </c>
      <c r="O41" t="s">
        <v>20548</v>
      </c>
      <c r="P41" t="s">
        <v>2213</v>
      </c>
      <c r="Q41">
        <v>227.94271499999999</v>
      </c>
      <c r="R41" t="s">
        <v>20549</v>
      </c>
      <c r="S41">
        <v>50</v>
      </c>
    </row>
    <row r="42" spans="1:19" x14ac:dyDescent="0.2">
      <c r="A42" s="277" t="str">
        <f t="shared" si="8"/>
        <v>-</v>
      </c>
      <c r="B42" s="278" t="str">
        <f t="shared" si="9"/>
        <v>-</v>
      </c>
      <c r="C42" s="279">
        <f t="shared" si="2"/>
        <v>0</v>
      </c>
      <c r="E42" s="13" t="s">
        <v>4463</v>
      </c>
      <c r="F42" s="26"/>
      <c r="G42" s="26">
        <f t="shared" si="3"/>
        <v>0</v>
      </c>
      <c r="H42" s="26">
        <f t="shared" si="10"/>
        <v>0</v>
      </c>
      <c r="I42" s="27"/>
      <c r="L42" t="str">
        <f t="shared" si="7"/>
        <v>SEEGER DIN 47144</v>
      </c>
      <c r="M42" t="s">
        <v>2096</v>
      </c>
      <c r="N42">
        <v>44</v>
      </c>
      <c r="O42" t="s">
        <v>20550</v>
      </c>
      <c r="P42" t="s">
        <v>2216</v>
      </c>
      <c r="Q42">
        <v>286.54337250000003</v>
      </c>
      <c r="R42" t="s">
        <v>20551</v>
      </c>
      <c r="S42">
        <v>50</v>
      </c>
    </row>
    <row r="43" spans="1:19" x14ac:dyDescent="0.2">
      <c r="A43" s="277" t="str">
        <f t="shared" si="8"/>
        <v>-</v>
      </c>
      <c r="B43" s="278" t="str">
        <f t="shared" si="9"/>
        <v>-</v>
      </c>
      <c r="C43" s="279">
        <f t="shared" si="2"/>
        <v>0</v>
      </c>
      <c r="E43" s="13" t="s">
        <v>4463</v>
      </c>
      <c r="F43" s="26"/>
      <c r="G43" s="26">
        <f t="shared" si="3"/>
        <v>0</v>
      </c>
      <c r="H43" s="26">
        <f t="shared" si="10"/>
        <v>0</v>
      </c>
      <c r="I43" s="27"/>
      <c r="L43" t="str">
        <f t="shared" si="7"/>
        <v>SEEGER DIN 47145</v>
      </c>
      <c r="M43" t="s">
        <v>2096</v>
      </c>
      <c r="N43">
        <v>45</v>
      </c>
      <c r="O43" t="s">
        <v>20552</v>
      </c>
      <c r="P43" t="s">
        <v>2219</v>
      </c>
      <c r="Q43">
        <v>286.54337250000003</v>
      </c>
      <c r="R43" t="s">
        <v>20553</v>
      </c>
      <c r="S43">
        <v>50</v>
      </c>
    </row>
    <row r="44" spans="1:19" x14ac:dyDescent="0.2">
      <c r="A44" s="277" t="str">
        <f t="shared" si="8"/>
        <v>-</v>
      </c>
      <c r="B44" s="278" t="str">
        <f t="shared" si="9"/>
        <v>-</v>
      </c>
      <c r="C44" s="279">
        <f t="shared" si="2"/>
        <v>0</v>
      </c>
      <c r="E44" s="13" t="s">
        <v>4463</v>
      </c>
      <c r="F44" s="26"/>
      <c r="G44" s="26">
        <f t="shared" si="3"/>
        <v>0</v>
      </c>
      <c r="H44" s="26">
        <f t="shared" si="10"/>
        <v>0</v>
      </c>
      <c r="I44" s="27"/>
      <c r="L44" t="str">
        <f t="shared" si="7"/>
        <v>SEEGER DIN 47146</v>
      </c>
      <c r="M44" t="s">
        <v>2096</v>
      </c>
      <c r="N44">
        <v>46</v>
      </c>
      <c r="O44" t="s">
        <v>20554</v>
      </c>
      <c r="P44" t="s">
        <v>2222</v>
      </c>
      <c r="Q44">
        <v>313.04220750000002</v>
      </c>
      <c r="R44" t="s">
        <v>20555</v>
      </c>
      <c r="S44">
        <v>50</v>
      </c>
    </row>
    <row r="45" spans="1:19" x14ac:dyDescent="0.2">
      <c r="A45" s="277" t="str">
        <f t="shared" si="8"/>
        <v>-</v>
      </c>
      <c r="B45" s="278" t="str">
        <f t="shared" si="9"/>
        <v>-</v>
      </c>
      <c r="C45" s="279">
        <f t="shared" si="2"/>
        <v>0</v>
      </c>
      <c r="E45" s="13" t="s">
        <v>4463</v>
      </c>
      <c r="F45" s="26"/>
      <c r="G45" s="26">
        <f t="shared" si="3"/>
        <v>0</v>
      </c>
      <c r="H45" s="26">
        <f t="shared" si="10"/>
        <v>0</v>
      </c>
      <c r="I45" s="27"/>
      <c r="L45" t="str">
        <f t="shared" si="7"/>
        <v>SEEGER DIN 47147</v>
      </c>
      <c r="M45" t="s">
        <v>2096</v>
      </c>
      <c r="N45">
        <v>47</v>
      </c>
      <c r="O45" t="s">
        <v>20556</v>
      </c>
      <c r="P45" t="s">
        <v>2225</v>
      </c>
      <c r="Q45">
        <v>313.04220750000002</v>
      </c>
      <c r="R45" t="s">
        <v>20557</v>
      </c>
      <c r="S45">
        <v>50</v>
      </c>
    </row>
    <row r="46" spans="1:19" x14ac:dyDescent="0.2">
      <c r="A46" s="277" t="str">
        <f t="shared" si="8"/>
        <v>-</v>
      </c>
      <c r="B46" s="278" t="str">
        <f t="shared" si="9"/>
        <v>-</v>
      </c>
      <c r="C46" s="279">
        <f t="shared" si="2"/>
        <v>0</v>
      </c>
      <c r="E46" s="13" t="s">
        <v>4463</v>
      </c>
      <c r="F46" s="26"/>
      <c r="G46" s="26">
        <f t="shared" si="3"/>
        <v>0</v>
      </c>
      <c r="H46" s="26">
        <f t="shared" si="10"/>
        <v>0</v>
      </c>
      <c r="I46" s="27"/>
      <c r="L46" t="str">
        <f t="shared" si="7"/>
        <v>SEEGER DIN 47148</v>
      </c>
      <c r="M46" t="s">
        <v>2096</v>
      </c>
      <c r="N46">
        <v>48</v>
      </c>
      <c r="O46" t="s">
        <v>20558</v>
      </c>
      <c r="P46" t="s">
        <v>2228</v>
      </c>
      <c r="Q46">
        <v>313.04220750000002</v>
      </c>
      <c r="R46" t="s">
        <v>20559</v>
      </c>
      <c r="S46">
        <v>50</v>
      </c>
    </row>
    <row r="47" spans="1:19" x14ac:dyDescent="0.2">
      <c r="A47" s="277" t="str">
        <f t="shared" si="8"/>
        <v>-</v>
      </c>
      <c r="B47" s="278" t="str">
        <f t="shared" si="9"/>
        <v>-</v>
      </c>
      <c r="C47" s="279">
        <f t="shared" si="2"/>
        <v>0</v>
      </c>
      <c r="E47" s="13" t="s">
        <v>4463</v>
      </c>
      <c r="F47" s="26"/>
      <c r="G47" s="26">
        <f t="shared" ref="G47:G78" si="11">+VLOOKUP(F47&amp;E47,$L$2:$Q$498,6,0)</f>
        <v>0</v>
      </c>
      <c r="H47" s="26">
        <f t="shared" si="10"/>
        <v>0</v>
      </c>
      <c r="I47" s="27"/>
      <c r="L47" t="str">
        <f t="shared" si="7"/>
        <v>SEEGER DIN 47150</v>
      </c>
      <c r="M47" t="s">
        <v>2096</v>
      </c>
      <c r="N47">
        <v>50</v>
      </c>
      <c r="O47" t="s">
        <v>20560</v>
      </c>
      <c r="P47" t="s">
        <v>2231</v>
      </c>
      <c r="Q47">
        <v>313.04220750000002</v>
      </c>
      <c r="R47" t="s">
        <v>20561</v>
      </c>
      <c r="S47">
        <v>50</v>
      </c>
    </row>
    <row r="48" spans="1:19" x14ac:dyDescent="0.2">
      <c r="A48" s="277" t="str">
        <f t="shared" si="8"/>
        <v>-</v>
      </c>
      <c r="B48" s="278" t="str">
        <f t="shared" si="9"/>
        <v>-</v>
      </c>
      <c r="C48" s="279">
        <f t="shared" si="2"/>
        <v>0</v>
      </c>
      <c r="E48" s="13" t="s">
        <v>4463</v>
      </c>
      <c r="F48" s="26"/>
      <c r="G48" s="26">
        <f t="shared" si="11"/>
        <v>0</v>
      </c>
      <c r="H48" s="26">
        <f t="shared" si="10"/>
        <v>0</v>
      </c>
      <c r="I48" s="27"/>
      <c r="L48" t="str">
        <f t="shared" si="7"/>
        <v>SEEGER DIN 47152</v>
      </c>
      <c r="M48" t="s">
        <v>2096</v>
      </c>
      <c r="N48">
        <v>52</v>
      </c>
      <c r="O48" t="s">
        <v>20562</v>
      </c>
      <c r="P48" t="s">
        <v>2234</v>
      </c>
      <c r="Q48">
        <v>358.195695</v>
      </c>
      <c r="R48" t="s">
        <v>20563</v>
      </c>
      <c r="S48">
        <v>25</v>
      </c>
    </row>
    <row r="49" spans="1:19" x14ac:dyDescent="0.2">
      <c r="A49" s="277" t="str">
        <f t="shared" si="8"/>
        <v>-</v>
      </c>
      <c r="B49" s="278" t="str">
        <f t="shared" si="9"/>
        <v>-</v>
      </c>
      <c r="C49" s="279">
        <f t="shared" si="2"/>
        <v>0</v>
      </c>
      <c r="E49" s="13" t="s">
        <v>4463</v>
      </c>
      <c r="F49" s="26"/>
      <c r="G49" s="26">
        <f t="shared" si="11"/>
        <v>0</v>
      </c>
      <c r="H49" s="26">
        <f t="shared" si="10"/>
        <v>0</v>
      </c>
      <c r="I49" s="27"/>
      <c r="L49" t="str">
        <f t="shared" si="7"/>
        <v>SEEGER DIN 47154</v>
      </c>
      <c r="M49" t="s">
        <v>2096</v>
      </c>
      <c r="N49">
        <v>54</v>
      </c>
      <c r="O49" t="s">
        <v>20564</v>
      </c>
      <c r="P49" t="s">
        <v>2237</v>
      </c>
      <c r="Q49">
        <v>364.45785749999999</v>
      </c>
      <c r="R49" t="s">
        <v>20565</v>
      </c>
      <c r="S49">
        <v>25</v>
      </c>
    </row>
    <row r="50" spans="1:19" x14ac:dyDescent="0.2">
      <c r="A50" s="277" t="str">
        <f t="shared" si="8"/>
        <v>-</v>
      </c>
      <c r="B50" s="278" t="str">
        <f t="shared" si="9"/>
        <v>-</v>
      </c>
      <c r="C50" s="279">
        <f t="shared" si="2"/>
        <v>0</v>
      </c>
      <c r="E50" s="13" t="s">
        <v>4463</v>
      </c>
      <c r="F50" s="26"/>
      <c r="G50" s="26">
        <f t="shared" si="11"/>
        <v>0</v>
      </c>
      <c r="H50" s="26">
        <f t="shared" si="10"/>
        <v>0</v>
      </c>
      <c r="I50" s="27"/>
      <c r="L50" t="str">
        <f t="shared" si="7"/>
        <v>SEEGER DIN 47155</v>
      </c>
      <c r="M50" t="s">
        <v>2096</v>
      </c>
      <c r="N50">
        <v>55</v>
      </c>
      <c r="O50" t="s">
        <v>20566</v>
      </c>
      <c r="P50" t="s">
        <v>2240</v>
      </c>
      <c r="Q50">
        <v>400.71248250000002</v>
      </c>
      <c r="R50" t="s">
        <v>20567</v>
      </c>
      <c r="S50">
        <v>25</v>
      </c>
    </row>
    <row r="51" spans="1:19" x14ac:dyDescent="0.2">
      <c r="A51" s="277" t="str">
        <f t="shared" si="8"/>
        <v>-</v>
      </c>
      <c r="B51" s="278" t="str">
        <f t="shared" si="9"/>
        <v>-</v>
      </c>
      <c r="C51" s="279">
        <f t="shared" si="2"/>
        <v>0</v>
      </c>
      <c r="E51" s="13" t="s">
        <v>4463</v>
      </c>
      <c r="F51" s="396"/>
      <c r="G51" s="26">
        <f t="shared" si="11"/>
        <v>0</v>
      </c>
      <c r="H51" s="26">
        <f t="shared" si="10"/>
        <v>0</v>
      </c>
      <c r="I51" s="27"/>
      <c r="L51" t="str">
        <f t="shared" si="7"/>
        <v>SEEGER DIN 47156</v>
      </c>
      <c r="M51" t="s">
        <v>2096</v>
      </c>
      <c r="N51">
        <v>56</v>
      </c>
      <c r="O51" t="s">
        <v>20568</v>
      </c>
      <c r="P51" t="s">
        <v>2243</v>
      </c>
      <c r="Q51">
        <v>417.25777500000004</v>
      </c>
      <c r="R51" t="s">
        <v>20569</v>
      </c>
      <c r="S51">
        <v>25</v>
      </c>
    </row>
    <row r="52" spans="1:19" x14ac:dyDescent="0.2">
      <c r="A52" s="277" t="str">
        <f t="shared" si="8"/>
        <v>-</v>
      </c>
      <c r="B52" s="278" t="str">
        <f t="shared" si="9"/>
        <v>-</v>
      </c>
      <c r="C52" s="279">
        <f t="shared" si="2"/>
        <v>0</v>
      </c>
      <c r="E52" s="13" t="s">
        <v>4463</v>
      </c>
      <c r="F52" s="396"/>
      <c r="G52" s="26">
        <f t="shared" si="11"/>
        <v>0</v>
      </c>
      <c r="H52" s="26">
        <f t="shared" si="10"/>
        <v>0</v>
      </c>
      <c r="I52" s="27"/>
      <c r="L52" t="str">
        <f t="shared" si="7"/>
        <v>SEEGER DIN 47157</v>
      </c>
      <c r="M52" t="s">
        <v>2096</v>
      </c>
      <c r="N52">
        <v>57</v>
      </c>
      <c r="O52" t="s">
        <v>20570</v>
      </c>
      <c r="P52" t="s">
        <v>2246</v>
      </c>
      <c r="Q52">
        <v>443.62477500000006</v>
      </c>
      <c r="R52" t="s">
        <v>20571</v>
      </c>
      <c r="S52">
        <v>25</v>
      </c>
    </row>
    <row r="53" spans="1:19" x14ac:dyDescent="0.2">
      <c r="A53" s="277" t="str">
        <f t="shared" si="8"/>
        <v>-</v>
      </c>
      <c r="B53" s="278" t="str">
        <f t="shared" si="9"/>
        <v>-</v>
      </c>
      <c r="C53" s="279">
        <f t="shared" si="2"/>
        <v>0</v>
      </c>
      <c r="E53" s="13" t="s">
        <v>4463</v>
      </c>
      <c r="F53" s="396"/>
      <c r="G53" s="26">
        <f t="shared" si="11"/>
        <v>0</v>
      </c>
      <c r="H53" s="26">
        <f t="shared" si="10"/>
        <v>0</v>
      </c>
      <c r="I53" s="27"/>
      <c r="L53" t="str">
        <f t="shared" si="7"/>
        <v>SEEGER DIN 47158</v>
      </c>
      <c r="M53" t="s">
        <v>2096</v>
      </c>
      <c r="N53">
        <v>58</v>
      </c>
      <c r="O53" t="s">
        <v>20572</v>
      </c>
      <c r="P53" t="s">
        <v>2249</v>
      </c>
      <c r="Q53">
        <v>443.62477500000006</v>
      </c>
      <c r="R53" t="s">
        <v>20573</v>
      </c>
      <c r="S53">
        <v>25</v>
      </c>
    </row>
    <row r="54" spans="1:19" x14ac:dyDescent="0.2">
      <c r="A54" s="277" t="str">
        <f t="shared" si="8"/>
        <v>-</v>
      </c>
      <c r="B54" s="278" t="str">
        <f t="shared" si="9"/>
        <v>-</v>
      </c>
      <c r="C54" s="279">
        <f t="shared" si="2"/>
        <v>0</v>
      </c>
      <c r="E54" s="13" t="s">
        <v>4463</v>
      </c>
      <c r="F54" s="396"/>
      <c r="G54" s="26">
        <f t="shared" si="11"/>
        <v>0</v>
      </c>
      <c r="H54" s="26">
        <f t="shared" si="10"/>
        <v>0</v>
      </c>
      <c r="I54" s="27"/>
      <c r="L54" t="str">
        <f t="shared" si="7"/>
        <v>SEEGER DIN 47160</v>
      </c>
      <c r="M54" t="s">
        <v>2096</v>
      </c>
      <c r="N54">
        <v>60</v>
      </c>
      <c r="O54" t="s">
        <v>20574</v>
      </c>
      <c r="P54" t="s">
        <v>2252</v>
      </c>
      <c r="Q54">
        <v>449.29367999999999</v>
      </c>
      <c r="R54" t="s">
        <v>20575</v>
      </c>
      <c r="S54">
        <v>25</v>
      </c>
    </row>
    <row r="55" spans="1:19" x14ac:dyDescent="0.2">
      <c r="A55" s="277" t="str">
        <f t="shared" si="8"/>
        <v>-</v>
      </c>
      <c r="B55" s="278" t="str">
        <f t="shared" si="9"/>
        <v>-</v>
      </c>
      <c r="C55" s="279">
        <f t="shared" si="2"/>
        <v>0</v>
      </c>
      <c r="E55" s="13" t="s">
        <v>4463</v>
      </c>
      <c r="F55" s="396"/>
      <c r="G55" s="26">
        <f t="shared" si="11"/>
        <v>0</v>
      </c>
      <c r="H55" s="26">
        <f t="shared" si="10"/>
        <v>0</v>
      </c>
      <c r="I55" s="27"/>
      <c r="L55" t="str">
        <f t="shared" si="7"/>
        <v>SEEGER DIN 47162</v>
      </c>
      <c r="M55" t="s">
        <v>2096</v>
      </c>
      <c r="N55">
        <v>62</v>
      </c>
      <c r="O55" t="s">
        <v>20576</v>
      </c>
      <c r="P55" t="s">
        <v>2255</v>
      </c>
      <c r="Q55">
        <v>455.88542999999999</v>
      </c>
      <c r="R55" t="s">
        <v>20577</v>
      </c>
      <c r="S55">
        <v>25</v>
      </c>
    </row>
    <row r="56" spans="1:19" x14ac:dyDescent="0.2">
      <c r="A56" s="277" t="str">
        <f t="shared" si="8"/>
        <v>-</v>
      </c>
      <c r="B56" s="278" t="str">
        <f t="shared" si="9"/>
        <v>-</v>
      </c>
      <c r="C56" s="279">
        <f t="shared" si="2"/>
        <v>0</v>
      </c>
      <c r="E56" s="13" t="s">
        <v>4463</v>
      </c>
      <c r="F56" s="396"/>
      <c r="G56" s="26">
        <f t="shared" si="11"/>
        <v>0</v>
      </c>
      <c r="H56" s="26">
        <f t="shared" si="10"/>
        <v>0</v>
      </c>
      <c r="I56" s="27"/>
      <c r="L56" t="str">
        <f t="shared" si="7"/>
        <v>SEEGER DIN 47163</v>
      </c>
      <c r="M56" t="s">
        <v>2096</v>
      </c>
      <c r="N56">
        <v>63</v>
      </c>
      <c r="O56" t="s">
        <v>20578</v>
      </c>
      <c r="P56" t="s">
        <v>2258</v>
      </c>
      <c r="Q56">
        <v>494.97450750000002</v>
      </c>
      <c r="R56" t="s">
        <v>20579</v>
      </c>
      <c r="S56">
        <v>25</v>
      </c>
    </row>
    <row r="57" spans="1:19" x14ac:dyDescent="0.2">
      <c r="A57" s="277" t="str">
        <f t="shared" si="8"/>
        <v>-</v>
      </c>
      <c r="B57" s="278" t="str">
        <f t="shared" si="9"/>
        <v>-</v>
      </c>
      <c r="C57" s="279">
        <f t="shared" si="2"/>
        <v>0</v>
      </c>
      <c r="E57" s="13" t="s">
        <v>4463</v>
      </c>
      <c r="F57" s="396"/>
      <c r="G57" s="26">
        <f t="shared" si="11"/>
        <v>0</v>
      </c>
      <c r="H57" s="26">
        <f t="shared" si="10"/>
        <v>0</v>
      </c>
      <c r="I57" s="27"/>
      <c r="L57" t="str">
        <f t="shared" si="7"/>
        <v>SEEGER DIN 47165</v>
      </c>
      <c r="M57" t="s">
        <v>2096</v>
      </c>
      <c r="N57">
        <v>65</v>
      </c>
      <c r="O57" t="s">
        <v>20580</v>
      </c>
      <c r="P57" t="s">
        <v>2261</v>
      </c>
      <c r="Q57">
        <v>548.03809500000011</v>
      </c>
      <c r="R57" t="s">
        <v>20581</v>
      </c>
      <c r="S57">
        <v>25</v>
      </c>
    </row>
    <row r="58" spans="1:19" x14ac:dyDescent="0.2">
      <c r="A58" s="277" t="str">
        <f t="shared" si="8"/>
        <v>-</v>
      </c>
      <c r="B58" s="278" t="str">
        <f t="shared" si="9"/>
        <v>-</v>
      </c>
      <c r="C58" s="279">
        <f t="shared" si="2"/>
        <v>0</v>
      </c>
      <c r="E58" s="13" t="s">
        <v>4463</v>
      </c>
      <c r="F58" s="396"/>
      <c r="G58" s="26">
        <f t="shared" si="11"/>
        <v>0</v>
      </c>
      <c r="H58" s="26">
        <f t="shared" si="10"/>
        <v>0</v>
      </c>
      <c r="I58" s="27"/>
      <c r="L58" t="str">
        <f t="shared" si="7"/>
        <v>SEEGER DIN 47167</v>
      </c>
      <c r="M58" t="s">
        <v>2096</v>
      </c>
      <c r="N58">
        <v>67</v>
      </c>
      <c r="O58" t="s">
        <v>20582</v>
      </c>
      <c r="P58" t="s">
        <v>2264</v>
      </c>
      <c r="Q58">
        <v>650.93531250000001</v>
      </c>
      <c r="R58" t="s">
        <v>20583</v>
      </c>
      <c r="S58">
        <v>25</v>
      </c>
    </row>
    <row r="59" spans="1:19" x14ac:dyDescent="0.2">
      <c r="A59" s="277" t="str">
        <f t="shared" si="8"/>
        <v>-</v>
      </c>
      <c r="B59" s="278" t="str">
        <f t="shared" si="9"/>
        <v>-</v>
      </c>
      <c r="C59" s="279">
        <f t="shared" si="2"/>
        <v>0</v>
      </c>
      <c r="E59" s="13" t="s">
        <v>4463</v>
      </c>
      <c r="F59" s="396"/>
      <c r="G59" s="26">
        <f t="shared" si="11"/>
        <v>0</v>
      </c>
      <c r="H59" s="26">
        <f t="shared" si="10"/>
        <v>0</v>
      </c>
      <c r="I59" s="27"/>
      <c r="L59" t="str">
        <f t="shared" si="7"/>
        <v>SEEGER DIN 47168</v>
      </c>
      <c r="M59" t="s">
        <v>2096</v>
      </c>
      <c r="N59">
        <v>68</v>
      </c>
      <c r="O59" t="s">
        <v>20584</v>
      </c>
      <c r="P59" t="s">
        <v>2267</v>
      </c>
      <c r="Q59">
        <v>650.93531250000001</v>
      </c>
      <c r="R59" t="s">
        <v>20585</v>
      </c>
      <c r="S59">
        <v>25</v>
      </c>
    </row>
    <row r="60" spans="1:19" x14ac:dyDescent="0.2">
      <c r="A60" s="277" t="str">
        <f t="shared" si="8"/>
        <v>-</v>
      </c>
      <c r="B60" s="278" t="str">
        <f t="shared" si="9"/>
        <v>-</v>
      </c>
      <c r="C60" s="279">
        <f t="shared" si="2"/>
        <v>0</v>
      </c>
      <c r="E60" s="13" t="s">
        <v>4463</v>
      </c>
      <c r="F60" s="396"/>
      <c r="G60" s="26">
        <f t="shared" si="11"/>
        <v>0</v>
      </c>
      <c r="H60" s="26">
        <f t="shared" si="10"/>
        <v>0</v>
      </c>
      <c r="I60" s="27"/>
      <c r="L60" t="str">
        <f t="shared" si="7"/>
        <v>SEEGER DIN 47170</v>
      </c>
      <c r="M60" t="s">
        <v>2096</v>
      </c>
      <c r="N60">
        <v>70</v>
      </c>
      <c r="O60" t="s">
        <v>20586</v>
      </c>
      <c r="P60" t="s">
        <v>2270</v>
      </c>
      <c r="Q60">
        <v>654.16526999999996</v>
      </c>
      <c r="R60" t="s">
        <v>20587</v>
      </c>
      <c r="S60">
        <v>25</v>
      </c>
    </row>
    <row r="61" spans="1:19" x14ac:dyDescent="0.2">
      <c r="A61" s="277" t="str">
        <f t="shared" si="8"/>
        <v>-</v>
      </c>
      <c r="B61" s="278" t="str">
        <f t="shared" si="9"/>
        <v>-</v>
      </c>
      <c r="C61" s="279">
        <f t="shared" si="2"/>
        <v>0</v>
      </c>
      <c r="E61" s="13" t="s">
        <v>4463</v>
      </c>
      <c r="F61" s="396"/>
      <c r="G61" s="26">
        <f t="shared" si="11"/>
        <v>0</v>
      </c>
      <c r="H61" s="26">
        <f t="shared" si="10"/>
        <v>0</v>
      </c>
      <c r="I61" s="27"/>
      <c r="L61" t="str">
        <f t="shared" si="7"/>
        <v>SEEGER DIN 47175</v>
      </c>
      <c r="M61" t="s">
        <v>2096</v>
      </c>
      <c r="N61">
        <v>75</v>
      </c>
      <c r="O61" t="s">
        <v>20588</v>
      </c>
      <c r="P61" t="s">
        <v>2273</v>
      </c>
      <c r="Q61">
        <v>696.22063500000002</v>
      </c>
      <c r="R61" t="s">
        <v>20589</v>
      </c>
      <c r="S61">
        <v>10</v>
      </c>
    </row>
    <row r="62" spans="1:19" x14ac:dyDescent="0.2">
      <c r="A62" s="277" t="str">
        <f t="shared" si="8"/>
        <v>-</v>
      </c>
      <c r="B62" s="278" t="str">
        <f t="shared" si="9"/>
        <v>-</v>
      </c>
      <c r="C62" s="279">
        <f t="shared" si="2"/>
        <v>0</v>
      </c>
      <c r="E62" s="13" t="s">
        <v>4463</v>
      </c>
      <c r="F62" s="396"/>
      <c r="G62" s="26">
        <f t="shared" si="11"/>
        <v>0</v>
      </c>
      <c r="H62" s="26">
        <f t="shared" si="10"/>
        <v>0</v>
      </c>
      <c r="I62" s="27"/>
      <c r="L62" t="str">
        <f t="shared" si="7"/>
        <v>SEEGER DIN 47188</v>
      </c>
      <c r="M62" t="s">
        <v>2096</v>
      </c>
      <c r="N62">
        <v>88</v>
      </c>
      <c r="O62" t="s">
        <v>20590</v>
      </c>
      <c r="P62" t="s">
        <v>2276</v>
      </c>
      <c r="Q62">
        <v>976.89734999999996</v>
      </c>
      <c r="R62" t="s">
        <v>20591</v>
      </c>
      <c r="S62">
        <v>10</v>
      </c>
    </row>
    <row r="63" spans="1:19" x14ac:dyDescent="0.2">
      <c r="A63" s="277" t="str">
        <f t="shared" si="8"/>
        <v>-</v>
      </c>
      <c r="B63" s="278" t="str">
        <f t="shared" si="9"/>
        <v>-</v>
      </c>
      <c r="C63" s="279">
        <f t="shared" si="2"/>
        <v>0</v>
      </c>
      <c r="E63" s="13" t="s">
        <v>4463</v>
      </c>
      <c r="F63" s="396"/>
      <c r="G63" s="26">
        <f t="shared" si="11"/>
        <v>0</v>
      </c>
      <c r="H63" s="26">
        <f t="shared" si="10"/>
        <v>0</v>
      </c>
      <c r="I63" s="27"/>
      <c r="L63" t="str">
        <f t="shared" si="7"/>
        <v>SEEGER DIN 471105</v>
      </c>
      <c r="M63" t="s">
        <v>2096</v>
      </c>
      <c r="N63">
        <v>105</v>
      </c>
      <c r="O63" t="s">
        <v>20592</v>
      </c>
      <c r="P63" t="s">
        <v>2279</v>
      </c>
      <c r="Q63">
        <v>3793.1566200000007</v>
      </c>
      <c r="R63" t="s">
        <v>20593</v>
      </c>
      <c r="S63">
        <v>1</v>
      </c>
    </row>
    <row r="64" spans="1:19" x14ac:dyDescent="0.2">
      <c r="A64" s="277" t="str">
        <f t="shared" si="8"/>
        <v>-</v>
      </c>
      <c r="B64" s="278" t="str">
        <f t="shared" si="9"/>
        <v>-</v>
      </c>
      <c r="C64" s="279">
        <f t="shared" si="2"/>
        <v>0</v>
      </c>
      <c r="E64" s="1420" t="s">
        <v>4463</v>
      </c>
      <c r="F64" s="396"/>
      <c r="G64" s="26">
        <f t="shared" si="11"/>
        <v>0</v>
      </c>
      <c r="H64" s="26">
        <f t="shared" si="10"/>
        <v>0</v>
      </c>
      <c r="I64" s="27"/>
      <c r="L64" t="str">
        <f t="shared" si="7"/>
        <v>SEEGER DIN 4728</v>
      </c>
      <c r="M64" t="s">
        <v>2281</v>
      </c>
      <c r="N64">
        <v>8</v>
      </c>
      <c r="O64" t="s">
        <v>20594</v>
      </c>
      <c r="P64" t="s">
        <v>2283</v>
      </c>
      <c r="Q64">
        <v>18.654652500000001</v>
      </c>
      <c r="R64" t="s">
        <v>20595</v>
      </c>
      <c r="S64">
        <v>100</v>
      </c>
    </row>
    <row r="65" spans="1:19" x14ac:dyDescent="0.2">
      <c r="A65" s="277" t="str">
        <f t="shared" si="8"/>
        <v>-</v>
      </c>
      <c r="B65" s="278" t="str">
        <f t="shared" si="9"/>
        <v>-</v>
      </c>
      <c r="C65" s="279">
        <f t="shared" si="2"/>
        <v>0</v>
      </c>
      <c r="E65" s="1420" t="s">
        <v>4463</v>
      </c>
      <c r="F65" s="396"/>
      <c r="G65" s="26">
        <f t="shared" si="11"/>
        <v>0</v>
      </c>
      <c r="H65" s="26">
        <f t="shared" si="10"/>
        <v>0</v>
      </c>
      <c r="I65" s="27"/>
      <c r="L65" t="str">
        <f t="shared" si="7"/>
        <v>SEEGER DIN 4729</v>
      </c>
      <c r="M65" t="s">
        <v>2281</v>
      </c>
      <c r="N65">
        <v>9</v>
      </c>
      <c r="O65" t="s">
        <v>20596</v>
      </c>
      <c r="P65" t="s">
        <v>2286</v>
      </c>
      <c r="Q65">
        <v>18.654652500000001</v>
      </c>
      <c r="R65" t="s">
        <v>20597</v>
      </c>
      <c r="S65">
        <v>100</v>
      </c>
    </row>
    <row r="66" spans="1:19" x14ac:dyDescent="0.2">
      <c r="A66" s="277" t="str">
        <f t="shared" si="8"/>
        <v>-</v>
      </c>
      <c r="B66" s="278" t="str">
        <f t="shared" si="9"/>
        <v>-</v>
      </c>
      <c r="C66" s="279">
        <f t="shared" si="2"/>
        <v>0</v>
      </c>
      <c r="E66" s="1420" t="s">
        <v>4463</v>
      </c>
      <c r="F66" s="396"/>
      <c r="G66" s="26">
        <f t="shared" si="11"/>
        <v>0</v>
      </c>
      <c r="H66" s="26">
        <f t="shared" si="10"/>
        <v>0</v>
      </c>
      <c r="I66" s="27"/>
      <c r="L66" t="str">
        <f t="shared" si="7"/>
        <v>SEEGER DIN 47210</v>
      </c>
      <c r="M66" t="s">
        <v>2281</v>
      </c>
      <c r="N66">
        <v>10</v>
      </c>
      <c r="O66" t="s">
        <v>20598</v>
      </c>
      <c r="P66" t="s">
        <v>2289</v>
      </c>
      <c r="Q66">
        <v>21.884609999999999</v>
      </c>
      <c r="R66" t="s">
        <v>20599</v>
      </c>
      <c r="S66">
        <v>100</v>
      </c>
    </row>
    <row r="67" spans="1:19" x14ac:dyDescent="0.2">
      <c r="A67" s="277" t="str">
        <f t="shared" si="8"/>
        <v>-</v>
      </c>
      <c r="B67" s="278" t="str">
        <f t="shared" si="9"/>
        <v>-</v>
      </c>
      <c r="C67" s="279">
        <f t="shared" si="2"/>
        <v>0</v>
      </c>
      <c r="E67" s="1420" t="s">
        <v>4463</v>
      </c>
      <c r="F67" s="396"/>
      <c r="G67" s="26">
        <f t="shared" si="11"/>
        <v>0</v>
      </c>
      <c r="H67" s="26">
        <f t="shared" si="10"/>
        <v>0</v>
      </c>
      <c r="I67" s="27"/>
      <c r="L67" t="str">
        <f t="shared" si="7"/>
        <v>SEEGER DIN 47211</v>
      </c>
      <c r="M67" t="s">
        <v>2281</v>
      </c>
      <c r="N67">
        <v>11</v>
      </c>
      <c r="O67" t="s">
        <v>20600</v>
      </c>
      <c r="P67" t="s">
        <v>2292</v>
      </c>
      <c r="Q67">
        <v>23.466630000000002</v>
      </c>
      <c r="R67" t="s">
        <v>20601</v>
      </c>
      <c r="S67">
        <v>100</v>
      </c>
    </row>
    <row r="68" spans="1:19" x14ac:dyDescent="0.2">
      <c r="A68" s="277" t="str">
        <f t="shared" si="8"/>
        <v>-</v>
      </c>
      <c r="B68" s="278" t="str">
        <f t="shared" si="9"/>
        <v>-</v>
      </c>
      <c r="C68" s="279">
        <f t="shared" ref="C68:C73" si="12">+VLOOKUP(F68&amp;E68,$L$2:$S$498,8,0)</f>
        <v>0</v>
      </c>
      <c r="E68" s="1420" t="s">
        <v>4463</v>
      </c>
      <c r="F68" s="396"/>
      <c r="G68" s="26">
        <f t="shared" si="11"/>
        <v>0</v>
      </c>
      <c r="H68" s="26">
        <f t="shared" ref="H68:H78" si="13">+G68*C68</f>
        <v>0</v>
      </c>
      <c r="I68" s="27"/>
      <c r="L68" t="str">
        <f t="shared" ref="L68:L131" si="14">+M68&amp;N68</f>
        <v>SEEGER DIN 47212</v>
      </c>
      <c r="M68" t="s">
        <v>2281</v>
      </c>
      <c r="N68">
        <v>12</v>
      </c>
      <c r="O68" t="s">
        <v>20602</v>
      </c>
      <c r="P68" t="s">
        <v>2295</v>
      </c>
      <c r="Q68">
        <v>23.466630000000002</v>
      </c>
      <c r="R68" t="s">
        <v>20603</v>
      </c>
      <c r="S68">
        <v>100</v>
      </c>
    </row>
    <row r="69" spans="1:19" x14ac:dyDescent="0.2">
      <c r="A69" s="277" t="str">
        <f t="shared" si="8"/>
        <v>-</v>
      </c>
      <c r="B69" s="278" t="str">
        <f t="shared" si="9"/>
        <v>-</v>
      </c>
      <c r="C69" s="279">
        <f t="shared" si="12"/>
        <v>0</v>
      </c>
      <c r="E69" s="1420" t="s">
        <v>4463</v>
      </c>
      <c r="F69" s="396"/>
      <c r="G69" s="26">
        <f t="shared" si="11"/>
        <v>0</v>
      </c>
      <c r="H69" s="26">
        <f t="shared" si="13"/>
        <v>0</v>
      </c>
      <c r="I69" s="27"/>
      <c r="L69" t="str">
        <f t="shared" si="14"/>
        <v>SEEGER DIN 47213</v>
      </c>
      <c r="M69" t="s">
        <v>2281</v>
      </c>
      <c r="N69">
        <v>13</v>
      </c>
      <c r="O69" t="s">
        <v>20604</v>
      </c>
      <c r="P69" t="s">
        <v>2298</v>
      </c>
      <c r="Q69">
        <v>24.455392500000002</v>
      </c>
      <c r="R69" t="s">
        <v>20605</v>
      </c>
      <c r="S69">
        <v>100</v>
      </c>
    </row>
    <row r="70" spans="1:19" x14ac:dyDescent="0.2">
      <c r="A70" s="277" t="str">
        <f t="shared" si="8"/>
        <v>-</v>
      </c>
      <c r="B70" s="278" t="str">
        <f t="shared" si="9"/>
        <v>-</v>
      </c>
      <c r="C70" s="279">
        <f t="shared" si="12"/>
        <v>0</v>
      </c>
      <c r="E70" s="1420" t="s">
        <v>4463</v>
      </c>
      <c r="F70" s="396"/>
      <c r="G70" s="26">
        <f t="shared" si="11"/>
        <v>0</v>
      </c>
      <c r="H70" s="26">
        <f t="shared" si="13"/>
        <v>0</v>
      </c>
      <c r="I70" s="27"/>
      <c r="L70" t="str">
        <f t="shared" si="14"/>
        <v>SEEGER DIN 47214</v>
      </c>
      <c r="M70" t="s">
        <v>2281</v>
      </c>
      <c r="N70">
        <v>14</v>
      </c>
      <c r="O70" t="s">
        <v>20606</v>
      </c>
      <c r="P70" t="s">
        <v>2301</v>
      </c>
      <c r="Q70">
        <v>25.510072500000003</v>
      </c>
      <c r="R70" t="s">
        <v>20607</v>
      </c>
      <c r="S70">
        <v>100</v>
      </c>
    </row>
    <row r="71" spans="1:19" x14ac:dyDescent="0.2">
      <c r="A71" s="277" t="str">
        <f t="shared" si="8"/>
        <v>-</v>
      </c>
      <c r="B71" s="278" t="str">
        <f t="shared" si="9"/>
        <v>-</v>
      </c>
      <c r="C71" s="279">
        <f t="shared" si="12"/>
        <v>0</v>
      </c>
      <c r="E71" s="1420" t="s">
        <v>4463</v>
      </c>
      <c r="F71" s="396"/>
      <c r="G71" s="26">
        <f t="shared" si="11"/>
        <v>0</v>
      </c>
      <c r="H71" s="26">
        <f t="shared" si="13"/>
        <v>0</v>
      </c>
      <c r="I71" s="27"/>
      <c r="L71" t="str">
        <f t="shared" si="14"/>
        <v>SEEGER DIN 47215</v>
      </c>
      <c r="M71" t="s">
        <v>2281</v>
      </c>
      <c r="N71">
        <v>15</v>
      </c>
      <c r="O71" t="s">
        <v>20608</v>
      </c>
      <c r="P71" t="s">
        <v>2304</v>
      </c>
      <c r="Q71">
        <v>30.6516375</v>
      </c>
      <c r="R71" t="s">
        <v>20609</v>
      </c>
      <c r="S71">
        <v>100</v>
      </c>
    </row>
    <row r="72" spans="1:19" x14ac:dyDescent="0.2">
      <c r="A72" s="277" t="str">
        <f t="shared" ref="A72:A78" si="15">+VLOOKUP(F72&amp;E72,$L$2:$Q$498,4,0)</f>
        <v>-</v>
      </c>
      <c r="B72" s="278" t="str">
        <f t="shared" ref="B72:B78" si="16">+VLOOKUP(F72&amp;E72,$L$2:$R$498,7,0)</f>
        <v>-</v>
      </c>
      <c r="C72" s="279">
        <f t="shared" si="12"/>
        <v>0</v>
      </c>
      <c r="E72" s="1420" t="s">
        <v>4463</v>
      </c>
      <c r="F72" s="396"/>
      <c r="G72" s="26">
        <f t="shared" si="11"/>
        <v>0</v>
      </c>
      <c r="H72" s="26">
        <f t="shared" si="13"/>
        <v>0</v>
      </c>
      <c r="I72" s="27"/>
      <c r="L72" t="str">
        <f t="shared" si="14"/>
        <v>SEEGER DIN 47216</v>
      </c>
      <c r="M72" t="s">
        <v>2281</v>
      </c>
      <c r="N72">
        <v>16</v>
      </c>
      <c r="O72" t="s">
        <v>20610</v>
      </c>
      <c r="P72" t="s">
        <v>2307</v>
      </c>
      <c r="Q72">
        <v>35.068110000000004</v>
      </c>
      <c r="R72" t="s">
        <v>20611</v>
      </c>
      <c r="S72">
        <v>100</v>
      </c>
    </row>
    <row r="73" spans="1:19" x14ac:dyDescent="0.2">
      <c r="A73" s="277" t="str">
        <f t="shared" si="15"/>
        <v>-</v>
      </c>
      <c r="B73" s="278" t="str">
        <f t="shared" si="16"/>
        <v>-</v>
      </c>
      <c r="C73" s="279">
        <f t="shared" si="12"/>
        <v>0</v>
      </c>
      <c r="E73" s="1420" t="s">
        <v>4463</v>
      </c>
      <c r="F73" s="396"/>
      <c r="G73" s="26">
        <f t="shared" si="11"/>
        <v>0</v>
      </c>
      <c r="H73" s="26">
        <f t="shared" si="13"/>
        <v>0</v>
      </c>
      <c r="I73" s="27"/>
      <c r="L73" t="str">
        <f t="shared" si="14"/>
        <v>SEEGER DIN 47217</v>
      </c>
      <c r="M73" t="s">
        <v>2281</v>
      </c>
      <c r="N73">
        <v>17</v>
      </c>
      <c r="O73" t="s">
        <v>20612</v>
      </c>
      <c r="P73" t="s">
        <v>2310</v>
      </c>
      <c r="Q73">
        <v>39.616417500000004</v>
      </c>
      <c r="R73" t="s">
        <v>20613</v>
      </c>
      <c r="S73">
        <v>100</v>
      </c>
    </row>
    <row r="74" spans="1:19" x14ac:dyDescent="0.2">
      <c r="A74" s="277" t="str">
        <f t="shared" si="15"/>
        <v>-</v>
      </c>
      <c r="B74" s="278" t="str">
        <f t="shared" si="16"/>
        <v>-</v>
      </c>
      <c r="C74" s="279">
        <f t="shared" ref="C74:C78" si="17">+VLOOKUP(F74&amp;E74,$L$2:$S$498,8,0)</f>
        <v>0</v>
      </c>
      <c r="E74" s="1420" t="s">
        <v>4463</v>
      </c>
      <c r="F74" s="396"/>
      <c r="G74" s="26">
        <f t="shared" si="11"/>
        <v>0</v>
      </c>
      <c r="H74" s="26">
        <f t="shared" si="13"/>
        <v>0</v>
      </c>
      <c r="I74" s="27"/>
      <c r="L74" t="str">
        <f t="shared" si="14"/>
        <v>SEEGER DIN 47218</v>
      </c>
      <c r="M74" t="s">
        <v>2281</v>
      </c>
      <c r="N74">
        <v>18</v>
      </c>
      <c r="O74" t="s">
        <v>20614</v>
      </c>
      <c r="P74" t="s">
        <v>2313</v>
      </c>
      <c r="Q74">
        <v>43.769219999999997</v>
      </c>
      <c r="R74" t="s">
        <v>20615</v>
      </c>
      <c r="S74">
        <v>100</v>
      </c>
    </row>
    <row r="75" spans="1:19" x14ac:dyDescent="0.2">
      <c r="A75" s="277" t="str">
        <f t="shared" si="15"/>
        <v>-</v>
      </c>
      <c r="B75" s="278" t="str">
        <f t="shared" si="16"/>
        <v>-</v>
      </c>
      <c r="C75" s="279">
        <f t="shared" si="17"/>
        <v>0</v>
      </c>
      <c r="E75" s="1420" t="s">
        <v>4463</v>
      </c>
      <c r="F75" s="396"/>
      <c r="G75" s="26">
        <f t="shared" si="11"/>
        <v>0</v>
      </c>
      <c r="H75" s="26">
        <f t="shared" si="13"/>
        <v>0</v>
      </c>
      <c r="I75" s="27"/>
      <c r="L75" t="str">
        <f t="shared" si="14"/>
        <v>SEEGER DIN 47219</v>
      </c>
      <c r="M75" t="s">
        <v>2281</v>
      </c>
      <c r="N75">
        <v>19</v>
      </c>
      <c r="O75" t="s">
        <v>20616</v>
      </c>
      <c r="P75" t="s">
        <v>2316</v>
      </c>
      <c r="Q75">
        <v>49.108537500000004</v>
      </c>
      <c r="R75" t="s">
        <v>20617</v>
      </c>
      <c r="S75">
        <v>100</v>
      </c>
    </row>
    <row r="76" spans="1:19" x14ac:dyDescent="0.2">
      <c r="A76" s="277" t="str">
        <f t="shared" si="15"/>
        <v>-</v>
      </c>
      <c r="B76" s="278" t="str">
        <f t="shared" si="16"/>
        <v>-</v>
      </c>
      <c r="C76" s="279">
        <f t="shared" si="17"/>
        <v>0</v>
      </c>
      <c r="E76" s="1420" t="s">
        <v>4463</v>
      </c>
      <c r="F76" s="396"/>
      <c r="G76" s="26">
        <f t="shared" si="11"/>
        <v>0</v>
      </c>
      <c r="H76" s="26">
        <f t="shared" si="13"/>
        <v>0</v>
      </c>
      <c r="I76" s="27"/>
      <c r="L76" t="str">
        <f t="shared" si="14"/>
        <v>SEEGER DIN 47220</v>
      </c>
      <c r="M76" t="s">
        <v>2281</v>
      </c>
      <c r="N76">
        <v>20</v>
      </c>
      <c r="O76" t="s">
        <v>20618</v>
      </c>
      <c r="P76" t="s">
        <v>2319</v>
      </c>
      <c r="Q76">
        <v>49.108537500000004</v>
      </c>
      <c r="R76" t="s">
        <v>20619</v>
      </c>
      <c r="S76">
        <v>100</v>
      </c>
    </row>
    <row r="77" spans="1:19" x14ac:dyDescent="0.2">
      <c r="A77" s="277" t="str">
        <f t="shared" si="15"/>
        <v>-</v>
      </c>
      <c r="B77" s="278" t="str">
        <f t="shared" si="16"/>
        <v>-</v>
      </c>
      <c r="C77" s="279">
        <f t="shared" si="17"/>
        <v>0</v>
      </c>
      <c r="E77" s="1420" t="s">
        <v>4463</v>
      </c>
      <c r="F77" s="396"/>
      <c r="G77" s="26">
        <f t="shared" si="11"/>
        <v>0</v>
      </c>
      <c r="H77" s="26">
        <f t="shared" si="13"/>
        <v>0</v>
      </c>
      <c r="I77" s="27"/>
      <c r="L77" t="str">
        <f t="shared" si="14"/>
        <v>SEEGER DIN 47221</v>
      </c>
      <c r="M77" t="s">
        <v>2281</v>
      </c>
      <c r="N77">
        <v>21</v>
      </c>
      <c r="O77" t="s">
        <v>20620</v>
      </c>
      <c r="P77" t="s">
        <v>2322</v>
      </c>
      <c r="Q77">
        <v>61.303274999999999</v>
      </c>
      <c r="R77" t="s">
        <v>20621</v>
      </c>
      <c r="S77">
        <v>100</v>
      </c>
    </row>
    <row r="78" spans="1:19" x14ac:dyDescent="0.2">
      <c r="A78" s="277" t="str">
        <f t="shared" si="15"/>
        <v>-</v>
      </c>
      <c r="B78" s="278" t="str">
        <f t="shared" si="16"/>
        <v>-</v>
      </c>
      <c r="C78" s="279">
        <f t="shared" si="17"/>
        <v>0</v>
      </c>
      <c r="E78" s="1420" t="s">
        <v>4463</v>
      </c>
      <c r="F78" s="396"/>
      <c r="G78" s="26">
        <f t="shared" si="11"/>
        <v>0</v>
      </c>
      <c r="H78" s="26">
        <f t="shared" si="13"/>
        <v>0</v>
      </c>
      <c r="I78" s="27"/>
      <c r="L78" t="str">
        <f t="shared" si="14"/>
        <v>SEEGER DIN 47222</v>
      </c>
      <c r="M78" t="s">
        <v>2281</v>
      </c>
      <c r="N78">
        <v>22</v>
      </c>
      <c r="O78" t="s">
        <v>20622</v>
      </c>
      <c r="P78" t="s">
        <v>2325</v>
      </c>
      <c r="Q78">
        <v>64.599150000000009</v>
      </c>
      <c r="R78" t="s">
        <v>20623</v>
      </c>
      <c r="S78">
        <v>100</v>
      </c>
    </row>
    <row r="79" spans="1:19" x14ac:dyDescent="0.2">
      <c r="L79" t="str">
        <f t="shared" si="14"/>
        <v>SEEGER DIN 47223</v>
      </c>
      <c r="M79" t="s">
        <v>2281</v>
      </c>
      <c r="N79">
        <v>23</v>
      </c>
      <c r="O79" t="s">
        <v>20624</v>
      </c>
      <c r="P79" t="s">
        <v>2328</v>
      </c>
      <c r="Q79">
        <v>72.245580000000004</v>
      </c>
      <c r="R79" t="s">
        <v>20625</v>
      </c>
      <c r="S79">
        <v>100</v>
      </c>
    </row>
    <row r="80" spans="1:19" x14ac:dyDescent="0.2">
      <c r="L80" t="str">
        <f t="shared" si="14"/>
        <v>SEEGER DIN 47224</v>
      </c>
      <c r="M80" t="s">
        <v>2281</v>
      </c>
      <c r="N80">
        <v>24</v>
      </c>
      <c r="O80" t="s">
        <v>20626</v>
      </c>
      <c r="P80" t="s">
        <v>2331</v>
      </c>
      <c r="Q80">
        <v>77.321227500000006</v>
      </c>
      <c r="R80" t="s">
        <v>20627</v>
      </c>
      <c r="S80">
        <v>100</v>
      </c>
    </row>
    <row r="81" spans="12:19" x14ac:dyDescent="0.2">
      <c r="L81" t="str">
        <f t="shared" si="14"/>
        <v>SEEGER DIN 47225</v>
      </c>
      <c r="M81" t="s">
        <v>2281</v>
      </c>
      <c r="N81">
        <v>25</v>
      </c>
      <c r="O81" t="s">
        <v>20628</v>
      </c>
      <c r="P81" t="s">
        <v>2334</v>
      </c>
      <c r="Q81">
        <v>75.936959999999999</v>
      </c>
      <c r="R81" t="s">
        <v>20629</v>
      </c>
      <c r="S81">
        <v>100</v>
      </c>
    </row>
    <row r="82" spans="12:19" x14ac:dyDescent="0.2">
      <c r="L82" t="str">
        <f t="shared" si="14"/>
        <v>SEEGER DIN 47226</v>
      </c>
      <c r="M82" t="s">
        <v>2281</v>
      </c>
      <c r="N82">
        <v>26</v>
      </c>
      <c r="O82" t="s">
        <v>20630</v>
      </c>
      <c r="P82" t="s">
        <v>2337</v>
      </c>
      <c r="Q82">
        <v>83.056049999999999</v>
      </c>
      <c r="R82" t="s">
        <v>20631</v>
      </c>
      <c r="S82">
        <v>100</v>
      </c>
    </row>
    <row r="83" spans="12:19" x14ac:dyDescent="0.2">
      <c r="L83" t="str">
        <f t="shared" si="14"/>
        <v>SEEGER DIN 47227</v>
      </c>
      <c r="M83" t="s">
        <v>2281</v>
      </c>
      <c r="N83">
        <v>27</v>
      </c>
      <c r="O83" t="s">
        <v>20632</v>
      </c>
      <c r="P83" t="s">
        <v>2340</v>
      </c>
      <c r="Q83">
        <v>83.056049999999999</v>
      </c>
      <c r="R83" t="s">
        <v>20633</v>
      </c>
      <c r="S83">
        <v>100</v>
      </c>
    </row>
    <row r="84" spans="12:19" x14ac:dyDescent="0.2">
      <c r="L84" t="str">
        <f t="shared" si="14"/>
        <v>SEEGER DIN 47228</v>
      </c>
      <c r="M84" t="s">
        <v>2281</v>
      </c>
      <c r="N84">
        <v>28</v>
      </c>
      <c r="O84" t="s">
        <v>20634</v>
      </c>
      <c r="P84" t="s">
        <v>2343</v>
      </c>
      <c r="Q84">
        <v>87.933945000000008</v>
      </c>
      <c r="R84" t="s">
        <v>20635</v>
      </c>
      <c r="S84">
        <v>100</v>
      </c>
    </row>
    <row r="85" spans="12:19" x14ac:dyDescent="0.2">
      <c r="L85" t="str">
        <f t="shared" si="14"/>
        <v>SEEGER DIN 47229</v>
      </c>
      <c r="M85" t="s">
        <v>2281</v>
      </c>
      <c r="N85">
        <v>29</v>
      </c>
      <c r="O85" t="s">
        <v>20636</v>
      </c>
      <c r="P85" t="s">
        <v>2346</v>
      </c>
      <c r="Q85">
        <v>94.327942500000006</v>
      </c>
      <c r="R85" t="s">
        <v>20637</v>
      </c>
      <c r="S85">
        <v>100</v>
      </c>
    </row>
    <row r="86" spans="12:19" x14ac:dyDescent="0.2">
      <c r="L86" t="str">
        <f t="shared" si="14"/>
        <v>SEEGER DIN 47230</v>
      </c>
      <c r="M86" t="s">
        <v>2281</v>
      </c>
      <c r="N86">
        <v>30</v>
      </c>
      <c r="O86" t="s">
        <v>20638</v>
      </c>
      <c r="P86" t="s">
        <v>2349</v>
      </c>
      <c r="Q86">
        <v>109.68672000000001</v>
      </c>
      <c r="R86" t="s">
        <v>20639</v>
      </c>
      <c r="S86">
        <v>50</v>
      </c>
    </row>
    <row r="87" spans="12:19" x14ac:dyDescent="0.2">
      <c r="L87" t="str">
        <f t="shared" si="14"/>
        <v>SEEGER DIN 47231</v>
      </c>
      <c r="M87" t="s">
        <v>2281</v>
      </c>
      <c r="N87">
        <v>31</v>
      </c>
      <c r="O87" t="s">
        <v>20640</v>
      </c>
      <c r="P87" t="s">
        <v>2352</v>
      </c>
      <c r="Q87">
        <v>125.4410025</v>
      </c>
      <c r="R87" t="s">
        <v>20641</v>
      </c>
      <c r="S87">
        <v>50</v>
      </c>
    </row>
    <row r="88" spans="12:19" x14ac:dyDescent="0.2">
      <c r="L88" t="str">
        <f t="shared" si="14"/>
        <v>SEEGER DIN 47232</v>
      </c>
      <c r="M88" t="s">
        <v>2281</v>
      </c>
      <c r="N88">
        <v>32</v>
      </c>
      <c r="O88" t="s">
        <v>20642</v>
      </c>
      <c r="P88" t="s">
        <v>2355</v>
      </c>
      <c r="Q88">
        <v>121.02453000000003</v>
      </c>
      <c r="R88" t="s">
        <v>20643</v>
      </c>
      <c r="S88">
        <v>50</v>
      </c>
    </row>
    <row r="89" spans="12:19" x14ac:dyDescent="0.2">
      <c r="L89" t="str">
        <f t="shared" si="14"/>
        <v>SEEGER DIN 47233</v>
      </c>
      <c r="M89" t="s">
        <v>2281</v>
      </c>
      <c r="N89">
        <v>33</v>
      </c>
      <c r="O89" t="s">
        <v>20644</v>
      </c>
      <c r="P89" t="s">
        <v>2358</v>
      </c>
      <c r="Q89">
        <v>129.52788750000002</v>
      </c>
      <c r="R89" t="s">
        <v>20645</v>
      </c>
      <c r="S89">
        <v>50</v>
      </c>
    </row>
    <row r="90" spans="12:19" x14ac:dyDescent="0.2">
      <c r="L90" t="str">
        <f t="shared" si="14"/>
        <v>SEEGER DIN 47234</v>
      </c>
      <c r="M90" t="s">
        <v>2281</v>
      </c>
      <c r="N90">
        <v>34</v>
      </c>
      <c r="O90" t="s">
        <v>20646</v>
      </c>
      <c r="P90" t="s">
        <v>2361</v>
      </c>
      <c r="Q90">
        <v>129.52788750000002</v>
      </c>
      <c r="R90" t="s">
        <v>20647</v>
      </c>
      <c r="S90">
        <v>50</v>
      </c>
    </row>
    <row r="91" spans="12:19" x14ac:dyDescent="0.2">
      <c r="L91" t="str">
        <f t="shared" si="14"/>
        <v>SEEGER DIN 47235</v>
      </c>
      <c r="M91" t="s">
        <v>2281</v>
      </c>
      <c r="N91">
        <v>35</v>
      </c>
      <c r="O91" t="s">
        <v>20648</v>
      </c>
      <c r="P91" t="s">
        <v>2364</v>
      </c>
      <c r="Q91">
        <v>180.54803249999998</v>
      </c>
      <c r="R91" t="s">
        <v>20649</v>
      </c>
      <c r="S91">
        <v>50</v>
      </c>
    </row>
    <row r="92" spans="12:19" x14ac:dyDescent="0.2">
      <c r="L92" t="str">
        <f t="shared" si="14"/>
        <v>SEEGER DIN 47236</v>
      </c>
      <c r="M92" t="s">
        <v>2281</v>
      </c>
      <c r="N92">
        <v>36</v>
      </c>
      <c r="O92" t="s">
        <v>20650</v>
      </c>
      <c r="P92" t="s">
        <v>2367</v>
      </c>
      <c r="Q92">
        <v>137.63574000000003</v>
      </c>
      <c r="R92" t="s">
        <v>20651</v>
      </c>
      <c r="S92">
        <v>50</v>
      </c>
    </row>
    <row r="93" spans="12:19" x14ac:dyDescent="0.2">
      <c r="L93" t="str">
        <f t="shared" si="14"/>
        <v>SEEGER DIN 47237</v>
      </c>
      <c r="M93" t="s">
        <v>2281</v>
      </c>
      <c r="N93">
        <v>37</v>
      </c>
      <c r="O93" t="s">
        <v>20652</v>
      </c>
      <c r="P93" t="s">
        <v>2370</v>
      </c>
      <c r="Q93">
        <v>144.62299500000003</v>
      </c>
      <c r="R93" t="s">
        <v>20653</v>
      </c>
      <c r="S93">
        <v>50</v>
      </c>
    </row>
    <row r="94" spans="12:19" x14ac:dyDescent="0.2">
      <c r="L94" t="str">
        <f t="shared" si="14"/>
        <v>SEEGER DIN 47238</v>
      </c>
      <c r="M94" t="s">
        <v>2281</v>
      </c>
      <c r="N94">
        <v>38</v>
      </c>
      <c r="O94" t="s">
        <v>20654</v>
      </c>
      <c r="P94" t="s">
        <v>2373</v>
      </c>
      <c r="Q94">
        <v>150.29190000000003</v>
      </c>
      <c r="R94" t="s">
        <v>20655</v>
      </c>
      <c r="S94">
        <v>50</v>
      </c>
    </row>
    <row r="95" spans="12:19" x14ac:dyDescent="0.2">
      <c r="L95" t="str">
        <f t="shared" si="14"/>
        <v>SEEGER DIN 47239</v>
      </c>
      <c r="M95" t="s">
        <v>2281</v>
      </c>
      <c r="N95">
        <v>39</v>
      </c>
      <c r="O95" t="s">
        <v>20656</v>
      </c>
      <c r="P95" t="s">
        <v>2376</v>
      </c>
      <c r="Q95">
        <v>158.6634225</v>
      </c>
      <c r="R95" t="s">
        <v>20657</v>
      </c>
      <c r="S95">
        <v>50</v>
      </c>
    </row>
    <row r="96" spans="12:19" x14ac:dyDescent="0.2">
      <c r="L96" t="str">
        <f t="shared" si="14"/>
        <v>SEEGER DIN 47240</v>
      </c>
      <c r="M96" t="s">
        <v>2281</v>
      </c>
      <c r="N96">
        <v>40</v>
      </c>
      <c r="O96" t="s">
        <v>20658</v>
      </c>
      <c r="P96" t="s">
        <v>2379</v>
      </c>
      <c r="Q96">
        <v>158.99301</v>
      </c>
      <c r="R96" t="s">
        <v>20659</v>
      </c>
      <c r="S96">
        <v>50</v>
      </c>
    </row>
    <row r="97" spans="12:19" x14ac:dyDescent="0.2">
      <c r="L97" t="str">
        <f t="shared" si="14"/>
        <v>SEEGER DIN 47241</v>
      </c>
      <c r="M97" t="s">
        <v>2281</v>
      </c>
      <c r="N97">
        <v>41</v>
      </c>
      <c r="O97" t="s">
        <v>20660</v>
      </c>
      <c r="P97" t="s">
        <v>2382</v>
      </c>
      <c r="Q97">
        <v>196.17048</v>
      </c>
      <c r="R97" t="s">
        <v>20661</v>
      </c>
      <c r="S97">
        <v>50</v>
      </c>
    </row>
    <row r="98" spans="12:19" x14ac:dyDescent="0.2">
      <c r="L98" t="str">
        <f t="shared" si="14"/>
        <v>SEEGER DIN 47242</v>
      </c>
      <c r="M98" t="s">
        <v>2281</v>
      </c>
      <c r="N98">
        <v>42</v>
      </c>
      <c r="O98" t="s">
        <v>20662</v>
      </c>
      <c r="P98" t="s">
        <v>2385</v>
      </c>
      <c r="Q98">
        <v>176.8566525</v>
      </c>
      <c r="R98" t="s">
        <v>20663</v>
      </c>
      <c r="S98">
        <v>50</v>
      </c>
    </row>
    <row r="99" spans="12:19" x14ac:dyDescent="0.2">
      <c r="L99" t="str">
        <f t="shared" si="14"/>
        <v>SEEGER DIN 47243</v>
      </c>
      <c r="M99" t="s">
        <v>2281</v>
      </c>
      <c r="N99">
        <v>43</v>
      </c>
      <c r="O99" t="s">
        <v>20664</v>
      </c>
      <c r="P99" t="s">
        <v>2388</v>
      </c>
      <c r="Q99">
        <v>208.694805</v>
      </c>
      <c r="R99" t="s">
        <v>20665</v>
      </c>
      <c r="S99">
        <v>50</v>
      </c>
    </row>
    <row r="100" spans="12:19" x14ac:dyDescent="0.2">
      <c r="L100" t="str">
        <f t="shared" si="14"/>
        <v>SEEGER DIN 47244</v>
      </c>
      <c r="M100" t="s">
        <v>2281</v>
      </c>
      <c r="N100">
        <v>44</v>
      </c>
      <c r="O100" t="s">
        <v>20666</v>
      </c>
      <c r="P100" t="s">
        <v>2391</v>
      </c>
      <c r="Q100">
        <v>222.47156250000003</v>
      </c>
      <c r="R100" t="s">
        <v>20667</v>
      </c>
      <c r="S100">
        <v>50</v>
      </c>
    </row>
    <row r="101" spans="12:19" x14ac:dyDescent="0.2">
      <c r="L101" t="str">
        <f t="shared" si="14"/>
        <v>SEEGER DIN 47245</v>
      </c>
      <c r="M101" t="s">
        <v>2281</v>
      </c>
      <c r="N101">
        <v>45</v>
      </c>
      <c r="O101" t="s">
        <v>20668</v>
      </c>
      <c r="P101" t="s">
        <v>2394</v>
      </c>
      <c r="Q101">
        <v>182.13005250000001</v>
      </c>
      <c r="R101" t="s">
        <v>20669</v>
      </c>
      <c r="S101">
        <v>50</v>
      </c>
    </row>
    <row r="102" spans="12:19" x14ac:dyDescent="0.2">
      <c r="L102" t="str">
        <f t="shared" si="14"/>
        <v>SEEGER DIN 47246</v>
      </c>
      <c r="M102" t="s">
        <v>2281</v>
      </c>
      <c r="N102">
        <v>46</v>
      </c>
      <c r="O102" t="s">
        <v>20670</v>
      </c>
      <c r="P102" t="s">
        <v>2397</v>
      </c>
      <c r="Q102">
        <v>229.5906525</v>
      </c>
      <c r="R102" t="s">
        <v>20671</v>
      </c>
      <c r="S102">
        <v>50</v>
      </c>
    </row>
    <row r="103" spans="12:19" x14ac:dyDescent="0.2">
      <c r="L103" t="str">
        <f t="shared" si="14"/>
        <v>SEEGER DIN 47247</v>
      </c>
      <c r="M103" t="s">
        <v>2281</v>
      </c>
      <c r="N103">
        <v>47</v>
      </c>
      <c r="O103" t="s">
        <v>20672</v>
      </c>
      <c r="P103" t="s">
        <v>2400</v>
      </c>
      <c r="Q103">
        <v>188.19446249999999</v>
      </c>
      <c r="R103" t="s">
        <v>20673</v>
      </c>
      <c r="S103">
        <v>50</v>
      </c>
    </row>
    <row r="104" spans="12:19" x14ac:dyDescent="0.2">
      <c r="L104" t="str">
        <f t="shared" si="14"/>
        <v>SEEGER DIN 47248</v>
      </c>
      <c r="M104" t="s">
        <v>2281</v>
      </c>
      <c r="N104">
        <v>48</v>
      </c>
      <c r="O104" t="s">
        <v>20674</v>
      </c>
      <c r="P104" t="s">
        <v>2403</v>
      </c>
      <c r="Q104">
        <v>232.82061000000002</v>
      </c>
      <c r="R104" t="s">
        <v>20675</v>
      </c>
      <c r="S104">
        <v>50</v>
      </c>
    </row>
    <row r="105" spans="12:19" x14ac:dyDescent="0.2">
      <c r="L105" t="str">
        <f t="shared" si="14"/>
        <v>SEEGER DIN 47250</v>
      </c>
      <c r="M105" t="s">
        <v>2281</v>
      </c>
      <c r="N105">
        <v>50</v>
      </c>
      <c r="O105" t="s">
        <v>20676</v>
      </c>
      <c r="P105" t="s">
        <v>2406</v>
      </c>
      <c r="Q105">
        <v>235.1277225</v>
      </c>
      <c r="R105" t="s">
        <v>20677</v>
      </c>
      <c r="S105">
        <v>50</v>
      </c>
    </row>
    <row r="106" spans="12:19" x14ac:dyDescent="0.2">
      <c r="L106" t="str">
        <f t="shared" si="14"/>
        <v>SEEGER DIN 47251</v>
      </c>
      <c r="M106" t="s">
        <v>2281</v>
      </c>
      <c r="N106">
        <v>51</v>
      </c>
      <c r="O106" t="s">
        <v>20678</v>
      </c>
      <c r="P106" t="s">
        <v>2409</v>
      </c>
      <c r="Q106">
        <v>247.454295</v>
      </c>
      <c r="R106" t="s">
        <v>20679</v>
      </c>
      <c r="S106">
        <v>25</v>
      </c>
    </row>
    <row r="107" spans="12:19" x14ac:dyDescent="0.2">
      <c r="L107" t="str">
        <f t="shared" si="14"/>
        <v>SEEGER DIN 47252</v>
      </c>
      <c r="M107" t="s">
        <v>2281</v>
      </c>
      <c r="N107">
        <v>52</v>
      </c>
      <c r="O107" t="s">
        <v>20680</v>
      </c>
      <c r="P107" t="s">
        <v>2412</v>
      </c>
      <c r="Q107">
        <v>216.2753175</v>
      </c>
      <c r="R107" t="s">
        <v>20681</v>
      </c>
      <c r="S107">
        <v>25</v>
      </c>
    </row>
    <row r="108" spans="12:19" x14ac:dyDescent="0.2">
      <c r="L108" t="str">
        <f t="shared" si="14"/>
        <v>SEEGER DIN 47253</v>
      </c>
      <c r="M108" t="s">
        <v>2281</v>
      </c>
      <c r="N108">
        <v>53</v>
      </c>
      <c r="O108" t="s">
        <v>20682</v>
      </c>
      <c r="P108" t="s">
        <v>2415</v>
      </c>
      <c r="Q108">
        <v>299.13361500000002</v>
      </c>
      <c r="R108" t="s">
        <v>20683</v>
      </c>
      <c r="S108">
        <v>25</v>
      </c>
    </row>
    <row r="109" spans="12:19" x14ac:dyDescent="0.2">
      <c r="L109" t="str">
        <f t="shared" si="14"/>
        <v>SEEGER DIN 47254</v>
      </c>
      <c r="M109" t="s">
        <v>2281</v>
      </c>
      <c r="N109">
        <v>54</v>
      </c>
      <c r="O109" t="s">
        <v>20684</v>
      </c>
      <c r="P109" t="s">
        <v>2418</v>
      </c>
      <c r="Q109">
        <v>299.13361500000002</v>
      </c>
      <c r="R109" t="s">
        <v>20685</v>
      </c>
      <c r="S109">
        <v>25</v>
      </c>
    </row>
    <row r="110" spans="12:19" x14ac:dyDescent="0.2">
      <c r="L110" t="str">
        <f t="shared" si="14"/>
        <v>SEEGER DIN 47255</v>
      </c>
      <c r="M110" t="s">
        <v>2281</v>
      </c>
      <c r="N110">
        <v>55</v>
      </c>
      <c r="O110" t="s">
        <v>20686</v>
      </c>
      <c r="P110" t="s">
        <v>2421</v>
      </c>
      <c r="Q110">
        <v>250.42058250000002</v>
      </c>
      <c r="R110" t="s">
        <v>20687</v>
      </c>
      <c r="S110">
        <v>25</v>
      </c>
    </row>
    <row r="111" spans="12:19" x14ac:dyDescent="0.2">
      <c r="L111" t="str">
        <f t="shared" si="14"/>
        <v>SEEGER DIN 47256</v>
      </c>
      <c r="M111" t="s">
        <v>2281</v>
      </c>
      <c r="N111">
        <v>56</v>
      </c>
      <c r="O111" t="s">
        <v>20688</v>
      </c>
      <c r="P111" t="s">
        <v>2424</v>
      </c>
      <c r="Q111">
        <v>325.50061500000004</v>
      </c>
      <c r="R111" t="s">
        <v>20689</v>
      </c>
      <c r="S111">
        <v>25</v>
      </c>
    </row>
    <row r="112" spans="12:19" x14ac:dyDescent="0.2">
      <c r="L112" t="str">
        <f t="shared" si="14"/>
        <v>SEEGER DIN 47257</v>
      </c>
      <c r="M112" t="s">
        <v>2281</v>
      </c>
      <c r="N112">
        <v>57</v>
      </c>
      <c r="O112" t="s">
        <v>20690</v>
      </c>
      <c r="P112" t="s">
        <v>2427</v>
      </c>
      <c r="Q112">
        <v>325.50061500000004</v>
      </c>
      <c r="R112" t="s">
        <v>20691</v>
      </c>
      <c r="S112">
        <v>25</v>
      </c>
    </row>
    <row r="113" spans="12:19" x14ac:dyDescent="0.2">
      <c r="L113" t="str">
        <f t="shared" si="14"/>
        <v>SEEGER DIN 47258</v>
      </c>
      <c r="M113" t="s">
        <v>2281</v>
      </c>
      <c r="N113">
        <v>58</v>
      </c>
      <c r="O113" t="s">
        <v>20692</v>
      </c>
      <c r="P113" t="s">
        <v>2430</v>
      </c>
      <c r="Q113">
        <v>339.54104250000006</v>
      </c>
      <c r="R113" t="s">
        <v>20693</v>
      </c>
      <c r="S113">
        <v>25</v>
      </c>
    </row>
    <row r="114" spans="12:19" x14ac:dyDescent="0.2">
      <c r="L114" t="str">
        <f t="shared" si="14"/>
        <v>SEEGER DIN 47260</v>
      </c>
      <c r="M114" t="s">
        <v>2281</v>
      </c>
      <c r="N114">
        <v>60</v>
      </c>
      <c r="O114" t="s">
        <v>20694</v>
      </c>
      <c r="P114" t="s">
        <v>2433</v>
      </c>
      <c r="Q114">
        <v>340.00246500000003</v>
      </c>
      <c r="R114" t="s">
        <v>20695</v>
      </c>
      <c r="S114">
        <v>25</v>
      </c>
    </row>
    <row r="115" spans="12:19" x14ac:dyDescent="0.2">
      <c r="L115" t="str">
        <f t="shared" si="14"/>
        <v>SEEGER DIN 47262</v>
      </c>
      <c r="M115" t="s">
        <v>2281</v>
      </c>
      <c r="N115">
        <v>62</v>
      </c>
      <c r="O115" t="s">
        <v>20696</v>
      </c>
      <c r="P115" t="s">
        <v>2436</v>
      </c>
      <c r="Q115">
        <v>304.27518000000003</v>
      </c>
      <c r="R115" t="s">
        <v>20697</v>
      </c>
      <c r="S115">
        <v>25</v>
      </c>
    </row>
    <row r="116" spans="12:19" x14ac:dyDescent="0.2">
      <c r="L116" t="str">
        <f t="shared" si="14"/>
        <v>SEEGER DIN 47263</v>
      </c>
      <c r="M116" t="s">
        <v>2281</v>
      </c>
      <c r="N116">
        <v>63</v>
      </c>
      <c r="O116" t="s">
        <v>20698</v>
      </c>
      <c r="P116" t="s">
        <v>2439</v>
      </c>
      <c r="Q116">
        <v>351.86761500000006</v>
      </c>
      <c r="R116" t="s">
        <v>20699</v>
      </c>
      <c r="S116">
        <v>25</v>
      </c>
    </row>
    <row r="117" spans="12:19" x14ac:dyDescent="0.2">
      <c r="L117" t="str">
        <f t="shared" si="14"/>
        <v>SEEGER DIN 47265</v>
      </c>
      <c r="M117" t="s">
        <v>2281</v>
      </c>
      <c r="N117">
        <v>65</v>
      </c>
      <c r="O117" t="s">
        <v>20700</v>
      </c>
      <c r="P117" t="s">
        <v>2442</v>
      </c>
      <c r="Q117">
        <v>438.15362250000004</v>
      </c>
      <c r="R117" t="s">
        <v>20701</v>
      </c>
      <c r="S117">
        <v>25</v>
      </c>
    </row>
    <row r="118" spans="12:19" x14ac:dyDescent="0.2">
      <c r="L118" t="str">
        <f t="shared" si="14"/>
        <v>SEEGER DIN 47267</v>
      </c>
      <c r="M118" t="s">
        <v>2281</v>
      </c>
      <c r="N118">
        <v>67</v>
      </c>
      <c r="O118" t="s">
        <v>20702</v>
      </c>
      <c r="P118" t="s">
        <v>2445</v>
      </c>
      <c r="Q118">
        <v>492.53555999999998</v>
      </c>
      <c r="R118" t="s">
        <v>20703</v>
      </c>
      <c r="S118">
        <v>25</v>
      </c>
    </row>
    <row r="119" spans="12:19" x14ac:dyDescent="0.2">
      <c r="L119" t="str">
        <f t="shared" si="14"/>
        <v>SEEGER DIN 47268</v>
      </c>
      <c r="M119" t="s">
        <v>2281</v>
      </c>
      <c r="N119">
        <v>68</v>
      </c>
      <c r="O119" t="s">
        <v>20704</v>
      </c>
      <c r="P119" t="s">
        <v>2448</v>
      </c>
      <c r="Q119">
        <v>520.15499250000005</v>
      </c>
      <c r="R119" t="s">
        <v>20705</v>
      </c>
      <c r="S119">
        <v>25</v>
      </c>
    </row>
    <row r="120" spans="12:19" x14ac:dyDescent="0.2">
      <c r="L120" t="str">
        <f t="shared" si="14"/>
        <v>SEEGER DIN 47270</v>
      </c>
      <c r="M120" t="s">
        <v>2281</v>
      </c>
      <c r="N120">
        <v>70</v>
      </c>
      <c r="O120" t="s">
        <v>20706</v>
      </c>
      <c r="P120" t="s">
        <v>2451</v>
      </c>
      <c r="Q120">
        <v>520.15499250000005</v>
      </c>
      <c r="R120" t="s">
        <v>20707</v>
      </c>
      <c r="S120">
        <v>25</v>
      </c>
    </row>
    <row r="121" spans="12:19" x14ac:dyDescent="0.2">
      <c r="L121" t="str">
        <f t="shared" si="14"/>
        <v>SEEGER DIN 47272</v>
      </c>
      <c r="M121" t="s">
        <v>2281</v>
      </c>
      <c r="N121">
        <v>72</v>
      </c>
      <c r="O121" t="s">
        <v>20708</v>
      </c>
      <c r="P121" t="s">
        <v>2454</v>
      </c>
      <c r="Q121">
        <v>442.43826000000007</v>
      </c>
      <c r="R121" t="s">
        <v>20709</v>
      </c>
      <c r="S121">
        <v>10</v>
      </c>
    </row>
    <row r="122" spans="12:19" x14ac:dyDescent="0.2">
      <c r="L122" t="str">
        <f t="shared" si="14"/>
        <v>SEEGER DIN 47275</v>
      </c>
      <c r="M122" t="s">
        <v>2281</v>
      </c>
      <c r="N122">
        <v>75</v>
      </c>
      <c r="O122" t="s">
        <v>20710</v>
      </c>
      <c r="P122" t="s">
        <v>2457</v>
      </c>
      <c r="Q122">
        <v>453.51240000000001</v>
      </c>
      <c r="R122" t="s">
        <v>20711</v>
      </c>
      <c r="S122">
        <v>10</v>
      </c>
    </row>
    <row r="123" spans="12:19" x14ac:dyDescent="0.2">
      <c r="L123" t="str">
        <f t="shared" si="14"/>
        <v>SEEGER DIN 47280</v>
      </c>
      <c r="M123" t="s">
        <v>2281</v>
      </c>
      <c r="N123">
        <v>80</v>
      </c>
      <c r="O123" t="s">
        <v>20712</v>
      </c>
      <c r="P123" t="s">
        <v>2460</v>
      </c>
      <c r="Q123">
        <v>502.95052499999997</v>
      </c>
      <c r="R123" t="s">
        <v>20713</v>
      </c>
      <c r="S123">
        <v>10</v>
      </c>
    </row>
    <row r="124" spans="12:19" x14ac:dyDescent="0.2">
      <c r="L124" t="str">
        <f t="shared" si="14"/>
        <v>SEEGER DIN 47282</v>
      </c>
      <c r="M124" t="s">
        <v>2281</v>
      </c>
      <c r="N124">
        <v>82</v>
      </c>
      <c r="O124" t="s">
        <v>20714</v>
      </c>
      <c r="P124" t="s">
        <v>2463</v>
      </c>
      <c r="Q124">
        <v>603.67246499999999</v>
      </c>
      <c r="R124" t="s">
        <v>20715</v>
      </c>
      <c r="S124">
        <v>10</v>
      </c>
    </row>
    <row r="125" spans="12:19" x14ac:dyDescent="0.2">
      <c r="L125" t="str">
        <f t="shared" si="14"/>
        <v>SEEGER DIN 47285</v>
      </c>
      <c r="M125" t="s">
        <v>2281</v>
      </c>
      <c r="N125">
        <v>85</v>
      </c>
      <c r="O125" t="s">
        <v>20716</v>
      </c>
      <c r="P125" t="s">
        <v>2466</v>
      </c>
      <c r="Q125">
        <v>619.36083000000008</v>
      </c>
      <c r="R125" t="s">
        <v>20717</v>
      </c>
      <c r="S125">
        <v>10</v>
      </c>
    </row>
    <row r="126" spans="12:19" x14ac:dyDescent="0.2">
      <c r="L126" t="str">
        <f t="shared" si="14"/>
        <v>SEEGER DIN 47289</v>
      </c>
      <c r="M126" t="s">
        <v>2281</v>
      </c>
      <c r="N126">
        <v>89</v>
      </c>
      <c r="O126" t="s">
        <v>21596</v>
      </c>
      <c r="P126" t="s">
        <v>2469</v>
      </c>
      <c r="Q126" t="e">
        <v>#N/A</v>
      </c>
      <c r="R126" t="s">
        <v>21597</v>
      </c>
      <c r="S126">
        <v>10</v>
      </c>
    </row>
    <row r="127" spans="12:19" x14ac:dyDescent="0.2">
      <c r="L127" t="str">
        <f t="shared" si="14"/>
        <v>SEEGER DIN 47295</v>
      </c>
      <c r="M127" t="s">
        <v>2281</v>
      </c>
      <c r="N127">
        <v>95</v>
      </c>
      <c r="O127" t="s">
        <v>20718</v>
      </c>
      <c r="P127" t="s">
        <v>2472</v>
      </c>
      <c r="Q127">
        <v>821.9912250000001</v>
      </c>
      <c r="R127" t="s">
        <v>20719</v>
      </c>
      <c r="S127">
        <v>5</v>
      </c>
    </row>
    <row r="128" spans="12:19" x14ac:dyDescent="0.2">
      <c r="L128" t="str">
        <f t="shared" si="14"/>
        <v>SEEGER DIN 472100</v>
      </c>
      <c r="M128" t="s">
        <v>2281</v>
      </c>
      <c r="N128">
        <v>100</v>
      </c>
      <c r="O128" t="s">
        <v>20720</v>
      </c>
      <c r="P128" t="s">
        <v>2475</v>
      </c>
      <c r="Q128">
        <v>1416.6989100000001</v>
      </c>
      <c r="R128" t="s">
        <v>20721</v>
      </c>
      <c r="S128">
        <v>5</v>
      </c>
    </row>
    <row r="129" spans="12:19" x14ac:dyDescent="0.2">
      <c r="L129" t="str">
        <f t="shared" si="14"/>
        <v>SEEGER DIN 472105</v>
      </c>
      <c r="M129" t="s">
        <v>2281</v>
      </c>
      <c r="N129">
        <v>105</v>
      </c>
      <c r="O129" t="s">
        <v>20722</v>
      </c>
      <c r="P129" t="s">
        <v>2478</v>
      </c>
      <c r="Q129">
        <v>1818.0046500000003</v>
      </c>
      <c r="R129" t="s">
        <v>20723</v>
      </c>
      <c r="S129">
        <v>1</v>
      </c>
    </row>
    <row r="130" spans="12:19" x14ac:dyDescent="0.2">
      <c r="L130" t="str">
        <f t="shared" si="14"/>
        <v>ESPINAS ELASTICAS2 x 12</v>
      </c>
      <c r="M130" t="s">
        <v>5242</v>
      </c>
      <c r="N130" t="s">
        <v>5243</v>
      </c>
      <c r="O130" t="s">
        <v>20724</v>
      </c>
      <c r="P130" t="s">
        <v>5245</v>
      </c>
      <c r="Q130">
        <v>10.480882500000002</v>
      </c>
      <c r="R130" t="s">
        <v>20725</v>
      </c>
      <c r="S130">
        <v>100</v>
      </c>
    </row>
    <row r="131" spans="12:19" x14ac:dyDescent="0.2">
      <c r="L131" t="str">
        <f t="shared" si="14"/>
        <v>ESPINAS ELASTICAS2 x 16</v>
      </c>
      <c r="M131" t="s">
        <v>5242</v>
      </c>
      <c r="N131" t="s">
        <v>5247</v>
      </c>
      <c r="O131" t="s">
        <v>20726</v>
      </c>
      <c r="P131" t="s">
        <v>5249</v>
      </c>
      <c r="Q131">
        <v>11.733315000000001</v>
      </c>
      <c r="R131" t="s">
        <v>20727</v>
      </c>
      <c r="S131">
        <v>100</v>
      </c>
    </row>
    <row r="132" spans="12:19" x14ac:dyDescent="0.2">
      <c r="L132" t="str">
        <f t="shared" ref="L132:L195" si="18">+M132&amp;N132</f>
        <v>ESPINAS ELASTICAS2 x 20</v>
      </c>
      <c r="M132" t="s">
        <v>5242</v>
      </c>
      <c r="N132" t="s">
        <v>5251</v>
      </c>
      <c r="O132" t="s">
        <v>20728</v>
      </c>
      <c r="P132" t="s">
        <v>5253</v>
      </c>
      <c r="Q132">
        <v>12.787995</v>
      </c>
      <c r="R132" t="s">
        <v>20729</v>
      </c>
      <c r="S132">
        <v>100</v>
      </c>
    </row>
    <row r="133" spans="12:19" x14ac:dyDescent="0.2">
      <c r="L133" t="str">
        <f t="shared" si="18"/>
        <v>ESPINAS ELASTICAS2,5 x 14</v>
      </c>
      <c r="M133" t="s">
        <v>5242</v>
      </c>
      <c r="N133" t="s">
        <v>5255</v>
      </c>
      <c r="O133" t="s">
        <v>20730</v>
      </c>
      <c r="P133" t="s">
        <v>5257</v>
      </c>
      <c r="Q133">
        <v>13.447170000000002</v>
      </c>
      <c r="R133" t="s">
        <v>20731</v>
      </c>
      <c r="S133">
        <v>100</v>
      </c>
    </row>
    <row r="134" spans="12:19" x14ac:dyDescent="0.2">
      <c r="L134" t="str">
        <f t="shared" si="18"/>
        <v>ESPINAS ELASTICAS2,5 x 16</v>
      </c>
      <c r="M134" t="s">
        <v>5242</v>
      </c>
      <c r="N134" t="s">
        <v>5259</v>
      </c>
      <c r="O134" t="s">
        <v>20732</v>
      </c>
      <c r="P134" t="s">
        <v>5261</v>
      </c>
      <c r="Q134">
        <v>14.304097500000001</v>
      </c>
      <c r="R134" t="s">
        <v>20733</v>
      </c>
      <c r="S134">
        <v>100</v>
      </c>
    </row>
    <row r="135" spans="12:19" x14ac:dyDescent="0.2">
      <c r="L135" t="str">
        <f t="shared" si="18"/>
        <v xml:space="preserve">ESPINAS ELASTICAS2,5 x 26 </v>
      </c>
      <c r="M135" t="s">
        <v>5242</v>
      </c>
      <c r="N135" t="s">
        <v>5263</v>
      </c>
      <c r="O135" t="s">
        <v>20734</v>
      </c>
      <c r="P135" t="s">
        <v>5265</v>
      </c>
      <c r="Q135">
        <v>18.720570000000002</v>
      </c>
      <c r="R135" t="s">
        <v>20735</v>
      </c>
      <c r="S135">
        <v>100</v>
      </c>
    </row>
    <row r="136" spans="12:19" x14ac:dyDescent="0.2">
      <c r="L136" t="str">
        <f t="shared" si="18"/>
        <v>ESPINAS ELASTICAS2,5 x 30</v>
      </c>
      <c r="M136" t="s">
        <v>5242</v>
      </c>
      <c r="N136" t="s">
        <v>5267</v>
      </c>
      <c r="O136" t="s">
        <v>20736</v>
      </c>
      <c r="P136" t="s">
        <v>5269</v>
      </c>
      <c r="Q136">
        <v>20.434425000000001</v>
      </c>
      <c r="R136" t="s">
        <v>20737</v>
      </c>
      <c r="S136">
        <v>100</v>
      </c>
    </row>
    <row r="137" spans="12:19" x14ac:dyDescent="0.2">
      <c r="L137" t="str">
        <f t="shared" si="18"/>
        <v>ESPINAS ELASTICAS3 x 14</v>
      </c>
      <c r="M137" t="s">
        <v>5242</v>
      </c>
      <c r="N137" t="s">
        <v>5271</v>
      </c>
      <c r="O137" t="s">
        <v>20738</v>
      </c>
      <c r="P137" t="s">
        <v>5273</v>
      </c>
      <c r="Q137">
        <v>15.7542825</v>
      </c>
      <c r="R137" t="s">
        <v>20739</v>
      </c>
      <c r="S137">
        <v>100</v>
      </c>
    </row>
    <row r="138" spans="12:19" x14ac:dyDescent="0.2">
      <c r="L138" t="str">
        <f t="shared" si="18"/>
        <v>ESPINAS ELASTICAS3 x 16</v>
      </c>
      <c r="M138" t="s">
        <v>5242</v>
      </c>
      <c r="N138" t="s">
        <v>5275</v>
      </c>
      <c r="O138" t="s">
        <v>20740</v>
      </c>
      <c r="P138" t="s">
        <v>5277</v>
      </c>
      <c r="Q138">
        <v>17.006715</v>
      </c>
      <c r="R138" t="s">
        <v>20741</v>
      </c>
      <c r="S138">
        <v>100</v>
      </c>
    </row>
    <row r="139" spans="12:19" x14ac:dyDescent="0.2">
      <c r="L139" t="str">
        <f t="shared" si="18"/>
        <v>ESPINAS ELASTICAS3 x 20</v>
      </c>
      <c r="M139" t="s">
        <v>5242</v>
      </c>
      <c r="N139" t="s">
        <v>4750</v>
      </c>
      <c r="O139" t="s">
        <v>20742</v>
      </c>
      <c r="P139" t="s">
        <v>5280</v>
      </c>
      <c r="Q139">
        <v>19.577497500000003</v>
      </c>
      <c r="R139" t="s">
        <v>20743</v>
      </c>
      <c r="S139">
        <v>100</v>
      </c>
    </row>
    <row r="140" spans="12:19" x14ac:dyDescent="0.2">
      <c r="L140" t="str">
        <f t="shared" si="18"/>
        <v>ESPINAS ELASTICAS3 x 26</v>
      </c>
      <c r="M140" t="s">
        <v>5242</v>
      </c>
      <c r="N140" t="s">
        <v>5282</v>
      </c>
      <c r="O140" t="s">
        <v>20744</v>
      </c>
      <c r="P140" t="s">
        <v>5284</v>
      </c>
      <c r="Q140">
        <v>23.268877499999999</v>
      </c>
      <c r="R140" t="s">
        <v>20745</v>
      </c>
      <c r="S140">
        <v>100</v>
      </c>
    </row>
    <row r="141" spans="12:19" x14ac:dyDescent="0.2">
      <c r="L141" t="str">
        <f t="shared" si="18"/>
        <v>ESPINAS ELASTICAS3 x 30</v>
      </c>
      <c r="M141" t="s">
        <v>5242</v>
      </c>
      <c r="N141" t="s">
        <v>5286</v>
      </c>
      <c r="O141" t="s">
        <v>20746</v>
      </c>
      <c r="P141" t="s">
        <v>5288</v>
      </c>
      <c r="Q141">
        <v>25.510072500000003</v>
      </c>
      <c r="R141" t="s">
        <v>20747</v>
      </c>
      <c r="S141">
        <v>100</v>
      </c>
    </row>
    <row r="142" spans="12:19" x14ac:dyDescent="0.2">
      <c r="L142" t="str">
        <f t="shared" si="18"/>
        <v>ESPINAS ELASTICAS3 x 36</v>
      </c>
      <c r="M142" t="s">
        <v>5242</v>
      </c>
      <c r="N142" t="s">
        <v>5290</v>
      </c>
      <c r="O142" t="s">
        <v>20748</v>
      </c>
      <c r="P142" t="s">
        <v>5292</v>
      </c>
      <c r="Q142">
        <v>29.333287500000001</v>
      </c>
      <c r="R142" t="s">
        <v>20749</v>
      </c>
      <c r="S142">
        <v>100</v>
      </c>
    </row>
    <row r="143" spans="12:19" x14ac:dyDescent="0.2">
      <c r="L143" t="str">
        <f t="shared" si="18"/>
        <v>ESPINAS ELASTICAS3 x 40</v>
      </c>
      <c r="M143" t="s">
        <v>5242</v>
      </c>
      <c r="N143" t="s">
        <v>5294</v>
      </c>
      <c r="O143" t="s">
        <v>20750</v>
      </c>
      <c r="P143" t="s">
        <v>5296</v>
      </c>
      <c r="Q143">
        <v>31.772235000000002</v>
      </c>
      <c r="R143" t="s">
        <v>20751</v>
      </c>
      <c r="S143">
        <v>100</v>
      </c>
    </row>
    <row r="144" spans="12:19" x14ac:dyDescent="0.2">
      <c r="L144" t="str">
        <f t="shared" si="18"/>
        <v>ESPINAS ELASTICAS3 x 45</v>
      </c>
      <c r="M144" t="s">
        <v>5242</v>
      </c>
      <c r="N144" t="s">
        <v>5298</v>
      </c>
      <c r="O144" t="s">
        <v>20752</v>
      </c>
      <c r="P144" t="s">
        <v>5300</v>
      </c>
      <c r="Q144">
        <v>34.870357500000004</v>
      </c>
      <c r="R144" t="s">
        <v>20753</v>
      </c>
      <c r="S144">
        <v>100</v>
      </c>
    </row>
    <row r="145" spans="5:19" x14ac:dyDescent="0.2">
      <c r="L145" t="str">
        <f t="shared" si="18"/>
        <v>ESPINAS ELASTICAS3 x 50</v>
      </c>
      <c r="M145" t="s">
        <v>5242</v>
      </c>
      <c r="N145" t="s">
        <v>5302</v>
      </c>
      <c r="O145" t="s">
        <v>20754</v>
      </c>
      <c r="P145" t="s">
        <v>5304</v>
      </c>
      <c r="Q145">
        <v>37.836645000000004</v>
      </c>
      <c r="R145" t="s">
        <v>20755</v>
      </c>
      <c r="S145">
        <v>100</v>
      </c>
    </row>
    <row r="146" spans="5:19" x14ac:dyDescent="0.2">
      <c r="E146" s="13" t="s">
        <v>20884</v>
      </c>
      <c r="F146" t="s">
        <v>4139</v>
      </c>
      <c r="L146" t="str">
        <f t="shared" si="18"/>
        <v>ESPINAS ELASTICAS3,5 x 20</v>
      </c>
      <c r="M146" t="s">
        <v>5242</v>
      </c>
      <c r="N146" t="s">
        <v>5306</v>
      </c>
      <c r="O146" t="s">
        <v>20756</v>
      </c>
      <c r="P146" t="s">
        <v>5308</v>
      </c>
      <c r="Q146">
        <v>24.653145000000002</v>
      </c>
      <c r="R146" t="s">
        <v>20757</v>
      </c>
      <c r="S146">
        <v>100</v>
      </c>
    </row>
    <row r="147" spans="5:19" x14ac:dyDescent="0.2">
      <c r="E147" s="13" t="s">
        <v>20887</v>
      </c>
      <c r="F147" t="s">
        <v>4139</v>
      </c>
      <c r="L147" t="str">
        <f t="shared" si="18"/>
        <v>ESPINAS ELASTICAS3,5 x 30</v>
      </c>
      <c r="M147" t="s">
        <v>5242</v>
      </c>
      <c r="N147" t="s">
        <v>5310</v>
      </c>
      <c r="O147" t="s">
        <v>20758</v>
      </c>
      <c r="P147" t="s">
        <v>5312</v>
      </c>
      <c r="Q147">
        <v>33.156502500000002</v>
      </c>
      <c r="R147" t="s">
        <v>20759</v>
      </c>
      <c r="S147">
        <v>100</v>
      </c>
    </row>
    <row r="148" spans="5:19" x14ac:dyDescent="0.2">
      <c r="E148" s="13" t="s">
        <v>20808</v>
      </c>
      <c r="F148" t="s">
        <v>4139</v>
      </c>
      <c r="L148" t="str">
        <f t="shared" si="18"/>
        <v>ESPINAS ELASTICAS3,5 x 40</v>
      </c>
      <c r="M148" t="s">
        <v>5242</v>
      </c>
      <c r="N148" t="s">
        <v>5314</v>
      </c>
      <c r="O148" t="s">
        <v>20760</v>
      </c>
      <c r="P148" t="s">
        <v>5316</v>
      </c>
      <c r="Q148">
        <v>41.923530000000007</v>
      </c>
      <c r="R148" t="s">
        <v>20761</v>
      </c>
      <c r="S148">
        <v>100</v>
      </c>
    </row>
    <row r="149" spans="5:19" x14ac:dyDescent="0.2">
      <c r="E149" s="13" t="s">
        <v>20890</v>
      </c>
      <c r="F149" t="s">
        <v>4139</v>
      </c>
      <c r="L149" t="str">
        <f t="shared" si="18"/>
        <v>ESPINAS ELASTICAS3,5 x 50</v>
      </c>
      <c r="M149" t="s">
        <v>5242</v>
      </c>
      <c r="N149" t="s">
        <v>5318</v>
      </c>
      <c r="O149" t="s">
        <v>20762</v>
      </c>
      <c r="P149" t="s">
        <v>5320</v>
      </c>
      <c r="Q149">
        <v>50.624639999999999</v>
      </c>
      <c r="R149" t="s">
        <v>20763</v>
      </c>
      <c r="S149">
        <v>100</v>
      </c>
    </row>
    <row r="150" spans="5:19" x14ac:dyDescent="0.2">
      <c r="E150" s="13" t="s">
        <v>20891</v>
      </c>
      <c r="F150" t="s">
        <v>4139</v>
      </c>
      <c r="L150" t="str">
        <f t="shared" si="18"/>
        <v>ESPINAS ELASTICAS4 x 20</v>
      </c>
      <c r="M150" t="s">
        <v>5242</v>
      </c>
      <c r="N150" t="s">
        <v>5322</v>
      </c>
      <c r="O150" t="s">
        <v>20764</v>
      </c>
      <c r="P150" t="s">
        <v>5324</v>
      </c>
      <c r="Q150">
        <v>28.080855</v>
      </c>
      <c r="R150" t="s">
        <v>20765</v>
      </c>
      <c r="S150">
        <v>100</v>
      </c>
    </row>
    <row r="151" spans="5:19" x14ac:dyDescent="0.2">
      <c r="E151" s="13" t="s">
        <v>20801</v>
      </c>
      <c r="F151" t="s">
        <v>4139</v>
      </c>
      <c r="L151" t="str">
        <f t="shared" si="18"/>
        <v>ESPINAS ELASTICAS4 x 26</v>
      </c>
      <c r="M151" t="s">
        <v>5242</v>
      </c>
      <c r="N151" t="s">
        <v>5326</v>
      </c>
      <c r="O151" t="s">
        <v>20766</v>
      </c>
      <c r="P151" t="s">
        <v>5328</v>
      </c>
      <c r="Q151">
        <v>34.277099999999997</v>
      </c>
      <c r="R151" t="s">
        <v>20767</v>
      </c>
      <c r="S151">
        <v>100</v>
      </c>
    </row>
    <row r="152" spans="5:19" x14ac:dyDescent="0.2">
      <c r="E152" s="13" t="s">
        <v>20892</v>
      </c>
      <c r="F152" t="s">
        <v>4139</v>
      </c>
      <c r="L152" t="str">
        <f t="shared" si="18"/>
        <v>ESPINAS ELASTICAS4 x 30</v>
      </c>
      <c r="M152" t="s">
        <v>5242</v>
      </c>
      <c r="N152" t="s">
        <v>5330</v>
      </c>
      <c r="O152" t="s">
        <v>20768</v>
      </c>
      <c r="P152" t="s">
        <v>5332</v>
      </c>
      <c r="Q152">
        <v>38.298067500000002</v>
      </c>
      <c r="R152" t="s">
        <v>20769</v>
      </c>
      <c r="S152">
        <v>100</v>
      </c>
    </row>
    <row r="153" spans="5:19" x14ac:dyDescent="0.2">
      <c r="E153" s="13" t="s">
        <v>20893</v>
      </c>
      <c r="F153" t="s">
        <v>4139</v>
      </c>
      <c r="L153" t="str">
        <f t="shared" si="18"/>
        <v>ESPINAS ELASTICAS4 x 40</v>
      </c>
      <c r="M153" t="s">
        <v>5242</v>
      </c>
      <c r="N153" t="s">
        <v>5334</v>
      </c>
      <c r="O153" t="s">
        <v>20770</v>
      </c>
      <c r="P153" t="s">
        <v>5336</v>
      </c>
      <c r="Q153">
        <v>48.778949999999995</v>
      </c>
      <c r="R153" t="s">
        <v>20771</v>
      </c>
      <c r="S153">
        <v>100</v>
      </c>
    </row>
    <row r="154" spans="5:19" x14ac:dyDescent="0.2">
      <c r="E154" s="13" t="s">
        <v>20894</v>
      </c>
      <c r="F154" t="s">
        <v>4139</v>
      </c>
      <c r="L154" t="str">
        <f t="shared" si="18"/>
        <v>ESPINAS ELASTICAS4 x 50</v>
      </c>
      <c r="M154" t="s">
        <v>5242</v>
      </c>
      <c r="N154" t="s">
        <v>5338</v>
      </c>
      <c r="O154" t="s">
        <v>20772</v>
      </c>
      <c r="P154" t="s">
        <v>5340</v>
      </c>
      <c r="Q154">
        <v>58.930244999999999</v>
      </c>
      <c r="R154" t="s">
        <v>20773</v>
      </c>
      <c r="S154">
        <v>100</v>
      </c>
    </row>
    <row r="155" spans="5:19" x14ac:dyDescent="0.2">
      <c r="E155" s="13" t="s">
        <v>20895</v>
      </c>
      <c r="F155" t="s">
        <v>4139</v>
      </c>
      <c r="L155" t="str">
        <f t="shared" si="18"/>
        <v>ESPINAS ELASTICAS4,5 x 20</v>
      </c>
      <c r="M155" t="s">
        <v>5242</v>
      </c>
      <c r="N155" t="s">
        <v>5342</v>
      </c>
      <c r="O155" t="s">
        <v>20774</v>
      </c>
      <c r="P155" t="s">
        <v>5344</v>
      </c>
      <c r="Q155">
        <v>39.814170000000004</v>
      </c>
      <c r="R155" t="s">
        <v>20775</v>
      </c>
      <c r="S155">
        <v>100</v>
      </c>
    </row>
    <row r="156" spans="5:19" x14ac:dyDescent="0.2">
      <c r="E156" s="13" t="s">
        <v>19050</v>
      </c>
      <c r="F156" t="s">
        <v>4139</v>
      </c>
      <c r="L156" t="str">
        <f t="shared" si="18"/>
        <v>ESPINAS ELASTICAS4,5 x 30</v>
      </c>
      <c r="M156" t="s">
        <v>5242</v>
      </c>
      <c r="N156" t="s">
        <v>5346</v>
      </c>
      <c r="O156" t="s">
        <v>20776</v>
      </c>
      <c r="P156" t="s">
        <v>5348</v>
      </c>
      <c r="Q156">
        <v>53.854597499999997</v>
      </c>
      <c r="R156" t="s">
        <v>20777</v>
      </c>
      <c r="S156">
        <v>100</v>
      </c>
    </row>
    <row r="157" spans="5:19" x14ac:dyDescent="0.2">
      <c r="E157" s="13" t="s">
        <v>20896</v>
      </c>
      <c r="F157" t="s">
        <v>4139</v>
      </c>
      <c r="L157" t="str">
        <f t="shared" si="18"/>
        <v>ESPINAS ELASTICAS4,5 x 40</v>
      </c>
      <c r="M157" t="s">
        <v>5242</v>
      </c>
      <c r="N157" t="s">
        <v>5350</v>
      </c>
      <c r="O157" t="s">
        <v>20778</v>
      </c>
      <c r="P157" t="s">
        <v>5352</v>
      </c>
      <c r="Q157">
        <v>68.026859999999999</v>
      </c>
      <c r="R157" t="s">
        <v>20779</v>
      </c>
      <c r="S157">
        <v>100</v>
      </c>
    </row>
    <row r="158" spans="5:19" x14ac:dyDescent="0.2">
      <c r="L158" t="str">
        <f t="shared" si="18"/>
        <v>ESPINAS ELASTICAS4,5 x 50</v>
      </c>
      <c r="M158" t="s">
        <v>5242</v>
      </c>
      <c r="N158" t="s">
        <v>5354</v>
      </c>
      <c r="O158" t="s">
        <v>20780</v>
      </c>
      <c r="P158" t="s">
        <v>5356</v>
      </c>
      <c r="Q158">
        <v>82.067287499999992</v>
      </c>
      <c r="R158" t="s">
        <v>20781</v>
      </c>
      <c r="S158">
        <v>100</v>
      </c>
    </row>
    <row r="159" spans="5:19" x14ac:dyDescent="0.2">
      <c r="L159" t="str">
        <f t="shared" si="18"/>
        <v>ESPINAS ELASTICAS5 x 24</v>
      </c>
      <c r="M159" t="s">
        <v>5242</v>
      </c>
      <c r="N159" t="s">
        <v>5358</v>
      </c>
      <c r="O159" t="s">
        <v>20782</v>
      </c>
      <c r="P159" t="s">
        <v>5360</v>
      </c>
      <c r="Q159">
        <v>44.626147500000002</v>
      </c>
      <c r="R159" t="s">
        <v>20783</v>
      </c>
      <c r="S159">
        <v>100</v>
      </c>
    </row>
    <row r="160" spans="5:19" x14ac:dyDescent="0.2">
      <c r="L160" t="str">
        <f t="shared" si="18"/>
        <v>ESPINAS ELASTICAS5 x 30</v>
      </c>
      <c r="M160" t="s">
        <v>5242</v>
      </c>
      <c r="N160" t="s">
        <v>5362</v>
      </c>
      <c r="O160" t="s">
        <v>20784</v>
      </c>
      <c r="P160" t="s">
        <v>5364</v>
      </c>
      <c r="Q160">
        <v>54.250102499999997</v>
      </c>
      <c r="R160" t="s">
        <v>20785</v>
      </c>
      <c r="S160">
        <v>100</v>
      </c>
    </row>
    <row r="161" spans="6:19" x14ac:dyDescent="0.2">
      <c r="L161" t="str">
        <f t="shared" si="18"/>
        <v>ESPINAS ELASTICAS5 x 40</v>
      </c>
      <c r="M161" t="s">
        <v>5242</v>
      </c>
      <c r="N161" t="s">
        <v>5366</v>
      </c>
      <c r="O161" t="s">
        <v>20786</v>
      </c>
      <c r="P161" t="s">
        <v>5368</v>
      </c>
      <c r="Q161">
        <v>71.256817499999997</v>
      </c>
      <c r="R161" t="s">
        <v>20787</v>
      </c>
      <c r="S161">
        <v>100</v>
      </c>
    </row>
    <row r="162" spans="6:19" x14ac:dyDescent="0.2">
      <c r="L162" t="str">
        <f t="shared" si="18"/>
        <v>ESPINAS ELASTICAS5 x 50</v>
      </c>
      <c r="M162" t="s">
        <v>5242</v>
      </c>
      <c r="N162" t="s">
        <v>5370</v>
      </c>
      <c r="O162" t="s">
        <v>20788</v>
      </c>
      <c r="P162" t="s">
        <v>5372</v>
      </c>
      <c r="Q162">
        <v>88.263532499999997</v>
      </c>
      <c r="R162" t="s">
        <v>20789</v>
      </c>
      <c r="S162">
        <v>100</v>
      </c>
    </row>
    <row r="163" spans="6:19" x14ac:dyDescent="0.2">
      <c r="L163" t="str">
        <f t="shared" si="18"/>
        <v>ESPINAS ELASTICAS5 x 60</v>
      </c>
      <c r="M163" t="s">
        <v>5242</v>
      </c>
      <c r="N163" t="s">
        <v>5374</v>
      </c>
      <c r="O163" t="s">
        <v>20790</v>
      </c>
      <c r="P163" t="s">
        <v>5376</v>
      </c>
      <c r="Q163">
        <v>104.14965000000001</v>
      </c>
      <c r="R163" t="s">
        <v>20791</v>
      </c>
      <c r="S163">
        <v>100</v>
      </c>
    </row>
    <row r="164" spans="6:19" x14ac:dyDescent="0.2">
      <c r="L164" t="str">
        <f t="shared" si="18"/>
        <v>ESPINAS ELASTICAS5 X 70</v>
      </c>
      <c r="M164" t="s">
        <v>5242</v>
      </c>
      <c r="N164" t="s">
        <v>5378</v>
      </c>
      <c r="O164" t="s">
        <v>20792</v>
      </c>
      <c r="P164" t="s">
        <v>5380</v>
      </c>
      <c r="Q164">
        <v>121.61778749999999</v>
      </c>
      <c r="R164" t="s">
        <v>20793</v>
      </c>
      <c r="S164">
        <v>100</v>
      </c>
    </row>
    <row r="165" spans="6:19" x14ac:dyDescent="0.2">
      <c r="L165" t="str">
        <f t="shared" si="18"/>
        <v>ESPINAS ELASTICAS5X 80</v>
      </c>
      <c r="M165" t="s">
        <v>5242</v>
      </c>
      <c r="N165" t="s">
        <v>5382</v>
      </c>
      <c r="O165" t="s">
        <v>20794</v>
      </c>
      <c r="P165" t="s">
        <v>5384</v>
      </c>
      <c r="Q165">
        <v>144.55707749999999</v>
      </c>
      <c r="R165" t="s">
        <v>20795</v>
      </c>
      <c r="S165">
        <v>100</v>
      </c>
    </row>
    <row r="166" spans="6:19" x14ac:dyDescent="0.2">
      <c r="L166" t="str">
        <f t="shared" si="18"/>
        <v>ESPINAS ELASTICAS6 x 30</v>
      </c>
      <c r="M166" t="s">
        <v>5242</v>
      </c>
      <c r="N166" t="s">
        <v>5386</v>
      </c>
      <c r="O166" t="s">
        <v>20796</v>
      </c>
      <c r="P166" t="s">
        <v>5388</v>
      </c>
      <c r="Q166">
        <v>100.062765</v>
      </c>
      <c r="R166" t="s">
        <v>20797</v>
      </c>
      <c r="S166">
        <v>50</v>
      </c>
    </row>
    <row r="167" spans="6:19" x14ac:dyDescent="0.2">
      <c r="L167" t="str">
        <f t="shared" si="18"/>
        <v>ESPINAS ELASTICAS6 x 40</v>
      </c>
      <c r="M167" t="s">
        <v>5242</v>
      </c>
      <c r="N167" t="s">
        <v>5390</v>
      </c>
      <c r="O167" t="s">
        <v>20799</v>
      </c>
      <c r="P167" t="s">
        <v>5392</v>
      </c>
      <c r="Q167">
        <v>132.36233999999999</v>
      </c>
      <c r="R167" t="s">
        <v>20800</v>
      </c>
      <c r="S167">
        <v>50</v>
      </c>
    </row>
    <row r="168" spans="6:19" x14ac:dyDescent="0.2">
      <c r="L168" t="str">
        <f t="shared" si="18"/>
        <v>ESPINAS ELASTICAS6 x 50</v>
      </c>
      <c r="M168" t="s">
        <v>5242</v>
      </c>
      <c r="N168" t="s">
        <v>5394</v>
      </c>
      <c r="O168" t="s">
        <v>20802</v>
      </c>
      <c r="P168" t="s">
        <v>5396</v>
      </c>
      <c r="Q168">
        <v>164.66191500000002</v>
      </c>
      <c r="R168" t="s">
        <v>20803</v>
      </c>
      <c r="S168">
        <v>50</v>
      </c>
    </row>
    <row r="169" spans="6:19" x14ac:dyDescent="0.2">
      <c r="F169" t="s">
        <v>20798</v>
      </c>
      <c r="G169" t="s">
        <v>3613</v>
      </c>
      <c r="L169" t="str">
        <f t="shared" si="18"/>
        <v>ESPINAS ELASTICAS6 x 60</v>
      </c>
      <c r="M169" t="s">
        <v>5242</v>
      </c>
      <c r="N169" t="s">
        <v>5398</v>
      </c>
      <c r="O169" t="s">
        <v>20804</v>
      </c>
      <c r="P169" t="s">
        <v>5400</v>
      </c>
      <c r="Q169">
        <v>195.31355250000001</v>
      </c>
      <c r="R169" t="s">
        <v>20805</v>
      </c>
      <c r="S169">
        <v>50</v>
      </c>
    </row>
    <row r="170" spans="6:19" x14ac:dyDescent="0.2">
      <c r="F170" t="s">
        <v>20801</v>
      </c>
      <c r="G170" t="s">
        <v>3613</v>
      </c>
      <c r="L170" t="str">
        <f t="shared" si="18"/>
        <v>ESPINAS ELASTICAS6 x 70</v>
      </c>
      <c r="M170" t="s">
        <v>5242</v>
      </c>
      <c r="N170" t="s">
        <v>5402</v>
      </c>
      <c r="O170" t="s">
        <v>20806</v>
      </c>
      <c r="P170" t="s">
        <v>5404</v>
      </c>
      <c r="Q170">
        <v>228.47005500000003</v>
      </c>
      <c r="R170" t="s">
        <v>20807</v>
      </c>
      <c r="S170">
        <v>50</v>
      </c>
    </row>
    <row r="171" spans="6:19" x14ac:dyDescent="0.2">
      <c r="F171" t="s">
        <v>19050</v>
      </c>
      <c r="G171" t="s">
        <v>3613</v>
      </c>
      <c r="L171" t="str">
        <f t="shared" si="18"/>
        <v>ESPINAS ELASTICAS6 x 80</v>
      </c>
      <c r="M171" t="s">
        <v>5242</v>
      </c>
      <c r="N171" t="s">
        <v>5406</v>
      </c>
      <c r="O171" t="s">
        <v>20809</v>
      </c>
      <c r="P171" t="s">
        <v>5408</v>
      </c>
      <c r="Q171">
        <v>275.20556249999998</v>
      </c>
      <c r="R171" t="s">
        <v>20810</v>
      </c>
      <c r="S171">
        <v>50</v>
      </c>
    </row>
    <row r="172" spans="6:19" x14ac:dyDescent="0.2">
      <c r="F172" t="s">
        <v>4264</v>
      </c>
      <c r="G172" t="s">
        <v>3613</v>
      </c>
      <c r="L172" t="str">
        <f t="shared" si="18"/>
        <v>ESPINAS ELASTICAS7 x 40</v>
      </c>
      <c r="M172" t="s">
        <v>5242</v>
      </c>
      <c r="N172" t="s">
        <v>5410</v>
      </c>
      <c r="O172" t="s">
        <v>20812</v>
      </c>
      <c r="P172" t="s">
        <v>5412</v>
      </c>
      <c r="Q172">
        <v>249.16815000000003</v>
      </c>
      <c r="R172" t="s">
        <v>20813</v>
      </c>
      <c r="S172">
        <v>50</v>
      </c>
    </row>
    <row r="173" spans="6:19" x14ac:dyDescent="0.2">
      <c r="F173" t="s">
        <v>20808</v>
      </c>
      <c r="G173" t="s">
        <v>3613</v>
      </c>
      <c r="L173" t="str">
        <f t="shared" si="18"/>
        <v>ESPINAS ELASTICAS7 x 50</v>
      </c>
      <c r="M173" t="s">
        <v>5242</v>
      </c>
      <c r="N173" t="s">
        <v>5414</v>
      </c>
      <c r="O173" t="s">
        <v>20815</v>
      </c>
      <c r="P173" t="s">
        <v>5416</v>
      </c>
      <c r="Q173">
        <v>291.68493749999999</v>
      </c>
      <c r="R173" t="s">
        <v>20816</v>
      </c>
      <c r="S173">
        <v>50</v>
      </c>
    </row>
    <row r="174" spans="6:19" x14ac:dyDescent="0.2">
      <c r="F174" t="s">
        <v>20811</v>
      </c>
      <c r="G174" t="s">
        <v>3613</v>
      </c>
      <c r="L174" t="str">
        <f t="shared" si="18"/>
        <v>ESPINAS ELASTICAS7 x 60</v>
      </c>
      <c r="M174" t="s">
        <v>5242</v>
      </c>
      <c r="N174" t="s">
        <v>5418</v>
      </c>
      <c r="O174" t="s">
        <v>20817</v>
      </c>
      <c r="P174" t="s">
        <v>5420</v>
      </c>
      <c r="Q174">
        <v>333.87213750000001</v>
      </c>
      <c r="R174" t="s">
        <v>20818</v>
      </c>
      <c r="S174">
        <v>50</v>
      </c>
    </row>
    <row r="175" spans="6:19" x14ac:dyDescent="0.2">
      <c r="F175" t="s">
        <v>20814</v>
      </c>
      <c r="G175" t="s">
        <v>3613</v>
      </c>
      <c r="L175" t="str">
        <f t="shared" si="18"/>
        <v>ESPINAS ELASTICAS8 x 40</v>
      </c>
      <c r="M175" t="s">
        <v>5242</v>
      </c>
      <c r="N175" t="s">
        <v>5422</v>
      </c>
      <c r="O175" t="s">
        <v>20819</v>
      </c>
      <c r="P175" t="s">
        <v>5424</v>
      </c>
      <c r="Q175">
        <v>220.23036750000003</v>
      </c>
      <c r="R175" t="s">
        <v>20820</v>
      </c>
      <c r="S175">
        <v>50</v>
      </c>
    </row>
    <row r="176" spans="6:19" x14ac:dyDescent="0.2">
      <c r="F176" t="s">
        <v>20821</v>
      </c>
      <c r="G176" t="s">
        <v>4139</v>
      </c>
      <c r="L176" t="str">
        <f t="shared" si="18"/>
        <v>ESPINAS ELASTICAS8 x 50</v>
      </c>
      <c r="M176" t="s">
        <v>5242</v>
      </c>
      <c r="N176" t="s">
        <v>5426</v>
      </c>
      <c r="O176" t="s">
        <v>20822</v>
      </c>
      <c r="P176" t="s">
        <v>5428</v>
      </c>
      <c r="Q176">
        <v>271.5141825</v>
      </c>
      <c r="R176" t="s">
        <v>20823</v>
      </c>
      <c r="S176">
        <v>50</v>
      </c>
    </row>
    <row r="177" spans="6:19" x14ac:dyDescent="0.2">
      <c r="F177" t="s">
        <v>18988</v>
      </c>
      <c r="G177" t="s">
        <v>4139</v>
      </c>
      <c r="L177" t="str">
        <f t="shared" si="18"/>
        <v>ESPINAS ELASTICAS8 x 60</v>
      </c>
      <c r="M177" t="s">
        <v>5242</v>
      </c>
      <c r="N177" t="s">
        <v>5430</v>
      </c>
      <c r="O177" t="s">
        <v>20824</v>
      </c>
      <c r="P177" t="s">
        <v>5432</v>
      </c>
      <c r="Q177">
        <v>321.41372999999999</v>
      </c>
      <c r="R177" t="s">
        <v>20825</v>
      </c>
      <c r="S177">
        <v>50</v>
      </c>
    </row>
    <row r="178" spans="6:19" x14ac:dyDescent="0.2">
      <c r="F178" t="s">
        <v>20814</v>
      </c>
      <c r="G178" t="s">
        <v>4139</v>
      </c>
      <c r="L178" t="str">
        <f t="shared" si="18"/>
        <v>ESPINAS ELASTICAS8 x 70</v>
      </c>
      <c r="M178" t="s">
        <v>5242</v>
      </c>
      <c r="N178" t="s">
        <v>5434</v>
      </c>
      <c r="O178" t="s">
        <v>20826</v>
      </c>
      <c r="P178" t="s">
        <v>5436</v>
      </c>
      <c r="Q178">
        <v>374.14773000000002</v>
      </c>
      <c r="R178" t="s">
        <v>20827</v>
      </c>
      <c r="S178">
        <v>50</v>
      </c>
    </row>
    <row r="179" spans="6:19" x14ac:dyDescent="0.2">
      <c r="F179" t="s">
        <v>20828</v>
      </c>
      <c r="G179" t="s">
        <v>4139</v>
      </c>
      <c r="L179" t="str">
        <f t="shared" si="18"/>
        <v>ESPINAS ELASTICAS8 x 80</v>
      </c>
      <c r="M179" t="s">
        <v>5242</v>
      </c>
      <c r="N179" t="s">
        <v>5438</v>
      </c>
      <c r="O179" t="s">
        <v>20829</v>
      </c>
      <c r="P179" t="s">
        <v>5440</v>
      </c>
      <c r="Q179">
        <v>427.14540000000005</v>
      </c>
      <c r="R179" t="s">
        <v>20830</v>
      </c>
      <c r="S179">
        <v>50</v>
      </c>
    </row>
    <row r="180" spans="6:19" x14ac:dyDescent="0.2">
      <c r="F180" t="s">
        <v>20831</v>
      </c>
      <c r="G180" t="s">
        <v>4139</v>
      </c>
      <c r="L180" t="str">
        <f t="shared" si="18"/>
        <v>ESPINAS ELASTICAS8 x 100</v>
      </c>
      <c r="M180" t="s">
        <v>5242</v>
      </c>
      <c r="N180" t="s">
        <v>5442</v>
      </c>
      <c r="O180" t="s">
        <v>20832</v>
      </c>
      <c r="P180" t="s">
        <v>5444</v>
      </c>
      <c r="Q180">
        <v>579.08523750000006</v>
      </c>
      <c r="R180" t="s">
        <v>20833</v>
      </c>
      <c r="S180">
        <v>25</v>
      </c>
    </row>
    <row r="181" spans="6:19" x14ac:dyDescent="0.2">
      <c r="F181" t="s">
        <v>20834</v>
      </c>
      <c r="G181" t="s">
        <v>4139</v>
      </c>
      <c r="L181" t="str">
        <f t="shared" si="18"/>
        <v>ESPINAS ELASTICAS10 x 50</v>
      </c>
      <c r="M181" t="s">
        <v>5242</v>
      </c>
      <c r="N181" t="s">
        <v>5446</v>
      </c>
      <c r="O181" t="s">
        <v>20835</v>
      </c>
      <c r="P181" t="s">
        <v>5448</v>
      </c>
      <c r="Q181">
        <v>516.13402500000007</v>
      </c>
      <c r="R181" t="s">
        <v>20836</v>
      </c>
      <c r="S181">
        <v>25</v>
      </c>
    </row>
    <row r="182" spans="6:19" x14ac:dyDescent="0.2">
      <c r="F182" t="s">
        <v>20837</v>
      </c>
      <c r="G182" t="s">
        <v>4139</v>
      </c>
      <c r="L182" t="str">
        <f t="shared" si="18"/>
        <v>ESPINAS ELASTICAS10 x 60</v>
      </c>
      <c r="M182" t="s">
        <v>5242</v>
      </c>
      <c r="N182" t="s">
        <v>5450</v>
      </c>
      <c r="O182" t="s">
        <v>20838</v>
      </c>
      <c r="P182" t="s">
        <v>5452</v>
      </c>
      <c r="Q182">
        <v>595.498695</v>
      </c>
      <c r="R182" t="s">
        <v>20839</v>
      </c>
      <c r="S182">
        <v>25</v>
      </c>
    </row>
    <row r="183" spans="6:19" x14ac:dyDescent="0.2">
      <c r="F183" t="s">
        <v>19005</v>
      </c>
      <c r="G183" t="s">
        <v>4139</v>
      </c>
      <c r="L183" t="str">
        <f t="shared" si="18"/>
        <v>ESPINAS ELASTICAS10 x 70</v>
      </c>
      <c r="M183" t="s">
        <v>5242</v>
      </c>
      <c r="N183" t="s">
        <v>5454</v>
      </c>
      <c r="O183" t="s">
        <v>20840</v>
      </c>
      <c r="P183" t="s">
        <v>5456</v>
      </c>
      <c r="Q183">
        <v>676.57722000000001</v>
      </c>
      <c r="R183" t="s">
        <v>20841</v>
      </c>
      <c r="S183">
        <v>25</v>
      </c>
    </row>
    <row r="184" spans="6:19" x14ac:dyDescent="0.2">
      <c r="F184" t="s">
        <v>20842</v>
      </c>
      <c r="G184" t="s">
        <v>4139</v>
      </c>
      <c r="L184" t="str">
        <f t="shared" si="18"/>
        <v>ESPINAS ELASTICAS10 x 80</v>
      </c>
      <c r="M184" t="s">
        <v>5242</v>
      </c>
      <c r="N184" t="s">
        <v>5458</v>
      </c>
      <c r="O184" t="s">
        <v>20843</v>
      </c>
      <c r="P184" t="s">
        <v>5460</v>
      </c>
      <c r="Q184">
        <v>759.36959999999999</v>
      </c>
      <c r="R184" t="s">
        <v>20844</v>
      </c>
      <c r="S184">
        <v>25</v>
      </c>
    </row>
    <row r="185" spans="6:19" x14ac:dyDescent="0.2">
      <c r="F185" t="s">
        <v>20845</v>
      </c>
      <c r="G185" t="s">
        <v>4139</v>
      </c>
      <c r="L185" t="str">
        <f t="shared" si="18"/>
        <v>RETENES SEGURIDAD1,2</v>
      </c>
      <c r="M185" t="s">
        <v>5540</v>
      </c>
      <c r="N185">
        <v>1.2</v>
      </c>
      <c r="O185" t="s">
        <v>20846</v>
      </c>
      <c r="P185" t="s">
        <v>5542</v>
      </c>
      <c r="Q185">
        <v>22.807455000000001</v>
      </c>
      <c r="R185" t="s">
        <v>20847</v>
      </c>
      <c r="S185">
        <v>100</v>
      </c>
    </row>
    <row r="186" spans="6:19" x14ac:dyDescent="0.2">
      <c r="F186" t="s">
        <v>20848</v>
      </c>
      <c r="G186" t="s">
        <v>4139</v>
      </c>
      <c r="L186" t="str">
        <f t="shared" si="18"/>
        <v>RETENES SEGURIDAD1,5</v>
      </c>
      <c r="M186" t="s">
        <v>5540</v>
      </c>
      <c r="N186">
        <v>1.5</v>
      </c>
      <c r="O186" t="s">
        <v>20849</v>
      </c>
      <c r="P186" t="s">
        <v>5545</v>
      </c>
      <c r="Q186">
        <v>12.392490000000002</v>
      </c>
      <c r="R186" t="s">
        <v>20850</v>
      </c>
      <c r="S186">
        <v>100</v>
      </c>
    </row>
    <row r="187" spans="6:19" x14ac:dyDescent="0.2">
      <c r="F187" t="s">
        <v>20851</v>
      </c>
      <c r="G187" t="s">
        <v>4139</v>
      </c>
      <c r="L187" t="str">
        <f t="shared" si="18"/>
        <v>RETENES SEGURIDAD1,9</v>
      </c>
      <c r="M187" t="s">
        <v>5540</v>
      </c>
      <c r="N187">
        <v>1.9</v>
      </c>
      <c r="O187" t="s">
        <v>20852</v>
      </c>
      <c r="P187" t="s">
        <v>5548</v>
      </c>
      <c r="Q187">
        <v>15.688365000000001</v>
      </c>
      <c r="R187" t="s">
        <v>20853</v>
      </c>
      <c r="S187">
        <v>100</v>
      </c>
    </row>
    <row r="188" spans="6:19" x14ac:dyDescent="0.2">
      <c r="F188" t="s">
        <v>20854</v>
      </c>
      <c r="G188" t="s">
        <v>4139</v>
      </c>
      <c r="L188" t="str">
        <f t="shared" si="18"/>
        <v>RETENES SEGURIDAD2,3</v>
      </c>
      <c r="M188" t="s">
        <v>5540</v>
      </c>
      <c r="N188">
        <v>2.2999999999999998</v>
      </c>
      <c r="O188" t="s">
        <v>20855</v>
      </c>
      <c r="P188" t="s">
        <v>5551</v>
      </c>
      <c r="Q188">
        <v>7.2509250000000005</v>
      </c>
      <c r="R188" t="s">
        <v>20856</v>
      </c>
      <c r="S188">
        <v>100</v>
      </c>
    </row>
    <row r="189" spans="6:19" x14ac:dyDescent="0.2">
      <c r="F189" t="s">
        <v>20857</v>
      </c>
      <c r="G189" t="s">
        <v>4139</v>
      </c>
      <c r="L189" t="str">
        <f t="shared" si="18"/>
        <v>RETENES SEGURIDAD3,2</v>
      </c>
      <c r="M189" t="s">
        <v>5540</v>
      </c>
      <c r="N189">
        <v>3.2</v>
      </c>
      <c r="O189" t="s">
        <v>20858</v>
      </c>
      <c r="P189" t="s">
        <v>5554</v>
      </c>
      <c r="Q189">
        <v>7.9101000000000017</v>
      </c>
      <c r="R189" t="s">
        <v>20859</v>
      </c>
      <c r="S189">
        <v>100</v>
      </c>
    </row>
    <row r="190" spans="6:19" x14ac:dyDescent="0.2">
      <c r="F190" t="s">
        <v>20860</v>
      </c>
      <c r="G190" t="s">
        <v>4139</v>
      </c>
      <c r="L190" t="str">
        <f t="shared" si="18"/>
        <v>RETENES SEGURIDAD4</v>
      </c>
      <c r="M190" t="s">
        <v>5540</v>
      </c>
      <c r="N190">
        <v>4</v>
      </c>
      <c r="O190" t="s">
        <v>20861</v>
      </c>
      <c r="P190" t="s">
        <v>5557</v>
      </c>
      <c r="Q190">
        <v>7.2509250000000005</v>
      </c>
      <c r="R190" t="s">
        <v>20862</v>
      </c>
      <c r="S190">
        <v>100</v>
      </c>
    </row>
    <row r="191" spans="6:19" x14ac:dyDescent="0.2">
      <c r="F191" t="s">
        <v>20863</v>
      </c>
      <c r="G191" t="s">
        <v>4139</v>
      </c>
      <c r="L191" t="str">
        <f t="shared" si="18"/>
        <v>RETENES SEGURIDAD5</v>
      </c>
      <c r="M191" t="s">
        <v>5540</v>
      </c>
      <c r="N191">
        <v>5</v>
      </c>
      <c r="O191" t="s">
        <v>20864</v>
      </c>
      <c r="P191" t="s">
        <v>5560</v>
      </c>
      <c r="Q191">
        <v>9.0966149999999999</v>
      </c>
      <c r="R191" t="s">
        <v>20865</v>
      </c>
      <c r="S191">
        <v>100</v>
      </c>
    </row>
    <row r="192" spans="6:19" x14ac:dyDescent="0.2">
      <c r="F192" t="s">
        <v>20866</v>
      </c>
      <c r="G192" t="s">
        <v>4139</v>
      </c>
      <c r="L192" t="str">
        <f t="shared" si="18"/>
        <v>RETENES SEGURIDAD6</v>
      </c>
      <c r="M192" t="s">
        <v>5540</v>
      </c>
      <c r="N192">
        <v>6</v>
      </c>
      <c r="O192" t="s">
        <v>20867</v>
      </c>
      <c r="P192" t="s">
        <v>5563</v>
      </c>
      <c r="Q192">
        <v>9.7557900000000011</v>
      </c>
      <c r="R192" t="s">
        <v>20868</v>
      </c>
      <c r="S192">
        <v>100</v>
      </c>
    </row>
    <row r="193" spans="6:19" x14ac:dyDescent="0.2">
      <c r="F193" t="s">
        <v>20869</v>
      </c>
      <c r="G193" t="s">
        <v>4139</v>
      </c>
      <c r="L193" t="str">
        <f t="shared" si="18"/>
        <v>RETENES SEGURIDAD7</v>
      </c>
      <c r="M193" t="s">
        <v>5540</v>
      </c>
      <c r="N193">
        <v>7</v>
      </c>
      <c r="O193" t="s">
        <v>20870</v>
      </c>
      <c r="P193" t="s">
        <v>5566</v>
      </c>
      <c r="Q193">
        <v>15.424695000000002</v>
      </c>
      <c r="R193" t="s">
        <v>20871</v>
      </c>
      <c r="S193">
        <v>100</v>
      </c>
    </row>
    <row r="194" spans="6:19" x14ac:dyDescent="0.2">
      <c r="F194" t="s">
        <v>20872</v>
      </c>
      <c r="G194" t="s">
        <v>4139</v>
      </c>
      <c r="L194" t="str">
        <f t="shared" si="18"/>
        <v>RETENES SEGURIDAD8</v>
      </c>
      <c r="M194" t="s">
        <v>5540</v>
      </c>
      <c r="N194">
        <v>8</v>
      </c>
      <c r="O194" t="s">
        <v>20873</v>
      </c>
      <c r="P194" t="s">
        <v>5569</v>
      </c>
      <c r="Q194">
        <v>19.379745</v>
      </c>
      <c r="R194" t="s">
        <v>20874</v>
      </c>
      <c r="S194">
        <v>100</v>
      </c>
    </row>
    <row r="195" spans="6:19" x14ac:dyDescent="0.2">
      <c r="F195" t="s">
        <v>20875</v>
      </c>
      <c r="G195" t="s">
        <v>4139</v>
      </c>
      <c r="L195" t="str">
        <f t="shared" si="18"/>
        <v>RETENES SEGURIDAD9</v>
      </c>
      <c r="M195" t="s">
        <v>5540</v>
      </c>
      <c r="N195">
        <v>9</v>
      </c>
      <c r="O195" t="s">
        <v>20876</v>
      </c>
      <c r="P195" t="s">
        <v>5572</v>
      </c>
      <c r="Q195">
        <v>26.762505000000001</v>
      </c>
      <c r="R195" t="s">
        <v>20877</v>
      </c>
      <c r="S195">
        <v>100</v>
      </c>
    </row>
    <row r="196" spans="6:19" x14ac:dyDescent="0.2">
      <c r="F196" t="s">
        <v>20878</v>
      </c>
      <c r="G196" t="s">
        <v>4139</v>
      </c>
      <c r="L196" t="str">
        <f t="shared" ref="L196:L259" si="19">+M196&amp;N196</f>
        <v>RETENES SEGURIDAD10</v>
      </c>
      <c r="M196" t="s">
        <v>5540</v>
      </c>
      <c r="N196">
        <v>10</v>
      </c>
      <c r="O196" t="s">
        <v>20879</v>
      </c>
      <c r="P196" t="s">
        <v>5575</v>
      </c>
      <c r="Q196">
        <v>33.486090000000004</v>
      </c>
      <c r="R196" t="s">
        <v>20880</v>
      </c>
      <c r="S196">
        <v>100</v>
      </c>
    </row>
    <row r="197" spans="6:19" x14ac:dyDescent="0.2">
      <c r="F197" t="s">
        <v>20881</v>
      </c>
      <c r="G197" t="s">
        <v>4139</v>
      </c>
      <c r="L197" t="str">
        <f t="shared" si="19"/>
        <v>RETENES SEGURIDAD12</v>
      </c>
      <c r="M197" t="s">
        <v>5540</v>
      </c>
      <c r="N197">
        <v>12</v>
      </c>
      <c r="O197" t="s">
        <v>20882</v>
      </c>
      <c r="P197" t="s">
        <v>5578</v>
      </c>
      <c r="Q197">
        <v>44.889817499999999</v>
      </c>
      <c r="R197" t="s">
        <v>20883</v>
      </c>
      <c r="S197">
        <v>50</v>
      </c>
    </row>
    <row r="198" spans="6:19" x14ac:dyDescent="0.2">
      <c r="F198" t="s">
        <v>20884</v>
      </c>
      <c r="G198" t="s">
        <v>4139</v>
      </c>
      <c r="L198" t="str">
        <f t="shared" si="19"/>
        <v>RETENES SEGURIDAD15</v>
      </c>
      <c r="M198" t="s">
        <v>5540</v>
      </c>
      <c r="N198">
        <v>15</v>
      </c>
      <c r="O198" t="s">
        <v>20885</v>
      </c>
      <c r="P198" t="s">
        <v>5581</v>
      </c>
      <c r="Q198">
        <v>85.956419999999994</v>
      </c>
      <c r="R198" t="s">
        <v>20886</v>
      </c>
      <c r="S198">
        <v>50</v>
      </c>
    </row>
    <row r="199" spans="6:19" x14ac:dyDescent="0.2">
      <c r="F199" t="s">
        <v>20887</v>
      </c>
      <c r="G199" t="s">
        <v>4139</v>
      </c>
      <c r="L199" t="str">
        <f t="shared" si="19"/>
        <v>RETENES SEGURIDAD19</v>
      </c>
      <c r="M199" t="s">
        <v>5540</v>
      </c>
      <c r="N199">
        <v>19</v>
      </c>
      <c r="O199" t="s">
        <v>20888</v>
      </c>
      <c r="P199" t="s">
        <v>5584</v>
      </c>
      <c r="Q199">
        <v>362.08482750000002</v>
      </c>
      <c r="R199" t="s">
        <v>20889</v>
      </c>
      <c r="S199">
        <v>50</v>
      </c>
    </row>
    <row r="200" spans="6:19" x14ac:dyDescent="0.2">
      <c r="F200" t="s">
        <v>20808</v>
      </c>
      <c r="G200" t="s">
        <v>4139</v>
      </c>
      <c r="K200" t="s">
        <v>5587</v>
      </c>
      <c r="L200" t="str">
        <f t="shared" si="19"/>
        <v>ARANLOCK3 X 11.3</v>
      </c>
      <c r="M200" t="s">
        <v>5586</v>
      </c>
      <c r="N200" t="s">
        <v>5587</v>
      </c>
      <c r="O200" t="s">
        <v>8353</v>
      </c>
      <c r="P200" t="s">
        <v>5589</v>
      </c>
      <c r="Q200">
        <v>0</v>
      </c>
    </row>
    <row r="201" spans="6:19" x14ac:dyDescent="0.2">
      <c r="F201" t="s">
        <v>20890</v>
      </c>
      <c r="G201" t="s">
        <v>4139</v>
      </c>
      <c r="K201" t="s">
        <v>5603</v>
      </c>
      <c r="L201" t="str">
        <f t="shared" si="19"/>
        <v>ARANLOCK4 X 11.3</v>
      </c>
      <c r="M201" t="s">
        <v>5586</v>
      </c>
      <c r="N201" t="s">
        <v>5591</v>
      </c>
      <c r="O201" t="s">
        <v>8353</v>
      </c>
      <c r="P201" t="s">
        <v>5593</v>
      </c>
      <c r="Q201">
        <v>0</v>
      </c>
    </row>
    <row r="202" spans="6:19" x14ac:dyDescent="0.2">
      <c r="F202" t="s">
        <v>20891</v>
      </c>
      <c r="G202" t="s">
        <v>4139</v>
      </c>
      <c r="K202" t="s">
        <v>5615</v>
      </c>
      <c r="L202" t="str">
        <f t="shared" si="19"/>
        <v>ARANLOCK5 X 11.3</v>
      </c>
      <c r="M202" t="s">
        <v>5586</v>
      </c>
      <c r="N202" t="s">
        <v>5595</v>
      </c>
      <c r="O202" t="s">
        <v>8353</v>
      </c>
      <c r="P202" t="s">
        <v>5597</v>
      </c>
      <c r="Q202">
        <v>0</v>
      </c>
    </row>
    <row r="203" spans="6:19" x14ac:dyDescent="0.2">
      <c r="F203" t="s">
        <v>20801</v>
      </c>
      <c r="G203" t="s">
        <v>4139</v>
      </c>
      <c r="L203" t="str">
        <f t="shared" si="19"/>
        <v>ARANLOCK6 X 15</v>
      </c>
      <c r="M203" t="s">
        <v>5586</v>
      </c>
      <c r="N203" t="s">
        <v>5599</v>
      </c>
      <c r="O203" t="s">
        <v>8353</v>
      </c>
      <c r="P203" t="s">
        <v>5601</v>
      </c>
      <c r="Q203">
        <v>0</v>
      </c>
    </row>
    <row r="204" spans="6:19" x14ac:dyDescent="0.2">
      <c r="F204" t="s">
        <v>20892</v>
      </c>
      <c r="G204" t="s">
        <v>4139</v>
      </c>
      <c r="L204" t="str">
        <f t="shared" si="19"/>
        <v>ARANLOCK7 X 15</v>
      </c>
      <c r="M204" t="s">
        <v>5586</v>
      </c>
      <c r="N204" t="s">
        <v>5603</v>
      </c>
      <c r="O204" t="s">
        <v>8353</v>
      </c>
      <c r="P204" t="s">
        <v>5605</v>
      </c>
      <c r="Q204">
        <v>0</v>
      </c>
    </row>
    <row r="205" spans="6:19" x14ac:dyDescent="0.2">
      <c r="F205" t="s">
        <v>20893</v>
      </c>
      <c r="G205" t="s">
        <v>4139</v>
      </c>
      <c r="L205" t="str">
        <f t="shared" si="19"/>
        <v>ARANLOCK8 X 15</v>
      </c>
      <c r="M205" t="s">
        <v>5586</v>
      </c>
      <c r="N205" t="s">
        <v>5607</v>
      </c>
      <c r="O205" t="s">
        <v>8353</v>
      </c>
      <c r="P205" t="s">
        <v>5609</v>
      </c>
      <c r="Q205">
        <v>0</v>
      </c>
    </row>
    <row r="206" spans="6:19" x14ac:dyDescent="0.2">
      <c r="F206" t="s">
        <v>20894</v>
      </c>
      <c r="G206" t="s">
        <v>4139</v>
      </c>
      <c r="L206" t="str">
        <f t="shared" si="19"/>
        <v>ARANLOCK9 X 18</v>
      </c>
      <c r="M206" t="s">
        <v>5586</v>
      </c>
      <c r="N206" t="s">
        <v>5611</v>
      </c>
      <c r="O206" t="s">
        <v>8353</v>
      </c>
      <c r="P206" t="s">
        <v>5613</v>
      </c>
      <c r="Q206">
        <v>0</v>
      </c>
    </row>
    <row r="207" spans="6:19" x14ac:dyDescent="0.2">
      <c r="F207" t="s">
        <v>20895</v>
      </c>
      <c r="G207" t="s">
        <v>4139</v>
      </c>
      <c r="L207" t="str">
        <f t="shared" si="19"/>
        <v>ARANLOCK10 X 18</v>
      </c>
      <c r="M207" t="s">
        <v>5586</v>
      </c>
      <c r="N207" t="s">
        <v>5615</v>
      </c>
      <c r="O207" t="s">
        <v>8353</v>
      </c>
      <c r="P207" t="s">
        <v>5617</v>
      </c>
      <c r="Q207">
        <v>0</v>
      </c>
    </row>
    <row r="208" spans="6:19" x14ac:dyDescent="0.2">
      <c r="F208" t="s">
        <v>19050</v>
      </c>
      <c r="G208" t="s">
        <v>4139</v>
      </c>
      <c r="L208" t="str">
        <f t="shared" si="19"/>
        <v>ARANLOCK11 X 21</v>
      </c>
      <c r="M208" t="s">
        <v>5586</v>
      </c>
      <c r="N208" t="s">
        <v>5619</v>
      </c>
      <c r="O208" t="s">
        <v>8353</v>
      </c>
      <c r="P208" t="s">
        <v>5621</v>
      </c>
      <c r="Q208">
        <v>0</v>
      </c>
    </row>
    <row r="209" spans="6:19" x14ac:dyDescent="0.2">
      <c r="F209" t="s">
        <v>20896</v>
      </c>
      <c r="G209" t="s">
        <v>4139</v>
      </c>
      <c r="L209" t="str">
        <f t="shared" si="19"/>
        <v>ARANLOCK12 X 21</v>
      </c>
      <c r="M209" t="s">
        <v>5586</v>
      </c>
      <c r="N209" t="s">
        <v>5623</v>
      </c>
      <c r="O209" t="s">
        <v>8353</v>
      </c>
      <c r="P209" t="s">
        <v>5625</v>
      </c>
      <c r="Q209">
        <v>0</v>
      </c>
    </row>
    <row r="210" spans="6:19" x14ac:dyDescent="0.2">
      <c r="F210" s="396"/>
      <c r="L210" t="str">
        <f t="shared" si="19"/>
        <v>ARANLOCK9,5</v>
      </c>
      <c r="M210" t="s">
        <v>5586</v>
      </c>
      <c r="N210">
        <v>9.5</v>
      </c>
      <c r="O210" t="s">
        <v>8353</v>
      </c>
      <c r="P210" t="s">
        <v>5628</v>
      </c>
      <c r="Q210">
        <v>0</v>
      </c>
    </row>
    <row r="211" spans="6:19" x14ac:dyDescent="0.2">
      <c r="F211" s="396"/>
      <c r="L211" t="str">
        <f t="shared" si="19"/>
        <v>ARANLOCK10</v>
      </c>
      <c r="M211" t="s">
        <v>5586</v>
      </c>
      <c r="N211">
        <v>10</v>
      </c>
      <c r="O211" t="s">
        <v>8353</v>
      </c>
      <c r="P211" t="s">
        <v>5631</v>
      </c>
      <c r="Q211">
        <v>0</v>
      </c>
    </row>
    <row r="212" spans="6:19" x14ac:dyDescent="0.2">
      <c r="F212" s="396"/>
      <c r="L212" t="str">
        <f t="shared" si="19"/>
        <v>ARANLOCK12</v>
      </c>
      <c r="M212" t="s">
        <v>5586</v>
      </c>
      <c r="N212">
        <v>12</v>
      </c>
      <c r="O212" t="s">
        <v>8353</v>
      </c>
      <c r="P212" t="s">
        <v>5625</v>
      </c>
      <c r="Q212">
        <v>0</v>
      </c>
    </row>
    <row r="213" spans="6:19" x14ac:dyDescent="0.2">
      <c r="F213" s="396"/>
      <c r="L213" t="str">
        <f t="shared" si="19"/>
        <v>SUPLEMENTO 0,25x10</v>
      </c>
      <c r="M213" t="s">
        <v>3613</v>
      </c>
      <c r="N213" t="s">
        <v>3614</v>
      </c>
      <c r="O213" t="s">
        <v>20897</v>
      </c>
      <c r="P213" t="s">
        <v>3616</v>
      </c>
      <c r="Q213">
        <v>44.626147500000002</v>
      </c>
      <c r="R213" t="s">
        <v>20898</v>
      </c>
      <c r="S213">
        <v>50</v>
      </c>
    </row>
    <row r="214" spans="6:19" x14ac:dyDescent="0.2">
      <c r="F214" s="396"/>
      <c r="L214" t="str">
        <f t="shared" si="19"/>
        <v>SUPLEMENTO 0,25x13</v>
      </c>
      <c r="M214" t="s">
        <v>3613</v>
      </c>
      <c r="N214" t="s">
        <v>3618</v>
      </c>
      <c r="O214" t="s">
        <v>20899</v>
      </c>
      <c r="P214" t="s">
        <v>3619</v>
      </c>
      <c r="Q214">
        <v>44.626147500000002</v>
      </c>
      <c r="R214" t="s">
        <v>20900</v>
      </c>
      <c r="S214">
        <v>50</v>
      </c>
    </row>
    <row r="215" spans="6:19" x14ac:dyDescent="0.2">
      <c r="F215" s="396"/>
      <c r="L215" t="str">
        <f t="shared" si="19"/>
        <v>SUPLEMENTO 0,26x11</v>
      </c>
      <c r="M215" t="s">
        <v>3613</v>
      </c>
      <c r="N215" t="s">
        <v>3621</v>
      </c>
      <c r="O215" t="s">
        <v>20901</v>
      </c>
      <c r="P215" t="s">
        <v>3622</v>
      </c>
      <c r="Q215">
        <v>44.626147500000002</v>
      </c>
      <c r="R215" t="s">
        <v>20902</v>
      </c>
      <c r="S215">
        <v>50</v>
      </c>
    </row>
    <row r="216" spans="6:19" x14ac:dyDescent="0.2">
      <c r="F216" s="396"/>
      <c r="L216" t="str">
        <f t="shared" si="19"/>
        <v>SUPLEMENTO 0,26x14</v>
      </c>
      <c r="M216" t="s">
        <v>3613</v>
      </c>
      <c r="N216" t="s">
        <v>3624</v>
      </c>
      <c r="O216" t="s">
        <v>20903</v>
      </c>
      <c r="P216" t="s">
        <v>3625</v>
      </c>
      <c r="Q216">
        <v>57.018637499999997</v>
      </c>
      <c r="R216" t="s">
        <v>20904</v>
      </c>
      <c r="S216">
        <v>50</v>
      </c>
    </row>
    <row r="217" spans="6:19" x14ac:dyDescent="0.2">
      <c r="F217" s="396"/>
      <c r="L217" t="str">
        <f t="shared" si="19"/>
        <v>SUPLEMENTO 0,27x12</v>
      </c>
      <c r="M217" t="s">
        <v>3613</v>
      </c>
      <c r="N217" t="s">
        <v>3627</v>
      </c>
      <c r="O217" t="s">
        <v>20905</v>
      </c>
      <c r="P217" t="s">
        <v>3628</v>
      </c>
      <c r="Q217">
        <v>44.626147500000002</v>
      </c>
      <c r="R217" t="s">
        <v>20906</v>
      </c>
      <c r="S217">
        <v>50</v>
      </c>
    </row>
    <row r="218" spans="6:19" x14ac:dyDescent="0.2">
      <c r="F218" s="396"/>
      <c r="L218" t="str">
        <f t="shared" si="19"/>
        <v>SUPLEMENTO 0,27x15</v>
      </c>
      <c r="M218" t="s">
        <v>3613</v>
      </c>
      <c r="N218" t="s">
        <v>3630</v>
      </c>
      <c r="O218" t="s">
        <v>20907</v>
      </c>
      <c r="P218" t="s">
        <v>3631</v>
      </c>
      <c r="Q218">
        <v>57.018637499999997</v>
      </c>
      <c r="R218" t="s">
        <v>20908</v>
      </c>
      <c r="S218">
        <v>50</v>
      </c>
    </row>
    <row r="219" spans="6:19" x14ac:dyDescent="0.2">
      <c r="F219" s="396"/>
      <c r="L219" t="str">
        <f t="shared" si="19"/>
        <v>SUPLEMENTO 0,28x13</v>
      </c>
      <c r="M219" t="s">
        <v>3613</v>
      </c>
      <c r="N219" t="s">
        <v>3417</v>
      </c>
      <c r="O219" t="s">
        <v>20909</v>
      </c>
      <c r="P219" t="s">
        <v>3633</v>
      </c>
      <c r="Q219">
        <v>44.626147500000002</v>
      </c>
      <c r="R219" t="s">
        <v>20910</v>
      </c>
      <c r="S219">
        <v>50</v>
      </c>
    </row>
    <row r="220" spans="6:19" x14ac:dyDescent="0.2">
      <c r="F220" s="396"/>
      <c r="L220" t="str">
        <f t="shared" si="19"/>
        <v>SUPLEMENTO 0,28x16</v>
      </c>
      <c r="M220" t="s">
        <v>3613</v>
      </c>
      <c r="N220" t="s">
        <v>3635</v>
      </c>
      <c r="O220" t="s">
        <v>20911</v>
      </c>
      <c r="P220" t="s">
        <v>3636</v>
      </c>
      <c r="Q220">
        <v>57.018637499999997</v>
      </c>
      <c r="R220" t="s">
        <v>20912</v>
      </c>
      <c r="S220">
        <v>50</v>
      </c>
    </row>
    <row r="221" spans="6:19" x14ac:dyDescent="0.2">
      <c r="F221" s="396"/>
      <c r="L221" t="str">
        <f t="shared" si="19"/>
        <v>SUPLEMENTO 0,29x14</v>
      </c>
      <c r="M221" t="s">
        <v>3613</v>
      </c>
      <c r="N221" t="s">
        <v>3420</v>
      </c>
      <c r="O221" t="s">
        <v>20913</v>
      </c>
      <c r="P221" t="s">
        <v>3638</v>
      </c>
      <c r="Q221">
        <v>57.018637499999997</v>
      </c>
      <c r="R221" t="s">
        <v>20914</v>
      </c>
      <c r="S221">
        <v>50</v>
      </c>
    </row>
    <row r="222" spans="6:19" x14ac:dyDescent="0.2">
      <c r="F222" s="396"/>
      <c r="L222" t="str">
        <f t="shared" si="19"/>
        <v>SUPLEMENTO 0,29x17</v>
      </c>
      <c r="M222" t="s">
        <v>3613</v>
      </c>
      <c r="N222" t="s">
        <v>3640</v>
      </c>
      <c r="O222" t="s">
        <v>20915</v>
      </c>
      <c r="P222" t="s">
        <v>3641</v>
      </c>
      <c r="Q222">
        <v>57.018637499999997</v>
      </c>
      <c r="R222" t="s">
        <v>20916</v>
      </c>
      <c r="S222">
        <v>50</v>
      </c>
    </row>
    <row r="223" spans="6:19" x14ac:dyDescent="0.2">
      <c r="F223" s="396"/>
      <c r="L223" t="str">
        <f t="shared" si="19"/>
        <v>SUPLEMENTO 0,210x15</v>
      </c>
      <c r="M223" t="s">
        <v>3613</v>
      </c>
      <c r="N223" t="s">
        <v>3643</v>
      </c>
      <c r="O223" t="s">
        <v>20917</v>
      </c>
      <c r="P223" t="s">
        <v>3644</v>
      </c>
      <c r="Q223">
        <v>57.018637499999997</v>
      </c>
      <c r="R223" t="s">
        <v>20918</v>
      </c>
      <c r="S223">
        <v>50</v>
      </c>
    </row>
    <row r="224" spans="6:19" x14ac:dyDescent="0.2">
      <c r="F224" s="396"/>
      <c r="L224" t="str">
        <f t="shared" si="19"/>
        <v>SUPLEMENTO 0,210x18</v>
      </c>
      <c r="M224" t="s">
        <v>3613</v>
      </c>
      <c r="N224" t="s">
        <v>3646</v>
      </c>
      <c r="O224" t="s">
        <v>20919</v>
      </c>
      <c r="P224" t="s">
        <v>3647</v>
      </c>
      <c r="Q224">
        <v>57.018637499999997</v>
      </c>
      <c r="R224" t="s">
        <v>20920</v>
      </c>
      <c r="S224">
        <v>50</v>
      </c>
    </row>
    <row r="225" spans="6:19" x14ac:dyDescent="0.2">
      <c r="F225" s="396"/>
      <c r="L225" t="str">
        <f t="shared" si="19"/>
        <v>SUPLEMENTO 0,210x26</v>
      </c>
      <c r="M225" t="s">
        <v>3613</v>
      </c>
      <c r="N225" t="s">
        <v>3649</v>
      </c>
      <c r="O225" t="s">
        <v>20921</v>
      </c>
      <c r="P225" t="s">
        <v>3650</v>
      </c>
      <c r="Q225">
        <v>92.218582499999997</v>
      </c>
      <c r="R225" t="s">
        <v>20922</v>
      </c>
      <c r="S225">
        <v>50</v>
      </c>
    </row>
    <row r="226" spans="6:19" x14ac:dyDescent="0.2">
      <c r="L226" t="str">
        <f t="shared" si="19"/>
        <v>SUPLEMENTO 0,211x16</v>
      </c>
      <c r="M226" t="s">
        <v>3613</v>
      </c>
      <c r="N226" t="s">
        <v>3652</v>
      </c>
      <c r="O226" t="s">
        <v>20923</v>
      </c>
      <c r="P226" t="s">
        <v>3653</v>
      </c>
      <c r="Q226">
        <v>57.018637499999997</v>
      </c>
      <c r="R226" t="s">
        <v>20924</v>
      </c>
      <c r="S226">
        <v>50</v>
      </c>
    </row>
    <row r="227" spans="6:19" x14ac:dyDescent="0.2">
      <c r="L227" t="str">
        <f t="shared" si="19"/>
        <v>SUPLEMENTO 0,211x19</v>
      </c>
      <c r="M227" t="s">
        <v>3613</v>
      </c>
      <c r="N227" t="s">
        <v>3655</v>
      </c>
      <c r="O227" t="s">
        <v>20925</v>
      </c>
      <c r="P227" t="s">
        <v>3656</v>
      </c>
      <c r="Q227">
        <v>71.190899999999999</v>
      </c>
      <c r="R227" t="s">
        <v>20926</v>
      </c>
      <c r="S227">
        <v>50</v>
      </c>
    </row>
    <row r="228" spans="6:19" x14ac:dyDescent="0.2">
      <c r="L228" t="str">
        <f t="shared" si="19"/>
        <v>SUPLEMENTO 0,211x27</v>
      </c>
      <c r="M228" t="s">
        <v>3613</v>
      </c>
      <c r="N228" t="s">
        <v>3658</v>
      </c>
      <c r="O228" t="s">
        <v>20927</v>
      </c>
      <c r="P228" t="s">
        <v>3659</v>
      </c>
      <c r="Q228">
        <v>92.218582499999997</v>
      </c>
      <c r="R228" t="s">
        <v>20928</v>
      </c>
      <c r="S228">
        <v>50</v>
      </c>
    </row>
    <row r="229" spans="6:19" x14ac:dyDescent="0.2">
      <c r="L229" t="str">
        <f t="shared" si="19"/>
        <v>SUPLEMENTO 0,212x17</v>
      </c>
      <c r="M229" t="s">
        <v>3613</v>
      </c>
      <c r="N229" t="s">
        <v>3429</v>
      </c>
      <c r="O229" t="s">
        <v>20929</v>
      </c>
      <c r="P229" t="s">
        <v>3661</v>
      </c>
      <c r="Q229">
        <v>57.018637499999997</v>
      </c>
      <c r="R229" t="s">
        <v>20930</v>
      </c>
      <c r="S229">
        <v>50</v>
      </c>
    </row>
    <row r="230" spans="6:19" x14ac:dyDescent="0.2">
      <c r="L230" t="str">
        <f t="shared" si="19"/>
        <v>SUPLEMENTO 0,212x20</v>
      </c>
      <c r="M230" t="s">
        <v>3613</v>
      </c>
      <c r="N230" t="s">
        <v>3663</v>
      </c>
      <c r="O230" t="s">
        <v>20931</v>
      </c>
      <c r="P230" t="s">
        <v>3664</v>
      </c>
      <c r="Q230">
        <v>71.190899999999999</v>
      </c>
      <c r="R230" t="s">
        <v>20932</v>
      </c>
      <c r="S230">
        <v>50</v>
      </c>
    </row>
    <row r="231" spans="6:19" x14ac:dyDescent="0.2">
      <c r="L231" t="str">
        <f t="shared" si="19"/>
        <v>SUPLEMENTO 0,212x28</v>
      </c>
      <c r="M231" t="s">
        <v>3613</v>
      </c>
      <c r="N231" t="s">
        <v>3666</v>
      </c>
      <c r="O231" t="s">
        <v>20933</v>
      </c>
      <c r="P231" t="s">
        <v>3667</v>
      </c>
      <c r="Q231">
        <v>92.218582499999997</v>
      </c>
      <c r="R231" t="s">
        <v>20934</v>
      </c>
      <c r="S231">
        <v>50</v>
      </c>
    </row>
    <row r="232" spans="6:19" x14ac:dyDescent="0.2">
      <c r="L232" t="str">
        <f t="shared" si="19"/>
        <v>SUPLEMENTO 0,213x18</v>
      </c>
      <c r="M232" t="s">
        <v>3613</v>
      </c>
      <c r="N232" t="s">
        <v>3669</v>
      </c>
      <c r="O232" t="s">
        <v>20935</v>
      </c>
      <c r="P232" t="s">
        <v>3670</v>
      </c>
      <c r="Q232">
        <v>57.018637499999997</v>
      </c>
      <c r="R232" t="s">
        <v>20936</v>
      </c>
      <c r="S232">
        <v>50</v>
      </c>
    </row>
    <row r="233" spans="6:19" x14ac:dyDescent="0.2">
      <c r="L233" t="str">
        <f t="shared" si="19"/>
        <v>SUPLEMENTO 0,213x21</v>
      </c>
      <c r="M233" t="s">
        <v>3613</v>
      </c>
      <c r="N233" t="s">
        <v>3672</v>
      </c>
      <c r="O233" t="s">
        <v>20937</v>
      </c>
      <c r="P233" t="s">
        <v>3673</v>
      </c>
      <c r="Q233">
        <v>71.190899999999999</v>
      </c>
      <c r="R233" t="s">
        <v>20938</v>
      </c>
      <c r="S233">
        <v>50</v>
      </c>
    </row>
    <row r="234" spans="6:19" x14ac:dyDescent="0.2">
      <c r="L234" t="str">
        <f t="shared" si="19"/>
        <v>SUPLEMENTO 0,213x29</v>
      </c>
      <c r="M234" t="s">
        <v>3613</v>
      </c>
      <c r="N234" t="s">
        <v>3675</v>
      </c>
      <c r="O234" t="s">
        <v>20939</v>
      </c>
      <c r="P234" t="s">
        <v>3676</v>
      </c>
      <c r="Q234">
        <v>113.31218250000001</v>
      </c>
      <c r="R234" t="s">
        <v>20940</v>
      </c>
      <c r="S234">
        <v>50</v>
      </c>
    </row>
    <row r="235" spans="6:19" x14ac:dyDescent="0.2">
      <c r="L235" t="str">
        <f t="shared" si="19"/>
        <v>SUPLEMENTO 0,214x19</v>
      </c>
      <c r="M235" t="s">
        <v>3613</v>
      </c>
      <c r="N235" t="s">
        <v>3678</v>
      </c>
      <c r="O235" t="s">
        <v>20941</v>
      </c>
      <c r="P235" t="s">
        <v>3679</v>
      </c>
      <c r="Q235">
        <v>71.190899999999999</v>
      </c>
      <c r="R235" t="s">
        <v>20942</v>
      </c>
      <c r="S235">
        <v>50</v>
      </c>
    </row>
    <row r="236" spans="6:19" x14ac:dyDescent="0.2">
      <c r="L236" t="str">
        <f t="shared" si="19"/>
        <v>SUPLEMENTO 0,214x22</v>
      </c>
      <c r="M236" t="s">
        <v>3613</v>
      </c>
      <c r="N236" t="s">
        <v>3681</v>
      </c>
      <c r="O236" t="s">
        <v>20943</v>
      </c>
      <c r="P236" t="s">
        <v>3682</v>
      </c>
      <c r="Q236">
        <v>71.190899999999999</v>
      </c>
      <c r="R236" t="s">
        <v>20944</v>
      </c>
      <c r="S236">
        <v>50</v>
      </c>
    </row>
    <row r="237" spans="6:19" x14ac:dyDescent="0.2">
      <c r="L237" t="str">
        <f t="shared" si="19"/>
        <v>SUPLEMENTO 0,214x30</v>
      </c>
      <c r="M237" t="s">
        <v>3613</v>
      </c>
      <c r="N237" t="s">
        <v>3684</v>
      </c>
      <c r="O237" t="s">
        <v>20945</v>
      </c>
      <c r="P237" t="s">
        <v>3685</v>
      </c>
      <c r="Q237">
        <v>113.31218250000001</v>
      </c>
      <c r="R237" t="s">
        <v>20946</v>
      </c>
      <c r="S237">
        <v>50</v>
      </c>
    </row>
    <row r="238" spans="6:19" x14ac:dyDescent="0.2">
      <c r="L238" t="str">
        <f t="shared" si="19"/>
        <v>SUPLEMENTO 0,215x20</v>
      </c>
      <c r="M238" t="s">
        <v>3613</v>
      </c>
      <c r="N238" t="s">
        <v>3687</v>
      </c>
      <c r="O238" t="s">
        <v>20947</v>
      </c>
      <c r="P238" t="s">
        <v>3688</v>
      </c>
      <c r="Q238">
        <v>71.190899999999999</v>
      </c>
      <c r="R238" t="s">
        <v>20948</v>
      </c>
      <c r="S238">
        <v>50</v>
      </c>
    </row>
    <row r="239" spans="6:19" x14ac:dyDescent="0.2">
      <c r="L239" t="str">
        <f t="shared" si="19"/>
        <v>SUPLEMENTO 0,215x23</v>
      </c>
      <c r="M239" t="s">
        <v>3613</v>
      </c>
      <c r="N239" t="s">
        <v>3690</v>
      </c>
      <c r="O239" t="s">
        <v>20949</v>
      </c>
      <c r="P239" t="s">
        <v>3691</v>
      </c>
      <c r="Q239">
        <v>71.190899999999999</v>
      </c>
      <c r="R239" t="s">
        <v>20950</v>
      </c>
      <c r="S239">
        <v>50</v>
      </c>
    </row>
    <row r="240" spans="6:19" x14ac:dyDescent="0.2">
      <c r="L240" t="str">
        <f t="shared" si="19"/>
        <v>SUPLEMENTO 0,215x30</v>
      </c>
      <c r="M240" t="s">
        <v>3613</v>
      </c>
      <c r="N240" t="s">
        <v>3693</v>
      </c>
      <c r="O240" t="s">
        <v>8353</v>
      </c>
      <c r="P240" t="s">
        <v>3694</v>
      </c>
      <c r="Q240">
        <v>0</v>
      </c>
    </row>
    <row r="241" spans="12:19" x14ac:dyDescent="0.2">
      <c r="L241" t="str">
        <f t="shared" si="19"/>
        <v>SUPLEMENTO 0,216x21</v>
      </c>
      <c r="M241" t="s">
        <v>3613</v>
      </c>
      <c r="N241" t="s">
        <v>3441</v>
      </c>
      <c r="O241" t="s">
        <v>20951</v>
      </c>
      <c r="P241" t="s">
        <v>3696</v>
      </c>
      <c r="Q241">
        <v>71.190899999999999</v>
      </c>
      <c r="R241" t="s">
        <v>20952</v>
      </c>
      <c r="S241">
        <v>50</v>
      </c>
    </row>
    <row r="242" spans="12:19" x14ac:dyDescent="0.2">
      <c r="L242" t="str">
        <f t="shared" si="19"/>
        <v>SUPLEMENTO 0,216x24</v>
      </c>
      <c r="M242" t="s">
        <v>3613</v>
      </c>
      <c r="N242" t="s">
        <v>3574</v>
      </c>
      <c r="O242" t="s">
        <v>20953</v>
      </c>
      <c r="P242" t="s">
        <v>3698</v>
      </c>
      <c r="Q242">
        <v>92.218582499999997</v>
      </c>
      <c r="R242" t="s">
        <v>20954</v>
      </c>
      <c r="S242">
        <v>50</v>
      </c>
    </row>
    <row r="243" spans="12:19" x14ac:dyDescent="0.2">
      <c r="L243" t="str">
        <f t="shared" si="19"/>
        <v>SUPLEMENTO 0,216x32</v>
      </c>
      <c r="M243" t="s">
        <v>3613</v>
      </c>
      <c r="N243" t="s">
        <v>3700</v>
      </c>
      <c r="O243" t="s">
        <v>20955</v>
      </c>
      <c r="P243" t="s">
        <v>3701</v>
      </c>
      <c r="Q243">
        <v>113.31218250000001</v>
      </c>
      <c r="R243" t="s">
        <v>20956</v>
      </c>
      <c r="S243">
        <v>50</v>
      </c>
    </row>
    <row r="244" spans="12:19" x14ac:dyDescent="0.2">
      <c r="L244" t="str">
        <f t="shared" si="19"/>
        <v>SUPLEMENTO 0,217x22</v>
      </c>
      <c r="M244" t="s">
        <v>3613</v>
      </c>
      <c r="N244" t="s">
        <v>3444</v>
      </c>
      <c r="O244" t="s">
        <v>20957</v>
      </c>
      <c r="P244" t="s">
        <v>3703</v>
      </c>
      <c r="Q244">
        <v>71.190899999999999</v>
      </c>
      <c r="R244" t="s">
        <v>20958</v>
      </c>
      <c r="S244">
        <v>50</v>
      </c>
    </row>
    <row r="245" spans="12:19" x14ac:dyDescent="0.2">
      <c r="L245" t="str">
        <f t="shared" si="19"/>
        <v>SUPLEMENTO 0,217x25</v>
      </c>
      <c r="M245" t="s">
        <v>3613</v>
      </c>
      <c r="N245" t="s">
        <v>3705</v>
      </c>
      <c r="O245" t="s">
        <v>20959</v>
      </c>
      <c r="P245" t="s">
        <v>3706</v>
      </c>
      <c r="Q245">
        <v>92.218582499999997</v>
      </c>
      <c r="R245" t="s">
        <v>20960</v>
      </c>
      <c r="S245">
        <v>50</v>
      </c>
    </row>
    <row r="246" spans="12:19" x14ac:dyDescent="0.2">
      <c r="L246" t="str">
        <f t="shared" si="19"/>
        <v>SUPLEMENTO 0,217x33</v>
      </c>
      <c r="M246" t="s">
        <v>3613</v>
      </c>
      <c r="N246" t="s">
        <v>3708</v>
      </c>
      <c r="O246" t="s">
        <v>20961</v>
      </c>
      <c r="P246" t="s">
        <v>3709</v>
      </c>
      <c r="Q246">
        <v>113.31218250000001</v>
      </c>
      <c r="R246" t="s">
        <v>20962</v>
      </c>
      <c r="S246">
        <v>50</v>
      </c>
    </row>
    <row r="247" spans="12:19" x14ac:dyDescent="0.2">
      <c r="L247" t="str">
        <f t="shared" si="19"/>
        <v>SUPLEMENTO 0,218x23</v>
      </c>
      <c r="M247" t="s">
        <v>3613</v>
      </c>
      <c r="N247" t="s">
        <v>3447</v>
      </c>
      <c r="O247" t="s">
        <v>20963</v>
      </c>
      <c r="P247" t="s">
        <v>3711</v>
      </c>
      <c r="Q247">
        <v>71.190899999999999</v>
      </c>
      <c r="R247" t="s">
        <v>20964</v>
      </c>
      <c r="S247">
        <v>50</v>
      </c>
    </row>
    <row r="248" spans="12:19" x14ac:dyDescent="0.2">
      <c r="L248" t="str">
        <f t="shared" si="19"/>
        <v>SUPLEMENTO 0,218x26</v>
      </c>
      <c r="M248" t="s">
        <v>3613</v>
      </c>
      <c r="N248" t="s">
        <v>3713</v>
      </c>
      <c r="O248" t="s">
        <v>20965</v>
      </c>
      <c r="P248" t="s">
        <v>3714</v>
      </c>
      <c r="Q248">
        <v>92.218582499999997</v>
      </c>
      <c r="R248" t="s">
        <v>20966</v>
      </c>
      <c r="S248">
        <v>50</v>
      </c>
    </row>
    <row r="249" spans="12:19" x14ac:dyDescent="0.2">
      <c r="L249" t="str">
        <f t="shared" si="19"/>
        <v>SUPLEMENTO 0,218x34</v>
      </c>
      <c r="M249" t="s">
        <v>3613</v>
      </c>
      <c r="N249" t="s">
        <v>3716</v>
      </c>
      <c r="O249" t="s">
        <v>20967</v>
      </c>
      <c r="P249" t="s">
        <v>3717</v>
      </c>
      <c r="Q249">
        <v>152.26942500000001</v>
      </c>
      <c r="R249" t="s">
        <v>20968</v>
      </c>
      <c r="S249">
        <v>50</v>
      </c>
    </row>
    <row r="250" spans="12:19" x14ac:dyDescent="0.2">
      <c r="L250" t="str">
        <f t="shared" si="19"/>
        <v>SUPLEMENTO 0,219x24</v>
      </c>
      <c r="M250" t="s">
        <v>3613</v>
      </c>
      <c r="N250" t="s">
        <v>3450</v>
      </c>
      <c r="O250" t="s">
        <v>20969</v>
      </c>
      <c r="P250" t="s">
        <v>3719</v>
      </c>
      <c r="Q250">
        <v>92.218582499999997</v>
      </c>
      <c r="R250" t="s">
        <v>20970</v>
      </c>
      <c r="S250">
        <v>50</v>
      </c>
    </row>
    <row r="251" spans="12:19" x14ac:dyDescent="0.2">
      <c r="L251" t="str">
        <f t="shared" si="19"/>
        <v>SUPLEMENTO 0,219x27</v>
      </c>
      <c r="M251" t="s">
        <v>3613</v>
      </c>
      <c r="N251" t="s">
        <v>3721</v>
      </c>
      <c r="O251" t="s">
        <v>20971</v>
      </c>
      <c r="P251" t="s">
        <v>3722</v>
      </c>
      <c r="Q251">
        <v>92.218582499999997</v>
      </c>
      <c r="R251" t="s">
        <v>20972</v>
      </c>
      <c r="S251">
        <v>50</v>
      </c>
    </row>
    <row r="252" spans="12:19" x14ac:dyDescent="0.2">
      <c r="L252" t="str">
        <f t="shared" si="19"/>
        <v>SUPLEMENTO 0,219x35</v>
      </c>
      <c r="M252" t="s">
        <v>3613</v>
      </c>
      <c r="N252" t="s">
        <v>3724</v>
      </c>
      <c r="O252" t="s">
        <v>20973</v>
      </c>
      <c r="P252" t="s">
        <v>3725</v>
      </c>
      <c r="Q252">
        <v>152.26942500000001</v>
      </c>
      <c r="R252" t="s">
        <v>20974</v>
      </c>
      <c r="S252">
        <v>50</v>
      </c>
    </row>
    <row r="253" spans="12:19" x14ac:dyDescent="0.2">
      <c r="L253" t="str">
        <f t="shared" si="19"/>
        <v>SUPLEMENTO 0,220x25</v>
      </c>
      <c r="M253" t="s">
        <v>3613</v>
      </c>
      <c r="N253" t="s">
        <v>3727</v>
      </c>
      <c r="O253" t="s">
        <v>20975</v>
      </c>
      <c r="P253" t="s">
        <v>3728</v>
      </c>
      <c r="Q253">
        <v>92.218582499999997</v>
      </c>
      <c r="R253" t="s">
        <v>20976</v>
      </c>
      <c r="S253">
        <v>50</v>
      </c>
    </row>
    <row r="254" spans="12:19" x14ac:dyDescent="0.2">
      <c r="L254" t="str">
        <f t="shared" si="19"/>
        <v>SUPLEMENTO 0,220x28</v>
      </c>
      <c r="M254" t="s">
        <v>3613</v>
      </c>
      <c r="N254" t="s">
        <v>3730</v>
      </c>
      <c r="O254" t="s">
        <v>20977</v>
      </c>
      <c r="P254" t="s">
        <v>3731</v>
      </c>
      <c r="Q254">
        <v>92.218582499999997</v>
      </c>
      <c r="R254" t="s">
        <v>20978</v>
      </c>
      <c r="S254">
        <v>50</v>
      </c>
    </row>
    <row r="255" spans="12:19" x14ac:dyDescent="0.2">
      <c r="L255" t="str">
        <f t="shared" si="19"/>
        <v>SUPLEMENTO 0,220x36</v>
      </c>
      <c r="M255" t="s">
        <v>3613</v>
      </c>
      <c r="N255" t="s">
        <v>3733</v>
      </c>
      <c r="O255" t="s">
        <v>20979</v>
      </c>
      <c r="P255" t="s">
        <v>3734</v>
      </c>
      <c r="Q255">
        <v>152.26942500000001</v>
      </c>
      <c r="R255" t="s">
        <v>20980</v>
      </c>
      <c r="S255">
        <v>50</v>
      </c>
    </row>
    <row r="256" spans="12:19" x14ac:dyDescent="0.2">
      <c r="L256" t="str">
        <f t="shared" si="19"/>
        <v>SUPLEMENTO 0,221x29</v>
      </c>
      <c r="M256" t="s">
        <v>3613</v>
      </c>
      <c r="N256" t="s">
        <v>3738</v>
      </c>
      <c r="O256" t="s">
        <v>20981</v>
      </c>
      <c r="P256" t="s">
        <v>3739</v>
      </c>
      <c r="Q256">
        <v>113.31218250000001</v>
      </c>
      <c r="R256" t="s">
        <v>20982</v>
      </c>
      <c r="S256">
        <v>50</v>
      </c>
    </row>
    <row r="257" spans="12:19" x14ac:dyDescent="0.2">
      <c r="L257" t="str">
        <f t="shared" si="19"/>
        <v>SUPLEMENTO 0,221x37</v>
      </c>
      <c r="M257" t="s">
        <v>3613</v>
      </c>
      <c r="N257" t="s">
        <v>3741</v>
      </c>
      <c r="O257" t="s">
        <v>20983</v>
      </c>
      <c r="P257" t="s">
        <v>3742</v>
      </c>
      <c r="Q257">
        <v>152.26942500000001</v>
      </c>
      <c r="R257" t="s">
        <v>20984</v>
      </c>
      <c r="S257">
        <v>50</v>
      </c>
    </row>
    <row r="258" spans="12:19" x14ac:dyDescent="0.2">
      <c r="L258" t="str">
        <f t="shared" si="19"/>
        <v>SUPLEMENTO 0,221x26</v>
      </c>
      <c r="M258" t="s">
        <v>3613</v>
      </c>
      <c r="N258" t="s">
        <v>3456</v>
      </c>
      <c r="O258" t="s">
        <v>20985</v>
      </c>
      <c r="P258" t="s">
        <v>3736</v>
      </c>
      <c r="Q258">
        <v>94.657530000000008</v>
      </c>
      <c r="R258" t="s">
        <v>20986</v>
      </c>
      <c r="S258">
        <v>50</v>
      </c>
    </row>
    <row r="259" spans="12:19" x14ac:dyDescent="0.2">
      <c r="L259" t="str">
        <f t="shared" si="19"/>
        <v>SUPLEMENTO 0,222x30</v>
      </c>
      <c r="M259" t="s">
        <v>3613</v>
      </c>
      <c r="N259" t="s">
        <v>3747</v>
      </c>
      <c r="O259" t="s">
        <v>20987</v>
      </c>
      <c r="P259" t="s">
        <v>3748</v>
      </c>
      <c r="Q259">
        <v>113.31218250000001</v>
      </c>
      <c r="R259" t="s">
        <v>20988</v>
      </c>
      <c r="S259">
        <v>50</v>
      </c>
    </row>
    <row r="260" spans="12:19" x14ac:dyDescent="0.2">
      <c r="L260" t="str">
        <f t="shared" ref="L260:L323" si="20">+M260&amp;N260</f>
        <v>SUPLEMENTO 0,222x38</v>
      </c>
      <c r="M260" t="s">
        <v>3613</v>
      </c>
      <c r="N260" t="s">
        <v>3750</v>
      </c>
      <c r="O260" t="s">
        <v>20989</v>
      </c>
      <c r="P260" t="s">
        <v>3751</v>
      </c>
      <c r="Q260">
        <v>152.26942500000001</v>
      </c>
      <c r="R260" t="s">
        <v>20990</v>
      </c>
      <c r="S260">
        <v>50</v>
      </c>
    </row>
    <row r="261" spans="12:19" x14ac:dyDescent="0.2">
      <c r="L261" t="str">
        <f t="shared" si="20"/>
        <v>SUPLEMENTO 0,222x27</v>
      </c>
      <c r="M261" t="s">
        <v>3613</v>
      </c>
      <c r="N261" t="s">
        <v>3744</v>
      </c>
      <c r="O261" t="s">
        <v>20991</v>
      </c>
      <c r="P261" t="s">
        <v>3745</v>
      </c>
      <c r="Q261">
        <v>94.657530000000008</v>
      </c>
      <c r="R261" t="s">
        <v>20992</v>
      </c>
      <c r="S261">
        <v>50</v>
      </c>
    </row>
    <row r="262" spans="12:19" x14ac:dyDescent="0.2">
      <c r="L262" t="str">
        <f t="shared" si="20"/>
        <v>SUPLEMENTO 0,223x31</v>
      </c>
      <c r="M262" t="s">
        <v>3613</v>
      </c>
      <c r="N262" t="s">
        <v>3756</v>
      </c>
      <c r="O262" t="s">
        <v>20993</v>
      </c>
      <c r="P262" t="s">
        <v>3757</v>
      </c>
      <c r="Q262">
        <v>113.31218250000001</v>
      </c>
      <c r="R262" t="s">
        <v>20994</v>
      </c>
      <c r="S262">
        <v>50</v>
      </c>
    </row>
    <row r="263" spans="12:19" x14ac:dyDescent="0.2">
      <c r="L263" t="str">
        <f t="shared" si="20"/>
        <v>SUPLEMENTO 0,223x39</v>
      </c>
      <c r="M263" t="s">
        <v>3613</v>
      </c>
      <c r="N263" t="s">
        <v>3759</v>
      </c>
      <c r="O263" t="s">
        <v>20995</v>
      </c>
      <c r="P263" t="s">
        <v>3760</v>
      </c>
      <c r="Q263">
        <v>180.41619750000001</v>
      </c>
      <c r="R263" t="s">
        <v>20996</v>
      </c>
      <c r="S263">
        <v>50</v>
      </c>
    </row>
    <row r="264" spans="12:19" x14ac:dyDescent="0.2">
      <c r="L264" t="str">
        <f t="shared" si="20"/>
        <v>SUPLEMENTO 0,223x28</v>
      </c>
      <c r="M264" t="s">
        <v>3613</v>
      </c>
      <c r="N264" t="s">
        <v>3753</v>
      </c>
      <c r="O264" t="s">
        <v>20997</v>
      </c>
      <c r="P264" t="s">
        <v>3754</v>
      </c>
      <c r="Q264">
        <v>94.657530000000008</v>
      </c>
      <c r="R264" t="s">
        <v>20998</v>
      </c>
      <c r="S264">
        <v>50</v>
      </c>
    </row>
    <row r="265" spans="12:19" x14ac:dyDescent="0.2">
      <c r="L265" t="str">
        <f t="shared" si="20"/>
        <v>SUPLEMENTO 0,224x32</v>
      </c>
      <c r="M265" t="s">
        <v>3613</v>
      </c>
      <c r="N265" t="s">
        <v>3462</v>
      </c>
      <c r="O265" t="s">
        <v>20999</v>
      </c>
      <c r="P265" t="s">
        <v>3765</v>
      </c>
      <c r="Q265">
        <v>113.31218250000001</v>
      </c>
      <c r="R265" t="s">
        <v>21000</v>
      </c>
      <c r="S265">
        <v>50</v>
      </c>
    </row>
    <row r="266" spans="12:19" x14ac:dyDescent="0.2">
      <c r="L266" t="str">
        <f t="shared" si="20"/>
        <v>SUPLEMENTO 0,224x40</v>
      </c>
      <c r="M266" t="s">
        <v>3613</v>
      </c>
      <c r="N266" t="s">
        <v>3767</v>
      </c>
      <c r="O266" t="s">
        <v>21001</v>
      </c>
      <c r="P266" t="s">
        <v>3768</v>
      </c>
      <c r="Q266">
        <v>180.41619750000001</v>
      </c>
      <c r="R266" t="s">
        <v>21002</v>
      </c>
      <c r="S266">
        <v>50</v>
      </c>
    </row>
    <row r="267" spans="12:19" x14ac:dyDescent="0.2">
      <c r="L267" t="str">
        <f t="shared" si="20"/>
        <v>SUPLEMENTO 0,224x29</v>
      </c>
      <c r="M267" t="s">
        <v>3613</v>
      </c>
      <c r="N267" t="s">
        <v>3762</v>
      </c>
      <c r="O267" t="s">
        <v>21003</v>
      </c>
      <c r="P267" t="s">
        <v>3763</v>
      </c>
      <c r="Q267">
        <v>120.16760250000002</v>
      </c>
      <c r="R267" t="s">
        <v>21004</v>
      </c>
      <c r="S267">
        <v>50</v>
      </c>
    </row>
    <row r="268" spans="12:19" x14ac:dyDescent="0.2">
      <c r="L268" t="str">
        <f t="shared" si="20"/>
        <v>SUPLEMENTO 0,225x33</v>
      </c>
      <c r="M268" t="s">
        <v>3613</v>
      </c>
      <c r="N268" t="s">
        <v>3773</v>
      </c>
      <c r="O268" t="s">
        <v>21005</v>
      </c>
      <c r="P268" t="s">
        <v>3774</v>
      </c>
      <c r="Q268">
        <v>113.31218250000001</v>
      </c>
      <c r="R268" t="s">
        <v>21006</v>
      </c>
      <c r="S268">
        <v>50</v>
      </c>
    </row>
    <row r="269" spans="12:19" x14ac:dyDescent="0.2">
      <c r="L269" t="str">
        <f t="shared" si="20"/>
        <v>SUPLEMENTO 0,225x41</v>
      </c>
      <c r="M269" t="s">
        <v>3613</v>
      </c>
      <c r="N269" t="s">
        <v>3776</v>
      </c>
      <c r="O269" t="s">
        <v>21007</v>
      </c>
      <c r="P269" t="s">
        <v>3777</v>
      </c>
      <c r="Q269">
        <v>180.41619750000001</v>
      </c>
      <c r="R269" t="s">
        <v>21008</v>
      </c>
      <c r="S269">
        <v>50</v>
      </c>
    </row>
    <row r="270" spans="12:19" x14ac:dyDescent="0.2">
      <c r="L270" t="str">
        <f t="shared" si="20"/>
        <v>SUPLEMENTO 0,225x30</v>
      </c>
      <c r="M270" t="s">
        <v>3613</v>
      </c>
      <c r="N270" t="s">
        <v>3770</v>
      </c>
      <c r="O270" t="s">
        <v>21009</v>
      </c>
      <c r="P270" t="s">
        <v>3771</v>
      </c>
      <c r="Q270">
        <v>120.16760250000002</v>
      </c>
      <c r="R270" t="s">
        <v>21010</v>
      </c>
      <c r="S270">
        <v>50</v>
      </c>
    </row>
    <row r="271" spans="12:19" x14ac:dyDescent="0.2">
      <c r="L271" t="str">
        <f t="shared" si="20"/>
        <v>SUPLEMENTO 0,226x34</v>
      </c>
      <c r="M271" t="s">
        <v>3613</v>
      </c>
      <c r="N271" t="s">
        <v>3465</v>
      </c>
      <c r="O271" t="s">
        <v>21011</v>
      </c>
      <c r="P271" t="s">
        <v>3782</v>
      </c>
      <c r="Q271">
        <v>152.26942500000001</v>
      </c>
      <c r="R271" t="s">
        <v>21012</v>
      </c>
      <c r="S271">
        <v>50</v>
      </c>
    </row>
    <row r="272" spans="12:19" x14ac:dyDescent="0.2">
      <c r="L272" t="str">
        <f t="shared" si="20"/>
        <v>SUPLEMENTO 0,226x42</v>
      </c>
      <c r="M272" t="s">
        <v>3613</v>
      </c>
      <c r="N272" t="s">
        <v>3784</v>
      </c>
      <c r="O272" t="s">
        <v>21013</v>
      </c>
      <c r="P272" t="s">
        <v>3785</v>
      </c>
      <c r="Q272">
        <v>180.41619750000001</v>
      </c>
      <c r="R272" t="s">
        <v>21014</v>
      </c>
      <c r="S272">
        <v>50</v>
      </c>
    </row>
    <row r="273" spans="12:19" x14ac:dyDescent="0.2">
      <c r="L273" t="str">
        <f t="shared" si="20"/>
        <v>SUPLEMENTO 0,226x31</v>
      </c>
      <c r="M273" t="s">
        <v>3613</v>
      </c>
      <c r="N273" t="s">
        <v>3779</v>
      </c>
      <c r="O273" t="s">
        <v>21015</v>
      </c>
      <c r="P273" t="s">
        <v>3780</v>
      </c>
      <c r="Q273">
        <v>120.16760250000002</v>
      </c>
      <c r="R273" t="s">
        <v>21016</v>
      </c>
      <c r="S273">
        <v>50</v>
      </c>
    </row>
    <row r="274" spans="12:19" x14ac:dyDescent="0.2">
      <c r="L274" t="str">
        <f t="shared" si="20"/>
        <v>SUPLEMENTO 0,227x35</v>
      </c>
      <c r="M274" t="s">
        <v>3613</v>
      </c>
      <c r="N274" t="s">
        <v>3787</v>
      </c>
      <c r="O274" t="s">
        <v>21017</v>
      </c>
      <c r="P274" t="s">
        <v>3788</v>
      </c>
      <c r="Q274">
        <v>152.26942500000001</v>
      </c>
      <c r="R274" t="s">
        <v>21018</v>
      </c>
      <c r="S274">
        <v>50</v>
      </c>
    </row>
    <row r="275" spans="12:19" x14ac:dyDescent="0.2">
      <c r="L275" t="str">
        <f t="shared" si="20"/>
        <v>SUPLEMENTO 0,227x43</v>
      </c>
      <c r="M275" t="s">
        <v>3613</v>
      </c>
      <c r="N275" t="s">
        <v>3790</v>
      </c>
      <c r="O275" t="s">
        <v>21019</v>
      </c>
      <c r="P275" t="s">
        <v>3791</v>
      </c>
      <c r="Q275">
        <v>180.41619750000001</v>
      </c>
      <c r="R275" t="s">
        <v>21020</v>
      </c>
      <c r="S275">
        <v>50</v>
      </c>
    </row>
    <row r="276" spans="12:19" x14ac:dyDescent="0.2">
      <c r="L276" t="str">
        <f t="shared" si="20"/>
        <v>SUPLEMENTO 0,228x36</v>
      </c>
      <c r="M276" t="s">
        <v>3613</v>
      </c>
      <c r="N276" t="s">
        <v>3527</v>
      </c>
      <c r="O276" t="s">
        <v>21021</v>
      </c>
      <c r="P276" t="s">
        <v>3793</v>
      </c>
      <c r="Q276">
        <v>152.26942500000001</v>
      </c>
      <c r="R276" t="s">
        <v>21022</v>
      </c>
      <c r="S276">
        <v>50</v>
      </c>
    </row>
    <row r="277" spans="12:19" x14ac:dyDescent="0.2">
      <c r="L277" t="str">
        <f t="shared" si="20"/>
        <v>SUPLEMENTO 0,228x44</v>
      </c>
      <c r="M277" t="s">
        <v>3613</v>
      </c>
      <c r="N277" t="s">
        <v>3795</v>
      </c>
      <c r="O277" t="s">
        <v>21023</v>
      </c>
      <c r="P277" t="s">
        <v>3796</v>
      </c>
      <c r="Q277">
        <v>211.72701000000001</v>
      </c>
      <c r="R277" t="s">
        <v>21024</v>
      </c>
      <c r="S277">
        <v>50</v>
      </c>
    </row>
    <row r="278" spans="12:19" x14ac:dyDescent="0.2">
      <c r="L278" t="str">
        <f t="shared" si="20"/>
        <v>SUPLEMENTO 0,229x37</v>
      </c>
      <c r="M278" t="s">
        <v>3613</v>
      </c>
      <c r="N278" t="s">
        <v>3798</v>
      </c>
      <c r="O278" t="s">
        <v>21025</v>
      </c>
      <c r="P278" t="s">
        <v>3799</v>
      </c>
      <c r="Q278">
        <v>152.26942500000001</v>
      </c>
      <c r="R278" t="s">
        <v>21026</v>
      </c>
      <c r="S278">
        <v>50</v>
      </c>
    </row>
    <row r="279" spans="12:19" x14ac:dyDescent="0.2">
      <c r="L279" t="str">
        <f t="shared" si="20"/>
        <v>SUPLEMENTO 0,229x45</v>
      </c>
      <c r="M279" t="s">
        <v>3613</v>
      </c>
      <c r="N279" t="s">
        <v>3801</v>
      </c>
      <c r="O279" t="s">
        <v>21027</v>
      </c>
      <c r="P279" t="s">
        <v>3802</v>
      </c>
      <c r="Q279">
        <v>211.72701000000001</v>
      </c>
      <c r="R279" t="s">
        <v>21028</v>
      </c>
      <c r="S279">
        <v>50</v>
      </c>
    </row>
    <row r="280" spans="12:19" x14ac:dyDescent="0.2">
      <c r="L280" t="str">
        <f t="shared" si="20"/>
        <v>SUPLEMENTO 0,230x38</v>
      </c>
      <c r="M280" t="s">
        <v>3613</v>
      </c>
      <c r="N280" t="s">
        <v>3807</v>
      </c>
      <c r="O280" t="s">
        <v>21029</v>
      </c>
      <c r="P280" t="s">
        <v>3808</v>
      </c>
      <c r="Q280">
        <v>152.26942500000001</v>
      </c>
      <c r="R280" t="s">
        <v>21030</v>
      </c>
      <c r="S280">
        <v>50</v>
      </c>
    </row>
    <row r="281" spans="12:19" x14ac:dyDescent="0.2">
      <c r="L281" t="str">
        <f t="shared" si="20"/>
        <v>SUPLEMENTO 0,230x46</v>
      </c>
      <c r="M281" t="s">
        <v>3613</v>
      </c>
      <c r="N281" t="s">
        <v>3810</v>
      </c>
      <c r="O281" t="s">
        <v>21031</v>
      </c>
      <c r="P281" t="s">
        <v>3811</v>
      </c>
      <c r="Q281">
        <v>211.72701000000001</v>
      </c>
      <c r="R281" t="s">
        <v>21032</v>
      </c>
      <c r="S281">
        <v>50</v>
      </c>
    </row>
    <row r="282" spans="12:19" x14ac:dyDescent="0.2">
      <c r="L282" t="str">
        <f t="shared" si="20"/>
        <v>SUPLEMENTO 0,230x35</v>
      </c>
      <c r="M282" t="s">
        <v>3613</v>
      </c>
      <c r="N282" t="s">
        <v>3804</v>
      </c>
      <c r="O282" t="s">
        <v>21033</v>
      </c>
      <c r="P282" t="s">
        <v>3805</v>
      </c>
      <c r="Q282">
        <v>156.68589750000001</v>
      </c>
      <c r="R282" t="s">
        <v>21034</v>
      </c>
      <c r="S282">
        <v>50</v>
      </c>
    </row>
    <row r="283" spans="12:19" x14ac:dyDescent="0.2">
      <c r="L283" t="str">
        <f t="shared" si="20"/>
        <v>SUPLEMENTO 0,231x39</v>
      </c>
      <c r="M283" t="s">
        <v>3613</v>
      </c>
      <c r="N283" t="s">
        <v>3813</v>
      </c>
      <c r="O283" t="s">
        <v>21035</v>
      </c>
      <c r="P283" t="s">
        <v>3814</v>
      </c>
      <c r="Q283">
        <v>180.41619750000001</v>
      </c>
      <c r="R283" t="s">
        <v>21036</v>
      </c>
      <c r="S283">
        <v>50</v>
      </c>
    </row>
    <row r="284" spans="12:19" x14ac:dyDescent="0.2">
      <c r="L284" t="str">
        <f t="shared" si="20"/>
        <v>SUPLEMENTO 0,231x47</v>
      </c>
      <c r="M284" t="s">
        <v>3613</v>
      </c>
      <c r="N284" t="s">
        <v>3816</v>
      </c>
      <c r="O284" t="s">
        <v>21037</v>
      </c>
      <c r="P284" t="s">
        <v>3817</v>
      </c>
      <c r="Q284">
        <v>211.72701000000001</v>
      </c>
      <c r="R284" t="s">
        <v>21038</v>
      </c>
      <c r="S284">
        <v>50</v>
      </c>
    </row>
    <row r="285" spans="12:19" x14ac:dyDescent="0.2">
      <c r="L285" t="str">
        <f t="shared" si="20"/>
        <v>SUPLEMENTO 0,232x40</v>
      </c>
      <c r="M285" t="s">
        <v>3613</v>
      </c>
      <c r="N285" t="s">
        <v>3597</v>
      </c>
      <c r="O285" t="s">
        <v>21039</v>
      </c>
      <c r="P285" t="s">
        <v>3819</v>
      </c>
      <c r="Q285">
        <v>180.41619750000001</v>
      </c>
      <c r="R285" t="s">
        <v>21040</v>
      </c>
      <c r="S285">
        <v>50</v>
      </c>
    </row>
    <row r="286" spans="12:19" x14ac:dyDescent="0.2">
      <c r="L286" t="str">
        <f t="shared" si="20"/>
        <v>SUPLEMENTO 0,232x48</v>
      </c>
      <c r="M286" t="s">
        <v>3613</v>
      </c>
      <c r="N286" t="s">
        <v>3821</v>
      </c>
      <c r="O286" t="s">
        <v>21041</v>
      </c>
      <c r="P286" t="s">
        <v>3822</v>
      </c>
      <c r="Q286">
        <v>211.72701000000001</v>
      </c>
      <c r="R286" t="s">
        <v>21042</v>
      </c>
      <c r="S286">
        <v>50</v>
      </c>
    </row>
    <row r="287" spans="12:19" x14ac:dyDescent="0.2">
      <c r="L287" t="str">
        <f t="shared" si="20"/>
        <v>SUPLEMENTO 0,233x41</v>
      </c>
      <c r="M287" t="s">
        <v>3613</v>
      </c>
      <c r="N287" t="s">
        <v>3824</v>
      </c>
      <c r="O287" t="s">
        <v>21043</v>
      </c>
      <c r="P287" t="s">
        <v>3825</v>
      </c>
      <c r="Q287">
        <v>180.41619750000001</v>
      </c>
      <c r="R287" t="s">
        <v>21044</v>
      </c>
      <c r="S287">
        <v>50</v>
      </c>
    </row>
    <row r="288" spans="12:19" x14ac:dyDescent="0.2">
      <c r="L288" t="str">
        <f t="shared" si="20"/>
        <v>SUPLEMENTO 0,233x49</v>
      </c>
      <c r="M288" t="s">
        <v>3613</v>
      </c>
      <c r="N288" t="s">
        <v>3827</v>
      </c>
      <c r="O288" t="s">
        <v>21045</v>
      </c>
      <c r="P288" t="s">
        <v>3828</v>
      </c>
      <c r="Q288">
        <v>246.07002750000004</v>
      </c>
      <c r="R288" t="s">
        <v>21046</v>
      </c>
      <c r="S288">
        <v>50</v>
      </c>
    </row>
    <row r="289" spans="12:19" x14ac:dyDescent="0.2">
      <c r="L289" t="str">
        <f t="shared" si="20"/>
        <v>SUPLEMENTO 0,234x42</v>
      </c>
      <c r="M289" t="s">
        <v>3613</v>
      </c>
      <c r="N289" t="s">
        <v>3830</v>
      </c>
      <c r="O289" t="s">
        <v>21047</v>
      </c>
      <c r="P289" t="s">
        <v>3831</v>
      </c>
      <c r="Q289">
        <v>180.41619750000001</v>
      </c>
      <c r="R289" t="s">
        <v>21048</v>
      </c>
      <c r="S289">
        <v>50</v>
      </c>
    </row>
    <row r="290" spans="12:19" x14ac:dyDescent="0.2">
      <c r="L290" t="str">
        <f t="shared" si="20"/>
        <v>SUPLEMENTO 0,234x50</v>
      </c>
      <c r="M290" t="s">
        <v>3613</v>
      </c>
      <c r="N290" t="s">
        <v>3833</v>
      </c>
      <c r="O290" t="s">
        <v>21049</v>
      </c>
      <c r="P290" t="s">
        <v>3834</v>
      </c>
      <c r="Q290">
        <v>246.07002750000004</v>
      </c>
      <c r="R290" t="s">
        <v>21050</v>
      </c>
      <c r="S290">
        <v>50</v>
      </c>
    </row>
    <row r="291" spans="12:19" x14ac:dyDescent="0.2">
      <c r="L291" t="str">
        <f t="shared" si="20"/>
        <v>SUPLEMENTO 0,235x43</v>
      </c>
      <c r="M291" t="s">
        <v>3613</v>
      </c>
      <c r="N291" t="s">
        <v>3836</v>
      </c>
      <c r="O291" t="s">
        <v>21051</v>
      </c>
      <c r="P291" t="s">
        <v>3837</v>
      </c>
      <c r="Q291">
        <v>180.41619750000001</v>
      </c>
      <c r="R291" t="s">
        <v>21052</v>
      </c>
      <c r="S291">
        <v>50</v>
      </c>
    </row>
    <row r="292" spans="12:19" x14ac:dyDescent="0.2">
      <c r="L292" t="str">
        <f t="shared" si="20"/>
        <v>SUPLEMENTO 0,235x51</v>
      </c>
      <c r="M292" t="s">
        <v>3613</v>
      </c>
      <c r="N292" t="s">
        <v>3839</v>
      </c>
      <c r="O292" t="s">
        <v>21053</v>
      </c>
      <c r="P292" t="s">
        <v>3840</v>
      </c>
      <c r="Q292">
        <v>246.07002750000004</v>
      </c>
      <c r="R292" t="s">
        <v>21054</v>
      </c>
      <c r="S292">
        <v>50</v>
      </c>
    </row>
    <row r="293" spans="12:19" x14ac:dyDescent="0.2">
      <c r="L293" t="str">
        <f t="shared" si="20"/>
        <v>SUPLEMENTO 0,236x44</v>
      </c>
      <c r="M293" t="s">
        <v>3613</v>
      </c>
      <c r="N293" t="s">
        <v>3842</v>
      </c>
      <c r="O293" t="s">
        <v>21055</v>
      </c>
      <c r="P293" t="s">
        <v>3843</v>
      </c>
      <c r="Q293">
        <v>211.72701000000001</v>
      </c>
      <c r="R293" t="s">
        <v>21056</v>
      </c>
      <c r="S293">
        <v>50</v>
      </c>
    </row>
    <row r="294" spans="12:19" x14ac:dyDescent="0.2">
      <c r="L294" t="str">
        <f t="shared" si="20"/>
        <v>SUPLEMENTO 0,236x52</v>
      </c>
      <c r="M294" t="s">
        <v>3613</v>
      </c>
      <c r="N294" t="s">
        <v>3845</v>
      </c>
      <c r="O294" t="s">
        <v>21057</v>
      </c>
      <c r="P294" t="s">
        <v>3846</v>
      </c>
      <c r="Q294">
        <v>246.07002750000004</v>
      </c>
      <c r="R294" t="s">
        <v>21058</v>
      </c>
      <c r="S294">
        <v>50</v>
      </c>
    </row>
    <row r="295" spans="12:19" x14ac:dyDescent="0.2">
      <c r="L295" t="str">
        <f t="shared" si="20"/>
        <v>SUPLEMENTO 0,237x45</v>
      </c>
      <c r="M295" t="s">
        <v>3613</v>
      </c>
      <c r="N295" t="s">
        <v>3848</v>
      </c>
      <c r="O295" t="s">
        <v>21059</v>
      </c>
      <c r="P295" t="s">
        <v>3849</v>
      </c>
      <c r="Q295">
        <v>211.72701000000001</v>
      </c>
      <c r="R295" t="s">
        <v>21060</v>
      </c>
      <c r="S295">
        <v>50</v>
      </c>
    </row>
    <row r="296" spans="12:19" x14ac:dyDescent="0.2">
      <c r="L296" t="str">
        <f t="shared" si="20"/>
        <v>SUPLEMENTO 0,237x53</v>
      </c>
      <c r="M296" t="s">
        <v>3613</v>
      </c>
      <c r="N296" t="s">
        <v>3851</v>
      </c>
      <c r="O296" t="s">
        <v>21061</v>
      </c>
      <c r="P296" t="s">
        <v>3852</v>
      </c>
      <c r="Q296">
        <v>246.07002750000004</v>
      </c>
      <c r="R296" t="s">
        <v>21062</v>
      </c>
      <c r="S296">
        <v>50</v>
      </c>
    </row>
    <row r="297" spans="12:19" x14ac:dyDescent="0.2">
      <c r="L297" t="str">
        <f t="shared" si="20"/>
        <v>SUPLEMENTO 0,238x46</v>
      </c>
      <c r="M297" t="s">
        <v>3613</v>
      </c>
      <c r="N297" t="s">
        <v>3854</v>
      </c>
      <c r="O297" t="s">
        <v>21063</v>
      </c>
      <c r="P297" t="s">
        <v>3855</v>
      </c>
      <c r="Q297">
        <v>211.72701000000001</v>
      </c>
      <c r="R297" t="s">
        <v>21064</v>
      </c>
      <c r="S297">
        <v>50</v>
      </c>
    </row>
    <row r="298" spans="12:19" x14ac:dyDescent="0.2">
      <c r="L298" t="str">
        <f t="shared" si="20"/>
        <v>SUPLEMENTO 0,238x54</v>
      </c>
      <c r="M298" t="s">
        <v>3613</v>
      </c>
      <c r="N298" t="s">
        <v>3857</v>
      </c>
      <c r="O298" t="s">
        <v>21065</v>
      </c>
      <c r="P298" t="s">
        <v>3858</v>
      </c>
      <c r="Q298">
        <v>282.85199249999999</v>
      </c>
      <c r="R298" t="s">
        <v>21066</v>
      </c>
      <c r="S298">
        <v>50</v>
      </c>
    </row>
    <row r="299" spans="12:19" x14ac:dyDescent="0.2">
      <c r="L299" t="str">
        <f t="shared" si="20"/>
        <v>SUPLEMENTO 0,239x47</v>
      </c>
      <c r="M299" t="s">
        <v>3613</v>
      </c>
      <c r="N299" t="s">
        <v>3860</v>
      </c>
      <c r="O299" t="s">
        <v>21067</v>
      </c>
      <c r="P299" t="s">
        <v>3861</v>
      </c>
      <c r="Q299">
        <v>211.72701000000001</v>
      </c>
      <c r="R299" t="s">
        <v>21068</v>
      </c>
      <c r="S299">
        <v>50</v>
      </c>
    </row>
    <row r="300" spans="12:19" x14ac:dyDescent="0.2">
      <c r="L300" t="str">
        <f t="shared" si="20"/>
        <v>SUPLEMENTO 0,239x55</v>
      </c>
      <c r="M300" t="s">
        <v>3613</v>
      </c>
      <c r="N300" t="s">
        <v>3863</v>
      </c>
      <c r="O300" t="s">
        <v>21069</v>
      </c>
      <c r="P300" t="s">
        <v>3864</v>
      </c>
      <c r="Q300">
        <v>282.85199249999999</v>
      </c>
      <c r="R300" t="s">
        <v>21070</v>
      </c>
      <c r="S300">
        <v>50</v>
      </c>
    </row>
    <row r="301" spans="12:19" x14ac:dyDescent="0.2">
      <c r="L301" t="str">
        <f t="shared" si="20"/>
        <v>SUPLEMENTO 0,240x48</v>
      </c>
      <c r="M301" t="s">
        <v>3613</v>
      </c>
      <c r="N301" t="s">
        <v>3866</v>
      </c>
      <c r="O301" t="s">
        <v>21071</v>
      </c>
      <c r="P301" t="s">
        <v>3867</v>
      </c>
      <c r="Q301">
        <v>211.72701000000001</v>
      </c>
      <c r="R301" t="s">
        <v>21072</v>
      </c>
      <c r="S301">
        <v>50</v>
      </c>
    </row>
    <row r="302" spans="12:19" x14ac:dyDescent="0.2">
      <c r="L302" t="str">
        <f t="shared" si="20"/>
        <v>SUPLEMENTO 0,240x56</v>
      </c>
      <c r="M302" t="s">
        <v>3613</v>
      </c>
      <c r="N302" t="s">
        <v>3869</v>
      </c>
      <c r="O302" t="s">
        <v>21073</v>
      </c>
      <c r="P302" t="s">
        <v>3870</v>
      </c>
      <c r="Q302">
        <v>282.85199249999999</v>
      </c>
      <c r="R302" t="s">
        <v>21074</v>
      </c>
      <c r="S302">
        <v>50</v>
      </c>
    </row>
    <row r="303" spans="12:19" x14ac:dyDescent="0.2">
      <c r="L303" t="str">
        <f t="shared" si="20"/>
        <v>SUPLEMENTO 0,241x49</v>
      </c>
      <c r="M303" t="s">
        <v>3613</v>
      </c>
      <c r="N303" t="s">
        <v>3872</v>
      </c>
      <c r="O303" t="s">
        <v>21075</v>
      </c>
      <c r="P303" t="s">
        <v>3873</v>
      </c>
      <c r="Q303">
        <v>246.07002750000004</v>
      </c>
      <c r="R303" t="s">
        <v>21076</v>
      </c>
      <c r="S303">
        <v>50</v>
      </c>
    </row>
    <row r="304" spans="12:19" x14ac:dyDescent="0.2">
      <c r="L304" t="str">
        <f t="shared" si="20"/>
        <v>SUPLEMENTO 0,241x57</v>
      </c>
      <c r="M304" t="s">
        <v>3613</v>
      </c>
      <c r="N304" t="s">
        <v>3875</v>
      </c>
      <c r="O304" t="s">
        <v>21077</v>
      </c>
      <c r="P304" t="s">
        <v>3876</v>
      </c>
      <c r="Q304">
        <v>282.85199249999999</v>
      </c>
      <c r="R304" t="s">
        <v>21078</v>
      </c>
      <c r="S304">
        <v>50</v>
      </c>
    </row>
    <row r="305" spans="12:19" x14ac:dyDescent="0.2">
      <c r="L305" t="str">
        <f t="shared" si="20"/>
        <v>SUPLEMENTO 0,242x50</v>
      </c>
      <c r="M305" t="s">
        <v>3613</v>
      </c>
      <c r="N305" t="s">
        <v>3878</v>
      </c>
      <c r="O305" t="s">
        <v>21079</v>
      </c>
      <c r="P305" t="s">
        <v>3879</v>
      </c>
      <c r="Q305">
        <v>246.07002750000004</v>
      </c>
      <c r="R305" t="s">
        <v>21080</v>
      </c>
      <c r="S305">
        <v>50</v>
      </c>
    </row>
    <row r="306" spans="12:19" x14ac:dyDescent="0.2">
      <c r="L306" t="str">
        <f t="shared" si="20"/>
        <v>SUPLEMENTO 0,242x58</v>
      </c>
      <c r="M306" t="s">
        <v>3613</v>
      </c>
      <c r="N306" t="s">
        <v>3881</v>
      </c>
      <c r="O306" t="s">
        <v>21081</v>
      </c>
      <c r="P306" t="s">
        <v>3882</v>
      </c>
      <c r="Q306">
        <v>282.85199249999999</v>
      </c>
      <c r="R306" t="s">
        <v>21082</v>
      </c>
      <c r="S306">
        <v>50</v>
      </c>
    </row>
    <row r="307" spans="12:19" x14ac:dyDescent="0.2">
      <c r="L307" t="str">
        <f t="shared" si="20"/>
        <v>SUPLEMENTO 0,243x59</v>
      </c>
      <c r="M307" t="s">
        <v>3613</v>
      </c>
      <c r="N307" t="s">
        <v>3884</v>
      </c>
      <c r="O307" t="s">
        <v>21083</v>
      </c>
      <c r="P307" t="s">
        <v>3885</v>
      </c>
      <c r="Q307">
        <v>323.52309000000002</v>
      </c>
      <c r="R307" t="s">
        <v>21084</v>
      </c>
      <c r="S307">
        <v>50</v>
      </c>
    </row>
    <row r="308" spans="12:19" x14ac:dyDescent="0.2">
      <c r="L308" t="str">
        <f t="shared" si="20"/>
        <v>SUPLEMENTO 0,244x60</v>
      </c>
      <c r="M308" t="s">
        <v>3613</v>
      </c>
      <c r="N308" t="s">
        <v>3887</v>
      </c>
      <c r="O308" t="s">
        <v>21085</v>
      </c>
      <c r="P308" t="s">
        <v>3888</v>
      </c>
      <c r="Q308">
        <v>323.52309000000002</v>
      </c>
      <c r="R308" t="s">
        <v>21086</v>
      </c>
      <c r="S308">
        <v>50</v>
      </c>
    </row>
    <row r="309" spans="12:19" x14ac:dyDescent="0.2">
      <c r="L309" t="str">
        <f t="shared" si="20"/>
        <v>SUPLEMENTO 0,245x61</v>
      </c>
      <c r="M309" t="s">
        <v>3613</v>
      </c>
      <c r="N309" t="s">
        <v>3890</v>
      </c>
      <c r="O309" t="s">
        <v>21087</v>
      </c>
      <c r="P309" t="s">
        <v>3891</v>
      </c>
      <c r="Q309">
        <v>323.52309000000002</v>
      </c>
      <c r="R309" t="s">
        <v>21088</v>
      </c>
      <c r="S309">
        <v>50</v>
      </c>
    </row>
    <row r="310" spans="12:19" x14ac:dyDescent="0.2">
      <c r="L310" t="str">
        <f t="shared" si="20"/>
        <v>SUPLEMENTO 0,246x58</v>
      </c>
      <c r="M310" t="s">
        <v>3613</v>
      </c>
      <c r="N310" t="s">
        <v>3893</v>
      </c>
      <c r="O310" t="s">
        <v>21089</v>
      </c>
      <c r="P310" t="s">
        <v>3894</v>
      </c>
      <c r="Q310">
        <v>282.85199249999999</v>
      </c>
      <c r="R310" t="s">
        <v>21090</v>
      </c>
      <c r="S310">
        <v>50</v>
      </c>
    </row>
    <row r="311" spans="12:19" x14ac:dyDescent="0.2">
      <c r="L311" t="str">
        <f t="shared" si="20"/>
        <v>SUPLEMENTO 0,247x59</v>
      </c>
      <c r="M311" t="s">
        <v>3613</v>
      </c>
      <c r="N311" t="s">
        <v>3896</v>
      </c>
      <c r="O311" t="s">
        <v>21091</v>
      </c>
      <c r="P311" t="s">
        <v>3897</v>
      </c>
      <c r="Q311">
        <v>323.52309000000002</v>
      </c>
      <c r="R311" t="s">
        <v>21092</v>
      </c>
      <c r="S311">
        <v>50</v>
      </c>
    </row>
    <row r="312" spans="12:19" x14ac:dyDescent="0.2">
      <c r="L312" t="str">
        <f t="shared" si="20"/>
        <v>SUPLEMENTO 0,248x60</v>
      </c>
      <c r="M312" t="s">
        <v>3613</v>
      </c>
      <c r="N312" t="s">
        <v>3899</v>
      </c>
      <c r="O312" t="s">
        <v>21093</v>
      </c>
      <c r="P312" t="s">
        <v>3900</v>
      </c>
      <c r="Q312">
        <v>323.52309000000002</v>
      </c>
      <c r="R312" t="s">
        <v>21094</v>
      </c>
      <c r="S312">
        <v>50</v>
      </c>
    </row>
    <row r="313" spans="12:19" x14ac:dyDescent="0.2">
      <c r="L313" t="str">
        <f t="shared" si="20"/>
        <v>SUPLEMENTO 0,249x61</v>
      </c>
      <c r="M313" t="s">
        <v>3613</v>
      </c>
      <c r="N313" t="s">
        <v>3902</v>
      </c>
      <c r="O313" t="s">
        <v>21095</v>
      </c>
      <c r="P313" t="s">
        <v>3903</v>
      </c>
      <c r="Q313">
        <v>323.52309000000002</v>
      </c>
      <c r="R313" t="s">
        <v>21096</v>
      </c>
      <c r="S313">
        <v>50</v>
      </c>
    </row>
    <row r="314" spans="12:19" x14ac:dyDescent="0.2">
      <c r="L314" t="str">
        <f t="shared" si="20"/>
        <v>SUPLEMENTO 0,250x62</v>
      </c>
      <c r="M314" t="s">
        <v>3613</v>
      </c>
      <c r="N314" t="s">
        <v>3905</v>
      </c>
      <c r="O314" t="s">
        <v>21097</v>
      </c>
      <c r="P314" t="s">
        <v>3906</v>
      </c>
      <c r="Q314">
        <v>323.52309000000002</v>
      </c>
      <c r="R314" t="s">
        <v>21098</v>
      </c>
      <c r="S314">
        <v>50</v>
      </c>
    </row>
    <row r="315" spans="12:19" x14ac:dyDescent="0.2">
      <c r="L315" t="str">
        <f t="shared" si="20"/>
        <v>SUPLEMENTO 0,251x63</v>
      </c>
      <c r="M315" t="s">
        <v>3613</v>
      </c>
      <c r="N315" t="s">
        <v>3908</v>
      </c>
      <c r="O315" t="s">
        <v>21099</v>
      </c>
      <c r="P315" t="s">
        <v>3909</v>
      </c>
      <c r="Q315">
        <v>323.52309000000002</v>
      </c>
      <c r="R315" t="s">
        <v>21100</v>
      </c>
      <c r="S315">
        <v>50</v>
      </c>
    </row>
    <row r="316" spans="12:19" x14ac:dyDescent="0.2">
      <c r="L316" t="str">
        <f t="shared" si="20"/>
        <v>SUPLEMENTO 0,252x64</v>
      </c>
      <c r="M316" t="s">
        <v>3613</v>
      </c>
      <c r="N316" t="s">
        <v>3911</v>
      </c>
      <c r="O316" t="s">
        <v>21101</v>
      </c>
      <c r="P316" t="s">
        <v>3912</v>
      </c>
      <c r="Q316">
        <v>395.30724750000002</v>
      </c>
      <c r="R316" t="s">
        <v>21102</v>
      </c>
      <c r="S316">
        <v>50</v>
      </c>
    </row>
    <row r="317" spans="12:19" x14ac:dyDescent="0.2">
      <c r="L317" t="str">
        <f t="shared" si="20"/>
        <v>SUPLEMENTO 0,253x65</v>
      </c>
      <c r="M317" t="s">
        <v>3613</v>
      </c>
      <c r="N317" t="s">
        <v>3914</v>
      </c>
      <c r="O317" t="s">
        <v>21103</v>
      </c>
      <c r="P317" t="s">
        <v>3915</v>
      </c>
      <c r="Q317">
        <v>395.30724750000002</v>
      </c>
      <c r="R317" t="s">
        <v>21104</v>
      </c>
      <c r="S317">
        <v>50</v>
      </c>
    </row>
    <row r="318" spans="12:19" x14ac:dyDescent="0.2">
      <c r="L318" t="str">
        <f t="shared" si="20"/>
        <v>SUPLEMENTO 0,254x66</v>
      </c>
      <c r="M318" t="s">
        <v>3613</v>
      </c>
      <c r="N318" t="s">
        <v>3917</v>
      </c>
      <c r="O318" t="s">
        <v>21105</v>
      </c>
      <c r="P318" t="s">
        <v>3918</v>
      </c>
      <c r="Q318">
        <v>395.30724750000002</v>
      </c>
      <c r="R318" t="s">
        <v>21106</v>
      </c>
      <c r="S318">
        <v>50</v>
      </c>
    </row>
    <row r="319" spans="12:19" x14ac:dyDescent="0.2">
      <c r="L319" t="str">
        <f t="shared" si="20"/>
        <v>SUPLEMENTO 0,255x67</v>
      </c>
      <c r="M319" t="s">
        <v>3613</v>
      </c>
      <c r="N319" t="s">
        <v>3920</v>
      </c>
      <c r="O319" t="s">
        <v>21107</v>
      </c>
      <c r="P319" t="s">
        <v>3921</v>
      </c>
      <c r="Q319">
        <v>395.30724750000002</v>
      </c>
      <c r="R319" t="s">
        <v>21108</v>
      </c>
      <c r="S319">
        <v>50</v>
      </c>
    </row>
    <row r="320" spans="12:19" x14ac:dyDescent="0.2">
      <c r="L320" t="str">
        <f t="shared" si="20"/>
        <v>SUPLEMENTO 0,256x68</v>
      </c>
      <c r="M320" t="s">
        <v>3613</v>
      </c>
      <c r="N320" t="s">
        <v>3923</v>
      </c>
      <c r="O320" t="s">
        <v>21109</v>
      </c>
      <c r="P320" t="s">
        <v>3924</v>
      </c>
      <c r="Q320">
        <v>395.30724750000002</v>
      </c>
      <c r="R320" t="s">
        <v>21110</v>
      </c>
      <c r="S320">
        <v>50</v>
      </c>
    </row>
    <row r="321" spans="12:19" x14ac:dyDescent="0.2">
      <c r="L321" t="str">
        <f t="shared" si="20"/>
        <v>SUPLEMENTO 0,257x69</v>
      </c>
      <c r="M321" t="s">
        <v>3613</v>
      </c>
      <c r="N321" t="s">
        <v>3926</v>
      </c>
      <c r="O321" t="s">
        <v>21111</v>
      </c>
      <c r="P321" t="s">
        <v>3927</v>
      </c>
      <c r="Q321">
        <v>442.96560000000005</v>
      </c>
      <c r="R321" t="s">
        <v>21112</v>
      </c>
      <c r="S321">
        <v>50</v>
      </c>
    </row>
    <row r="322" spans="12:19" x14ac:dyDescent="0.2">
      <c r="L322" t="str">
        <f t="shared" si="20"/>
        <v>SUPLEMENTO 0,258x70</v>
      </c>
      <c r="M322" t="s">
        <v>3613</v>
      </c>
      <c r="N322" t="s">
        <v>3929</v>
      </c>
      <c r="O322" t="s">
        <v>21113</v>
      </c>
      <c r="P322" t="s">
        <v>3930</v>
      </c>
      <c r="Q322">
        <v>442.96560000000005</v>
      </c>
      <c r="R322" t="s">
        <v>21114</v>
      </c>
      <c r="S322">
        <v>50</v>
      </c>
    </row>
    <row r="323" spans="12:19" x14ac:dyDescent="0.2">
      <c r="L323" t="str">
        <f t="shared" si="20"/>
        <v>SUPLEMENTO 0,259x71</v>
      </c>
      <c r="M323" t="s">
        <v>3613</v>
      </c>
      <c r="N323" t="s">
        <v>3932</v>
      </c>
      <c r="O323" t="s">
        <v>21115</v>
      </c>
      <c r="P323" t="s">
        <v>3933</v>
      </c>
      <c r="Q323">
        <v>442.96560000000005</v>
      </c>
      <c r="R323" t="s">
        <v>21116</v>
      </c>
      <c r="S323">
        <v>50</v>
      </c>
    </row>
    <row r="324" spans="12:19" x14ac:dyDescent="0.2">
      <c r="L324" t="str">
        <f t="shared" ref="L324:L387" si="21">+M324&amp;N324</f>
        <v>SUPLEMENTO 0,260x72</v>
      </c>
      <c r="M324" t="s">
        <v>3613</v>
      </c>
      <c r="N324" t="s">
        <v>3935</v>
      </c>
      <c r="O324" t="s">
        <v>21117</v>
      </c>
      <c r="P324" t="s">
        <v>3936</v>
      </c>
      <c r="Q324">
        <v>442.96560000000005</v>
      </c>
      <c r="R324" t="s">
        <v>21118</v>
      </c>
      <c r="S324">
        <v>50</v>
      </c>
    </row>
    <row r="325" spans="12:19" x14ac:dyDescent="0.2">
      <c r="L325" t="str">
        <f t="shared" si="21"/>
        <v>SUPLEMENTO 0,261x73</v>
      </c>
      <c r="M325" t="s">
        <v>3613</v>
      </c>
      <c r="N325" t="s">
        <v>3938</v>
      </c>
      <c r="O325" t="s">
        <v>21119</v>
      </c>
      <c r="P325" t="s">
        <v>3939</v>
      </c>
      <c r="Q325">
        <v>442.96560000000005</v>
      </c>
      <c r="R325" t="s">
        <v>21120</v>
      </c>
      <c r="S325">
        <v>50</v>
      </c>
    </row>
    <row r="326" spans="12:19" x14ac:dyDescent="0.2">
      <c r="L326" t="str">
        <f t="shared" si="21"/>
        <v>SUPLEMENTO 0,262x74</v>
      </c>
      <c r="M326" t="s">
        <v>3613</v>
      </c>
      <c r="N326" t="s">
        <v>3941</v>
      </c>
      <c r="O326" t="s">
        <v>21121</v>
      </c>
      <c r="P326" t="s">
        <v>3942</v>
      </c>
      <c r="Q326">
        <v>521.93476499999997</v>
      </c>
      <c r="R326" t="s">
        <v>21122</v>
      </c>
      <c r="S326">
        <v>25</v>
      </c>
    </row>
    <row r="327" spans="12:19" x14ac:dyDescent="0.2">
      <c r="L327" t="str">
        <f t="shared" si="21"/>
        <v>SUPLEMENTO 0,263x75</v>
      </c>
      <c r="M327" t="s">
        <v>3613</v>
      </c>
      <c r="N327" t="s">
        <v>3944</v>
      </c>
      <c r="O327" t="s">
        <v>21123</v>
      </c>
      <c r="P327" t="s">
        <v>3945</v>
      </c>
      <c r="Q327">
        <v>521.93476499999997</v>
      </c>
      <c r="R327" t="s">
        <v>21124</v>
      </c>
      <c r="S327">
        <v>25</v>
      </c>
    </row>
    <row r="328" spans="12:19" x14ac:dyDescent="0.2">
      <c r="L328" t="str">
        <f t="shared" si="21"/>
        <v>SUPLEMENTO 0,264x76</v>
      </c>
      <c r="M328" t="s">
        <v>3613</v>
      </c>
      <c r="N328" t="s">
        <v>3947</v>
      </c>
      <c r="O328" t="s">
        <v>21125</v>
      </c>
      <c r="P328" t="s">
        <v>3948</v>
      </c>
      <c r="Q328">
        <v>521.93476499999997</v>
      </c>
      <c r="R328" t="s">
        <v>21126</v>
      </c>
      <c r="S328">
        <v>25</v>
      </c>
    </row>
    <row r="329" spans="12:19" x14ac:dyDescent="0.2">
      <c r="L329" t="str">
        <f t="shared" si="21"/>
        <v>SUPLEMENTO 0,265x77</v>
      </c>
      <c r="M329" t="s">
        <v>3613</v>
      </c>
      <c r="N329" t="s">
        <v>3950</v>
      </c>
      <c r="O329" t="s">
        <v>21127</v>
      </c>
      <c r="P329" t="s">
        <v>3951</v>
      </c>
      <c r="Q329">
        <v>521.93476499999997</v>
      </c>
      <c r="R329" t="s">
        <v>21128</v>
      </c>
      <c r="S329">
        <v>25</v>
      </c>
    </row>
    <row r="330" spans="12:19" x14ac:dyDescent="0.2">
      <c r="L330" t="str">
        <f t="shared" si="21"/>
        <v>SUPLEMENTO 0,266x78</v>
      </c>
      <c r="M330" t="s">
        <v>3613</v>
      </c>
      <c r="N330" t="s">
        <v>3953</v>
      </c>
      <c r="O330" t="s">
        <v>21129</v>
      </c>
      <c r="P330" t="s">
        <v>3954</v>
      </c>
      <c r="Q330">
        <v>521.93476499999997</v>
      </c>
      <c r="R330" t="s">
        <v>21130</v>
      </c>
      <c r="S330">
        <v>25</v>
      </c>
    </row>
    <row r="331" spans="12:19" x14ac:dyDescent="0.2">
      <c r="L331" t="str">
        <f t="shared" si="21"/>
        <v>SUPLEMENTO 0,267x79</v>
      </c>
      <c r="M331" t="s">
        <v>3613</v>
      </c>
      <c r="N331" t="s">
        <v>3956</v>
      </c>
      <c r="O331" t="s">
        <v>21131</v>
      </c>
      <c r="P331" t="s">
        <v>3957</v>
      </c>
      <c r="Q331">
        <v>575.78936250000004</v>
      </c>
      <c r="R331" t="s">
        <v>21132</v>
      </c>
      <c r="S331">
        <v>25</v>
      </c>
    </row>
    <row r="332" spans="12:19" x14ac:dyDescent="0.2">
      <c r="L332" t="str">
        <f t="shared" si="21"/>
        <v>SUPLEMENTO 0,268x80</v>
      </c>
      <c r="M332" t="s">
        <v>3613</v>
      </c>
      <c r="N332" t="s">
        <v>3959</v>
      </c>
      <c r="O332" t="s">
        <v>21133</v>
      </c>
      <c r="P332" t="s">
        <v>3960</v>
      </c>
      <c r="Q332">
        <v>575.78936250000004</v>
      </c>
      <c r="R332" t="s">
        <v>21134</v>
      </c>
      <c r="S332">
        <v>25</v>
      </c>
    </row>
    <row r="333" spans="12:19" x14ac:dyDescent="0.2">
      <c r="L333" t="str">
        <f t="shared" si="21"/>
        <v>SUPLEMENTO 0,269x81</v>
      </c>
      <c r="M333" t="s">
        <v>3613</v>
      </c>
      <c r="N333" t="s">
        <v>3962</v>
      </c>
      <c r="O333" t="s">
        <v>21135</v>
      </c>
      <c r="P333" t="s">
        <v>3963</v>
      </c>
      <c r="Q333">
        <v>575.78936250000004</v>
      </c>
      <c r="R333" t="s">
        <v>21136</v>
      </c>
      <c r="S333">
        <v>25</v>
      </c>
    </row>
    <row r="334" spans="12:19" x14ac:dyDescent="0.2">
      <c r="L334" t="str">
        <f t="shared" si="21"/>
        <v>SUPLEMENTO 0,270x82</v>
      </c>
      <c r="M334" t="s">
        <v>3613</v>
      </c>
      <c r="N334" t="s">
        <v>3965</v>
      </c>
      <c r="O334" t="s">
        <v>21137</v>
      </c>
      <c r="P334" t="s">
        <v>3966</v>
      </c>
      <c r="Q334">
        <v>575.78936250000004</v>
      </c>
      <c r="R334" t="s">
        <v>21138</v>
      </c>
      <c r="S334">
        <v>25</v>
      </c>
    </row>
    <row r="335" spans="12:19" x14ac:dyDescent="0.2">
      <c r="L335" t="str">
        <f t="shared" si="21"/>
        <v>SUPLEMENTO 0,271x83</v>
      </c>
      <c r="M335" t="s">
        <v>3613</v>
      </c>
      <c r="N335" t="s">
        <v>3968</v>
      </c>
      <c r="O335" t="s">
        <v>21139</v>
      </c>
      <c r="P335" t="s">
        <v>3969</v>
      </c>
      <c r="Q335">
        <v>575.78936250000004</v>
      </c>
      <c r="R335" t="s">
        <v>21140</v>
      </c>
      <c r="S335">
        <v>25</v>
      </c>
    </row>
    <row r="336" spans="12:19" x14ac:dyDescent="0.2">
      <c r="L336" t="str">
        <f t="shared" si="21"/>
        <v>SUPLEMENTO 0,272x84</v>
      </c>
      <c r="M336" t="s">
        <v>3613</v>
      </c>
      <c r="N336" t="s">
        <v>3971</v>
      </c>
      <c r="O336" t="s">
        <v>21141</v>
      </c>
      <c r="P336" t="s">
        <v>3972</v>
      </c>
      <c r="Q336">
        <v>632.87391750000006</v>
      </c>
      <c r="R336" t="s">
        <v>21142</v>
      </c>
      <c r="S336">
        <v>25</v>
      </c>
    </row>
    <row r="337" spans="12:19" x14ac:dyDescent="0.2">
      <c r="L337" t="str">
        <f t="shared" si="21"/>
        <v>SUPLEMENTO 0,273x85</v>
      </c>
      <c r="M337" t="s">
        <v>3613</v>
      </c>
      <c r="N337" t="s">
        <v>3974</v>
      </c>
      <c r="O337" t="s">
        <v>21143</v>
      </c>
      <c r="P337" t="s">
        <v>3975</v>
      </c>
      <c r="Q337">
        <v>632.87391750000006</v>
      </c>
      <c r="R337" t="s">
        <v>21144</v>
      </c>
      <c r="S337">
        <v>25</v>
      </c>
    </row>
    <row r="338" spans="12:19" x14ac:dyDescent="0.2">
      <c r="L338" t="str">
        <f t="shared" si="21"/>
        <v>SUPLEMENTO 0,274x86</v>
      </c>
      <c r="M338" t="s">
        <v>3613</v>
      </c>
      <c r="N338" t="s">
        <v>3977</v>
      </c>
      <c r="O338" t="s">
        <v>21145</v>
      </c>
      <c r="P338" t="s">
        <v>3978</v>
      </c>
      <c r="Q338">
        <v>632.87391750000006</v>
      </c>
      <c r="R338" t="s">
        <v>21146</v>
      </c>
      <c r="S338">
        <v>25</v>
      </c>
    </row>
    <row r="339" spans="12:19" x14ac:dyDescent="0.2">
      <c r="L339" t="str">
        <f t="shared" si="21"/>
        <v>SUPLEMENTO 0,275x87</v>
      </c>
      <c r="M339" t="s">
        <v>3613</v>
      </c>
      <c r="N339" t="s">
        <v>3980</v>
      </c>
      <c r="O339" t="s">
        <v>21147</v>
      </c>
      <c r="P339" t="s">
        <v>3981</v>
      </c>
      <c r="Q339">
        <v>632.87391750000006</v>
      </c>
      <c r="R339" t="s">
        <v>21148</v>
      </c>
      <c r="S339">
        <v>25</v>
      </c>
    </row>
    <row r="340" spans="12:19" x14ac:dyDescent="0.2">
      <c r="L340" t="str">
        <f t="shared" si="21"/>
        <v>SUPLEMENTO 0,276x88</v>
      </c>
      <c r="M340" t="s">
        <v>3613</v>
      </c>
      <c r="N340" t="s">
        <v>3983</v>
      </c>
      <c r="O340" t="s">
        <v>21149</v>
      </c>
      <c r="P340" t="s">
        <v>3984</v>
      </c>
      <c r="Q340">
        <v>632.87391750000006</v>
      </c>
      <c r="R340" t="s">
        <v>21150</v>
      </c>
      <c r="S340">
        <v>25</v>
      </c>
    </row>
    <row r="341" spans="12:19" x14ac:dyDescent="0.2">
      <c r="L341" t="str">
        <f t="shared" si="21"/>
        <v>SUPLEMENTO 0,277x89</v>
      </c>
      <c r="M341" t="s">
        <v>3613</v>
      </c>
      <c r="N341" t="s">
        <v>3986</v>
      </c>
      <c r="O341" t="s">
        <v>21151</v>
      </c>
      <c r="P341" t="s">
        <v>3987</v>
      </c>
      <c r="Q341">
        <v>693.1225125000002</v>
      </c>
      <c r="R341" t="s">
        <v>21152</v>
      </c>
      <c r="S341">
        <v>25</v>
      </c>
    </row>
    <row r="342" spans="12:19" x14ac:dyDescent="0.2">
      <c r="L342" t="str">
        <f t="shared" si="21"/>
        <v>SUPLEMENTO 0,278x90</v>
      </c>
      <c r="M342" t="s">
        <v>3613</v>
      </c>
      <c r="N342" t="s">
        <v>3989</v>
      </c>
      <c r="O342" t="s">
        <v>21153</v>
      </c>
      <c r="P342" t="s">
        <v>3990</v>
      </c>
      <c r="Q342">
        <v>693.1225125000002</v>
      </c>
      <c r="R342" t="s">
        <v>21154</v>
      </c>
      <c r="S342">
        <v>25</v>
      </c>
    </row>
    <row r="343" spans="12:19" x14ac:dyDescent="0.2">
      <c r="L343" t="str">
        <f t="shared" si="21"/>
        <v>SUPLEMENTO 0,279x91</v>
      </c>
      <c r="M343" t="s">
        <v>3613</v>
      </c>
      <c r="N343" t="s">
        <v>3992</v>
      </c>
      <c r="O343" t="s">
        <v>21155</v>
      </c>
      <c r="P343" t="s">
        <v>3993</v>
      </c>
      <c r="Q343">
        <v>693.1225125000002</v>
      </c>
      <c r="R343" t="s">
        <v>21156</v>
      </c>
      <c r="S343">
        <v>25</v>
      </c>
    </row>
    <row r="344" spans="12:19" x14ac:dyDescent="0.2">
      <c r="L344" t="str">
        <f t="shared" si="21"/>
        <v>SUPLEMENTO 0,280x92</v>
      </c>
      <c r="M344" t="s">
        <v>3613</v>
      </c>
      <c r="N344" t="s">
        <v>3995</v>
      </c>
      <c r="O344" t="s">
        <v>21157</v>
      </c>
      <c r="P344" t="s">
        <v>3996</v>
      </c>
      <c r="Q344">
        <v>693.1225125000002</v>
      </c>
      <c r="R344" t="s">
        <v>21158</v>
      </c>
      <c r="S344">
        <v>25</v>
      </c>
    </row>
    <row r="345" spans="12:19" x14ac:dyDescent="0.2">
      <c r="L345" t="str">
        <f t="shared" si="21"/>
        <v>SUPLEMENTO 0,281x94</v>
      </c>
      <c r="M345" t="s">
        <v>3613</v>
      </c>
      <c r="N345" t="s">
        <v>3998</v>
      </c>
      <c r="O345" t="s">
        <v>8353</v>
      </c>
      <c r="P345" t="s">
        <v>3999</v>
      </c>
      <c r="Q345">
        <v>0</v>
      </c>
    </row>
    <row r="346" spans="12:19" x14ac:dyDescent="0.2">
      <c r="L346" t="str">
        <f t="shared" si="21"/>
        <v>SUPLEMENTO 0,282x95</v>
      </c>
      <c r="M346" t="s">
        <v>3613</v>
      </c>
      <c r="N346" t="s">
        <v>4001</v>
      </c>
      <c r="O346" t="s">
        <v>8353</v>
      </c>
      <c r="P346" t="s">
        <v>4002</v>
      </c>
      <c r="Q346">
        <v>0</v>
      </c>
    </row>
    <row r="347" spans="12:19" x14ac:dyDescent="0.2">
      <c r="L347" t="str">
        <f t="shared" si="21"/>
        <v>SUPLEMENTO 0,283x96</v>
      </c>
      <c r="M347" t="s">
        <v>3613</v>
      </c>
      <c r="N347" t="s">
        <v>4004</v>
      </c>
      <c r="O347" t="s">
        <v>8353</v>
      </c>
      <c r="P347" t="s">
        <v>4005</v>
      </c>
      <c r="Q347">
        <v>0</v>
      </c>
    </row>
    <row r="348" spans="12:19" x14ac:dyDescent="0.2">
      <c r="L348" t="str">
        <f t="shared" si="21"/>
        <v>SUPLEMENTO 0,284x97</v>
      </c>
      <c r="M348" t="s">
        <v>3613</v>
      </c>
      <c r="N348" t="s">
        <v>4007</v>
      </c>
      <c r="O348" t="s">
        <v>8353</v>
      </c>
      <c r="P348" t="s">
        <v>4008</v>
      </c>
      <c r="Q348">
        <v>0</v>
      </c>
    </row>
    <row r="349" spans="12:19" x14ac:dyDescent="0.2">
      <c r="L349" t="str">
        <f t="shared" si="21"/>
        <v>SUPLEMENTO 0,285x98</v>
      </c>
      <c r="M349" t="s">
        <v>3613</v>
      </c>
      <c r="N349" t="s">
        <v>4010</v>
      </c>
      <c r="O349" t="s">
        <v>8353</v>
      </c>
      <c r="P349" t="s">
        <v>4011</v>
      </c>
      <c r="Q349">
        <v>0</v>
      </c>
    </row>
    <row r="350" spans="12:19" x14ac:dyDescent="0.2">
      <c r="L350" t="str">
        <f t="shared" si="21"/>
        <v>SUPLEMENTO 0,286x99</v>
      </c>
      <c r="M350" t="s">
        <v>3613</v>
      </c>
      <c r="N350" t="s">
        <v>4013</v>
      </c>
      <c r="O350" t="s">
        <v>8353</v>
      </c>
      <c r="P350" t="s">
        <v>4014</v>
      </c>
      <c r="Q350">
        <v>0</v>
      </c>
    </row>
    <row r="351" spans="12:19" x14ac:dyDescent="0.2">
      <c r="L351" t="str">
        <f t="shared" si="21"/>
        <v>SUPLEMENTO 0,287x100</v>
      </c>
      <c r="M351" t="s">
        <v>3613</v>
      </c>
      <c r="N351" t="s">
        <v>4016</v>
      </c>
      <c r="O351" t="s">
        <v>8353</v>
      </c>
      <c r="P351" t="s">
        <v>4017</v>
      </c>
      <c r="Q351">
        <v>0</v>
      </c>
    </row>
    <row r="352" spans="12:19" x14ac:dyDescent="0.2">
      <c r="L352" t="str">
        <f t="shared" si="21"/>
        <v>SUPLEMENTO 0,288x101</v>
      </c>
      <c r="M352" t="s">
        <v>3613</v>
      </c>
      <c r="N352" t="s">
        <v>4019</v>
      </c>
      <c r="O352" t="s">
        <v>8353</v>
      </c>
      <c r="P352" t="s">
        <v>4020</v>
      </c>
      <c r="Q352">
        <v>0</v>
      </c>
    </row>
    <row r="353" spans="11:19" x14ac:dyDescent="0.2">
      <c r="L353" t="str">
        <f t="shared" si="21"/>
        <v>SUPLEMENTO 0,289x102</v>
      </c>
      <c r="M353" t="s">
        <v>3613</v>
      </c>
      <c r="N353" t="s">
        <v>4022</v>
      </c>
      <c r="O353" t="s">
        <v>8353</v>
      </c>
      <c r="P353" t="s">
        <v>4023</v>
      </c>
      <c r="Q353">
        <v>0</v>
      </c>
    </row>
    <row r="354" spans="11:19" x14ac:dyDescent="0.2">
      <c r="L354" t="str">
        <f t="shared" si="21"/>
        <v>SUPLEMENTO 0,290x103</v>
      </c>
      <c r="M354" t="s">
        <v>3613</v>
      </c>
      <c r="N354" t="s">
        <v>4025</v>
      </c>
      <c r="O354" t="s">
        <v>8353</v>
      </c>
      <c r="P354" t="s">
        <v>4026</v>
      </c>
      <c r="Q354">
        <v>0</v>
      </c>
    </row>
    <row r="355" spans="11:19" x14ac:dyDescent="0.2">
      <c r="L355" t="str">
        <f t="shared" si="21"/>
        <v>SUPLEMENTO 0,291x104</v>
      </c>
      <c r="M355" t="s">
        <v>3613</v>
      </c>
      <c r="N355" t="s">
        <v>4028</v>
      </c>
      <c r="O355" t="s">
        <v>8353</v>
      </c>
      <c r="P355" t="s">
        <v>4029</v>
      </c>
      <c r="Q355">
        <v>0</v>
      </c>
    </row>
    <row r="356" spans="11:19" x14ac:dyDescent="0.2">
      <c r="L356" t="str">
        <f t="shared" si="21"/>
        <v>SUPLEMENTO 0,292x105</v>
      </c>
      <c r="M356" t="s">
        <v>3613</v>
      </c>
      <c r="N356" t="s">
        <v>4031</v>
      </c>
      <c r="O356" t="s">
        <v>8353</v>
      </c>
      <c r="P356" t="s">
        <v>4032</v>
      </c>
      <c r="Q356">
        <v>0</v>
      </c>
    </row>
    <row r="357" spans="11:19" x14ac:dyDescent="0.2">
      <c r="L357" t="str">
        <f t="shared" si="21"/>
        <v>SUPLEMENTO 0,293x103</v>
      </c>
      <c r="M357" t="s">
        <v>3613</v>
      </c>
      <c r="N357" t="s">
        <v>4034</v>
      </c>
      <c r="O357" t="s">
        <v>8353</v>
      </c>
      <c r="P357" t="s">
        <v>4035</v>
      </c>
      <c r="Q357">
        <v>0</v>
      </c>
    </row>
    <row r="358" spans="11:19" x14ac:dyDescent="0.2">
      <c r="K358" t="s">
        <v>21159</v>
      </c>
      <c r="L358" t="str">
        <f t="shared" si="21"/>
        <v>SUPLEMENTO 0,294x106</v>
      </c>
      <c r="M358" t="s">
        <v>3613</v>
      </c>
      <c r="N358" t="s">
        <v>4037</v>
      </c>
      <c r="O358" t="s">
        <v>21160</v>
      </c>
      <c r="P358" t="s">
        <v>4038</v>
      </c>
      <c r="Q358">
        <v>1028.3130000000001</v>
      </c>
      <c r="R358" t="s">
        <v>21161</v>
      </c>
      <c r="S358">
        <v>10</v>
      </c>
    </row>
    <row r="359" spans="11:19" x14ac:dyDescent="0.2">
      <c r="L359" t="str">
        <f t="shared" si="21"/>
        <v>SUPLEMENTO 0,295x107</v>
      </c>
      <c r="M359" t="s">
        <v>3613</v>
      </c>
      <c r="N359" t="s">
        <v>4040</v>
      </c>
      <c r="O359" t="s">
        <v>21162</v>
      </c>
      <c r="P359" t="s">
        <v>4041</v>
      </c>
      <c r="Q359">
        <v>1028.3130000000001</v>
      </c>
      <c r="R359" t="s">
        <v>21163</v>
      </c>
      <c r="S359">
        <v>10</v>
      </c>
    </row>
    <row r="360" spans="11:19" x14ac:dyDescent="0.2">
      <c r="L360" t="str">
        <f t="shared" si="21"/>
        <v>SUPLEMENTO 0,296x108</v>
      </c>
      <c r="M360" t="s">
        <v>3613</v>
      </c>
      <c r="N360" t="s">
        <v>4043</v>
      </c>
      <c r="O360" t="s">
        <v>21164</v>
      </c>
      <c r="P360" t="s">
        <v>4044</v>
      </c>
      <c r="Q360">
        <v>1068.1930875</v>
      </c>
      <c r="R360" t="s">
        <v>21165</v>
      </c>
      <c r="S360">
        <v>10</v>
      </c>
    </row>
    <row r="361" spans="11:19" x14ac:dyDescent="0.2">
      <c r="L361" t="str">
        <f t="shared" si="21"/>
        <v>SUPLEMENTO 0,297x109</v>
      </c>
      <c r="M361" t="s">
        <v>3613</v>
      </c>
      <c r="N361" t="s">
        <v>4046</v>
      </c>
      <c r="O361" t="s">
        <v>21166</v>
      </c>
      <c r="P361" t="s">
        <v>4047</v>
      </c>
      <c r="Q361">
        <v>1068.1930875</v>
      </c>
      <c r="R361" t="s">
        <v>21167</v>
      </c>
      <c r="S361">
        <v>10</v>
      </c>
    </row>
    <row r="362" spans="11:19" x14ac:dyDescent="0.2">
      <c r="L362" t="str">
        <f t="shared" si="21"/>
        <v>SUPLEMENTO 0,298x110</v>
      </c>
      <c r="M362" t="s">
        <v>3613</v>
      </c>
      <c r="N362" t="s">
        <v>4049</v>
      </c>
      <c r="O362" t="s">
        <v>21168</v>
      </c>
      <c r="P362" t="s">
        <v>4050</v>
      </c>
      <c r="Q362">
        <v>1068.1930875</v>
      </c>
      <c r="R362" t="s">
        <v>21169</v>
      </c>
      <c r="S362">
        <v>10</v>
      </c>
    </row>
    <row r="363" spans="11:19" x14ac:dyDescent="0.2">
      <c r="L363" t="str">
        <f t="shared" si="21"/>
        <v>SUPLEMENTO 0,299x111</v>
      </c>
      <c r="M363" t="s">
        <v>3613</v>
      </c>
      <c r="N363" t="s">
        <v>4052</v>
      </c>
      <c r="O363" t="s">
        <v>21170</v>
      </c>
      <c r="P363" t="s">
        <v>4053</v>
      </c>
      <c r="Q363">
        <v>1068.1930875</v>
      </c>
      <c r="R363" t="s">
        <v>21171</v>
      </c>
      <c r="S363">
        <v>10</v>
      </c>
    </row>
    <row r="364" spans="11:19" x14ac:dyDescent="0.2">
      <c r="L364" t="str">
        <f t="shared" si="21"/>
        <v>SUPLEMENTO 0,2100x112</v>
      </c>
      <c r="M364" t="s">
        <v>3613</v>
      </c>
      <c r="N364" t="s">
        <v>4058</v>
      </c>
      <c r="O364" t="s">
        <v>21172</v>
      </c>
      <c r="P364" t="s">
        <v>4059</v>
      </c>
      <c r="Q364">
        <v>1068.1930875</v>
      </c>
      <c r="R364" t="s">
        <v>21173</v>
      </c>
      <c r="S364">
        <v>10</v>
      </c>
    </row>
    <row r="365" spans="11:19" x14ac:dyDescent="0.2">
      <c r="L365" t="str">
        <f t="shared" si="21"/>
        <v>SUPLEMENTO 0,2100x111</v>
      </c>
      <c r="M365" t="s">
        <v>3613</v>
      </c>
      <c r="N365" t="s">
        <v>4055</v>
      </c>
      <c r="O365" t="s">
        <v>8353</v>
      </c>
      <c r="P365" t="s">
        <v>4056</v>
      </c>
      <c r="Q365">
        <v>0</v>
      </c>
    </row>
    <row r="366" spans="11:19" x14ac:dyDescent="0.2">
      <c r="L366" t="str">
        <f t="shared" si="21"/>
        <v>SUPLEMENTO 0,2101x113</v>
      </c>
      <c r="M366" t="s">
        <v>3613</v>
      </c>
      <c r="N366" t="s">
        <v>4061</v>
      </c>
      <c r="O366" t="s">
        <v>8353</v>
      </c>
      <c r="P366" t="s">
        <v>4062</v>
      </c>
      <c r="Q366">
        <v>0</v>
      </c>
    </row>
    <row r="367" spans="11:19" x14ac:dyDescent="0.2">
      <c r="L367" t="str">
        <f t="shared" si="21"/>
        <v>SUPLEMENTO 0,2102x114</v>
      </c>
      <c r="M367" t="s">
        <v>3613</v>
      </c>
      <c r="N367" t="s">
        <v>4064</v>
      </c>
      <c r="O367" t="s">
        <v>8353</v>
      </c>
      <c r="P367" t="s">
        <v>4065</v>
      </c>
      <c r="Q367">
        <v>0</v>
      </c>
    </row>
    <row r="368" spans="11:19" x14ac:dyDescent="0.2">
      <c r="L368" t="str">
        <f t="shared" si="21"/>
        <v>SUPLEMENTO 0,2103x115</v>
      </c>
      <c r="M368" t="s">
        <v>3613</v>
      </c>
      <c r="N368" t="s">
        <v>4070</v>
      </c>
      <c r="O368" t="s">
        <v>8353</v>
      </c>
      <c r="P368" t="s">
        <v>4071</v>
      </c>
      <c r="Q368">
        <v>0</v>
      </c>
    </row>
    <row r="369" spans="12:19" x14ac:dyDescent="0.2">
      <c r="L369" t="str">
        <f t="shared" si="21"/>
        <v>SUPLEMENTO 0,2103x114</v>
      </c>
      <c r="M369" t="s">
        <v>3613</v>
      </c>
      <c r="N369" t="s">
        <v>4067</v>
      </c>
      <c r="O369" t="s">
        <v>8353</v>
      </c>
      <c r="P369" t="s">
        <v>4068</v>
      </c>
      <c r="Q369">
        <v>0</v>
      </c>
    </row>
    <row r="370" spans="12:19" x14ac:dyDescent="0.2">
      <c r="L370" t="str">
        <f t="shared" si="21"/>
        <v>SUPLEMENTO 0,2104x116</v>
      </c>
      <c r="M370" t="s">
        <v>3613</v>
      </c>
      <c r="N370" t="s">
        <v>4076</v>
      </c>
      <c r="O370" t="s">
        <v>8353</v>
      </c>
      <c r="P370" t="s">
        <v>4077</v>
      </c>
      <c r="Q370">
        <v>0</v>
      </c>
    </row>
    <row r="371" spans="12:19" x14ac:dyDescent="0.2">
      <c r="L371" t="str">
        <f t="shared" si="21"/>
        <v>SUPLEMENTO 0,2104x114</v>
      </c>
      <c r="M371" t="s">
        <v>3613</v>
      </c>
      <c r="N371" t="s">
        <v>4073</v>
      </c>
      <c r="O371" t="s">
        <v>8353</v>
      </c>
      <c r="P371" t="s">
        <v>4074</v>
      </c>
      <c r="Q371">
        <v>0</v>
      </c>
    </row>
    <row r="372" spans="12:19" x14ac:dyDescent="0.2">
      <c r="L372" t="str">
        <f t="shared" si="21"/>
        <v>SUPLEMENTO 0,2105x117</v>
      </c>
      <c r="M372" t="s">
        <v>3613</v>
      </c>
      <c r="N372" t="s">
        <v>4079</v>
      </c>
      <c r="O372" t="s">
        <v>21174</v>
      </c>
      <c r="P372" t="s">
        <v>4080</v>
      </c>
      <c r="Q372">
        <v>1306.5507675000001</v>
      </c>
      <c r="R372" t="s">
        <v>21175</v>
      </c>
      <c r="S372">
        <v>10</v>
      </c>
    </row>
    <row r="373" spans="12:19" x14ac:dyDescent="0.2">
      <c r="L373" t="str">
        <f t="shared" si="21"/>
        <v>SUPLEMENTO 0,2105x118</v>
      </c>
      <c r="M373" t="s">
        <v>3613</v>
      </c>
      <c r="N373" t="s">
        <v>4082</v>
      </c>
      <c r="O373" t="s">
        <v>8353</v>
      </c>
      <c r="P373" t="s">
        <v>4083</v>
      </c>
      <c r="Q373">
        <v>0</v>
      </c>
    </row>
    <row r="374" spans="12:19" x14ac:dyDescent="0.2">
      <c r="L374" t="str">
        <f t="shared" si="21"/>
        <v>SUPLEMENTO 0,2106x118</v>
      </c>
      <c r="M374" t="s">
        <v>3613</v>
      </c>
      <c r="N374" t="s">
        <v>4085</v>
      </c>
      <c r="O374" t="s">
        <v>8353</v>
      </c>
      <c r="P374" t="s">
        <v>4086</v>
      </c>
      <c r="Q374">
        <v>0</v>
      </c>
    </row>
    <row r="375" spans="12:19" x14ac:dyDescent="0.2">
      <c r="L375" t="str">
        <f t="shared" si="21"/>
        <v>SUPLEMENTO 0,2107x119</v>
      </c>
      <c r="M375" t="s">
        <v>3613</v>
      </c>
      <c r="N375" t="s">
        <v>4091</v>
      </c>
      <c r="O375" t="s">
        <v>8353</v>
      </c>
      <c r="P375" t="s">
        <v>4092</v>
      </c>
      <c r="Q375">
        <v>0</v>
      </c>
    </row>
    <row r="376" spans="12:19" x14ac:dyDescent="0.2">
      <c r="L376" t="str">
        <f t="shared" si="21"/>
        <v>SUPLEMENTO 0,2107x118</v>
      </c>
      <c r="M376" t="s">
        <v>3613</v>
      </c>
      <c r="N376" t="s">
        <v>4088</v>
      </c>
      <c r="O376" t="s">
        <v>8353</v>
      </c>
      <c r="P376" t="s">
        <v>4089</v>
      </c>
      <c r="Q376">
        <v>0</v>
      </c>
    </row>
    <row r="377" spans="12:19" x14ac:dyDescent="0.2">
      <c r="L377" t="str">
        <f t="shared" si="21"/>
        <v>SUPLEMENTO 0,2108x120</v>
      </c>
      <c r="M377" t="s">
        <v>3613</v>
      </c>
      <c r="N377" t="s">
        <v>4094</v>
      </c>
      <c r="O377" t="s">
        <v>8353</v>
      </c>
      <c r="P377" t="s">
        <v>4095</v>
      </c>
      <c r="Q377">
        <v>0</v>
      </c>
    </row>
    <row r="378" spans="12:19" x14ac:dyDescent="0.2">
      <c r="L378" t="str">
        <f t="shared" si="21"/>
        <v>SUPLEMENTO 0,2109x121</v>
      </c>
      <c r="M378" t="s">
        <v>3613</v>
      </c>
      <c r="N378" t="s">
        <v>4097</v>
      </c>
      <c r="O378" t="s">
        <v>8353</v>
      </c>
      <c r="P378" t="s">
        <v>4098</v>
      </c>
      <c r="Q378">
        <v>0</v>
      </c>
    </row>
    <row r="379" spans="12:19" x14ac:dyDescent="0.2">
      <c r="L379" t="str">
        <f t="shared" si="21"/>
        <v>SUPLEMENTO 0,2110x124</v>
      </c>
      <c r="M379" t="s">
        <v>3613</v>
      </c>
      <c r="N379" t="s">
        <v>4103</v>
      </c>
      <c r="O379" t="s">
        <v>8353</v>
      </c>
      <c r="P379" t="s">
        <v>4104</v>
      </c>
      <c r="Q379">
        <v>0</v>
      </c>
    </row>
    <row r="380" spans="12:19" x14ac:dyDescent="0.2">
      <c r="L380" t="str">
        <f t="shared" si="21"/>
        <v>SUPLEMENTO 0,2110x121</v>
      </c>
      <c r="M380" t="s">
        <v>3613</v>
      </c>
      <c r="N380" t="s">
        <v>4100</v>
      </c>
      <c r="O380" t="s">
        <v>8353</v>
      </c>
      <c r="P380" t="s">
        <v>4101</v>
      </c>
      <c r="Q380">
        <v>0</v>
      </c>
    </row>
    <row r="381" spans="12:19" x14ac:dyDescent="0.2">
      <c r="L381" t="str">
        <f t="shared" si="21"/>
        <v>SUPLEMENTO 0,2111x124</v>
      </c>
      <c r="M381" t="s">
        <v>3613</v>
      </c>
      <c r="N381" t="s">
        <v>4106</v>
      </c>
      <c r="O381" t="s">
        <v>8353</v>
      </c>
      <c r="P381" t="s">
        <v>4107</v>
      </c>
      <c r="Q381">
        <v>0</v>
      </c>
    </row>
    <row r="382" spans="12:19" x14ac:dyDescent="0.2">
      <c r="L382" t="str">
        <f t="shared" si="21"/>
        <v>SUPLEMENTO 0,2112x124</v>
      </c>
      <c r="M382" t="s">
        <v>3613</v>
      </c>
      <c r="N382" t="s">
        <v>4109</v>
      </c>
      <c r="O382" t="s">
        <v>8353</v>
      </c>
      <c r="P382" t="s">
        <v>4110</v>
      </c>
      <c r="Q382">
        <v>0</v>
      </c>
    </row>
    <row r="383" spans="12:19" x14ac:dyDescent="0.2">
      <c r="L383" t="str">
        <f t="shared" si="21"/>
        <v>SUPLEMENTO 0,2113x127</v>
      </c>
      <c r="M383" t="s">
        <v>3613</v>
      </c>
      <c r="N383" t="s">
        <v>4112</v>
      </c>
      <c r="O383" t="s">
        <v>8353</v>
      </c>
      <c r="P383" t="s">
        <v>4113</v>
      </c>
      <c r="Q383">
        <v>0</v>
      </c>
    </row>
    <row r="384" spans="12:19" x14ac:dyDescent="0.2">
      <c r="L384" t="str">
        <f t="shared" si="21"/>
        <v>SUPLEMENTO 0,2114x127</v>
      </c>
      <c r="M384" t="s">
        <v>3613</v>
      </c>
      <c r="N384" t="s">
        <v>4115</v>
      </c>
      <c r="O384" t="s">
        <v>8353</v>
      </c>
      <c r="P384" t="s">
        <v>4116</v>
      </c>
      <c r="Q384">
        <v>0</v>
      </c>
    </row>
    <row r="385" spans="12:19" x14ac:dyDescent="0.2">
      <c r="L385" t="str">
        <f t="shared" si="21"/>
        <v>SUPLEMENTO 0,2115x127</v>
      </c>
      <c r="M385" t="s">
        <v>3613</v>
      </c>
      <c r="N385" t="s">
        <v>4118</v>
      </c>
      <c r="O385" t="s">
        <v>21176</v>
      </c>
      <c r="P385" t="s">
        <v>4119</v>
      </c>
      <c r="Q385">
        <v>1405.756605</v>
      </c>
      <c r="R385" t="s">
        <v>21177</v>
      </c>
      <c r="S385">
        <v>10</v>
      </c>
    </row>
    <row r="386" spans="12:19" x14ac:dyDescent="0.2">
      <c r="L386" t="str">
        <f t="shared" si="21"/>
        <v>SUPLEMENTO 0,2116x130</v>
      </c>
      <c r="M386" t="s">
        <v>3613</v>
      </c>
      <c r="N386" t="s">
        <v>4121</v>
      </c>
      <c r="O386" t="s">
        <v>8353</v>
      </c>
      <c r="P386" t="s">
        <v>4122</v>
      </c>
      <c r="Q386">
        <v>0</v>
      </c>
    </row>
    <row r="387" spans="12:19" x14ac:dyDescent="0.2">
      <c r="L387" t="str">
        <f t="shared" si="21"/>
        <v>SUPLEMENTO 0,2117x130</v>
      </c>
      <c r="M387" t="s">
        <v>3613</v>
      </c>
      <c r="N387" t="s">
        <v>4124</v>
      </c>
      <c r="O387" t="s">
        <v>8353</v>
      </c>
      <c r="P387" t="s">
        <v>4125</v>
      </c>
      <c r="Q387">
        <v>0</v>
      </c>
    </row>
    <row r="388" spans="12:19" x14ac:dyDescent="0.2">
      <c r="L388" t="str">
        <f t="shared" ref="L388:L451" si="22">+M388&amp;N388</f>
        <v>SUPLEMENTO 0,2118x130</v>
      </c>
      <c r="M388" t="s">
        <v>3613</v>
      </c>
      <c r="N388" t="s">
        <v>4127</v>
      </c>
      <c r="O388" t="s">
        <v>8353</v>
      </c>
      <c r="P388" t="s">
        <v>4128</v>
      </c>
      <c r="Q388">
        <v>0</v>
      </c>
    </row>
    <row r="389" spans="12:19" x14ac:dyDescent="0.2">
      <c r="L389" t="str">
        <f t="shared" si="22"/>
        <v>SUPLEMENTO 0,2119x133</v>
      </c>
      <c r="M389" t="s">
        <v>3613</v>
      </c>
      <c r="N389" t="s">
        <v>4130</v>
      </c>
      <c r="O389" t="s">
        <v>8353</v>
      </c>
      <c r="P389" t="s">
        <v>4131</v>
      </c>
      <c r="Q389">
        <v>0</v>
      </c>
    </row>
    <row r="390" spans="12:19" x14ac:dyDescent="0.2">
      <c r="L390" t="str">
        <f t="shared" si="22"/>
        <v>SUPLEMENTO 0,2120x133</v>
      </c>
      <c r="M390" t="s">
        <v>3613</v>
      </c>
      <c r="N390" t="s">
        <v>4133</v>
      </c>
      <c r="O390" t="s">
        <v>8353</v>
      </c>
      <c r="P390" t="s">
        <v>4134</v>
      </c>
      <c r="Q390">
        <v>0</v>
      </c>
    </row>
    <row r="391" spans="12:19" x14ac:dyDescent="0.2">
      <c r="L391" t="str">
        <f t="shared" si="22"/>
        <v>SUPLEMENTO 0,2121x133</v>
      </c>
      <c r="M391" t="s">
        <v>3613</v>
      </c>
      <c r="N391" t="s">
        <v>4136</v>
      </c>
      <c r="O391" t="s">
        <v>8353</v>
      </c>
      <c r="P391" t="s">
        <v>4137</v>
      </c>
      <c r="Q391">
        <v>0</v>
      </c>
    </row>
    <row r="392" spans="12:19" x14ac:dyDescent="0.2">
      <c r="L392" t="str">
        <f t="shared" si="22"/>
        <v>SUPLEMENTO 0,85x10</v>
      </c>
      <c r="M392" t="s">
        <v>4139</v>
      </c>
      <c r="N392" t="s">
        <v>3614</v>
      </c>
      <c r="O392" t="s">
        <v>21178</v>
      </c>
      <c r="P392" t="s">
        <v>4140</v>
      </c>
      <c r="Q392">
        <v>68.883787499999997</v>
      </c>
      <c r="R392" t="s">
        <v>21179</v>
      </c>
      <c r="S392">
        <v>50</v>
      </c>
    </row>
    <row r="393" spans="12:19" x14ac:dyDescent="0.2">
      <c r="L393" t="str">
        <f t="shared" si="22"/>
        <v>SUPLEMENTO 0,85x13</v>
      </c>
      <c r="M393" t="s">
        <v>4139</v>
      </c>
      <c r="N393" t="s">
        <v>3618</v>
      </c>
      <c r="O393" t="s">
        <v>21180</v>
      </c>
      <c r="P393" t="s">
        <v>4142</v>
      </c>
      <c r="Q393">
        <v>69.608879999999999</v>
      </c>
      <c r="R393" t="s">
        <v>21181</v>
      </c>
      <c r="S393">
        <v>50</v>
      </c>
    </row>
    <row r="394" spans="12:19" x14ac:dyDescent="0.2">
      <c r="L394" t="str">
        <f t="shared" si="22"/>
        <v>SUPLEMENTO 0,86x11</v>
      </c>
      <c r="M394" t="s">
        <v>4139</v>
      </c>
      <c r="N394" t="s">
        <v>3621</v>
      </c>
      <c r="O394" t="s">
        <v>21182</v>
      </c>
      <c r="P394" t="s">
        <v>4144</v>
      </c>
      <c r="Q394">
        <v>68.883787499999997</v>
      </c>
      <c r="R394" t="s">
        <v>21183</v>
      </c>
      <c r="S394">
        <v>50</v>
      </c>
    </row>
    <row r="395" spans="12:19" x14ac:dyDescent="0.2">
      <c r="L395" t="str">
        <f t="shared" si="22"/>
        <v>SUPLEMENTO 0,86x14</v>
      </c>
      <c r="M395" t="s">
        <v>4139</v>
      </c>
      <c r="N395" t="s">
        <v>3624</v>
      </c>
      <c r="O395" t="s">
        <v>21184</v>
      </c>
      <c r="P395" t="s">
        <v>4146</v>
      </c>
      <c r="Q395">
        <v>94.525694999999999</v>
      </c>
      <c r="R395" t="s">
        <v>21185</v>
      </c>
      <c r="S395">
        <v>50</v>
      </c>
    </row>
    <row r="396" spans="12:19" x14ac:dyDescent="0.2">
      <c r="L396" t="str">
        <f t="shared" si="22"/>
        <v>SUPLEMENTO 0,87x12</v>
      </c>
      <c r="M396" t="s">
        <v>4139</v>
      </c>
      <c r="N396" t="s">
        <v>3627</v>
      </c>
      <c r="O396" t="s">
        <v>21186</v>
      </c>
      <c r="P396" t="s">
        <v>4148</v>
      </c>
      <c r="Q396">
        <v>68.883787499999997</v>
      </c>
      <c r="R396" t="s">
        <v>21187</v>
      </c>
      <c r="S396">
        <v>50</v>
      </c>
    </row>
    <row r="397" spans="12:19" x14ac:dyDescent="0.2">
      <c r="L397" t="str">
        <f t="shared" si="22"/>
        <v>SUPLEMENTO 0,87x15</v>
      </c>
      <c r="M397" t="s">
        <v>4139</v>
      </c>
      <c r="N397" t="s">
        <v>3630</v>
      </c>
      <c r="O397" t="s">
        <v>21188</v>
      </c>
      <c r="P397" t="s">
        <v>4150</v>
      </c>
      <c r="Q397">
        <v>94.525694999999999</v>
      </c>
      <c r="R397" t="s">
        <v>21189</v>
      </c>
      <c r="S397">
        <v>50</v>
      </c>
    </row>
    <row r="398" spans="12:19" x14ac:dyDescent="0.2">
      <c r="L398" t="str">
        <f t="shared" si="22"/>
        <v>SUPLEMENTO 0,88x13</v>
      </c>
      <c r="M398" t="s">
        <v>4139</v>
      </c>
      <c r="N398" t="s">
        <v>3417</v>
      </c>
      <c r="O398" t="s">
        <v>21190</v>
      </c>
      <c r="P398" t="s">
        <v>4152</v>
      </c>
      <c r="Q398">
        <v>68.883787499999997</v>
      </c>
      <c r="R398" t="s">
        <v>21191</v>
      </c>
      <c r="S398">
        <v>50</v>
      </c>
    </row>
    <row r="399" spans="12:19" x14ac:dyDescent="0.2">
      <c r="L399" t="str">
        <f t="shared" si="22"/>
        <v>SUPLEMENTO 0,88x16</v>
      </c>
      <c r="M399" t="s">
        <v>4139</v>
      </c>
      <c r="N399" t="s">
        <v>3635</v>
      </c>
      <c r="O399" t="s">
        <v>21192</v>
      </c>
      <c r="P399" t="s">
        <v>4154</v>
      </c>
      <c r="Q399">
        <v>94.525694999999999</v>
      </c>
      <c r="R399" t="s">
        <v>21193</v>
      </c>
      <c r="S399">
        <v>50</v>
      </c>
    </row>
    <row r="400" spans="12:19" x14ac:dyDescent="0.2">
      <c r="L400" t="str">
        <f t="shared" si="22"/>
        <v>SUPLEMENTO 0,89x14</v>
      </c>
      <c r="M400" t="s">
        <v>4139</v>
      </c>
      <c r="N400" t="s">
        <v>3420</v>
      </c>
      <c r="O400" t="s">
        <v>21194</v>
      </c>
      <c r="P400" t="s">
        <v>4156</v>
      </c>
      <c r="Q400">
        <v>93.800602500000011</v>
      </c>
      <c r="R400" t="s">
        <v>21195</v>
      </c>
      <c r="S400">
        <v>50</v>
      </c>
    </row>
    <row r="401" spans="12:19" x14ac:dyDescent="0.2">
      <c r="L401" t="str">
        <f t="shared" si="22"/>
        <v>SUPLEMENTO 0,89x17</v>
      </c>
      <c r="M401" t="s">
        <v>4139</v>
      </c>
      <c r="N401" t="s">
        <v>3640</v>
      </c>
      <c r="O401" t="s">
        <v>21196</v>
      </c>
      <c r="P401" t="s">
        <v>4158</v>
      </c>
      <c r="Q401">
        <v>95.382622499999997</v>
      </c>
      <c r="R401" t="s">
        <v>21197</v>
      </c>
      <c r="S401">
        <v>50</v>
      </c>
    </row>
    <row r="402" spans="12:19" x14ac:dyDescent="0.2">
      <c r="L402" t="str">
        <f t="shared" si="22"/>
        <v>SUPLEMENTO 0,810x15</v>
      </c>
      <c r="M402" t="s">
        <v>4139</v>
      </c>
      <c r="N402" t="s">
        <v>3643</v>
      </c>
      <c r="O402" t="s">
        <v>21198</v>
      </c>
      <c r="P402" t="s">
        <v>4160</v>
      </c>
      <c r="Q402">
        <v>93.800602500000011</v>
      </c>
      <c r="R402" t="s">
        <v>21199</v>
      </c>
      <c r="S402">
        <v>50</v>
      </c>
    </row>
    <row r="403" spans="12:19" x14ac:dyDescent="0.2">
      <c r="L403" t="str">
        <f t="shared" si="22"/>
        <v>SUPLEMENTO 0,810x18</v>
      </c>
      <c r="M403" t="s">
        <v>4139</v>
      </c>
      <c r="N403" t="s">
        <v>3646</v>
      </c>
      <c r="O403" t="s">
        <v>21200</v>
      </c>
      <c r="P403" t="s">
        <v>4162</v>
      </c>
      <c r="Q403">
        <v>95.382622499999997</v>
      </c>
      <c r="R403" t="s">
        <v>21201</v>
      </c>
      <c r="S403">
        <v>50</v>
      </c>
    </row>
    <row r="404" spans="12:19" x14ac:dyDescent="0.2">
      <c r="L404" t="str">
        <f t="shared" si="22"/>
        <v>SUPLEMENTO 0,810x26</v>
      </c>
      <c r="M404" t="s">
        <v>4139</v>
      </c>
      <c r="N404" t="s">
        <v>3649</v>
      </c>
      <c r="O404" t="s">
        <v>21202</v>
      </c>
      <c r="P404" t="s">
        <v>4164</v>
      </c>
      <c r="Q404">
        <v>173.42894250000001</v>
      </c>
      <c r="R404" t="s">
        <v>21203</v>
      </c>
      <c r="S404">
        <v>50</v>
      </c>
    </row>
    <row r="405" spans="12:19" x14ac:dyDescent="0.2">
      <c r="L405" t="str">
        <f t="shared" si="22"/>
        <v>SUPLEMENTO 0,811x16</v>
      </c>
      <c r="M405" t="s">
        <v>4139</v>
      </c>
      <c r="N405" t="s">
        <v>3652</v>
      </c>
      <c r="O405" t="s">
        <v>21204</v>
      </c>
      <c r="P405" t="s">
        <v>4166</v>
      </c>
      <c r="Q405">
        <v>93.800602500000011</v>
      </c>
      <c r="R405" t="s">
        <v>21205</v>
      </c>
      <c r="S405">
        <v>50</v>
      </c>
    </row>
    <row r="406" spans="12:19" x14ac:dyDescent="0.2">
      <c r="L406" t="str">
        <f t="shared" si="22"/>
        <v>SUPLEMENTO 0,811x19</v>
      </c>
      <c r="M406" t="s">
        <v>4139</v>
      </c>
      <c r="N406" t="s">
        <v>3655</v>
      </c>
      <c r="O406" t="s">
        <v>21206</v>
      </c>
      <c r="P406" t="s">
        <v>4168</v>
      </c>
      <c r="Q406">
        <v>126.6275175</v>
      </c>
      <c r="R406" t="s">
        <v>21207</v>
      </c>
      <c r="S406">
        <v>50</v>
      </c>
    </row>
    <row r="407" spans="12:19" x14ac:dyDescent="0.2">
      <c r="L407" t="str">
        <f t="shared" si="22"/>
        <v>SUPLEMENTO 0,811x27</v>
      </c>
      <c r="M407" t="s">
        <v>4139</v>
      </c>
      <c r="N407" t="s">
        <v>3658</v>
      </c>
      <c r="O407" t="s">
        <v>21208</v>
      </c>
      <c r="P407" t="s">
        <v>4170</v>
      </c>
      <c r="Q407">
        <v>175.07687999999999</v>
      </c>
      <c r="R407" t="s">
        <v>21209</v>
      </c>
      <c r="S407">
        <v>50</v>
      </c>
    </row>
    <row r="408" spans="12:19" x14ac:dyDescent="0.2">
      <c r="L408" t="str">
        <f t="shared" si="22"/>
        <v>SUPLEMENTO 0,812x17</v>
      </c>
      <c r="M408" t="s">
        <v>4139</v>
      </c>
      <c r="N408" t="s">
        <v>3429</v>
      </c>
      <c r="O408" t="s">
        <v>21210</v>
      </c>
      <c r="P408" t="s">
        <v>4172</v>
      </c>
      <c r="Q408">
        <v>94.525694999999999</v>
      </c>
      <c r="R408" t="s">
        <v>21211</v>
      </c>
      <c r="S408">
        <v>50</v>
      </c>
    </row>
    <row r="409" spans="12:19" x14ac:dyDescent="0.2">
      <c r="L409" t="str">
        <f t="shared" si="22"/>
        <v>SUPLEMENTO 0,812x20</v>
      </c>
      <c r="M409" t="s">
        <v>4139</v>
      </c>
      <c r="N409" t="s">
        <v>3663</v>
      </c>
      <c r="O409" t="s">
        <v>21212</v>
      </c>
      <c r="P409" t="s">
        <v>4174</v>
      </c>
      <c r="Q409">
        <v>128.20953750000001</v>
      </c>
      <c r="R409" t="s">
        <v>21213</v>
      </c>
      <c r="S409">
        <v>50</v>
      </c>
    </row>
    <row r="410" spans="12:19" x14ac:dyDescent="0.2">
      <c r="L410" t="str">
        <f t="shared" si="22"/>
        <v>SUPLEMENTO 0,812x28</v>
      </c>
      <c r="M410" t="s">
        <v>4139</v>
      </c>
      <c r="N410" t="s">
        <v>3666</v>
      </c>
      <c r="O410" t="s">
        <v>21214</v>
      </c>
      <c r="P410" t="s">
        <v>4176</v>
      </c>
      <c r="Q410">
        <v>176.65890000000002</v>
      </c>
      <c r="R410" t="s">
        <v>21215</v>
      </c>
      <c r="S410">
        <v>50</v>
      </c>
    </row>
    <row r="411" spans="12:19" x14ac:dyDescent="0.2">
      <c r="L411" t="str">
        <f t="shared" si="22"/>
        <v>SUPLEMENTO 0,813x18</v>
      </c>
      <c r="M411" t="s">
        <v>4139</v>
      </c>
      <c r="N411" t="s">
        <v>3669</v>
      </c>
      <c r="O411" t="s">
        <v>21216</v>
      </c>
      <c r="P411" t="s">
        <v>4178</v>
      </c>
      <c r="Q411">
        <v>94.525694999999999</v>
      </c>
      <c r="R411" t="s">
        <v>21217</v>
      </c>
      <c r="S411">
        <v>50</v>
      </c>
    </row>
    <row r="412" spans="12:19" x14ac:dyDescent="0.2">
      <c r="L412" t="str">
        <f t="shared" si="22"/>
        <v>SUPLEMENTO 0,813x21</v>
      </c>
      <c r="M412" t="s">
        <v>4139</v>
      </c>
      <c r="N412" t="s">
        <v>3672</v>
      </c>
      <c r="O412" t="s">
        <v>21218</v>
      </c>
      <c r="P412" t="s">
        <v>4180</v>
      </c>
      <c r="Q412">
        <v>128.20953750000001</v>
      </c>
      <c r="R412" t="s">
        <v>21219</v>
      </c>
      <c r="S412">
        <v>50</v>
      </c>
    </row>
    <row r="413" spans="12:19" x14ac:dyDescent="0.2">
      <c r="L413" t="str">
        <f t="shared" si="22"/>
        <v>SUPLEMENTO 0,813x29</v>
      </c>
      <c r="M413" t="s">
        <v>4139</v>
      </c>
      <c r="N413" t="s">
        <v>3675</v>
      </c>
      <c r="O413" t="s">
        <v>21220</v>
      </c>
      <c r="P413" t="s">
        <v>4182</v>
      </c>
      <c r="Q413">
        <v>221.08729500000001</v>
      </c>
      <c r="R413" t="s">
        <v>21221</v>
      </c>
      <c r="S413">
        <v>50</v>
      </c>
    </row>
    <row r="414" spans="12:19" x14ac:dyDescent="0.2">
      <c r="L414" t="str">
        <f t="shared" si="22"/>
        <v>SUPLEMENTO 0,814x19</v>
      </c>
      <c r="M414" t="s">
        <v>4139</v>
      </c>
      <c r="N414" t="s">
        <v>3678</v>
      </c>
      <c r="O414" t="s">
        <v>21222</v>
      </c>
      <c r="P414" t="s">
        <v>4184</v>
      </c>
      <c r="Q414">
        <v>125.8365075</v>
      </c>
      <c r="R414" t="s">
        <v>21223</v>
      </c>
      <c r="S414">
        <v>50</v>
      </c>
    </row>
    <row r="415" spans="12:19" x14ac:dyDescent="0.2">
      <c r="L415" t="str">
        <f t="shared" si="22"/>
        <v>SUPLEMENTO 0,814x22</v>
      </c>
      <c r="M415" t="s">
        <v>4139</v>
      </c>
      <c r="N415" t="s">
        <v>3681</v>
      </c>
      <c r="O415" t="s">
        <v>21224</v>
      </c>
      <c r="P415" t="s">
        <v>4186</v>
      </c>
      <c r="Q415">
        <v>128.20953750000001</v>
      </c>
      <c r="R415" t="s">
        <v>21225</v>
      </c>
      <c r="S415">
        <v>50</v>
      </c>
    </row>
    <row r="416" spans="12:19" x14ac:dyDescent="0.2">
      <c r="L416" t="str">
        <f t="shared" si="22"/>
        <v>SUPLEMENTO 0,814x30</v>
      </c>
      <c r="M416" t="s">
        <v>4139</v>
      </c>
      <c r="N416" t="s">
        <v>3684</v>
      </c>
      <c r="O416" t="s">
        <v>21226</v>
      </c>
      <c r="P416" t="s">
        <v>4188</v>
      </c>
      <c r="Q416">
        <v>221.08729500000001</v>
      </c>
      <c r="R416" t="s">
        <v>21227</v>
      </c>
      <c r="S416">
        <v>50</v>
      </c>
    </row>
    <row r="417" spans="12:19" x14ac:dyDescent="0.2">
      <c r="L417" t="str">
        <f t="shared" si="22"/>
        <v>SUPLEMENTO 0,815x20</v>
      </c>
      <c r="M417" t="s">
        <v>4139</v>
      </c>
      <c r="N417" t="s">
        <v>3687</v>
      </c>
      <c r="O417" t="s">
        <v>21228</v>
      </c>
      <c r="P417" t="s">
        <v>4190</v>
      </c>
      <c r="Q417">
        <v>125.8365075</v>
      </c>
      <c r="R417" t="s">
        <v>21229</v>
      </c>
      <c r="S417">
        <v>50</v>
      </c>
    </row>
    <row r="418" spans="12:19" x14ac:dyDescent="0.2">
      <c r="L418" t="str">
        <f t="shared" si="22"/>
        <v>SUPLEMENTO 0,815x23</v>
      </c>
      <c r="M418" t="s">
        <v>4139</v>
      </c>
      <c r="N418" t="s">
        <v>3690</v>
      </c>
      <c r="O418" t="s">
        <v>21230</v>
      </c>
      <c r="P418" t="s">
        <v>4192</v>
      </c>
      <c r="Q418">
        <v>128.802795</v>
      </c>
      <c r="R418" t="s">
        <v>21231</v>
      </c>
      <c r="S418">
        <v>50</v>
      </c>
    </row>
    <row r="419" spans="12:19" x14ac:dyDescent="0.2">
      <c r="L419" t="str">
        <f t="shared" si="22"/>
        <v>SUPLEMENTO 0,815x30</v>
      </c>
      <c r="M419" t="s">
        <v>4139</v>
      </c>
      <c r="N419" t="s">
        <v>3693</v>
      </c>
      <c r="O419" t="s">
        <v>8353</v>
      </c>
      <c r="P419" t="s">
        <v>4194</v>
      </c>
      <c r="Q419">
        <v>0</v>
      </c>
    </row>
    <row r="420" spans="12:19" x14ac:dyDescent="0.2">
      <c r="L420" t="str">
        <f t="shared" si="22"/>
        <v>SUPLEMENTO 0,816x21</v>
      </c>
      <c r="M420" t="s">
        <v>4139</v>
      </c>
      <c r="N420" t="s">
        <v>3441</v>
      </c>
      <c r="O420" t="s">
        <v>21232</v>
      </c>
      <c r="P420" t="s">
        <v>4196</v>
      </c>
      <c r="Q420">
        <v>125.8365075</v>
      </c>
      <c r="R420" t="s">
        <v>21233</v>
      </c>
      <c r="S420">
        <v>50</v>
      </c>
    </row>
    <row r="421" spans="12:19" x14ac:dyDescent="0.2">
      <c r="L421" t="str">
        <f t="shared" si="22"/>
        <v>SUPLEMENTO 0,816x24</v>
      </c>
      <c r="M421" t="s">
        <v>4139</v>
      </c>
      <c r="N421" t="s">
        <v>3574</v>
      </c>
      <c r="O421" t="s">
        <v>21234</v>
      </c>
      <c r="P421" t="s">
        <v>4198</v>
      </c>
      <c r="Q421">
        <v>170.39673750000003</v>
      </c>
      <c r="R421" t="s">
        <v>21235</v>
      </c>
      <c r="S421">
        <v>50</v>
      </c>
    </row>
    <row r="422" spans="12:19" x14ac:dyDescent="0.2">
      <c r="L422" t="str">
        <f t="shared" si="22"/>
        <v>SUPLEMENTO 0,816x32</v>
      </c>
      <c r="M422" t="s">
        <v>4139</v>
      </c>
      <c r="N422" t="s">
        <v>3700</v>
      </c>
      <c r="O422" t="s">
        <v>21236</v>
      </c>
      <c r="P422" t="s">
        <v>4200</v>
      </c>
      <c r="Q422">
        <v>223.65807750000002</v>
      </c>
      <c r="R422" t="s">
        <v>21237</v>
      </c>
      <c r="S422">
        <v>50</v>
      </c>
    </row>
    <row r="423" spans="12:19" x14ac:dyDescent="0.2">
      <c r="L423" t="str">
        <f t="shared" si="22"/>
        <v>SUPLEMENTO 0,817x22</v>
      </c>
      <c r="M423" t="s">
        <v>4139</v>
      </c>
      <c r="N423" t="s">
        <v>3444</v>
      </c>
      <c r="O423" t="s">
        <v>21238</v>
      </c>
      <c r="P423" t="s">
        <v>4202</v>
      </c>
      <c r="Q423">
        <v>126.6275175</v>
      </c>
      <c r="R423" t="s">
        <v>21239</v>
      </c>
      <c r="S423">
        <v>50</v>
      </c>
    </row>
    <row r="424" spans="12:19" x14ac:dyDescent="0.2">
      <c r="L424" t="str">
        <f t="shared" si="22"/>
        <v>SUPLEMENTO 0,817x25</v>
      </c>
      <c r="M424" t="s">
        <v>4139</v>
      </c>
      <c r="N424" t="s">
        <v>3705</v>
      </c>
      <c r="O424" t="s">
        <v>21240</v>
      </c>
      <c r="P424" t="s">
        <v>4204</v>
      </c>
      <c r="Q424">
        <v>170.39673750000003</v>
      </c>
      <c r="R424" t="s">
        <v>21241</v>
      </c>
      <c r="S424">
        <v>50</v>
      </c>
    </row>
    <row r="425" spans="12:19" x14ac:dyDescent="0.2">
      <c r="L425" t="str">
        <f t="shared" si="22"/>
        <v>SUPLEMENTO 0,817x33</v>
      </c>
      <c r="M425" t="s">
        <v>4139</v>
      </c>
      <c r="N425" t="s">
        <v>3708</v>
      </c>
      <c r="O425" t="s">
        <v>21242</v>
      </c>
      <c r="P425" t="s">
        <v>4206</v>
      </c>
      <c r="Q425">
        <v>223.65807750000002</v>
      </c>
      <c r="R425" t="s">
        <v>21243</v>
      </c>
      <c r="S425">
        <v>50</v>
      </c>
    </row>
    <row r="426" spans="12:19" x14ac:dyDescent="0.2">
      <c r="L426" t="str">
        <f t="shared" si="22"/>
        <v>SUPLEMENTO 0,818x23</v>
      </c>
      <c r="M426" t="s">
        <v>4139</v>
      </c>
      <c r="N426" t="s">
        <v>3447</v>
      </c>
      <c r="O426" t="s">
        <v>21244</v>
      </c>
      <c r="P426" t="s">
        <v>4208</v>
      </c>
      <c r="Q426">
        <v>126.6275175</v>
      </c>
      <c r="R426" t="s">
        <v>21245</v>
      </c>
      <c r="S426">
        <v>50</v>
      </c>
    </row>
    <row r="427" spans="12:19" x14ac:dyDescent="0.2">
      <c r="L427" t="str">
        <f t="shared" si="22"/>
        <v>SUPLEMENTO 0,818x26</v>
      </c>
      <c r="M427" t="s">
        <v>4139</v>
      </c>
      <c r="N427" t="s">
        <v>3713</v>
      </c>
      <c r="O427" t="s">
        <v>21246</v>
      </c>
      <c r="P427" t="s">
        <v>4210</v>
      </c>
      <c r="Q427">
        <v>171.12183000000002</v>
      </c>
      <c r="R427" t="s">
        <v>21247</v>
      </c>
      <c r="S427">
        <v>50</v>
      </c>
    </row>
    <row r="428" spans="12:19" x14ac:dyDescent="0.2">
      <c r="L428" t="str">
        <f t="shared" si="22"/>
        <v>SUPLEMENTO 0,818x34</v>
      </c>
      <c r="M428" t="s">
        <v>4139</v>
      </c>
      <c r="N428" t="s">
        <v>3716</v>
      </c>
      <c r="O428" t="s">
        <v>21248</v>
      </c>
      <c r="P428" t="s">
        <v>4212</v>
      </c>
      <c r="Q428">
        <v>293.79429750000003</v>
      </c>
      <c r="R428" t="s">
        <v>21249</v>
      </c>
      <c r="S428">
        <v>50</v>
      </c>
    </row>
    <row r="429" spans="12:19" x14ac:dyDescent="0.2">
      <c r="L429" t="str">
        <f t="shared" si="22"/>
        <v>SUPLEMENTO 0,819x24</v>
      </c>
      <c r="M429" t="s">
        <v>4139</v>
      </c>
      <c r="N429" t="s">
        <v>3450</v>
      </c>
      <c r="O429" t="s">
        <v>21250</v>
      </c>
      <c r="P429" t="s">
        <v>4214</v>
      </c>
      <c r="Q429">
        <v>164.13457499999998</v>
      </c>
      <c r="R429" t="s">
        <v>21251</v>
      </c>
      <c r="S429">
        <v>50</v>
      </c>
    </row>
    <row r="430" spans="12:19" x14ac:dyDescent="0.2">
      <c r="L430" t="str">
        <f t="shared" si="22"/>
        <v>SUPLEMENTO 0,819x27</v>
      </c>
      <c r="M430" t="s">
        <v>4139</v>
      </c>
      <c r="N430" t="s">
        <v>3721</v>
      </c>
      <c r="O430" t="s">
        <v>21252</v>
      </c>
      <c r="P430" t="s">
        <v>4216</v>
      </c>
      <c r="Q430">
        <v>171.12183000000002</v>
      </c>
      <c r="R430" t="s">
        <v>21253</v>
      </c>
      <c r="S430">
        <v>50</v>
      </c>
    </row>
    <row r="431" spans="12:19" x14ac:dyDescent="0.2">
      <c r="L431" t="str">
        <f t="shared" si="22"/>
        <v>SUPLEMENTO 0,819x35</v>
      </c>
      <c r="M431" t="s">
        <v>4139</v>
      </c>
      <c r="N431" t="s">
        <v>3724</v>
      </c>
      <c r="O431" t="s">
        <v>21254</v>
      </c>
      <c r="P431" t="s">
        <v>4218</v>
      </c>
      <c r="Q431">
        <v>294.65122500000001</v>
      </c>
      <c r="R431" t="s">
        <v>21255</v>
      </c>
      <c r="S431">
        <v>50</v>
      </c>
    </row>
    <row r="432" spans="12:19" x14ac:dyDescent="0.2">
      <c r="L432" t="str">
        <f t="shared" si="22"/>
        <v>SUPLEMENTO 0,820x25</v>
      </c>
      <c r="M432" t="s">
        <v>4139</v>
      </c>
      <c r="N432" t="s">
        <v>3727</v>
      </c>
      <c r="O432" t="s">
        <v>21256</v>
      </c>
      <c r="P432" t="s">
        <v>4220</v>
      </c>
      <c r="Q432">
        <v>164.13457499999998</v>
      </c>
      <c r="R432" t="s">
        <v>21257</v>
      </c>
      <c r="S432">
        <v>50</v>
      </c>
    </row>
    <row r="433" spans="12:19" x14ac:dyDescent="0.2">
      <c r="L433" t="str">
        <f t="shared" si="22"/>
        <v>SUPLEMENTO 0,820x28</v>
      </c>
      <c r="M433" t="s">
        <v>4139</v>
      </c>
      <c r="N433" t="s">
        <v>3730</v>
      </c>
      <c r="O433" t="s">
        <v>21258</v>
      </c>
      <c r="P433" t="s">
        <v>4222</v>
      </c>
      <c r="Q433">
        <v>171.12183000000002</v>
      </c>
      <c r="R433" t="s">
        <v>21259</v>
      </c>
      <c r="S433">
        <v>50</v>
      </c>
    </row>
    <row r="434" spans="12:19" x14ac:dyDescent="0.2">
      <c r="L434" t="str">
        <f t="shared" si="22"/>
        <v>SUPLEMENTO 0,820x36</v>
      </c>
      <c r="M434" t="s">
        <v>4139</v>
      </c>
      <c r="N434" t="s">
        <v>3733</v>
      </c>
      <c r="O434" t="s">
        <v>21260</v>
      </c>
      <c r="P434" t="s">
        <v>4224</v>
      </c>
      <c r="Q434">
        <v>294.65122500000001</v>
      </c>
      <c r="R434" t="s">
        <v>21261</v>
      </c>
      <c r="S434">
        <v>50</v>
      </c>
    </row>
    <row r="435" spans="12:19" x14ac:dyDescent="0.2">
      <c r="L435" t="str">
        <f t="shared" si="22"/>
        <v>SUPLEMENTO 0,821x29</v>
      </c>
      <c r="M435" t="s">
        <v>4139</v>
      </c>
      <c r="N435" t="s">
        <v>3738</v>
      </c>
      <c r="O435" t="s">
        <v>21262</v>
      </c>
      <c r="P435" t="s">
        <v>4226</v>
      </c>
      <c r="Q435">
        <v>216.34123500000001</v>
      </c>
      <c r="R435" t="s">
        <v>21263</v>
      </c>
      <c r="S435">
        <v>50</v>
      </c>
    </row>
    <row r="436" spans="12:19" x14ac:dyDescent="0.2">
      <c r="L436" t="str">
        <f t="shared" si="22"/>
        <v>SUPLEMENTO 0,821x37</v>
      </c>
      <c r="M436" t="s">
        <v>4139</v>
      </c>
      <c r="N436" t="s">
        <v>3741</v>
      </c>
      <c r="O436" t="s">
        <v>21264</v>
      </c>
      <c r="P436" t="s">
        <v>4228</v>
      </c>
      <c r="Q436">
        <v>295.44223500000004</v>
      </c>
      <c r="R436" t="s">
        <v>21265</v>
      </c>
      <c r="S436">
        <v>50</v>
      </c>
    </row>
    <row r="437" spans="12:19" x14ac:dyDescent="0.2">
      <c r="L437" t="str">
        <f t="shared" si="22"/>
        <v>SUPLEMENTO 0,822x30</v>
      </c>
      <c r="M437" t="s">
        <v>4139</v>
      </c>
      <c r="N437" t="s">
        <v>3747</v>
      </c>
      <c r="O437" t="s">
        <v>21266</v>
      </c>
      <c r="P437" t="s">
        <v>4230</v>
      </c>
      <c r="Q437">
        <v>216.34123500000001</v>
      </c>
      <c r="R437" t="s">
        <v>21267</v>
      </c>
      <c r="S437">
        <v>50</v>
      </c>
    </row>
    <row r="438" spans="12:19" x14ac:dyDescent="0.2">
      <c r="L438" t="str">
        <f t="shared" si="22"/>
        <v>SUPLEMENTO 0,822x38</v>
      </c>
      <c r="M438" t="s">
        <v>4139</v>
      </c>
      <c r="N438" t="s">
        <v>3750</v>
      </c>
      <c r="O438" t="s">
        <v>21268</v>
      </c>
      <c r="P438" t="s">
        <v>4232</v>
      </c>
      <c r="Q438">
        <v>295.44223500000004</v>
      </c>
      <c r="R438" t="s">
        <v>21269</v>
      </c>
      <c r="S438">
        <v>50</v>
      </c>
    </row>
    <row r="439" spans="12:19" x14ac:dyDescent="0.2">
      <c r="L439" t="str">
        <f t="shared" si="22"/>
        <v>SUPLEMENTO 0,823x31</v>
      </c>
      <c r="M439" t="s">
        <v>4139</v>
      </c>
      <c r="N439" t="s">
        <v>3756</v>
      </c>
      <c r="O439" t="s">
        <v>21270</v>
      </c>
      <c r="P439" t="s">
        <v>4234</v>
      </c>
      <c r="Q439">
        <v>217.26408000000001</v>
      </c>
      <c r="R439" t="s">
        <v>21271</v>
      </c>
      <c r="S439">
        <v>50</v>
      </c>
    </row>
    <row r="440" spans="12:19" x14ac:dyDescent="0.2">
      <c r="L440" t="str">
        <f t="shared" si="22"/>
        <v>SUPLEMENTO 0,823x39</v>
      </c>
      <c r="M440" t="s">
        <v>4139</v>
      </c>
      <c r="N440" t="s">
        <v>3759</v>
      </c>
      <c r="O440" t="s">
        <v>21272</v>
      </c>
      <c r="P440" t="s">
        <v>4236</v>
      </c>
      <c r="Q440">
        <v>355.49307750000003</v>
      </c>
      <c r="R440" t="s">
        <v>21273</v>
      </c>
      <c r="S440">
        <v>50</v>
      </c>
    </row>
    <row r="441" spans="12:19" x14ac:dyDescent="0.2">
      <c r="L441" t="str">
        <f t="shared" si="22"/>
        <v>SUPLEMENTO 0,824x32</v>
      </c>
      <c r="M441" t="s">
        <v>4139</v>
      </c>
      <c r="N441" t="s">
        <v>3462</v>
      </c>
      <c r="O441" t="s">
        <v>21274</v>
      </c>
      <c r="P441" t="s">
        <v>4238</v>
      </c>
      <c r="Q441">
        <v>217.26408000000001</v>
      </c>
      <c r="R441" t="s">
        <v>21275</v>
      </c>
      <c r="S441">
        <v>50</v>
      </c>
    </row>
    <row r="442" spans="12:19" x14ac:dyDescent="0.2">
      <c r="L442" t="str">
        <f t="shared" si="22"/>
        <v>SUPLEMENTO 0,824x40</v>
      </c>
      <c r="M442" t="s">
        <v>4139</v>
      </c>
      <c r="N442" t="s">
        <v>3767</v>
      </c>
      <c r="O442" t="s">
        <v>21276</v>
      </c>
      <c r="P442" t="s">
        <v>4240</v>
      </c>
      <c r="Q442">
        <v>357.14101499999998</v>
      </c>
      <c r="R442" t="s">
        <v>21277</v>
      </c>
      <c r="S442">
        <v>50</v>
      </c>
    </row>
    <row r="443" spans="12:19" x14ac:dyDescent="0.2">
      <c r="L443" t="str">
        <f t="shared" si="22"/>
        <v>SUPLEMENTO 0,825x33</v>
      </c>
      <c r="M443" t="s">
        <v>4139</v>
      </c>
      <c r="N443" t="s">
        <v>3773</v>
      </c>
      <c r="O443" t="s">
        <v>21278</v>
      </c>
      <c r="P443" t="s">
        <v>4242</v>
      </c>
      <c r="Q443">
        <v>217.26408000000001</v>
      </c>
      <c r="R443" t="s">
        <v>21279</v>
      </c>
      <c r="S443">
        <v>50</v>
      </c>
    </row>
    <row r="444" spans="12:19" x14ac:dyDescent="0.2">
      <c r="L444" t="str">
        <f t="shared" si="22"/>
        <v>SUPLEMENTO 0,825x41</v>
      </c>
      <c r="M444" t="s">
        <v>4139</v>
      </c>
      <c r="N444" t="s">
        <v>3776</v>
      </c>
      <c r="O444" t="s">
        <v>21280</v>
      </c>
      <c r="P444" t="s">
        <v>4244</v>
      </c>
      <c r="Q444">
        <v>357.14101499999998</v>
      </c>
      <c r="R444" t="s">
        <v>21281</v>
      </c>
      <c r="S444">
        <v>50</v>
      </c>
    </row>
    <row r="445" spans="12:19" x14ac:dyDescent="0.2">
      <c r="L445" t="str">
        <f t="shared" si="22"/>
        <v>SUPLEMENTO 0,826x34</v>
      </c>
      <c r="M445" t="s">
        <v>4139</v>
      </c>
      <c r="N445" t="s">
        <v>3465</v>
      </c>
      <c r="O445" t="s">
        <v>21282</v>
      </c>
      <c r="P445" t="s">
        <v>4246</v>
      </c>
      <c r="Q445">
        <v>289.11415499999998</v>
      </c>
      <c r="R445" t="s">
        <v>21283</v>
      </c>
      <c r="S445">
        <v>50</v>
      </c>
    </row>
    <row r="446" spans="12:19" x14ac:dyDescent="0.2">
      <c r="L446" t="str">
        <f t="shared" si="22"/>
        <v>SUPLEMENTO 0,826x42</v>
      </c>
      <c r="M446" t="s">
        <v>4139</v>
      </c>
      <c r="N446" t="s">
        <v>3784</v>
      </c>
      <c r="O446" t="s">
        <v>21284</v>
      </c>
      <c r="P446" t="s">
        <v>4248</v>
      </c>
      <c r="Q446">
        <v>357.86610750000006</v>
      </c>
      <c r="R446" t="s">
        <v>21285</v>
      </c>
      <c r="S446">
        <v>50</v>
      </c>
    </row>
    <row r="447" spans="12:19" x14ac:dyDescent="0.2">
      <c r="L447" t="str">
        <f t="shared" si="22"/>
        <v>SUPLEMENTO 0,827x35</v>
      </c>
      <c r="M447" t="s">
        <v>4139</v>
      </c>
      <c r="N447" t="s">
        <v>3787</v>
      </c>
      <c r="O447" t="s">
        <v>21286</v>
      </c>
      <c r="P447" t="s">
        <v>4250</v>
      </c>
      <c r="Q447">
        <v>289.11415499999998</v>
      </c>
      <c r="R447" t="s">
        <v>21287</v>
      </c>
      <c r="S447">
        <v>50</v>
      </c>
    </row>
    <row r="448" spans="12:19" x14ac:dyDescent="0.2">
      <c r="L448" t="str">
        <f t="shared" si="22"/>
        <v>SUPLEMENTO 0,827x43</v>
      </c>
      <c r="M448" t="s">
        <v>4139</v>
      </c>
      <c r="N448" t="s">
        <v>3790</v>
      </c>
      <c r="O448" t="s">
        <v>21288</v>
      </c>
      <c r="P448" t="s">
        <v>4252</v>
      </c>
      <c r="Q448">
        <v>357.86610750000006</v>
      </c>
      <c r="R448" t="s">
        <v>21289</v>
      </c>
      <c r="S448">
        <v>50</v>
      </c>
    </row>
    <row r="449" spans="12:19" x14ac:dyDescent="0.2">
      <c r="L449" t="str">
        <f t="shared" si="22"/>
        <v>SUPLEMENTO 0,828x36</v>
      </c>
      <c r="M449" t="s">
        <v>4139</v>
      </c>
      <c r="N449" t="s">
        <v>3527</v>
      </c>
      <c r="O449" t="s">
        <v>21290</v>
      </c>
      <c r="P449" t="s">
        <v>4254</v>
      </c>
      <c r="Q449">
        <v>289.11415499999998</v>
      </c>
      <c r="R449" t="s">
        <v>21291</v>
      </c>
      <c r="S449">
        <v>50</v>
      </c>
    </row>
    <row r="450" spans="12:19" x14ac:dyDescent="0.2">
      <c r="L450" t="str">
        <f t="shared" si="22"/>
        <v>SUPLEMENTO 0,828x44</v>
      </c>
      <c r="M450" t="s">
        <v>4139</v>
      </c>
      <c r="N450" t="s">
        <v>3795</v>
      </c>
      <c r="O450" t="s">
        <v>21292</v>
      </c>
      <c r="P450" t="s">
        <v>4256</v>
      </c>
      <c r="Q450">
        <v>424.37686500000007</v>
      </c>
      <c r="R450" t="s">
        <v>21293</v>
      </c>
      <c r="S450">
        <v>50</v>
      </c>
    </row>
    <row r="451" spans="12:19" x14ac:dyDescent="0.2">
      <c r="L451" t="str">
        <f t="shared" si="22"/>
        <v>SUPLEMENTO 0,829x37</v>
      </c>
      <c r="M451" t="s">
        <v>4139</v>
      </c>
      <c r="N451" t="s">
        <v>3798</v>
      </c>
      <c r="O451" t="s">
        <v>21294</v>
      </c>
      <c r="P451" t="s">
        <v>4258</v>
      </c>
      <c r="Q451">
        <v>290.03699999999998</v>
      </c>
      <c r="R451" t="s">
        <v>21295</v>
      </c>
      <c r="S451">
        <v>50</v>
      </c>
    </row>
    <row r="452" spans="12:19" x14ac:dyDescent="0.2">
      <c r="L452" t="str">
        <f t="shared" ref="L452:L498" si="23">+M452&amp;N452</f>
        <v>SUPLEMENTO 0,829x45</v>
      </c>
      <c r="M452" t="s">
        <v>4139</v>
      </c>
      <c r="N452" t="s">
        <v>3801</v>
      </c>
      <c r="O452" t="s">
        <v>21296</v>
      </c>
      <c r="P452" t="s">
        <v>4260</v>
      </c>
      <c r="Q452">
        <v>424.37686500000007</v>
      </c>
      <c r="R452" t="s">
        <v>21297</v>
      </c>
      <c r="S452">
        <v>50</v>
      </c>
    </row>
    <row r="453" spans="12:19" x14ac:dyDescent="0.2">
      <c r="L453" t="str">
        <f t="shared" si="23"/>
        <v>SUPLEMENTO 0,830x38</v>
      </c>
      <c r="M453" t="s">
        <v>4139</v>
      </c>
      <c r="N453" t="s">
        <v>3807</v>
      </c>
      <c r="O453" t="s">
        <v>21298</v>
      </c>
      <c r="P453" t="s">
        <v>4262</v>
      </c>
      <c r="Q453">
        <v>290.03699999999998</v>
      </c>
      <c r="R453" t="s">
        <v>21299</v>
      </c>
      <c r="S453">
        <v>50</v>
      </c>
    </row>
    <row r="454" spans="12:19" x14ac:dyDescent="0.2">
      <c r="L454" t="str">
        <f t="shared" si="23"/>
        <v>SUPLEMENTO 0,831x39</v>
      </c>
      <c r="M454" t="s">
        <v>4139</v>
      </c>
      <c r="N454" t="s">
        <v>3813</v>
      </c>
      <c r="O454" t="s">
        <v>21300</v>
      </c>
      <c r="P454" t="s">
        <v>4267</v>
      </c>
      <c r="Q454">
        <v>349.29683250000005</v>
      </c>
      <c r="R454" t="s">
        <v>21301</v>
      </c>
      <c r="S454">
        <v>50</v>
      </c>
    </row>
    <row r="455" spans="12:19" x14ac:dyDescent="0.2">
      <c r="L455" t="str">
        <f t="shared" si="23"/>
        <v>SUPLEMENTO 0,831x47</v>
      </c>
      <c r="M455" t="s">
        <v>4139</v>
      </c>
      <c r="N455" t="s">
        <v>3816</v>
      </c>
      <c r="O455" t="s">
        <v>21302</v>
      </c>
      <c r="P455" t="s">
        <v>4269</v>
      </c>
      <c r="Q455">
        <v>426.48622499999999</v>
      </c>
      <c r="R455" t="s">
        <v>21303</v>
      </c>
      <c r="S455">
        <v>50</v>
      </c>
    </row>
    <row r="456" spans="12:19" x14ac:dyDescent="0.2">
      <c r="L456" t="str">
        <f t="shared" si="23"/>
        <v>SUPLEMENTO 0,832x40</v>
      </c>
      <c r="M456" t="s">
        <v>4139</v>
      </c>
      <c r="N456" t="s">
        <v>3597</v>
      </c>
      <c r="O456" t="s">
        <v>21304</v>
      </c>
      <c r="P456" t="s">
        <v>4271</v>
      </c>
      <c r="Q456">
        <v>349.29683250000005</v>
      </c>
      <c r="R456" t="s">
        <v>21305</v>
      </c>
      <c r="S456">
        <v>50</v>
      </c>
    </row>
    <row r="457" spans="12:19" x14ac:dyDescent="0.2">
      <c r="L457" t="str">
        <f t="shared" si="23"/>
        <v>SUPLEMENTO 0,832x48</v>
      </c>
      <c r="M457" t="s">
        <v>4139</v>
      </c>
      <c r="N457" t="s">
        <v>3821</v>
      </c>
      <c r="O457" t="s">
        <v>21306</v>
      </c>
      <c r="P457" t="s">
        <v>4273</v>
      </c>
      <c r="Q457">
        <v>426.48622499999999</v>
      </c>
      <c r="R457" t="s">
        <v>21307</v>
      </c>
      <c r="S457">
        <v>50</v>
      </c>
    </row>
    <row r="458" spans="12:19" x14ac:dyDescent="0.2">
      <c r="L458" t="str">
        <f t="shared" si="23"/>
        <v>SUPLEMENTO 0,833x41</v>
      </c>
      <c r="M458" t="s">
        <v>4139</v>
      </c>
      <c r="N458" t="s">
        <v>3824</v>
      </c>
      <c r="O458" t="s">
        <v>21308</v>
      </c>
      <c r="P458" t="s">
        <v>4275</v>
      </c>
      <c r="Q458">
        <v>349.29683250000005</v>
      </c>
      <c r="R458" t="s">
        <v>21309</v>
      </c>
      <c r="S458">
        <v>50</v>
      </c>
    </row>
    <row r="459" spans="12:19" x14ac:dyDescent="0.2">
      <c r="L459" t="str">
        <f t="shared" si="23"/>
        <v>SUPLEMENTO 0,833x49</v>
      </c>
      <c r="M459" t="s">
        <v>4139</v>
      </c>
      <c r="N459" t="s">
        <v>3827</v>
      </c>
      <c r="O459" t="s">
        <v>21310</v>
      </c>
      <c r="P459" t="s">
        <v>4277</v>
      </c>
      <c r="Q459">
        <v>500.1819900000001</v>
      </c>
      <c r="R459" t="s">
        <v>21311</v>
      </c>
      <c r="S459">
        <v>50</v>
      </c>
    </row>
    <row r="460" spans="12:19" x14ac:dyDescent="0.2">
      <c r="L460" t="str">
        <f t="shared" si="23"/>
        <v>SUPLEMENTO 0,834x42</v>
      </c>
      <c r="M460" t="s">
        <v>4139</v>
      </c>
      <c r="N460" t="s">
        <v>3830</v>
      </c>
      <c r="O460" t="s">
        <v>21312</v>
      </c>
      <c r="P460" t="s">
        <v>4279</v>
      </c>
      <c r="Q460">
        <v>349.29683250000005</v>
      </c>
      <c r="R460" t="s">
        <v>21313</v>
      </c>
      <c r="S460">
        <v>50</v>
      </c>
    </row>
    <row r="461" spans="12:19" x14ac:dyDescent="0.2">
      <c r="L461" t="str">
        <f t="shared" si="23"/>
        <v>SUPLEMENTO 0,834x50</v>
      </c>
      <c r="M461" t="s">
        <v>4139</v>
      </c>
      <c r="N461" t="s">
        <v>3833</v>
      </c>
      <c r="O461" t="s">
        <v>21314</v>
      </c>
      <c r="P461" t="s">
        <v>4281</v>
      </c>
      <c r="Q461">
        <v>500.1819900000001</v>
      </c>
      <c r="R461" t="s">
        <v>21315</v>
      </c>
      <c r="S461">
        <v>50</v>
      </c>
    </row>
    <row r="462" spans="12:19" x14ac:dyDescent="0.2">
      <c r="L462" t="str">
        <f t="shared" si="23"/>
        <v>SUPLEMENTO 0,835x43</v>
      </c>
      <c r="M462" t="s">
        <v>4139</v>
      </c>
      <c r="N462" t="s">
        <v>3836</v>
      </c>
      <c r="O462" t="s">
        <v>21316</v>
      </c>
      <c r="P462" t="s">
        <v>4283</v>
      </c>
      <c r="Q462">
        <v>350.08784250000002</v>
      </c>
      <c r="R462" t="s">
        <v>21317</v>
      </c>
      <c r="S462">
        <v>50</v>
      </c>
    </row>
    <row r="463" spans="12:19" x14ac:dyDescent="0.2">
      <c r="L463" t="str">
        <f t="shared" si="23"/>
        <v>SUPLEMENTO 0,835x51</v>
      </c>
      <c r="M463" t="s">
        <v>4139</v>
      </c>
      <c r="N463" t="s">
        <v>3839</v>
      </c>
      <c r="O463" t="s">
        <v>21318</v>
      </c>
      <c r="P463" t="s">
        <v>4285</v>
      </c>
      <c r="Q463">
        <v>500.77524750000009</v>
      </c>
      <c r="R463" t="s">
        <v>21319</v>
      </c>
      <c r="S463">
        <v>50</v>
      </c>
    </row>
    <row r="464" spans="12:19" x14ac:dyDescent="0.2">
      <c r="L464" t="str">
        <f t="shared" si="23"/>
        <v>SUPLEMENTO 0,836x44</v>
      </c>
      <c r="M464" t="s">
        <v>4139</v>
      </c>
      <c r="N464" t="s">
        <v>3842</v>
      </c>
      <c r="O464" t="s">
        <v>21320</v>
      </c>
      <c r="P464" t="s">
        <v>4287</v>
      </c>
      <c r="Q464">
        <v>415.67575500000004</v>
      </c>
      <c r="R464" t="s">
        <v>21321</v>
      </c>
      <c r="S464">
        <v>50</v>
      </c>
    </row>
    <row r="465" spans="12:19" x14ac:dyDescent="0.2">
      <c r="L465" t="str">
        <f t="shared" si="23"/>
        <v>SUPLEMENTO 0,836x52</v>
      </c>
      <c r="M465" t="s">
        <v>4139</v>
      </c>
      <c r="N465" t="s">
        <v>3845</v>
      </c>
      <c r="O465" t="s">
        <v>21322</v>
      </c>
      <c r="P465" t="s">
        <v>4289</v>
      </c>
      <c r="Q465">
        <v>500.77524750000009</v>
      </c>
      <c r="R465" t="s">
        <v>21323</v>
      </c>
      <c r="S465">
        <v>50</v>
      </c>
    </row>
    <row r="466" spans="12:19" x14ac:dyDescent="0.2">
      <c r="L466" t="str">
        <f t="shared" si="23"/>
        <v>SUPLEMENTO 0,837x45</v>
      </c>
      <c r="M466" t="s">
        <v>4139</v>
      </c>
      <c r="N466" t="s">
        <v>3848</v>
      </c>
      <c r="O466" t="s">
        <v>21324</v>
      </c>
      <c r="P466" t="s">
        <v>4291</v>
      </c>
      <c r="Q466">
        <v>415.67575500000004</v>
      </c>
      <c r="R466" t="s">
        <v>21325</v>
      </c>
      <c r="S466">
        <v>50</v>
      </c>
    </row>
    <row r="467" spans="12:19" x14ac:dyDescent="0.2">
      <c r="L467" t="str">
        <f t="shared" si="23"/>
        <v>SUPLEMENTO 0,837x53</v>
      </c>
      <c r="M467" t="s">
        <v>4139</v>
      </c>
      <c r="N467" t="s">
        <v>3851</v>
      </c>
      <c r="O467" t="s">
        <v>21326</v>
      </c>
      <c r="P467" t="s">
        <v>4293</v>
      </c>
      <c r="Q467">
        <v>501.63217500000002</v>
      </c>
      <c r="R467" t="s">
        <v>21327</v>
      </c>
      <c r="S467">
        <v>50</v>
      </c>
    </row>
    <row r="468" spans="12:19" x14ac:dyDescent="0.2">
      <c r="L468" t="str">
        <f t="shared" si="23"/>
        <v>SUPLEMENTO 0,838x46</v>
      </c>
      <c r="M468" t="s">
        <v>4139</v>
      </c>
      <c r="N468" t="s">
        <v>3854</v>
      </c>
      <c r="O468" t="s">
        <v>21328</v>
      </c>
      <c r="P468" t="s">
        <v>4295</v>
      </c>
      <c r="Q468">
        <v>415.67575500000004</v>
      </c>
      <c r="R468" t="s">
        <v>21329</v>
      </c>
      <c r="S468">
        <v>50</v>
      </c>
    </row>
    <row r="469" spans="12:19" x14ac:dyDescent="0.2">
      <c r="L469" t="str">
        <f t="shared" si="23"/>
        <v>SUPLEMENTO 0,838x54</v>
      </c>
      <c r="M469" t="s">
        <v>4139</v>
      </c>
      <c r="N469" t="s">
        <v>3857</v>
      </c>
      <c r="O469" t="s">
        <v>21330</v>
      </c>
      <c r="P469" t="s">
        <v>4297</v>
      </c>
      <c r="Q469">
        <v>582.97437000000002</v>
      </c>
      <c r="R469" t="s">
        <v>21331</v>
      </c>
      <c r="S469">
        <v>50</v>
      </c>
    </row>
    <row r="470" spans="12:19" x14ac:dyDescent="0.2">
      <c r="L470" t="str">
        <f t="shared" si="23"/>
        <v>SUPLEMENTO 0,839x47</v>
      </c>
      <c r="M470" t="s">
        <v>4139</v>
      </c>
      <c r="N470" t="s">
        <v>3860</v>
      </c>
      <c r="O470" t="s">
        <v>21332</v>
      </c>
      <c r="P470" t="s">
        <v>4299</v>
      </c>
      <c r="Q470">
        <v>417.32369250000005</v>
      </c>
      <c r="R470" t="s">
        <v>21333</v>
      </c>
      <c r="S470">
        <v>50</v>
      </c>
    </row>
    <row r="471" spans="12:19" x14ac:dyDescent="0.2">
      <c r="L471" t="str">
        <f t="shared" si="23"/>
        <v>SUPLEMENTO 0,839x55</v>
      </c>
      <c r="M471" t="s">
        <v>4139</v>
      </c>
      <c r="N471" t="s">
        <v>3863</v>
      </c>
      <c r="O471" t="s">
        <v>21334</v>
      </c>
      <c r="P471" t="s">
        <v>4301</v>
      </c>
      <c r="Q471">
        <v>583.83129750000001</v>
      </c>
      <c r="R471" t="s">
        <v>21335</v>
      </c>
      <c r="S471">
        <v>50</v>
      </c>
    </row>
    <row r="472" spans="12:19" x14ac:dyDescent="0.2">
      <c r="L472" t="str">
        <f t="shared" si="23"/>
        <v>SUPLEMENTO 0,840x48</v>
      </c>
      <c r="M472" t="s">
        <v>4139</v>
      </c>
      <c r="N472" t="s">
        <v>3866</v>
      </c>
      <c r="O472" t="s">
        <v>21336</v>
      </c>
      <c r="P472" t="s">
        <v>4303</v>
      </c>
      <c r="Q472">
        <v>417.32369250000005</v>
      </c>
      <c r="R472" t="s">
        <v>21337</v>
      </c>
      <c r="S472">
        <v>50</v>
      </c>
    </row>
    <row r="473" spans="12:19" x14ac:dyDescent="0.2">
      <c r="L473" t="str">
        <f t="shared" si="23"/>
        <v>SUPLEMENTO 0,840x56</v>
      </c>
      <c r="M473" t="s">
        <v>4139</v>
      </c>
      <c r="N473" t="s">
        <v>3869</v>
      </c>
      <c r="O473" t="s">
        <v>21338</v>
      </c>
      <c r="P473" t="s">
        <v>4305</v>
      </c>
      <c r="Q473">
        <v>583.83129750000001</v>
      </c>
      <c r="R473" t="s">
        <v>21339</v>
      </c>
      <c r="S473">
        <v>50</v>
      </c>
    </row>
    <row r="474" spans="12:19" x14ac:dyDescent="0.2">
      <c r="L474" t="str">
        <f t="shared" si="23"/>
        <v>SUPLEMENTO 0,841x49</v>
      </c>
      <c r="M474" t="s">
        <v>4139</v>
      </c>
      <c r="N474" t="s">
        <v>3872</v>
      </c>
      <c r="O474" t="s">
        <v>21340</v>
      </c>
      <c r="P474" t="s">
        <v>4307</v>
      </c>
      <c r="Q474">
        <v>490.03069500000004</v>
      </c>
      <c r="R474" t="s">
        <v>21341</v>
      </c>
      <c r="S474">
        <v>50</v>
      </c>
    </row>
    <row r="475" spans="12:19" x14ac:dyDescent="0.2">
      <c r="L475" t="str">
        <f t="shared" si="23"/>
        <v>SUPLEMENTO 0,841x57</v>
      </c>
      <c r="M475" t="s">
        <v>4139</v>
      </c>
      <c r="N475" t="s">
        <v>3875</v>
      </c>
      <c r="O475" t="s">
        <v>21342</v>
      </c>
      <c r="P475" t="s">
        <v>4309</v>
      </c>
      <c r="Q475">
        <v>584.42455500000005</v>
      </c>
      <c r="R475" t="s">
        <v>21343</v>
      </c>
      <c r="S475">
        <v>50</v>
      </c>
    </row>
    <row r="476" spans="12:19" x14ac:dyDescent="0.2">
      <c r="L476" t="str">
        <f t="shared" si="23"/>
        <v>SUPLEMENTO 0,842x50</v>
      </c>
      <c r="M476" t="s">
        <v>4139</v>
      </c>
      <c r="N476" t="s">
        <v>3878</v>
      </c>
      <c r="O476" t="s">
        <v>21344</v>
      </c>
      <c r="P476" t="s">
        <v>4311</v>
      </c>
      <c r="Q476">
        <v>490.55803499999996</v>
      </c>
      <c r="R476" t="s">
        <v>21345</v>
      </c>
      <c r="S476">
        <v>50</v>
      </c>
    </row>
    <row r="477" spans="12:19" x14ac:dyDescent="0.2">
      <c r="L477" t="str">
        <f t="shared" si="23"/>
        <v>SUPLEMENTO 0,842x58</v>
      </c>
      <c r="M477" t="s">
        <v>4139</v>
      </c>
      <c r="N477" t="s">
        <v>3881</v>
      </c>
      <c r="O477" t="s">
        <v>21346</v>
      </c>
      <c r="P477" t="s">
        <v>4313</v>
      </c>
      <c r="Q477">
        <v>584.42455500000005</v>
      </c>
      <c r="R477" t="s">
        <v>21347</v>
      </c>
      <c r="S477">
        <v>50</v>
      </c>
    </row>
    <row r="478" spans="12:19" x14ac:dyDescent="0.2">
      <c r="L478" t="str">
        <f t="shared" si="23"/>
        <v>SUPLEMENTO 0,843x59</v>
      </c>
      <c r="M478" t="s">
        <v>4139</v>
      </c>
      <c r="N478" t="s">
        <v>3884</v>
      </c>
      <c r="O478" t="s">
        <v>21348</v>
      </c>
      <c r="P478" t="s">
        <v>4315</v>
      </c>
      <c r="Q478">
        <v>671.10606749999999</v>
      </c>
      <c r="R478" t="s">
        <v>21349</v>
      </c>
      <c r="S478">
        <v>50</v>
      </c>
    </row>
    <row r="479" spans="12:19" x14ac:dyDescent="0.2">
      <c r="L479" t="str">
        <f t="shared" si="23"/>
        <v>SUPLEMENTO 0,844x60</v>
      </c>
      <c r="M479" t="s">
        <v>4139</v>
      </c>
      <c r="N479" t="s">
        <v>3887</v>
      </c>
      <c r="O479" t="s">
        <v>21350</v>
      </c>
      <c r="P479" t="s">
        <v>4317</v>
      </c>
      <c r="Q479">
        <v>671.10606749999999</v>
      </c>
      <c r="R479" t="s">
        <v>21351</v>
      </c>
      <c r="S479">
        <v>50</v>
      </c>
    </row>
    <row r="480" spans="12:19" x14ac:dyDescent="0.2">
      <c r="L480" t="str">
        <f t="shared" si="23"/>
        <v>SUPLEMENTO 0,845x61</v>
      </c>
      <c r="M480" t="s">
        <v>4139</v>
      </c>
      <c r="N480" t="s">
        <v>3890</v>
      </c>
      <c r="O480" t="s">
        <v>21352</v>
      </c>
      <c r="P480" t="s">
        <v>4319</v>
      </c>
      <c r="Q480">
        <v>671.96299500000009</v>
      </c>
      <c r="R480" t="s">
        <v>21353</v>
      </c>
      <c r="S480">
        <v>50</v>
      </c>
    </row>
    <row r="481" spans="12:19" x14ac:dyDescent="0.2">
      <c r="L481" t="str">
        <f t="shared" si="23"/>
        <v>SUPLEMENTO 0,846x58</v>
      </c>
      <c r="M481" t="s">
        <v>4139</v>
      </c>
      <c r="N481" t="s">
        <v>3893</v>
      </c>
      <c r="O481" t="s">
        <v>21354</v>
      </c>
      <c r="P481" t="s">
        <v>4321</v>
      </c>
      <c r="Q481">
        <v>578.16239250000001</v>
      </c>
      <c r="R481" t="s">
        <v>21355</v>
      </c>
      <c r="S481">
        <v>50</v>
      </c>
    </row>
    <row r="482" spans="12:19" x14ac:dyDescent="0.2">
      <c r="L482" t="str">
        <f t="shared" si="23"/>
        <v>SUPLEMENTO 0,847x59</v>
      </c>
      <c r="M482" t="s">
        <v>4139</v>
      </c>
      <c r="N482" t="s">
        <v>3896</v>
      </c>
      <c r="O482" t="s">
        <v>21356</v>
      </c>
      <c r="P482" t="s">
        <v>4323</v>
      </c>
      <c r="Q482">
        <v>664.25064750000001</v>
      </c>
      <c r="R482" t="s">
        <v>21357</v>
      </c>
      <c r="S482">
        <v>50</v>
      </c>
    </row>
    <row r="483" spans="12:19" x14ac:dyDescent="0.2">
      <c r="L483" t="str">
        <f t="shared" si="23"/>
        <v>SUPLEMENTO 0,848x60</v>
      </c>
      <c r="M483" t="s">
        <v>4139</v>
      </c>
      <c r="N483" t="s">
        <v>3899</v>
      </c>
      <c r="O483" t="s">
        <v>21358</v>
      </c>
      <c r="P483" t="s">
        <v>4325</v>
      </c>
      <c r="Q483">
        <v>664.97573999999997</v>
      </c>
      <c r="R483" t="s">
        <v>21359</v>
      </c>
      <c r="S483">
        <v>50</v>
      </c>
    </row>
    <row r="484" spans="12:19" x14ac:dyDescent="0.2">
      <c r="L484" t="str">
        <f t="shared" si="23"/>
        <v>SUPLEMENTO 0,849x61</v>
      </c>
      <c r="M484" t="s">
        <v>4139</v>
      </c>
      <c r="N484" t="s">
        <v>3902</v>
      </c>
      <c r="O484" t="s">
        <v>21360</v>
      </c>
      <c r="P484" t="s">
        <v>4327</v>
      </c>
      <c r="Q484">
        <v>664.97573999999997</v>
      </c>
      <c r="R484" t="s">
        <v>21361</v>
      </c>
      <c r="S484">
        <v>50</v>
      </c>
    </row>
    <row r="485" spans="12:19" x14ac:dyDescent="0.2">
      <c r="L485" t="str">
        <f t="shared" si="23"/>
        <v>SUPLEMENTO 0,850x62</v>
      </c>
      <c r="M485" t="s">
        <v>4139</v>
      </c>
      <c r="N485" t="s">
        <v>3905</v>
      </c>
      <c r="O485" t="s">
        <v>21362</v>
      </c>
      <c r="P485" t="s">
        <v>4329</v>
      </c>
      <c r="Q485">
        <v>667.2828525000001</v>
      </c>
      <c r="R485" t="s">
        <v>21363</v>
      </c>
      <c r="S485">
        <v>50</v>
      </c>
    </row>
    <row r="486" spans="12:19" x14ac:dyDescent="0.2">
      <c r="L486" t="str">
        <f t="shared" si="23"/>
        <v>SUPLEMENTO 0,851x63</v>
      </c>
      <c r="M486" t="s">
        <v>4139</v>
      </c>
      <c r="N486" t="s">
        <v>3908</v>
      </c>
      <c r="O486" t="s">
        <v>21364</v>
      </c>
      <c r="P486" t="s">
        <v>4331</v>
      </c>
      <c r="Q486">
        <v>667.2828525000001</v>
      </c>
      <c r="R486" t="s">
        <v>21365</v>
      </c>
      <c r="S486">
        <v>50</v>
      </c>
    </row>
    <row r="487" spans="12:19" x14ac:dyDescent="0.2">
      <c r="L487" t="str">
        <f t="shared" si="23"/>
        <v>SUPLEMENTO 0,852x64</v>
      </c>
      <c r="M487" t="s">
        <v>4139</v>
      </c>
      <c r="N487" t="s">
        <v>3911</v>
      </c>
      <c r="O487" t="s">
        <v>21366</v>
      </c>
      <c r="P487" t="s">
        <v>4333</v>
      </c>
      <c r="Q487">
        <v>793.77853499999992</v>
      </c>
      <c r="R487" t="s">
        <v>21367</v>
      </c>
      <c r="S487">
        <v>50</v>
      </c>
    </row>
    <row r="488" spans="12:19" x14ac:dyDescent="0.2">
      <c r="L488" t="str">
        <f t="shared" si="23"/>
        <v>SUPLEMENTO 0,853x65</v>
      </c>
      <c r="M488" t="s">
        <v>4139</v>
      </c>
      <c r="N488" t="s">
        <v>3914</v>
      </c>
      <c r="O488" t="s">
        <v>21368</v>
      </c>
      <c r="P488" t="s">
        <v>4335</v>
      </c>
      <c r="Q488">
        <v>793.77853499999992</v>
      </c>
      <c r="R488" t="s">
        <v>21369</v>
      </c>
      <c r="S488">
        <v>50</v>
      </c>
    </row>
    <row r="489" spans="12:19" x14ac:dyDescent="0.2">
      <c r="L489" t="str">
        <f t="shared" si="23"/>
        <v>SUPLEMENTO 0,854x66</v>
      </c>
      <c r="M489" t="s">
        <v>4139</v>
      </c>
      <c r="N489" t="s">
        <v>3917</v>
      </c>
      <c r="O489" t="s">
        <v>21370</v>
      </c>
      <c r="P489" t="s">
        <v>4337</v>
      </c>
      <c r="Q489">
        <v>795.42647250000005</v>
      </c>
      <c r="R489" t="s">
        <v>21371</v>
      </c>
      <c r="S489">
        <v>50</v>
      </c>
    </row>
    <row r="490" spans="12:19" x14ac:dyDescent="0.2">
      <c r="L490" t="str">
        <f t="shared" si="23"/>
        <v>SUPLEMENTO 0,855x67</v>
      </c>
      <c r="M490" t="s">
        <v>4139</v>
      </c>
      <c r="N490" t="s">
        <v>3920</v>
      </c>
      <c r="O490" t="s">
        <v>21372</v>
      </c>
      <c r="P490" t="s">
        <v>4339</v>
      </c>
      <c r="Q490">
        <v>795.42647250000005</v>
      </c>
      <c r="R490" t="s">
        <v>21373</v>
      </c>
      <c r="S490">
        <v>50</v>
      </c>
    </row>
    <row r="491" spans="12:19" x14ac:dyDescent="0.2">
      <c r="L491" t="str">
        <f t="shared" si="23"/>
        <v>SUPLEMENTO 0,856x68</v>
      </c>
      <c r="M491" t="s">
        <v>4139</v>
      </c>
      <c r="N491" t="s">
        <v>3923</v>
      </c>
      <c r="O491" t="s">
        <v>21374</v>
      </c>
      <c r="P491" t="s">
        <v>4341</v>
      </c>
      <c r="Q491">
        <v>796.28340000000003</v>
      </c>
      <c r="R491" t="s">
        <v>21375</v>
      </c>
      <c r="S491">
        <v>50</v>
      </c>
    </row>
    <row r="492" spans="12:19" x14ac:dyDescent="0.2">
      <c r="L492" t="str">
        <f t="shared" si="23"/>
        <v>SUPLEMENTO 0,857x69</v>
      </c>
      <c r="M492" t="s">
        <v>4139</v>
      </c>
      <c r="N492" t="s">
        <v>3926</v>
      </c>
      <c r="O492" t="s">
        <v>21376</v>
      </c>
      <c r="P492" t="s">
        <v>4343</v>
      </c>
      <c r="Q492">
        <v>896.87350500000014</v>
      </c>
      <c r="R492" t="s">
        <v>21377</v>
      </c>
      <c r="S492">
        <v>50</v>
      </c>
    </row>
    <row r="493" spans="12:19" x14ac:dyDescent="0.2">
      <c r="L493" t="str">
        <f t="shared" si="23"/>
        <v>SUPLEMENTO 0,858x70</v>
      </c>
      <c r="M493" t="s">
        <v>4139</v>
      </c>
      <c r="N493" t="s">
        <v>3929</v>
      </c>
      <c r="O493" t="s">
        <v>21378</v>
      </c>
      <c r="P493" t="s">
        <v>4345</v>
      </c>
      <c r="Q493">
        <v>896.87350500000014</v>
      </c>
      <c r="R493" t="s">
        <v>21379</v>
      </c>
      <c r="S493">
        <v>50</v>
      </c>
    </row>
    <row r="494" spans="12:19" x14ac:dyDescent="0.2">
      <c r="L494" t="str">
        <f t="shared" si="23"/>
        <v>SUPLEMENTO 0,859x71</v>
      </c>
      <c r="M494" t="s">
        <v>4139</v>
      </c>
      <c r="N494" t="s">
        <v>3932</v>
      </c>
      <c r="O494" t="s">
        <v>21380</v>
      </c>
      <c r="P494" t="s">
        <v>4347</v>
      </c>
      <c r="Q494">
        <v>896.87350500000014</v>
      </c>
      <c r="R494" t="s">
        <v>21381</v>
      </c>
      <c r="S494">
        <v>50</v>
      </c>
    </row>
    <row r="495" spans="12:19" x14ac:dyDescent="0.2">
      <c r="L495" t="str">
        <f t="shared" si="23"/>
        <v>SUPLEMENTO 0,860x72</v>
      </c>
      <c r="M495" t="s">
        <v>4139</v>
      </c>
      <c r="N495" t="s">
        <v>3935</v>
      </c>
      <c r="O495" t="s">
        <v>21382</v>
      </c>
      <c r="P495" t="s">
        <v>4349</v>
      </c>
      <c r="Q495">
        <v>898.52144250000003</v>
      </c>
      <c r="R495" t="s">
        <v>21383</v>
      </c>
      <c r="S495">
        <v>50</v>
      </c>
    </row>
    <row r="496" spans="12:19" x14ac:dyDescent="0.2">
      <c r="L496" t="str">
        <f t="shared" si="23"/>
        <v>SUPLEMENTO 0,861x73</v>
      </c>
      <c r="M496" t="s">
        <v>4139</v>
      </c>
      <c r="N496" t="s">
        <v>3938</v>
      </c>
      <c r="O496" t="s">
        <v>21384</v>
      </c>
      <c r="P496" t="s">
        <v>4351</v>
      </c>
      <c r="Q496">
        <v>898.52144250000003</v>
      </c>
      <c r="R496" t="s">
        <v>21385</v>
      </c>
      <c r="S496">
        <v>50</v>
      </c>
    </row>
    <row r="497" spans="12:19" x14ac:dyDescent="0.2">
      <c r="L497" t="s">
        <v>4463</v>
      </c>
      <c r="M497" t="s">
        <v>4463</v>
      </c>
      <c r="N497" t="s">
        <v>4463</v>
      </c>
      <c r="O497" t="s">
        <v>4463</v>
      </c>
      <c r="P497" t="s">
        <v>4463</v>
      </c>
      <c r="Q497">
        <v>0</v>
      </c>
      <c r="R497" t="s">
        <v>4463</v>
      </c>
      <c r="S497">
        <v>0</v>
      </c>
    </row>
    <row r="498" spans="12:19" x14ac:dyDescent="0.2">
      <c r="L498" t="str">
        <f t="shared" si="23"/>
        <v>SUPLEMENTO 0,830X46</v>
      </c>
      <c r="M498" t="s">
        <v>4139</v>
      </c>
      <c r="N498" t="s">
        <v>4264</v>
      </c>
      <c r="O498" t="s">
        <v>21386</v>
      </c>
      <c r="P498" t="s">
        <v>4265</v>
      </c>
      <c r="Q498">
        <v>425.8929675</v>
      </c>
      <c r="R498" t="s">
        <v>21387</v>
      </c>
      <c r="S498">
        <v>50</v>
      </c>
    </row>
  </sheetData>
  <mergeCells count="1">
    <mergeCell ref="A1:C2"/>
  </mergeCells>
  <dataValidations count="1">
    <dataValidation type="list" allowBlank="1" showInputMessage="1" showErrorMessage="1" sqref="F210:F225 F4:F78" xr:uid="{8EC6137A-597F-44BA-A6FE-2E388562703F}">
      <formula1>$J$3:$J$10</formula1>
    </dataValidation>
  </dataValidations>
  <pageMargins left="0.70866141732283472" right="0.70866141732283472" top="0.74803149606299213" bottom="0.74803149606299213" header="0.31496062992125984" footer="0.31496062992125984"/>
  <pageSetup paperSize="9" scale="12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fb66916-e76c-4d03-ae05-5e8b00f44c30">
      <Terms xmlns="http://schemas.microsoft.com/office/infopath/2007/PartnerControls"/>
    </lcf76f155ced4ddcb4097134ff3c332f>
    <TaxCatchAll xmlns="d07e69a6-4c47-4689-8a4b-b6455870e7f8"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5A908861C51B8B40954C6FA369A3D5AB" ma:contentTypeVersion="13" ma:contentTypeDescription="Crear nuevo documento." ma:contentTypeScope="" ma:versionID="90d106c70a9a9c5d725b68c79d13a221">
  <xsd:schema xmlns:xsd="http://www.w3.org/2001/XMLSchema" xmlns:xs="http://www.w3.org/2001/XMLSchema" xmlns:p="http://schemas.microsoft.com/office/2006/metadata/properties" xmlns:ns2="3fb66916-e76c-4d03-ae05-5e8b00f44c30" xmlns:ns3="d07e69a6-4c47-4689-8a4b-b6455870e7f8" targetNamespace="http://schemas.microsoft.com/office/2006/metadata/properties" ma:root="true" ma:fieldsID="1f603ab5bef08bbdefc45c9627f472bf" ns2:_="" ns3:_="">
    <xsd:import namespace="3fb66916-e76c-4d03-ae05-5e8b00f44c30"/>
    <xsd:import namespace="d07e69a6-4c47-4689-8a4b-b6455870e7f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b66916-e76c-4d03-ae05-5e8b00f44c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cf2e2193-c6c8-4d71-aed0-f277e4c0f1a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07e69a6-4c47-4689-8a4b-b6455870e7f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c67a85d-8da8-41f3-a4cf-b0b550611004}" ma:internalName="TaxCatchAll" ma:showField="CatchAllData" ma:web="d07e69a6-4c47-4689-8a4b-b6455870e7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164510-1811-4471-AD07-A2E8078419F7}">
  <ds:schemaRefs>
    <ds:schemaRef ds:uri="http://purl.org/dc/dcmitype/"/>
    <ds:schemaRef ds:uri="3fb66916-e76c-4d03-ae05-5e8b00f44c30"/>
    <ds:schemaRef ds:uri="http://purl.org/dc/elements/1.1/"/>
    <ds:schemaRef ds:uri="http://schemas.openxmlformats.org/package/2006/metadata/core-properties"/>
    <ds:schemaRef ds:uri="http://schemas.microsoft.com/office/2006/documentManagement/types"/>
    <ds:schemaRef ds:uri="http://schemas.microsoft.com/office/2006/metadata/properties"/>
    <ds:schemaRef ds:uri="http://purl.org/dc/terms/"/>
    <ds:schemaRef ds:uri="d07e69a6-4c47-4689-8a4b-b6455870e7f8"/>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BC7B4CB8-FA5C-45CD-944D-EBB12BB3ED63}">
  <ds:schemaRefs>
    <ds:schemaRef ds:uri="http://schemas.microsoft.com/DataMashup"/>
  </ds:schemaRefs>
</ds:datastoreItem>
</file>

<file path=customXml/itemProps3.xml><?xml version="1.0" encoding="utf-8"?>
<ds:datastoreItem xmlns:ds="http://schemas.openxmlformats.org/officeDocument/2006/customXml" ds:itemID="{CA08FD7C-830C-47A1-AD0E-AA9A3CD5FA5C}">
  <ds:schemaRefs>
    <ds:schemaRef ds:uri="http://schemas.microsoft.com/sharepoint/v3/contenttype/forms"/>
  </ds:schemaRefs>
</ds:datastoreItem>
</file>

<file path=customXml/itemProps4.xml><?xml version="1.0" encoding="utf-8"?>
<ds:datastoreItem xmlns:ds="http://schemas.openxmlformats.org/officeDocument/2006/customXml" ds:itemID="{F1AC61FE-5000-46C1-AE56-E25C54E9D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b66916-e76c-4d03-ae05-5e8b00f44c30"/>
    <ds:schemaRef ds:uri="d07e69a6-4c47-4689-8a4b-b6455870e7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19</vt:i4>
      </vt:variant>
    </vt:vector>
  </HeadingPairs>
  <TitlesOfParts>
    <vt:vector size="54" baseType="lpstr">
      <vt:lpstr>Ctrl</vt:lpstr>
      <vt:lpstr>INDICE</vt:lpstr>
      <vt:lpstr>FADER</vt:lpstr>
      <vt:lpstr>CECATTO</vt:lpstr>
      <vt:lpstr>ORING</vt:lpstr>
      <vt:lpstr>SELFLEX</vt:lpstr>
      <vt:lpstr>ALCIDES</vt:lpstr>
      <vt:lpstr>CASERGOM</vt:lpstr>
      <vt:lpstr>ROPA</vt:lpstr>
      <vt:lpstr>CARBONES</vt:lpstr>
      <vt:lpstr>ELINEK</vt:lpstr>
      <vt:lpstr>INSERTOS</vt:lpstr>
      <vt:lpstr>RESORTES</vt:lpstr>
      <vt:lpstr>Res. Generales</vt:lpstr>
      <vt:lpstr>ALNAT</vt:lpstr>
      <vt:lpstr>INYECT GAS</vt:lpstr>
      <vt:lpstr>REGATONES</vt:lpstr>
      <vt:lpstr>EMELI</vt:lpstr>
      <vt:lpstr>OTIA</vt:lpstr>
      <vt:lpstr>Gavetas</vt:lpstr>
      <vt:lpstr>BAIGORRIA</vt:lpstr>
      <vt:lpstr>METALGRAB</vt:lpstr>
      <vt:lpstr>LCT</vt:lpstr>
      <vt:lpstr>JUCAP</vt:lpstr>
      <vt:lpstr>TOBAR</vt:lpstr>
      <vt:lpstr>DQ AUTOPARTES</vt:lpstr>
      <vt:lpstr>ALEMITES</vt:lpstr>
      <vt:lpstr>KAZ</vt:lpstr>
      <vt:lpstr>DAHE DIESEL</vt:lpstr>
      <vt:lpstr>CILIO</vt:lpstr>
      <vt:lpstr>KLOSTER</vt:lpstr>
      <vt:lpstr>TUDANCA</vt:lpstr>
      <vt:lpstr>CHAPAS</vt:lpstr>
      <vt:lpstr>PERILLAS DE COCINA</vt:lpstr>
      <vt:lpstr>SKOTNICA</vt:lpstr>
      <vt:lpstr>ALEMITES!Área_de_impresión</vt:lpstr>
      <vt:lpstr>CARBONES!Área_de_impresión</vt:lpstr>
      <vt:lpstr>CECATTO!Área_de_impresión</vt:lpstr>
      <vt:lpstr>Ctrl!Área_de_impresión</vt:lpstr>
      <vt:lpstr>'DAHE DIESEL'!Área_de_impresión</vt:lpstr>
      <vt:lpstr>KLOSTER!Área_de_impresión</vt:lpstr>
      <vt:lpstr>LCT!Área_de_impresión</vt:lpstr>
      <vt:lpstr>METALGRAB!Área_de_impresión</vt:lpstr>
      <vt:lpstr>OTIA!Área_de_impresión</vt:lpstr>
      <vt:lpstr>'REGATONES'!Área_de_impresión</vt:lpstr>
      <vt:lpstr>ROPA!Área_de_impresión</vt:lpstr>
      <vt:lpstr>SKOTNICA!Área_de_impresión</vt:lpstr>
      <vt:lpstr>TUDANCA!Área_de_impresión</vt:lpstr>
      <vt:lpstr>D.1</vt:lpstr>
      <vt:lpstr>D.2</vt:lpstr>
      <vt:lpstr>METALGRAB!DO</vt:lpstr>
      <vt:lpstr>DO</vt:lpstr>
      <vt:lpstr>CILIO!Títulos_a_imprimir</vt:lpstr>
      <vt:lpstr>ORING!Títulos_a_imprimir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Maximiliano.Gordillo</dc:creator>
  <cp:keywords/>
  <dc:description/>
  <cp:lastModifiedBy>Maximiliano Gordillo</cp:lastModifiedBy>
  <cp:revision/>
  <cp:lastPrinted>2026-03-19T12:06:17Z</cp:lastPrinted>
  <dcterms:created xsi:type="dcterms:W3CDTF">2021-07-13T13:02:25Z</dcterms:created>
  <dcterms:modified xsi:type="dcterms:W3CDTF">2026-04-20T12:40:11Z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0x0101005A908861C51B8B40954C6FA369A3D5AB</vt:lpwstr>
  </property>
  <property fmtid="{D5CDD505-2E9C-101B-9397-08002B2CF9AE}" pid="3" name="MediaServiceImageTags">
    <vt:lpwstr/>
  </property>
</Properties>
</file>